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18.xml" ContentType="application/vnd.openxmlformats-officedocument.spreadsheetml.comments+xml"/>
  <Override PartName="/xl/comments27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xl/comments19.xml" ContentType="application/vnd.openxmlformats-officedocument.spreadsheetml.comments+xml"/>
  <Override PartName="/xl/comments28.xml" ContentType="application/vnd.openxmlformats-officedocument.spreadsheetml.comment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 tabRatio="779" activeTab="14"/>
  </bookViews>
  <sheets>
    <sheet name="AM1" sheetId="4" r:id="rId1"/>
    <sheet name="AM2" sheetId="5" r:id="rId2"/>
    <sheet name="CT3" sheetId="6" r:id="rId3"/>
    <sheet name="DC1" sheetId="7" r:id="rId4"/>
    <sheet name="DC3" sheetId="32" r:id="rId5"/>
    <sheet name="DH1" sheetId="9" r:id="rId6"/>
    <sheet name="DH2" sheetId="10" r:id="rId7"/>
    <sheet name="DH3" sheetId="11" r:id="rId8"/>
    <sheet name="FT1" sheetId="12" r:id="rId9"/>
    <sheet name="FT2" sheetId="13" r:id="rId10"/>
    <sheet name="JR1" sheetId="14" r:id="rId11"/>
    <sheet name="JR2" sheetId="15" r:id="rId12"/>
    <sheet name="JR3" sheetId="16" r:id="rId13"/>
    <sheet name="KB1" sheetId="17" r:id="rId14"/>
    <sheet name="KB2" sheetId="34" r:id="rId15"/>
    <sheet name="MQ1" sheetId="18" r:id="rId16"/>
    <sheet name="MQ2" sheetId="19" r:id="rId17"/>
    <sheet name="MQ3" sheetId="20" r:id="rId18"/>
    <sheet name="NM1" sheetId="21" r:id="rId19"/>
    <sheet name="NM2" sheetId="22" r:id="rId20"/>
    <sheet name="PM1" sheetId="23" r:id="rId21"/>
    <sheet name="PP2" sheetId="24" r:id="rId22"/>
    <sheet name="RC2" sheetId="25" r:id="rId23"/>
    <sheet name="RP1" sheetId="26" r:id="rId24"/>
    <sheet name="TL1" sheetId="27" r:id="rId25"/>
    <sheet name="TL2" sheetId="28" r:id="rId26"/>
    <sheet name="TL3" sheetId="29" r:id="rId27"/>
    <sheet name="Star Players-Hidden" sheetId="30" r:id="rId28"/>
    <sheet name="Database-Hidden" sheetId="31" r:id="rId29"/>
  </sheets>
  <externalReferences>
    <externalReference r:id="rId30"/>
  </externalReferences>
  <definedNames>
    <definedName name="_xlnm._FilterDatabase" localSheetId="27" hidden="1">'Star Players-Hidden'!$A$2:$AK$87</definedName>
  </definedNames>
  <calcPr calcId="125725"/>
</workbook>
</file>

<file path=xl/calcChain.xml><?xml version="1.0" encoding="utf-8"?>
<calcChain xmlns="http://schemas.openxmlformats.org/spreadsheetml/2006/main">
  <c r="D51" i="34"/>
  <c r="D50"/>
  <c r="D49"/>
  <c r="D48"/>
  <c r="D47"/>
  <c r="D46"/>
  <c r="D45"/>
  <c r="D44"/>
  <c r="D43"/>
  <c r="D42"/>
  <c r="D41"/>
  <c r="I40"/>
  <c r="D40"/>
  <c r="C40"/>
  <c r="C30"/>
  <c r="C31" s="1"/>
  <c r="AB27"/>
  <c r="V27"/>
  <c r="AB26"/>
  <c r="V26"/>
  <c r="AO25"/>
  <c r="L25"/>
  <c r="V25" s="1"/>
  <c r="AB25" s="1"/>
  <c r="E25"/>
  <c r="AB24"/>
  <c r="AO23"/>
  <c r="AB23"/>
  <c r="T22"/>
  <c r="AB22" s="1"/>
  <c r="AB21"/>
  <c r="V21"/>
  <c r="AL19"/>
  <c r="AD19"/>
  <c r="AB19" s="1"/>
  <c r="AA19"/>
  <c r="K19"/>
  <c r="I19"/>
  <c r="H19"/>
  <c r="G19"/>
  <c r="F19"/>
  <c r="E19"/>
  <c r="AV18"/>
  <c r="AU18"/>
  <c r="AT18"/>
  <c r="AO24" s="1"/>
  <c r="AO18"/>
  <c r="AO22" s="1"/>
  <c r="AL18"/>
  <c r="AD18"/>
  <c r="AB18"/>
  <c r="AA18"/>
  <c r="K18" s="1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/>
  <c r="AA14"/>
  <c r="K14" s="1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/>
  <c r="AA10"/>
  <c r="K10" s="1"/>
  <c r="I10"/>
  <c r="H10"/>
  <c r="G10"/>
  <c r="F10"/>
  <c r="E10"/>
  <c r="AL9"/>
  <c r="AD9"/>
  <c r="AB9" s="1"/>
  <c r="AA9"/>
  <c r="K9"/>
  <c r="I9"/>
  <c r="H9"/>
  <c r="G9"/>
  <c r="F9"/>
  <c r="E9"/>
  <c r="AL8"/>
  <c r="AD8"/>
  <c r="AB8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/>
  <c r="AB20" s="1"/>
  <c r="AA4"/>
  <c r="K4" s="1"/>
  <c r="I4"/>
  <c r="H4"/>
  <c r="G4"/>
  <c r="F4"/>
  <c r="E4"/>
  <c r="AJ3"/>
  <c r="AI3"/>
  <c r="AH3"/>
  <c r="AG3"/>
  <c r="I25" i="32"/>
  <c r="T22"/>
  <c r="AO23"/>
  <c r="AV18"/>
  <c r="AU18"/>
  <c r="AO25" s="1"/>
  <c r="AT18"/>
  <c r="AO24" s="1"/>
  <c r="AO18"/>
  <c r="AO22" s="1"/>
  <c r="AL19"/>
  <c r="AD19"/>
  <c r="AA19"/>
  <c r="K19" s="1"/>
  <c r="I19"/>
  <c r="H19"/>
  <c r="G19"/>
  <c r="F19"/>
  <c r="E19"/>
  <c r="AL18"/>
  <c r="AD18"/>
  <c r="AA18"/>
  <c r="K18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A15"/>
  <c r="K15" s="1"/>
  <c r="I15"/>
  <c r="H15"/>
  <c r="G15"/>
  <c r="F15"/>
  <c r="E15"/>
  <c r="AL14"/>
  <c r="AA14"/>
  <c r="K14" s="1"/>
  <c r="I14"/>
  <c r="H14"/>
  <c r="G14"/>
  <c r="F14"/>
  <c r="E14"/>
  <c r="AL13"/>
  <c r="AA13"/>
  <c r="K13" s="1"/>
  <c r="I13"/>
  <c r="H13"/>
  <c r="G13"/>
  <c r="F13"/>
  <c r="E13"/>
  <c r="AL12"/>
  <c r="AA12"/>
  <c r="K12" s="1"/>
  <c r="I12"/>
  <c r="H12"/>
  <c r="G12"/>
  <c r="F12"/>
  <c r="E12"/>
  <c r="AL11"/>
  <c r="AA11"/>
  <c r="K11" s="1"/>
  <c r="I11"/>
  <c r="H11"/>
  <c r="G11"/>
  <c r="F11"/>
  <c r="E11"/>
  <c r="AL10"/>
  <c r="AA10"/>
  <c r="K10" s="1"/>
  <c r="I10"/>
  <c r="H10"/>
  <c r="G10"/>
  <c r="F10"/>
  <c r="E10"/>
  <c r="AL9"/>
  <c r="AA9"/>
  <c r="K9" s="1"/>
  <c r="I9"/>
  <c r="H9"/>
  <c r="G9"/>
  <c r="F9"/>
  <c r="E9"/>
  <c r="AL8"/>
  <c r="AA8"/>
  <c r="K8" s="1"/>
  <c r="I8"/>
  <c r="H8"/>
  <c r="G8"/>
  <c r="F8"/>
  <c r="E8"/>
  <c r="AL7"/>
  <c r="AA7"/>
  <c r="K7" s="1"/>
  <c r="I7"/>
  <c r="H7"/>
  <c r="G7"/>
  <c r="F7"/>
  <c r="E7"/>
  <c r="AL6"/>
  <c r="AA6"/>
  <c r="K6" s="1"/>
  <c r="I6"/>
  <c r="H6"/>
  <c r="G6"/>
  <c r="F6"/>
  <c r="E6"/>
  <c r="AL5"/>
  <c r="AA5"/>
  <c r="K5" s="1"/>
  <c r="I5"/>
  <c r="H5"/>
  <c r="G5"/>
  <c r="F5"/>
  <c r="E5"/>
  <c r="AL4"/>
  <c r="AA4"/>
  <c r="K4" s="1"/>
  <c r="I4"/>
  <c r="H4"/>
  <c r="G4"/>
  <c r="F4"/>
  <c r="E4"/>
  <c r="D49"/>
  <c r="D48"/>
  <c r="D47"/>
  <c r="D46"/>
  <c r="D45"/>
  <c r="D44"/>
  <c r="D43"/>
  <c r="D42"/>
  <c r="D41"/>
  <c r="D40"/>
  <c r="D39"/>
  <c r="C38"/>
  <c r="C28"/>
  <c r="C29" s="1"/>
  <c r="J26"/>
  <c r="AB25"/>
  <c r="AB24"/>
  <c r="AB23"/>
  <c r="AB21"/>
  <c r="AB22"/>
  <c r="AJ3"/>
  <c r="AI3"/>
  <c r="AH3"/>
  <c r="AG3"/>
  <c r="AC121" i="31"/>
  <c r="AC120"/>
  <c r="C120"/>
  <c r="AC119"/>
  <c r="C119"/>
  <c r="AC118"/>
  <c r="C118"/>
  <c r="AC117"/>
  <c r="C117"/>
  <c r="AC116"/>
  <c r="C116"/>
  <c r="AC115"/>
  <c r="C115"/>
  <c r="AC114"/>
  <c r="C114"/>
  <c r="AC113"/>
  <c r="C113"/>
  <c r="AC112"/>
  <c r="C112"/>
  <c r="AC111"/>
  <c r="C111"/>
  <c r="AC110"/>
  <c r="C110"/>
  <c r="AC109"/>
  <c r="C109"/>
  <c r="AC108"/>
  <c r="C108"/>
  <c r="AC107"/>
  <c r="C107"/>
  <c r="AC106"/>
  <c r="C106"/>
  <c r="AC105"/>
  <c r="C105"/>
  <c r="AC104"/>
  <c r="C104"/>
  <c r="AC103"/>
  <c r="C103"/>
  <c r="AC102"/>
  <c r="C102"/>
  <c r="AC101"/>
  <c r="C101"/>
  <c r="AC100"/>
  <c r="C100"/>
  <c r="AC99"/>
  <c r="C99"/>
  <c r="AC98"/>
  <c r="C98"/>
  <c r="AC97"/>
  <c r="C97"/>
  <c r="AC96"/>
  <c r="C96"/>
  <c r="AC95"/>
  <c r="C95"/>
  <c r="AC94"/>
  <c r="C94"/>
  <c r="AC93"/>
  <c r="C93"/>
  <c r="AC92"/>
  <c r="C92"/>
  <c r="AC91"/>
  <c r="C91"/>
  <c r="AC90"/>
  <c r="C90"/>
  <c r="AC89"/>
  <c r="C89"/>
  <c r="AC88"/>
  <c r="C88"/>
  <c r="AC87"/>
  <c r="C87"/>
  <c r="AC86"/>
  <c r="C86"/>
  <c r="AC85"/>
  <c r="C85"/>
  <c r="AC84"/>
  <c r="C84"/>
  <c r="AC83"/>
  <c r="C83"/>
  <c r="AC82"/>
  <c r="C82"/>
  <c r="AC81"/>
  <c r="C81"/>
  <c r="AC80"/>
  <c r="C80"/>
  <c r="AC79"/>
  <c r="C79"/>
  <c r="AC78"/>
  <c r="C78"/>
  <c r="AC77"/>
  <c r="C77"/>
  <c r="AC76"/>
  <c r="C76"/>
  <c r="AC75"/>
  <c r="C75"/>
  <c r="AC74"/>
  <c r="C74"/>
  <c r="AC73"/>
  <c r="C73"/>
  <c r="AC72"/>
  <c r="C72"/>
  <c r="AC71"/>
  <c r="C71"/>
  <c r="AC70"/>
  <c r="C70"/>
  <c r="AC69"/>
  <c r="C69"/>
  <c r="AC68"/>
  <c r="C68"/>
  <c r="AC67"/>
  <c r="C67"/>
  <c r="AC66"/>
  <c r="C66"/>
  <c r="AC65"/>
  <c r="C65"/>
  <c r="AC64"/>
  <c r="C64"/>
  <c r="AC63"/>
  <c r="C63"/>
  <c r="AC62"/>
  <c r="C62"/>
  <c r="AC61"/>
  <c r="C61"/>
  <c r="AC60"/>
  <c r="C60"/>
  <c r="AC59"/>
  <c r="C59"/>
  <c r="AC58"/>
  <c r="C58"/>
  <c r="AC57"/>
  <c r="C57"/>
  <c r="AC56"/>
  <c r="C56"/>
  <c r="AC55"/>
  <c r="C55"/>
  <c r="AC54"/>
  <c r="C54"/>
  <c r="AC53"/>
  <c r="C53"/>
  <c r="AC52"/>
  <c r="C52"/>
  <c r="AC51"/>
  <c r="C51"/>
  <c r="AC50"/>
  <c r="C50"/>
  <c r="AC49"/>
  <c r="C49"/>
  <c r="AC48"/>
  <c r="C48"/>
  <c r="AC47"/>
  <c r="C47"/>
  <c r="AC46"/>
  <c r="C46"/>
  <c r="AC45"/>
  <c r="C45"/>
  <c r="AC44"/>
  <c r="C44"/>
  <c r="AC43"/>
  <c r="C43"/>
  <c r="AC42"/>
  <c r="C42"/>
  <c r="AC41"/>
  <c r="C41"/>
  <c r="AC40"/>
  <c r="C40"/>
  <c r="AC39"/>
  <c r="C39"/>
  <c r="AC38"/>
  <c r="C38"/>
  <c r="AC37"/>
  <c r="C37"/>
  <c r="AC36"/>
  <c r="C36"/>
  <c r="AC35"/>
  <c r="C35"/>
  <c r="AC34"/>
  <c r="C34"/>
  <c r="AC33"/>
  <c r="C33"/>
  <c r="AC32"/>
  <c r="C32"/>
  <c r="AC31"/>
  <c r="C31"/>
  <c r="AC30"/>
  <c r="C30"/>
  <c r="AC29"/>
  <c r="C29"/>
  <c r="AC28"/>
  <c r="C28"/>
  <c r="AC27"/>
  <c r="C27"/>
  <c r="AC26"/>
  <c r="C26"/>
  <c r="AC25"/>
  <c r="C25"/>
  <c r="AC24"/>
  <c r="C24"/>
  <c r="AC23"/>
  <c r="C23"/>
  <c r="AC22"/>
  <c r="C22"/>
  <c r="AC21"/>
  <c r="C21"/>
  <c r="AC20"/>
  <c r="C20"/>
  <c r="AC19"/>
  <c r="C19"/>
  <c r="AC18"/>
  <c r="C18"/>
  <c r="AC17"/>
  <c r="C17"/>
  <c r="AC16"/>
  <c r="C16"/>
  <c r="AC15"/>
  <c r="C15"/>
  <c r="AC14"/>
  <c r="C14"/>
  <c r="AC13"/>
  <c r="C13"/>
  <c r="AC12"/>
  <c r="C12"/>
  <c r="AC11"/>
  <c r="C11"/>
  <c r="AC10"/>
  <c r="C10"/>
  <c r="AC9"/>
  <c r="C9"/>
  <c r="AC8"/>
  <c r="C8"/>
  <c r="AC7"/>
  <c r="C7"/>
  <c r="AC6"/>
  <c r="C6"/>
  <c r="AC5"/>
  <c r="C5"/>
  <c r="AC4"/>
  <c r="C4"/>
  <c r="AC3"/>
  <c r="C3"/>
  <c r="C2"/>
  <c r="AK69" i="30"/>
  <c r="AK68"/>
  <c r="AK67"/>
  <c r="AK66"/>
  <c r="AK65"/>
  <c r="AK64"/>
  <c r="AK63"/>
  <c r="AK62"/>
  <c r="AK61"/>
  <c r="AK60"/>
  <c r="AK59"/>
  <c r="AK58"/>
  <c r="AK57"/>
  <c r="AK56"/>
  <c r="AK55"/>
  <c r="C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C15"/>
  <c r="AK14"/>
  <c r="AK13"/>
  <c r="AK12"/>
  <c r="AK11"/>
  <c r="AK10"/>
  <c r="AK9"/>
  <c r="AK8"/>
  <c r="AK7"/>
  <c r="AK6"/>
  <c r="AK5"/>
  <c r="AK4"/>
  <c r="AK3"/>
  <c r="D51" i="29"/>
  <c r="D50"/>
  <c r="D49"/>
  <c r="D48"/>
  <c r="D47"/>
  <c r="D46"/>
  <c r="D45"/>
  <c r="D44"/>
  <c r="D43"/>
  <c r="D42"/>
  <c r="D41"/>
  <c r="C40"/>
  <c r="C30"/>
  <c r="I30" s="1" a="1"/>
  <c r="I30" s="1"/>
  <c r="AB27"/>
  <c r="V27"/>
  <c r="V26"/>
  <c r="AB26" s="1"/>
  <c r="L25"/>
  <c r="U25" s="1"/>
  <c r="E25"/>
  <c r="AB24"/>
  <c r="AO23"/>
  <c r="AB23"/>
  <c r="V21"/>
  <c r="AB21" s="1"/>
  <c r="AL19"/>
  <c r="AD19"/>
  <c r="AB19"/>
  <c r="AA19"/>
  <c r="K19"/>
  <c r="I19"/>
  <c r="H19"/>
  <c r="G19"/>
  <c r="F19"/>
  <c r="E19"/>
  <c r="AV18"/>
  <c r="T22" s="1"/>
  <c r="AB22" s="1"/>
  <c r="AU18"/>
  <c r="AO25" s="1"/>
  <c r="AT18"/>
  <c r="AO24" s="1"/>
  <c r="AO18"/>
  <c r="AO22" s="1"/>
  <c r="AL18"/>
  <c r="AD18"/>
  <c r="AB18" s="1"/>
  <c r="AA18"/>
  <c r="K18"/>
  <c r="I18"/>
  <c r="H18"/>
  <c r="G18"/>
  <c r="F18"/>
  <c r="E18"/>
  <c r="AL17"/>
  <c r="AD17"/>
  <c r="AA17"/>
  <c r="K17" s="1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/>
  <c r="AA15"/>
  <c r="K15" s="1"/>
  <c r="I15"/>
  <c r="H15"/>
  <c r="G15"/>
  <c r="F15"/>
  <c r="E15"/>
  <c r="AL14"/>
  <c r="AD14"/>
  <c r="AA14"/>
  <c r="K14"/>
  <c r="I14"/>
  <c r="H14"/>
  <c r="G14"/>
  <c r="F14"/>
  <c r="E14"/>
  <c r="AL13"/>
  <c r="AD13"/>
  <c r="AB13"/>
  <c r="AA13"/>
  <c r="K13" s="1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/>
  <c r="AA11"/>
  <c r="K11" s="1"/>
  <c r="I11"/>
  <c r="H11"/>
  <c r="G11"/>
  <c r="F11"/>
  <c r="E11"/>
  <c r="AL10"/>
  <c r="AD10"/>
  <c r="AA10"/>
  <c r="K10"/>
  <c r="I10"/>
  <c r="H10"/>
  <c r="G10"/>
  <c r="F10"/>
  <c r="E10"/>
  <c r="AL9"/>
  <c r="AD9"/>
  <c r="AB9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/>
  <c r="AA7"/>
  <c r="K7" s="1"/>
  <c r="I7"/>
  <c r="H7"/>
  <c r="G7"/>
  <c r="F7"/>
  <c r="E7"/>
  <c r="AL6"/>
  <c r="AD6"/>
  <c r="AB6" s="1"/>
  <c r="AA6"/>
  <c r="K6"/>
  <c r="I6"/>
  <c r="H6"/>
  <c r="G6"/>
  <c r="F6"/>
  <c r="E6"/>
  <c r="AL5"/>
  <c r="AD5"/>
  <c r="AB5"/>
  <c r="AA5"/>
  <c r="K5" s="1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28"/>
  <c r="D48"/>
  <c r="D47"/>
  <c r="D46"/>
  <c r="D45"/>
  <c r="D44"/>
  <c r="D43"/>
  <c r="D42"/>
  <c r="D41"/>
  <c r="D40"/>
  <c r="D39"/>
  <c r="C38"/>
  <c r="C28"/>
  <c r="I28" s="1" a="1"/>
  <c r="I28" s="1"/>
  <c r="AO25"/>
  <c r="L25"/>
  <c r="V25" s="1"/>
  <c r="AB24"/>
  <c r="AO23"/>
  <c r="AB23"/>
  <c r="E23"/>
  <c r="V21"/>
  <c r="AB21" s="1"/>
  <c r="AB26" s="1"/>
  <c r="AL19"/>
  <c r="AD19"/>
  <c r="AB19" s="1"/>
  <c r="AA19"/>
  <c r="K19"/>
  <c r="I19"/>
  <c r="H19"/>
  <c r="G19"/>
  <c r="F19"/>
  <c r="E19"/>
  <c r="AV18"/>
  <c r="T22" s="1"/>
  <c r="AB22" s="1"/>
  <c r="AU18"/>
  <c r="AT18"/>
  <c r="AO24" s="1"/>
  <c r="AO18"/>
  <c r="AO22" s="1"/>
  <c r="AL18"/>
  <c r="AD18"/>
  <c r="AB18" s="1"/>
  <c r="AA18"/>
  <c r="K18" s="1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A14"/>
  <c r="K14" s="1"/>
  <c r="I14"/>
  <c r="H14"/>
  <c r="G14"/>
  <c r="F14"/>
  <c r="E14"/>
  <c r="AL13"/>
  <c r="AD13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A6"/>
  <c r="K6" s="1"/>
  <c r="I6"/>
  <c r="H6"/>
  <c r="G6"/>
  <c r="F6"/>
  <c r="E6"/>
  <c r="AL5"/>
  <c r="AD5"/>
  <c r="AB5" s="1"/>
  <c r="AA5"/>
  <c r="K5" s="1"/>
  <c r="I5"/>
  <c r="H5"/>
  <c r="G5"/>
  <c r="F5"/>
  <c r="E5"/>
  <c r="AO4"/>
  <c r="AL4"/>
  <c r="AD4"/>
  <c r="AB4"/>
  <c r="AA4"/>
  <c r="K4"/>
  <c r="I4"/>
  <c r="H4"/>
  <c r="G4"/>
  <c r="F4"/>
  <c r="E4"/>
  <c r="AJ3"/>
  <c r="AI3"/>
  <c r="AH3"/>
  <c r="AG3"/>
  <c r="D49" i="27"/>
  <c r="D48"/>
  <c r="D47"/>
  <c r="D46"/>
  <c r="D45"/>
  <c r="D44"/>
  <c r="D43"/>
  <c r="D42"/>
  <c r="D41"/>
  <c r="D40"/>
  <c r="D39"/>
  <c r="C38"/>
  <c r="C29"/>
  <c r="C30" s="1"/>
  <c r="C28"/>
  <c r="I28" s="1" a="1"/>
  <c r="I28" s="1"/>
  <c r="L25"/>
  <c r="V25" s="1"/>
  <c r="AB25" s="1"/>
  <c r="AB24"/>
  <c r="AO23"/>
  <c r="AB23"/>
  <c r="E23"/>
  <c r="V21"/>
  <c r="AB21" s="1"/>
  <c r="AL19"/>
  <c r="AD19"/>
  <c r="AB19" s="1"/>
  <c r="AA19"/>
  <c r="K19" s="1"/>
  <c r="I19"/>
  <c r="H19"/>
  <c r="G19"/>
  <c r="F19"/>
  <c r="E19"/>
  <c r="AV18"/>
  <c r="T22" s="1"/>
  <c r="AB22" s="1"/>
  <c r="AU18"/>
  <c r="AO25" s="1"/>
  <c r="AT18"/>
  <c r="AO24" s="1"/>
  <c r="AO18"/>
  <c r="I25" s="1"/>
  <c r="AL18"/>
  <c r="AD18"/>
  <c r="AA18"/>
  <c r="K18" s="1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49" i="26"/>
  <c r="D48"/>
  <c r="D47"/>
  <c r="D46"/>
  <c r="D45"/>
  <c r="D44"/>
  <c r="D43"/>
  <c r="D42"/>
  <c r="D41"/>
  <c r="D40"/>
  <c r="D39"/>
  <c r="C38"/>
  <c r="C28"/>
  <c r="I28" s="1" a="1"/>
  <c r="I28" s="1"/>
  <c r="AO25"/>
  <c r="L25"/>
  <c r="U25" s="1"/>
  <c r="AB24"/>
  <c r="AO23"/>
  <c r="AB23"/>
  <c r="E23"/>
  <c r="AO22"/>
  <c r="T22"/>
  <c r="AB22" s="1"/>
  <c r="V21"/>
  <c r="AB21" s="1"/>
  <c r="AL19"/>
  <c r="AD19"/>
  <c r="AA19"/>
  <c r="K19"/>
  <c r="I19"/>
  <c r="H19"/>
  <c r="G19"/>
  <c r="F19"/>
  <c r="E19"/>
  <c r="AV18"/>
  <c r="AU18"/>
  <c r="AT18"/>
  <c r="AO24" s="1"/>
  <c r="AO18"/>
  <c r="I25" s="1"/>
  <c r="AL18"/>
  <c r="AD18"/>
  <c r="AA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A13"/>
  <c r="K13"/>
  <c r="I13"/>
  <c r="H13"/>
  <c r="G13"/>
  <c r="F13"/>
  <c r="E13"/>
  <c r="AL12"/>
  <c r="AD12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25"/>
  <c r="D48"/>
  <c r="D47"/>
  <c r="D46"/>
  <c r="D45"/>
  <c r="D44"/>
  <c r="D43"/>
  <c r="D42"/>
  <c r="D41"/>
  <c r="D40"/>
  <c r="D39"/>
  <c r="C38"/>
  <c r="C28"/>
  <c r="C29" s="1"/>
  <c r="L25"/>
  <c r="U25" s="1"/>
  <c r="I25"/>
  <c r="AB24"/>
  <c r="AO23"/>
  <c r="AB23"/>
  <c r="E23"/>
  <c r="AB22"/>
  <c r="T22"/>
  <c r="V21"/>
  <c r="AB21" s="1"/>
  <c r="AB26" s="1"/>
  <c r="AL19"/>
  <c r="AD19"/>
  <c r="AA19"/>
  <c r="K19" s="1"/>
  <c r="I19"/>
  <c r="H19"/>
  <c r="G19"/>
  <c r="F19"/>
  <c r="E19"/>
  <c r="AV18"/>
  <c r="AU18"/>
  <c r="AO25" s="1"/>
  <c r="AT18"/>
  <c r="AO24" s="1"/>
  <c r="AO18"/>
  <c r="AO22" s="1"/>
  <c r="AL18"/>
  <c r="AD18"/>
  <c r="AA18"/>
  <c r="K18" s="1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 s="1"/>
  <c r="I16"/>
  <c r="H16"/>
  <c r="G16"/>
  <c r="F16"/>
  <c r="E16"/>
  <c r="AL15"/>
  <c r="AD15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49" i="24"/>
  <c r="D48"/>
  <c r="D47"/>
  <c r="D46"/>
  <c r="D45"/>
  <c r="D44"/>
  <c r="D43"/>
  <c r="D42"/>
  <c r="D41"/>
  <c r="D40"/>
  <c r="D39"/>
  <c r="C38"/>
  <c r="C28"/>
  <c r="E28" s="1" a="1"/>
  <c r="E28" s="1"/>
  <c r="AO25"/>
  <c r="L25"/>
  <c r="I25"/>
  <c r="AB24"/>
  <c r="AO23"/>
  <c r="AB23"/>
  <c r="E23"/>
  <c r="AO22"/>
  <c r="V21"/>
  <c r="AB21" s="1"/>
  <c r="AL19"/>
  <c r="AD19"/>
  <c r="AB19" s="1"/>
  <c r="AA19"/>
  <c r="K19"/>
  <c r="I19"/>
  <c r="H19"/>
  <c r="G19"/>
  <c r="F19"/>
  <c r="E19"/>
  <c r="AV18"/>
  <c r="T22" s="1"/>
  <c r="AB22" s="1"/>
  <c r="AU18"/>
  <c r="AT18"/>
  <c r="AO24" s="1"/>
  <c r="AO18"/>
  <c r="AL18"/>
  <c r="AD18"/>
  <c r="AB18" s="1"/>
  <c r="AA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A16"/>
  <c r="K16"/>
  <c r="I16"/>
  <c r="H16"/>
  <c r="G16"/>
  <c r="F16"/>
  <c r="E16"/>
  <c r="AL15"/>
  <c r="AD15"/>
  <c r="AA15"/>
  <c r="K15"/>
  <c r="I15"/>
  <c r="H15"/>
  <c r="G15"/>
  <c r="F15"/>
  <c r="E15"/>
  <c r="AL14"/>
  <c r="AD14"/>
  <c r="AA14"/>
  <c r="K14"/>
  <c r="I14"/>
  <c r="H14"/>
  <c r="G14"/>
  <c r="F14"/>
  <c r="E14"/>
  <c r="AL13"/>
  <c r="AD13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/>
  <c r="I8"/>
  <c r="H8"/>
  <c r="G8"/>
  <c r="F8"/>
  <c r="E8"/>
  <c r="AL7"/>
  <c r="AD7"/>
  <c r="AB7"/>
  <c r="AA7"/>
  <c r="K7"/>
  <c r="I7"/>
  <c r="H7"/>
  <c r="G7"/>
  <c r="F7"/>
  <c r="E7"/>
  <c r="AL6"/>
  <c r="AD6"/>
  <c r="AB6" s="1"/>
  <c r="AA6"/>
  <c r="K6"/>
  <c r="J6"/>
  <c r="I6"/>
  <c r="H6"/>
  <c r="G6"/>
  <c r="F6"/>
  <c r="E6"/>
  <c r="AL5"/>
  <c r="AD5"/>
  <c r="AB5"/>
  <c r="AA5"/>
  <c r="K5" s="1"/>
  <c r="I5"/>
  <c r="H5"/>
  <c r="G5"/>
  <c r="F5"/>
  <c r="E5"/>
  <c r="AL4"/>
  <c r="AD4"/>
  <c r="AA4"/>
  <c r="K4" s="1"/>
  <c r="I4"/>
  <c r="H4"/>
  <c r="G4"/>
  <c r="F4"/>
  <c r="E4"/>
  <c r="AJ3"/>
  <c r="AI3"/>
  <c r="AH3"/>
  <c r="AG3"/>
  <c r="D49" i="23"/>
  <c r="D48"/>
  <c r="D47"/>
  <c r="D46"/>
  <c r="D45"/>
  <c r="D44"/>
  <c r="D43"/>
  <c r="D42"/>
  <c r="D41"/>
  <c r="D40"/>
  <c r="D39"/>
  <c r="C38"/>
  <c r="C28"/>
  <c r="AO25"/>
  <c r="L25"/>
  <c r="U25" s="1"/>
  <c r="AB24"/>
  <c r="AO23"/>
  <c r="AB23"/>
  <c r="E23"/>
  <c r="V21"/>
  <c r="AB21" s="1"/>
  <c r="AL19"/>
  <c r="AD19"/>
  <c r="AA19"/>
  <c r="K19"/>
  <c r="I19"/>
  <c r="H19"/>
  <c r="G19"/>
  <c r="F19"/>
  <c r="E19"/>
  <c r="AU18"/>
  <c r="AT18"/>
  <c r="AO24" s="1"/>
  <c r="AO18"/>
  <c r="AL18"/>
  <c r="AD18"/>
  <c r="AA18"/>
  <c r="K18" s="1"/>
  <c r="I18"/>
  <c r="H18"/>
  <c r="G18"/>
  <c r="F18"/>
  <c r="E18"/>
  <c r="AL17"/>
  <c r="AD17"/>
  <c r="AA17"/>
  <c r="K17"/>
  <c r="I17"/>
  <c r="H17"/>
  <c r="G17"/>
  <c r="F17"/>
  <c r="E17"/>
  <c r="AL16"/>
  <c r="AD16"/>
  <c r="AA16"/>
  <c r="K16" s="1"/>
  <c r="I16"/>
  <c r="H16"/>
  <c r="G16"/>
  <c r="F16"/>
  <c r="E16"/>
  <c r="AL15"/>
  <c r="AD15"/>
  <c r="AA15"/>
  <c r="K15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/>
  <c r="AA11"/>
  <c r="K11"/>
  <c r="I11"/>
  <c r="H11"/>
  <c r="G11"/>
  <c r="F11"/>
  <c r="E11"/>
  <c r="AV10"/>
  <c r="AL10"/>
  <c r="AD10"/>
  <c r="AB10" s="1"/>
  <c r="AA10"/>
  <c r="K10" s="1"/>
  <c r="I10"/>
  <c r="H10"/>
  <c r="G10"/>
  <c r="F10"/>
  <c r="E10"/>
  <c r="AV9"/>
  <c r="AV18" s="1"/>
  <c r="T22" s="1"/>
  <c r="AB22" s="1"/>
  <c r="AL9"/>
  <c r="AD9"/>
  <c r="AB9" s="1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22"/>
  <c r="D48"/>
  <c r="D47"/>
  <c r="D46"/>
  <c r="D45"/>
  <c r="D44"/>
  <c r="D43"/>
  <c r="D42"/>
  <c r="D41"/>
  <c r="D40"/>
  <c r="D39"/>
  <c r="C38"/>
  <c r="C28"/>
  <c r="I28" s="1" a="1"/>
  <c r="I28" s="1"/>
  <c r="L25"/>
  <c r="U25" s="1"/>
  <c r="AO24"/>
  <c r="AB24"/>
  <c r="AO23"/>
  <c r="AB23"/>
  <c r="E23"/>
  <c r="V21"/>
  <c r="AB21" s="1"/>
  <c r="AB26" s="1"/>
  <c r="AL19"/>
  <c r="AD19"/>
  <c r="AA19"/>
  <c r="K19" s="1"/>
  <c r="I19"/>
  <c r="H19"/>
  <c r="G19"/>
  <c r="F19"/>
  <c r="E19"/>
  <c r="AV18"/>
  <c r="AU18"/>
  <c r="AO25" s="1"/>
  <c r="AT18"/>
  <c r="AO18"/>
  <c r="AO22" s="1"/>
  <c r="AL18"/>
  <c r="AD18"/>
  <c r="AA18"/>
  <c r="K18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51" i="21"/>
  <c r="D50"/>
  <c r="D49"/>
  <c r="D48"/>
  <c r="D47"/>
  <c r="D46"/>
  <c r="D45"/>
  <c r="D44"/>
  <c r="D43"/>
  <c r="D42"/>
  <c r="D41"/>
  <c r="C40"/>
  <c r="C30"/>
  <c r="I30" s="1" a="1"/>
  <c r="I30" s="1"/>
  <c r="AB27"/>
  <c r="V27"/>
  <c r="AB26"/>
  <c r="V26"/>
  <c r="AO25"/>
  <c r="L25"/>
  <c r="U25" s="1"/>
  <c r="E25"/>
  <c r="AB24"/>
  <c r="AO23"/>
  <c r="AB23"/>
  <c r="T22"/>
  <c r="AB22" s="1"/>
  <c r="V21"/>
  <c r="AB21" s="1"/>
  <c r="AL19"/>
  <c r="AD19"/>
  <c r="AB19" s="1"/>
  <c r="AA19"/>
  <c r="K19"/>
  <c r="I19"/>
  <c r="H19"/>
  <c r="G19"/>
  <c r="F19"/>
  <c r="E19"/>
  <c r="AV18"/>
  <c r="AU18"/>
  <c r="AT18"/>
  <c r="AO24" s="1"/>
  <c r="AO18"/>
  <c r="I27" s="1"/>
  <c r="AL18"/>
  <c r="AD18"/>
  <c r="AB18" s="1"/>
  <c r="AA18"/>
  <c r="K18" s="1"/>
  <c r="I18"/>
  <c r="H18"/>
  <c r="G18"/>
  <c r="F18"/>
  <c r="E18"/>
  <c r="AL17"/>
  <c r="AD17"/>
  <c r="AA17"/>
  <c r="K17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A15"/>
  <c r="K15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A13"/>
  <c r="K13"/>
  <c r="I13"/>
  <c r="H13"/>
  <c r="G13"/>
  <c r="F13"/>
  <c r="E13"/>
  <c r="AL12"/>
  <c r="AD12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49" i="20"/>
  <c r="D48"/>
  <c r="D47"/>
  <c r="D46"/>
  <c r="D45"/>
  <c r="D44"/>
  <c r="D43"/>
  <c r="D42"/>
  <c r="D41"/>
  <c r="D40"/>
  <c r="D39"/>
  <c r="C38"/>
  <c r="C28"/>
  <c r="C29" s="1"/>
  <c r="C30" s="1"/>
  <c r="L25"/>
  <c r="V25" s="1"/>
  <c r="AB25" s="1"/>
  <c r="AB24"/>
  <c r="AO23"/>
  <c r="AB23"/>
  <c r="E23"/>
  <c r="AB22"/>
  <c r="V21"/>
  <c r="AB21" s="1"/>
  <c r="AL19"/>
  <c r="AD19"/>
  <c r="AA19"/>
  <c r="K19"/>
  <c r="I19"/>
  <c r="H19"/>
  <c r="G19"/>
  <c r="F19"/>
  <c r="E19"/>
  <c r="AV18"/>
  <c r="AU18"/>
  <c r="AO25" s="1"/>
  <c r="AT18"/>
  <c r="AO24" s="1"/>
  <c r="AO18"/>
  <c r="AO22" s="1"/>
  <c r="AL18"/>
  <c r="AD18"/>
  <c r="AA18"/>
  <c r="K18" s="1"/>
  <c r="I18"/>
  <c r="H18"/>
  <c r="G18"/>
  <c r="F18"/>
  <c r="E18"/>
  <c r="AL17"/>
  <c r="AD17"/>
  <c r="AA17"/>
  <c r="K17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49" i="19"/>
  <c r="D48"/>
  <c r="D47"/>
  <c r="D46"/>
  <c r="D45"/>
  <c r="D44"/>
  <c r="D43"/>
  <c r="D42"/>
  <c r="D41"/>
  <c r="D40"/>
  <c r="D39"/>
  <c r="C38"/>
  <c r="C28"/>
  <c r="I28" s="1" a="1"/>
  <c r="I28" s="1"/>
  <c r="AO25"/>
  <c r="L25"/>
  <c r="V25" s="1"/>
  <c r="AB25" s="1"/>
  <c r="AB24"/>
  <c r="AO23"/>
  <c r="AB23"/>
  <c r="E23"/>
  <c r="T22"/>
  <c r="AB22" s="1"/>
  <c r="V21"/>
  <c r="AB21" s="1"/>
  <c r="AL19"/>
  <c r="AD19"/>
  <c r="AA19"/>
  <c r="K19"/>
  <c r="I19"/>
  <c r="H19"/>
  <c r="G19"/>
  <c r="F19"/>
  <c r="E19"/>
  <c r="AV18"/>
  <c r="AU18"/>
  <c r="AT18"/>
  <c r="AO24" s="1"/>
  <c r="AO18"/>
  <c r="I25" s="1"/>
  <c r="AL18"/>
  <c r="AD18"/>
  <c r="AA18"/>
  <c r="K18" s="1"/>
  <c r="I18"/>
  <c r="H18"/>
  <c r="G18"/>
  <c r="F18"/>
  <c r="E18"/>
  <c r="AL17"/>
  <c r="AD17"/>
  <c r="AA17"/>
  <c r="K17"/>
  <c r="I17"/>
  <c r="H17"/>
  <c r="G17"/>
  <c r="F17"/>
  <c r="E17"/>
  <c r="AL16"/>
  <c r="AD16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18"/>
  <c r="D50"/>
  <c r="D49"/>
  <c r="D48"/>
  <c r="D47"/>
  <c r="D46"/>
  <c r="D45"/>
  <c r="D44"/>
  <c r="D43"/>
  <c r="D42"/>
  <c r="D41"/>
  <c r="C40"/>
  <c r="C30"/>
  <c r="I30" s="1" a="1"/>
  <c r="I30" s="1"/>
  <c r="V27"/>
  <c r="AB27" s="1"/>
  <c r="AB26"/>
  <c r="V26"/>
  <c r="AO25"/>
  <c r="L25"/>
  <c r="U25" s="1"/>
  <c r="E25"/>
  <c r="AB24"/>
  <c r="AO23"/>
  <c r="AB23"/>
  <c r="AB22"/>
  <c r="V21"/>
  <c r="AB21" s="1"/>
  <c r="AL19"/>
  <c r="AD19"/>
  <c r="AA19"/>
  <c r="K19" s="1"/>
  <c r="I19"/>
  <c r="H19"/>
  <c r="G19"/>
  <c r="F19"/>
  <c r="E19"/>
  <c r="AV18"/>
  <c r="AU18"/>
  <c r="AT18"/>
  <c r="AO24" s="1"/>
  <c r="AO18"/>
  <c r="AO22" s="1"/>
  <c r="AL18"/>
  <c r="AD18"/>
  <c r="AA18"/>
  <c r="K18"/>
  <c r="I18"/>
  <c r="H18"/>
  <c r="G18"/>
  <c r="F18"/>
  <c r="E18"/>
  <c r="AL17"/>
  <c r="AD17"/>
  <c r="AB17" s="1"/>
  <c r="AA17"/>
  <c r="I17"/>
  <c r="H17"/>
  <c r="G17"/>
  <c r="F17"/>
  <c r="E17"/>
  <c r="AL16"/>
  <c r="AD16"/>
  <c r="AB16" s="1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K10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 s="1"/>
  <c r="I7"/>
  <c r="H7"/>
  <c r="G7"/>
  <c r="F7"/>
  <c r="E7"/>
  <c r="AL6"/>
  <c r="AD6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17"/>
  <c r="D50"/>
  <c r="D49"/>
  <c r="D48"/>
  <c r="D47"/>
  <c r="D46"/>
  <c r="D45"/>
  <c r="D44"/>
  <c r="D43"/>
  <c r="D42"/>
  <c r="D41"/>
  <c r="C40"/>
  <c r="C30"/>
  <c r="E30" s="1" a="1"/>
  <c r="E30" s="1"/>
  <c r="V27"/>
  <c r="AB27" s="1"/>
  <c r="V26"/>
  <c r="AB26" s="1"/>
  <c r="V25"/>
  <c r="L25"/>
  <c r="U25" s="1"/>
  <c r="E25"/>
  <c r="AO24"/>
  <c r="AB24"/>
  <c r="AO23"/>
  <c r="AB23"/>
  <c r="AO22"/>
  <c r="V21"/>
  <c r="AB21" s="1"/>
  <c r="AB28" s="1"/>
  <c r="AL19"/>
  <c r="AD19"/>
  <c r="AB19" s="1"/>
  <c r="AA19"/>
  <c r="K19" s="1"/>
  <c r="I19"/>
  <c r="H19"/>
  <c r="G19"/>
  <c r="F19"/>
  <c r="E19"/>
  <c r="AV18"/>
  <c r="T22" s="1"/>
  <c r="AB22" s="1"/>
  <c r="AU18"/>
  <c r="AO25" s="1"/>
  <c r="AT18"/>
  <c r="AO18"/>
  <c r="I27" s="1"/>
  <c r="AL18"/>
  <c r="AD18"/>
  <c r="AB18" s="1"/>
  <c r="AA18"/>
  <c r="K18"/>
  <c r="I18"/>
  <c r="H18"/>
  <c r="G18"/>
  <c r="F18"/>
  <c r="E18"/>
  <c r="AL17"/>
  <c r="AD17"/>
  <c r="AA17"/>
  <c r="K17" s="1"/>
  <c r="I17"/>
  <c r="H17"/>
  <c r="G17"/>
  <c r="F17"/>
  <c r="E17"/>
  <c r="AL16"/>
  <c r="AD16"/>
  <c r="AA16"/>
  <c r="K16"/>
  <c r="I16"/>
  <c r="H16"/>
  <c r="G16"/>
  <c r="F16"/>
  <c r="E16"/>
  <c r="AL15"/>
  <c r="AD15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16"/>
  <c r="D50"/>
  <c r="D49"/>
  <c r="D48"/>
  <c r="D47"/>
  <c r="D46"/>
  <c r="D45"/>
  <c r="D44"/>
  <c r="D43"/>
  <c r="D42"/>
  <c r="D41"/>
  <c r="C40"/>
  <c r="C30"/>
  <c r="E30" s="1" a="1"/>
  <c r="E30" s="1"/>
  <c r="AB27"/>
  <c r="V27"/>
  <c r="I27"/>
  <c r="V26"/>
  <c r="AB26" s="1"/>
  <c r="AO25"/>
  <c r="L25"/>
  <c r="U25" s="1"/>
  <c r="E25"/>
  <c r="AO24"/>
  <c r="AB24"/>
  <c r="AO23"/>
  <c r="AB23"/>
  <c r="AO22"/>
  <c r="V21"/>
  <c r="AB21" s="1"/>
  <c r="AL19"/>
  <c r="AD19"/>
  <c r="AA19"/>
  <c r="K19"/>
  <c r="I19"/>
  <c r="H19"/>
  <c r="G19"/>
  <c r="F19"/>
  <c r="E19"/>
  <c r="AV18"/>
  <c r="T22" s="1"/>
  <c r="AB22" s="1"/>
  <c r="AU18"/>
  <c r="AT18"/>
  <c r="AO18"/>
  <c r="AL18"/>
  <c r="AD18"/>
  <c r="AA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/>
  <c r="I10"/>
  <c r="H10"/>
  <c r="G10"/>
  <c r="F10"/>
  <c r="E10"/>
  <c r="AV9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V7"/>
  <c r="AL7"/>
  <c r="AD7"/>
  <c r="AB7" s="1"/>
  <c r="AA7"/>
  <c r="K7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15"/>
  <c r="D48"/>
  <c r="D47"/>
  <c r="D46"/>
  <c r="D45"/>
  <c r="D44"/>
  <c r="D43"/>
  <c r="D42"/>
  <c r="D41"/>
  <c r="D40"/>
  <c r="D39"/>
  <c r="C38"/>
  <c r="C28"/>
  <c r="E28" s="1" a="1"/>
  <c r="E28" s="1"/>
  <c r="L25"/>
  <c r="V25" s="1"/>
  <c r="AB25" s="1"/>
  <c r="I25"/>
  <c r="AB24"/>
  <c r="AO23"/>
  <c r="AB23"/>
  <c r="E23"/>
  <c r="V21"/>
  <c r="AB21" s="1"/>
  <c r="AL19"/>
  <c r="AD19"/>
  <c r="AA19"/>
  <c r="K19" s="1"/>
  <c r="I19"/>
  <c r="H19"/>
  <c r="G19"/>
  <c r="F19"/>
  <c r="E19"/>
  <c r="AV18"/>
  <c r="T22" s="1"/>
  <c r="AB22" s="1"/>
  <c r="AU18"/>
  <c r="AO25" s="1"/>
  <c r="AT18"/>
  <c r="AO24" s="1"/>
  <c r="AO18"/>
  <c r="AO22" s="1"/>
  <c r="AL18"/>
  <c r="AD18"/>
  <c r="AB18" s="1"/>
  <c r="AA18"/>
  <c r="K18" s="1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A14"/>
  <c r="K14" s="1"/>
  <c r="I14"/>
  <c r="H14"/>
  <c r="G14"/>
  <c r="F14"/>
  <c r="E14"/>
  <c r="AL13"/>
  <c r="AD13"/>
  <c r="AA13"/>
  <c r="K13" s="1"/>
  <c r="I13"/>
  <c r="H13"/>
  <c r="G13"/>
  <c r="F13"/>
  <c r="E13"/>
  <c r="AL12"/>
  <c r="AD12"/>
  <c r="AB12" s="1"/>
  <c r="AA12"/>
  <c r="K12" s="1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A10"/>
  <c r="K10" s="1"/>
  <c r="I10"/>
  <c r="H10"/>
  <c r="G10"/>
  <c r="F10"/>
  <c r="E10"/>
  <c r="AL9"/>
  <c r="AD9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49" i="14"/>
  <c r="D48"/>
  <c r="D47"/>
  <c r="D46"/>
  <c r="D45"/>
  <c r="D44"/>
  <c r="D43"/>
  <c r="D42"/>
  <c r="D41"/>
  <c r="D40"/>
  <c r="D39"/>
  <c r="C38"/>
  <c r="C28"/>
  <c r="E28" s="1" a="1"/>
  <c r="E28" s="1"/>
  <c r="AO25"/>
  <c r="L25"/>
  <c r="AB24"/>
  <c r="AO23"/>
  <c r="AB23"/>
  <c r="E23"/>
  <c r="AO22"/>
  <c r="V21"/>
  <c r="AB21" s="1"/>
  <c r="AL19"/>
  <c r="AD19"/>
  <c r="AA19"/>
  <c r="K19"/>
  <c r="I19"/>
  <c r="H19"/>
  <c r="G19"/>
  <c r="F19"/>
  <c r="E19"/>
  <c r="AV18"/>
  <c r="T22" s="1"/>
  <c r="AB22" s="1"/>
  <c r="AU18"/>
  <c r="AT18"/>
  <c r="AO24" s="1"/>
  <c r="AO18"/>
  <c r="I25" s="1"/>
  <c r="AL18"/>
  <c r="AD18"/>
  <c r="AA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 s="1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/>
  <c r="I10"/>
  <c r="H10"/>
  <c r="G10"/>
  <c r="F10"/>
  <c r="E10"/>
  <c r="AL9"/>
  <c r="AD9"/>
  <c r="AA9"/>
  <c r="K9"/>
  <c r="I9"/>
  <c r="H9"/>
  <c r="G9"/>
  <c r="F9"/>
  <c r="E9"/>
  <c r="AL8"/>
  <c r="AD8"/>
  <c r="AA8"/>
  <c r="K8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13"/>
  <c r="D48"/>
  <c r="D47"/>
  <c r="D46"/>
  <c r="D45"/>
  <c r="D44"/>
  <c r="D43"/>
  <c r="D42"/>
  <c r="D41"/>
  <c r="D40"/>
  <c r="D39"/>
  <c r="C38"/>
  <c r="C28"/>
  <c r="E28" s="1" a="1"/>
  <c r="E28" s="1"/>
  <c r="AO25"/>
  <c r="L25"/>
  <c r="U25" s="1"/>
  <c r="I25"/>
  <c r="AB24"/>
  <c r="AO23"/>
  <c r="AB23"/>
  <c r="E23"/>
  <c r="AO22"/>
  <c r="V21"/>
  <c r="AB21" s="1"/>
  <c r="AL19"/>
  <c r="AD19"/>
  <c r="AB19"/>
  <c r="AA19"/>
  <c r="K19" s="1"/>
  <c r="I19"/>
  <c r="H19"/>
  <c r="G19"/>
  <c r="F19"/>
  <c r="E19"/>
  <c r="AV18"/>
  <c r="T22" s="1"/>
  <c r="AB22" s="1"/>
  <c r="AU18"/>
  <c r="AT18"/>
  <c r="AO24" s="1"/>
  <c r="AO18"/>
  <c r="AL18"/>
  <c r="AD18"/>
  <c r="AB18" s="1"/>
  <c r="AA18"/>
  <c r="K18"/>
  <c r="I18"/>
  <c r="H18"/>
  <c r="G18"/>
  <c r="F18"/>
  <c r="E18"/>
  <c r="AL17"/>
  <c r="AD17"/>
  <c r="AB17"/>
  <c r="AA17"/>
  <c r="K17" s="1"/>
  <c r="I17"/>
  <c r="H17"/>
  <c r="G17"/>
  <c r="F17"/>
  <c r="E17"/>
  <c r="AL16"/>
  <c r="AD16"/>
  <c r="AA16"/>
  <c r="K16"/>
  <c r="I16"/>
  <c r="H16"/>
  <c r="G16"/>
  <c r="F16"/>
  <c r="E16"/>
  <c r="AL15"/>
  <c r="AD15"/>
  <c r="AA15"/>
  <c r="K15" s="1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 s="1"/>
  <c r="I11"/>
  <c r="H11"/>
  <c r="G11"/>
  <c r="F11"/>
  <c r="E11"/>
  <c r="AL10"/>
  <c r="AD10"/>
  <c r="AA10"/>
  <c r="K10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12"/>
  <c r="D48"/>
  <c r="D47"/>
  <c r="D46"/>
  <c r="D45"/>
  <c r="D44"/>
  <c r="D43"/>
  <c r="D42"/>
  <c r="D41"/>
  <c r="D40"/>
  <c r="D39"/>
  <c r="C38"/>
  <c r="C29"/>
  <c r="C30" s="1"/>
  <c r="C28"/>
  <c r="I28" s="1" a="1"/>
  <c r="I28" s="1"/>
  <c r="AO25"/>
  <c r="L25"/>
  <c r="V25" s="1"/>
  <c r="AB25" s="1"/>
  <c r="AB24"/>
  <c r="AO23"/>
  <c r="AB23"/>
  <c r="E23"/>
  <c r="V21"/>
  <c r="AB21" s="1"/>
  <c r="AB26" s="1"/>
  <c r="AL19"/>
  <c r="AD19"/>
  <c r="AA19"/>
  <c r="K19"/>
  <c r="I19"/>
  <c r="H19"/>
  <c r="G19"/>
  <c r="F19"/>
  <c r="E19"/>
  <c r="AV18"/>
  <c r="T22" s="1"/>
  <c r="AB22" s="1"/>
  <c r="AU18"/>
  <c r="AT18"/>
  <c r="AO24" s="1"/>
  <c r="AO18"/>
  <c r="I25" s="1"/>
  <c r="AL18"/>
  <c r="AD18"/>
  <c r="AA18"/>
  <c r="K18" s="1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A14"/>
  <c r="K14" s="1"/>
  <c r="I14"/>
  <c r="H14"/>
  <c r="G14"/>
  <c r="F14"/>
  <c r="E14"/>
  <c r="AL13"/>
  <c r="AD13"/>
  <c r="AA13"/>
  <c r="K13"/>
  <c r="I13"/>
  <c r="H13"/>
  <c r="G13"/>
  <c r="F13"/>
  <c r="E13"/>
  <c r="AL12"/>
  <c r="AD12"/>
  <c r="AA12"/>
  <c r="K12" s="1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49" i="11"/>
  <c r="D48"/>
  <c r="D47"/>
  <c r="D46"/>
  <c r="D45"/>
  <c r="D44"/>
  <c r="D43"/>
  <c r="D42"/>
  <c r="D41"/>
  <c r="D40"/>
  <c r="D39"/>
  <c r="C38"/>
  <c r="C28"/>
  <c r="I28" s="1" a="1"/>
  <c r="I28" s="1"/>
  <c r="L25"/>
  <c r="U25" s="1"/>
  <c r="AB24"/>
  <c r="AO23"/>
  <c r="AB23"/>
  <c r="E23"/>
  <c r="V21"/>
  <c r="AB21" s="1"/>
  <c r="AL19"/>
  <c r="AD19"/>
  <c r="AB19" s="1"/>
  <c r="AA19"/>
  <c r="K19"/>
  <c r="I19"/>
  <c r="H19"/>
  <c r="G19"/>
  <c r="F19"/>
  <c r="E19"/>
  <c r="AU18"/>
  <c r="AO25" s="1"/>
  <c r="AT18"/>
  <c r="AO24" s="1"/>
  <c r="AO18"/>
  <c r="I25" s="1"/>
  <c r="AL18"/>
  <c r="AD18"/>
  <c r="AA18"/>
  <c r="K18" s="1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A13"/>
  <c r="K13"/>
  <c r="I13"/>
  <c r="H13"/>
  <c r="G13"/>
  <c r="F13"/>
  <c r="E13"/>
  <c r="AL12"/>
  <c r="AD12"/>
  <c r="AA12"/>
  <c r="K12" s="1"/>
  <c r="I12"/>
  <c r="H12"/>
  <c r="G12"/>
  <c r="F12"/>
  <c r="E12"/>
  <c r="AL11"/>
  <c r="AD11"/>
  <c r="AA11"/>
  <c r="K11"/>
  <c r="I11"/>
  <c r="H11"/>
  <c r="G11"/>
  <c r="F11"/>
  <c r="E11"/>
  <c r="AL10"/>
  <c r="AD10"/>
  <c r="AB10" s="1"/>
  <c r="AA10"/>
  <c r="K10" s="1"/>
  <c r="I10"/>
  <c r="H10"/>
  <c r="G10"/>
  <c r="F10"/>
  <c r="E10"/>
  <c r="AV9"/>
  <c r="AV18" s="1"/>
  <c r="T22" s="1"/>
  <c r="AB22" s="1"/>
  <c r="AL9"/>
  <c r="AD9"/>
  <c r="AB9" s="1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10"/>
  <c r="D48"/>
  <c r="D47"/>
  <c r="D46"/>
  <c r="D45"/>
  <c r="D44"/>
  <c r="D43"/>
  <c r="D42"/>
  <c r="D41"/>
  <c r="D40"/>
  <c r="D39"/>
  <c r="C38"/>
  <c r="C28"/>
  <c r="E28" s="1" a="1"/>
  <c r="E28" s="1"/>
  <c r="AO25"/>
  <c r="L25"/>
  <c r="U25" s="1"/>
  <c r="AB24"/>
  <c r="AO23"/>
  <c r="AB23"/>
  <c r="E23"/>
  <c r="AO22"/>
  <c r="V21"/>
  <c r="AB21" s="1"/>
  <c r="AL19"/>
  <c r="AD19"/>
  <c r="AB19" s="1"/>
  <c r="AA19"/>
  <c r="K19" s="1"/>
  <c r="I19"/>
  <c r="H19"/>
  <c r="G19"/>
  <c r="F19"/>
  <c r="E19"/>
  <c r="AV18"/>
  <c r="T22" s="1"/>
  <c r="AB22" s="1"/>
  <c r="AU18"/>
  <c r="AT18"/>
  <c r="AO24" s="1"/>
  <c r="AO18"/>
  <c r="I25" s="1"/>
  <c r="AL18"/>
  <c r="AD18"/>
  <c r="AA18"/>
  <c r="K18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A16"/>
  <c r="K16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A12"/>
  <c r="K12"/>
  <c r="I12"/>
  <c r="H12"/>
  <c r="G12"/>
  <c r="F12"/>
  <c r="E12"/>
  <c r="AL11"/>
  <c r="AD11"/>
  <c r="AA11"/>
  <c r="K11" s="1"/>
  <c r="I11"/>
  <c r="H11"/>
  <c r="G11"/>
  <c r="F11"/>
  <c r="E11"/>
  <c r="AL10"/>
  <c r="AD10"/>
  <c r="AB10" s="1"/>
  <c r="AA10"/>
  <c r="K10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 s="1"/>
  <c r="I5"/>
  <c r="H5"/>
  <c r="G5"/>
  <c r="F5"/>
  <c r="E5"/>
  <c r="AL4"/>
  <c r="AD4"/>
  <c r="AA4"/>
  <c r="K4"/>
  <c r="I4"/>
  <c r="H4"/>
  <c r="G4"/>
  <c r="F4"/>
  <c r="E4"/>
  <c r="AJ3"/>
  <c r="AI3"/>
  <c r="AH3"/>
  <c r="AG3"/>
  <c r="D49" i="9"/>
  <c r="D48"/>
  <c r="D47"/>
  <c r="D46"/>
  <c r="D45"/>
  <c r="D44"/>
  <c r="D43"/>
  <c r="D42"/>
  <c r="D41"/>
  <c r="D40"/>
  <c r="D39"/>
  <c r="C38"/>
  <c r="C28"/>
  <c r="I28" s="1" a="1"/>
  <c r="I28" s="1"/>
  <c r="J26"/>
  <c r="AB25"/>
  <c r="AO24"/>
  <c r="AB24"/>
  <c r="AB23"/>
  <c r="AO22"/>
  <c r="AB21"/>
  <c r="AB26" s="1"/>
  <c r="AL19"/>
  <c r="AD19"/>
  <c r="AA19"/>
  <c r="K19"/>
  <c r="I19"/>
  <c r="H19"/>
  <c r="G19"/>
  <c r="F19"/>
  <c r="E19"/>
  <c r="AX18"/>
  <c r="T22" s="1"/>
  <c r="AB22" s="1"/>
  <c r="AW18"/>
  <c r="AV18"/>
  <c r="AO23" s="1"/>
  <c r="AO18"/>
  <c r="I25" s="1"/>
  <c r="AL18"/>
  <c r="AD18"/>
  <c r="AA18"/>
  <c r="K18"/>
  <c r="I18"/>
  <c r="H18"/>
  <c r="G18"/>
  <c r="F18"/>
  <c r="E18"/>
  <c r="AL17"/>
  <c r="AD17"/>
  <c r="AA17"/>
  <c r="K17"/>
  <c r="I17"/>
  <c r="H17"/>
  <c r="G17"/>
  <c r="F17"/>
  <c r="E17"/>
  <c r="AL16"/>
  <c r="AD16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/>
  <c r="I10"/>
  <c r="H10"/>
  <c r="G10"/>
  <c r="F10"/>
  <c r="E10"/>
  <c r="AL9"/>
  <c r="AD9"/>
  <c r="AA9"/>
  <c r="K9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49" i="7"/>
  <c r="D48"/>
  <c r="D47"/>
  <c r="D46"/>
  <c r="D45"/>
  <c r="D44"/>
  <c r="D43"/>
  <c r="D42"/>
  <c r="D41"/>
  <c r="D40"/>
  <c r="D39"/>
  <c r="C38"/>
  <c r="C28"/>
  <c r="C29" s="1"/>
  <c r="J26"/>
  <c r="AB25"/>
  <c r="I25"/>
  <c r="AB24"/>
  <c r="AB23"/>
  <c r="AO22"/>
  <c r="T22"/>
  <c r="AB22" s="1"/>
  <c r="AB21"/>
  <c r="AB26" s="1"/>
  <c r="AL19"/>
  <c r="AD19"/>
  <c r="AA19"/>
  <c r="K19"/>
  <c r="I19"/>
  <c r="H19"/>
  <c r="G19"/>
  <c r="F19"/>
  <c r="E19"/>
  <c r="AX18"/>
  <c r="AW18"/>
  <c r="AO24" s="1"/>
  <c r="AV18"/>
  <c r="AO23" s="1"/>
  <c r="AO18"/>
  <c r="AO21" s="1"/>
  <c r="AL18"/>
  <c r="AD18"/>
  <c r="K18"/>
  <c r="I18"/>
  <c r="H18"/>
  <c r="G18"/>
  <c r="F18"/>
  <c r="E18"/>
  <c r="AL17"/>
  <c r="AD17"/>
  <c r="AB17" s="1"/>
  <c r="AA17"/>
  <c r="K17"/>
  <c r="I17"/>
  <c r="H17"/>
  <c r="G17"/>
  <c r="F17"/>
  <c r="E17"/>
  <c r="AL16"/>
  <c r="AD16"/>
  <c r="AA16"/>
  <c r="K16"/>
  <c r="I16"/>
  <c r="H16"/>
  <c r="G16"/>
  <c r="F16"/>
  <c r="E16"/>
  <c r="AL15"/>
  <c r="AD15"/>
  <c r="AB15" s="1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A11"/>
  <c r="K11"/>
  <c r="I11"/>
  <c r="H11"/>
  <c r="G11"/>
  <c r="F11"/>
  <c r="E11"/>
  <c r="AL10"/>
  <c r="AD10"/>
  <c r="AB10" s="1"/>
  <c r="AA10"/>
  <c r="K10"/>
  <c r="I10"/>
  <c r="H10"/>
  <c r="G10"/>
  <c r="F10"/>
  <c r="E10"/>
  <c r="AL9"/>
  <c r="AD9"/>
  <c r="AB9" s="1"/>
  <c r="AA9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 s="1"/>
  <c r="I4"/>
  <c r="H4"/>
  <c r="G4"/>
  <c r="F4"/>
  <c r="E4"/>
  <c r="AJ3"/>
  <c r="AI3"/>
  <c r="AH3"/>
  <c r="AG3"/>
  <c r="D51" i="6"/>
  <c r="D50"/>
  <c r="D49"/>
  <c r="D48"/>
  <c r="D47"/>
  <c r="D46"/>
  <c r="D45"/>
  <c r="D44"/>
  <c r="D43"/>
  <c r="D42"/>
  <c r="D41"/>
  <c r="C40"/>
  <c r="C30"/>
  <c r="I30" s="1" a="1"/>
  <c r="I30" s="1"/>
  <c r="AB27"/>
  <c r="V27"/>
  <c r="V26"/>
  <c r="AB26" s="1"/>
  <c r="L25"/>
  <c r="U25" s="1"/>
  <c r="E25"/>
  <c r="AO24"/>
  <c r="AB24"/>
  <c r="AO23"/>
  <c r="AB23"/>
  <c r="AO22"/>
  <c r="AB22"/>
  <c r="V21"/>
  <c r="AB21" s="1"/>
  <c r="AL19"/>
  <c r="AD19"/>
  <c r="AB19" s="1"/>
  <c r="AA19"/>
  <c r="K19" s="1"/>
  <c r="I19"/>
  <c r="H19"/>
  <c r="G19"/>
  <c r="F19"/>
  <c r="E19"/>
  <c r="AV18"/>
  <c r="AU18"/>
  <c r="AO25" s="1"/>
  <c r="AT18"/>
  <c r="AO18"/>
  <c r="I27" s="1"/>
  <c r="AL18"/>
  <c r="AD18"/>
  <c r="AB18" s="1"/>
  <c r="AA18"/>
  <c r="K18" s="1"/>
  <c r="I18"/>
  <c r="H18"/>
  <c r="G18"/>
  <c r="F18"/>
  <c r="E18"/>
  <c r="AL17"/>
  <c r="AD17"/>
  <c r="AB17" s="1"/>
  <c r="AA17"/>
  <c r="K17" s="1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B15" s="1"/>
  <c r="AA15"/>
  <c r="K15" s="1"/>
  <c r="I15"/>
  <c r="H15"/>
  <c r="G15"/>
  <c r="F15"/>
  <c r="E15"/>
  <c r="AL14"/>
  <c r="AD14"/>
  <c r="AB14" s="1"/>
  <c r="AA14"/>
  <c r="K14" s="1"/>
  <c r="I14"/>
  <c r="H14"/>
  <c r="G14"/>
  <c r="F14"/>
  <c r="E14"/>
  <c r="AL13"/>
  <c r="AD13"/>
  <c r="AB13" s="1"/>
  <c r="AA13"/>
  <c r="K13" s="1"/>
  <c r="I13"/>
  <c r="H13"/>
  <c r="G13"/>
  <c r="F13"/>
  <c r="E13"/>
  <c r="AL12"/>
  <c r="AD12"/>
  <c r="AA12"/>
  <c r="K12" s="1"/>
  <c r="I12"/>
  <c r="H12"/>
  <c r="G12"/>
  <c r="F12"/>
  <c r="E12"/>
  <c r="AL11"/>
  <c r="AD11"/>
  <c r="AA11"/>
  <c r="K11" s="1"/>
  <c r="I11"/>
  <c r="H11"/>
  <c r="G11"/>
  <c r="F11"/>
  <c r="E11"/>
  <c r="AL10"/>
  <c r="AD10"/>
  <c r="AA10"/>
  <c r="K10" s="1"/>
  <c r="I10"/>
  <c r="H10"/>
  <c r="G10"/>
  <c r="F10"/>
  <c r="E10"/>
  <c r="AL9"/>
  <c r="AD9"/>
  <c r="AB9" s="1"/>
  <c r="AA9"/>
  <c r="K9" s="1"/>
  <c r="I9"/>
  <c r="H9"/>
  <c r="G9"/>
  <c r="F9"/>
  <c r="E9"/>
  <c r="AL8"/>
  <c r="AD8"/>
  <c r="AB8" s="1"/>
  <c r="AA8"/>
  <c r="K8" s="1"/>
  <c r="I8"/>
  <c r="H8"/>
  <c r="G8"/>
  <c r="F8"/>
  <c r="E8"/>
  <c r="AL7"/>
  <c r="AD7"/>
  <c r="AB7" s="1"/>
  <c r="AA7"/>
  <c r="K7" s="1"/>
  <c r="I7"/>
  <c r="H7"/>
  <c r="G7"/>
  <c r="F7"/>
  <c r="E7"/>
  <c r="AL6"/>
  <c r="AD6"/>
  <c r="AB6" s="1"/>
  <c r="AA6"/>
  <c r="K6" s="1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B20" s="1"/>
  <c r="AA4"/>
  <c r="K4" s="1"/>
  <c r="I4"/>
  <c r="H4"/>
  <c r="G4"/>
  <c r="F4"/>
  <c r="E4"/>
  <c r="AJ3"/>
  <c r="AI3"/>
  <c r="AH3"/>
  <c r="AG3"/>
  <c r="D51" i="5"/>
  <c r="D50"/>
  <c r="D49"/>
  <c r="D48"/>
  <c r="D47"/>
  <c r="D46"/>
  <c r="D45"/>
  <c r="D44"/>
  <c r="D43"/>
  <c r="D42"/>
  <c r="D41"/>
  <c r="C40"/>
  <c r="C30"/>
  <c r="I30" s="1" a="1"/>
  <c r="I30" s="1"/>
  <c r="AB27"/>
  <c r="V27"/>
  <c r="I27"/>
  <c r="V26"/>
  <c r="AB26" s="1"/>
  <c r="AO25"/>
  <c r="L25"/>
  <c r="U25" s="1"/>
  <c r="E25"/>
  <c r="AO24"/>
  <c r="AB24"/>
  <c r="AO23"/>
  <c r="AB23"/>
  <c r="AO22"/>
  <c r="V21"/>
  <c r="AB21" s="1"/>
  <c r="AL19"/>
  <c r="AD19"/>
  <c r="AA19"/>
  <c r="K19"/>
  <c r="I19"/>
  <c r="H19"/>
  <c r="G19"/>
  <c r="F19"/>
  <c r="E19"/>
  <c r="AV18"/>
  <c r="T22" s="1"/>
  <c r="AB22" s="1"/>
  <c r="AU18"/>
  <c r="AT18"/>
  <c r="AO18"/>
  <c r="AL18"/>
  <c r="AD18"/>
  <c r="AA18"/>
  <c r="K18"/>
  <c r="I18"/>
  <c r="H18"/>
  <c r="G18"/>
  <c r="F18"/>
  <c r="E18"/>
  <c r="AL17"/>
  <c r="AD17"/>
  <c r="AA17"/>
  <c r="K17"/>
  <c r="I17"/>
  <c r="H17"/>
  <c r="G17"/>
  <c r="F17"/>
  <c r="E17"/>
  <c r="AL16"/>
  <c r="AD16"/>
  <c r="AA16"/>
  <c r="K16"/>
  <c r="I16"/>
  <c r="H16"/>
  <c r="G16"/>
  <c r="F16"/>
  <c r="E16"/>
  <c r="AL15"/>
  <c r="AD15"/>
  <c r="AA15"/>
  <c r="K15"/>
  <c r="I15"/>
  <c r="H15"/>
  <c r="G15"/>
  <c r="F15"/>
  <c r="E15"/>
  <c r="AL14"/>
  <c r="AD14"/>
  <c r="AB14" s="1"/>
  <c r="AA14"/>
  <c r="K14"/>
  <c r="I14"/>
  <c r="H14"/>
  <c r="G14"/>
  <c r="F14"/>
  <c r="E14"/>
  <c r="AL13"/>
  <c r="AD13"/>
  <c r="AB13" s="1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/>
  <c r="I8"/>
  <c r="H8"/>
  <c r="G8"/>
  <c r="F8"/>
  <c r="E8"/>
  <c r="AL7"/>
  <c r="AD7"/>
  <c r="AB7" s="1"/>
  <c r="AA7"/>
  <c r="K7"/>
  <c r="I7"/>
  <c r="H7"/>
  <c r="G7"/>
  <c r="F7"/>
  <c r="E7"/>
  <c r="AL6"/>
  <c r="AD6"/>
  <c r="AB6" s="1"/>
  <c r="AA6"/>
  <c r="K6"/>
  <c r="I6"/>
  <c r="H6"/>
  <c r="G6"/>
  <c r="F6"/>
  <c r="E6"/>
  <c r="AL5"/>
  <c r="AD5"/>
  <c r="AB5" s="1"/>
  <c r="AA5"/>
  <c r="K5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D51" i="4"/>
  <c r="D50"/>
  <c r="D49"/>
  <c r="D48"/>
  <c r="D47"/>
  <c r="D46"/>
  <c r="D45"/>
  <c r="D44"/>
  <c r="D43"/>
  <c r="D42"/>
  <c r="D41"/>
  <c r="C40"/>
  <c r="C30"/>
  <c r="C31" s="1"/>
  <c r="V27"/>
  <c r="AB27" s="1"/>
  <c r="AB26"/>
  <c r="V26"/>
  <c r="L25"/>
  <c r="V25" s="1"/>
  <c r="AB25" s="1"/>
  <c r="E25"/>
  <c r="AB24"/>
  <c r="AO23"/>
  <c r="AB23"/>
  <c r="V21"/>
  <c r="AB21" s="1"/>
  <c r="AL19"/>
  <c r="AD19"/>
  <c r="AA19"/>
  <c r="K19" s="1"/>
  <c r="I19"/>
  <c r="H19"/>
  <c r="G19"/>
  <c r="F19"/>
  <c r="E19"/>
  <c r="AU18"/>
  <c r="AO25" s="1"/>
  <c r="AT18"/>
  <c r="AO24" s="1"/>
  <c r="AO18"/>
  <c r="I27" s="1"/>
  <c r="AL18"/>
  <c r="AD18"/>
  <c r="AA18"/>
  <c r="K18" s="1"/>
  <c r="I18"/>
  <c r="H18"/>
  <c r="G18"/>
  <c r="F18"/>
  <c r="E18"/>
  <c r="AL17"/>
  <c r="AD17"/>
  <c r="AA17"/>
  <c r="K17" s="1"/>
  <c r="I17"/>
  <c r="H17"/>
  <c r="G17"/>
  <c r="F17"/>
  <c r="E17"/>
  <c r="AL16"/>
  <c r="AD16"/>
  <c r="AB16" s="1"/>
  <c r="AA16"/>
  <c r="K16" s="1"/>
  <c r="I16"/>
  <c r="H16"/>
  <c r="G16"/>
  <c r="F16"/>
  <c r="E16"/>
  <c r="AL15"/>
  <c r="AD15"/>
  <c r="AA15"/>
  <c r="K15" s="1"/>
  <c r="AL14"/>
  <c r="AD14"/>
  <c r="AB14" s="1"/>
  <c r="AA14"/>
  <c r="K14"/>
  <c r="I14"/>
  <c r="H14"/>
  <c r="G14"/>
  <c r="F14"/>
  <c r="E14"/>
  <c r="AL13"/>
  <c r="AD13"/>
  <c r="AB13"/>
  <c r="AA13"/>
  <c r="K13"/>
  <c r="I13"/>
  <c r="H13"/>
  <c r="G13"/>
  <c r="F13"/>
  <c r="E13"/>
  <c r="AL12"/>
  <c r="AD12"/>
  <c r="AB12" s="1"/>
  <c r="AA12"/>
  <c r="K12"/>
  <c r="I12"/>
  <c r="H12"/>
  <c r="G12"/>
  <c r="F12"/>
  <c r="E12"/>
  <c r="AL11"/>
  <c r="AD11"/>
  <c r="AB11" s="1"/>
  <c r="AA11"/>
  <c r="K11"/>
  <c r="I11"/>
  <c r="H11"/>
  <c r="G11"/>
  <c r="F11"/>
  <c r="E11"/>
  <c r="AL10"/>
  <c r="AD10"/>
  <c r="AB10" s="1"/>
  <c r="AA10"/>
  <c r="K10"/>
  <c r="I10"/>
  <c r="H10"/>
  <c r="G10"/>
  <c r="F10"/>
  <c r="E10"/>
  <c r="AL9"/>
  <c r="AD9"/>
  <c r="AB9" s="1"/>
  <c r="AA9"/>
  <c r="K9"/>
  <c r="I9"/>
  <c r="H9"/>
  <c r="G9"/>
  <c r="F9"/>
  <c r="E9"/>
  <c r="AL8"/>
  <c r="AD8"/>
  <c r="AB8" s="1"/>
  <c r="AA8"/>
  <c r="K8" s="1"/>
  <c r="I8"/>
  <c r="H8"/>
  <c r="G8"/>
  <c r="F8"/>
  <c r="E8"/>
  <c r="AV7"/>
  <c r="AL7"/>
  <c r="AD7"/>
  <c r="AB7" s="1"/>
  <c r="AA7"/>
  <c r="K7"/>
  <c r="I7"/>
  <c r="H7"/>
  <c r="G7"/>
  <c r="F7"/>
  <c r="E7"/>
  <c r="AV6"/>
  <c r="AV18" s="1"/>
  <c r="T22" s="1"/>
  <c r="AB22" s="1"/>
  <c r="AL6"/>
  <c r="AD6"/>
  <c r="AB6" s="1"/>
  <c r="AA6"/>
  <c r="K6"/>
  <c r="I6"/>
  <c r="H6"/>
  <c r="G6"/>
  <c r="F6"/>
  <c r="E6"/>
  <c r="AL5"/>
  <c r="AD5"/>
  <c r="AB5" s="1"/>
  <c r="AA5"/>
  <c r="K5" s="1"/>
  <c r="I5"/>
  <c r="H5"/>
  <c r="G5"/>
  <c r="F5"/>
  <c r="E5"/>
  <c r="AL4"/>
  <c r="AD4"/>
  <c r="AB4" s="1"/>
  <c r="AA4"/>
  <c r="K4"/>
  <c r="I4"/>
  <c r="H4"/>
  <c r="G4"/>
  <c r="F4"/>
  <c r="E4"/>
  <c r="AJ3"/>
  <c r="AI3"/>
  <c r="AH3"/>
  <c r="AG3"/>
  <c r="I38" i="32"/>
  <c r="I38" i="22"/>
  <c r="I38" i="19"/>
  <c r="I40" i="18"/>
  <c r="I40" i="21"/>
  <c r="I38" i="28"/>
  <c r="I38" i="15"/>
  <c r="I38" i="26"/>
  <c r="I38" i="7"/>
  <c r="I38" i="9"/>
  <c r="I40" i="16"/>
  <c r="I40" i="29"/>
  <c r="I38" i="25"/>
  <c r="I40" i="17"/>
  <c r="I38" i="20"/>
  <c r="I38" i="27"/>
  <c r="I38" i="14"/>
  <c r="I38" i="13"/>
  <c r="I38" i="10"/>
  <c r="I38" i="11"/>
  <c r="I40" i="5"/>
  <c r="I38" i="23"/>
  <c r="I40" i="4"/>
  <c r="I38" i="24"/>
  <c r="I40" i="6"/>
  <c r="I38" i="12"/>
  <c r="I31" i="34" l="1" a="1"/>
  <c r="I31" s="1"/>
  <c r="D31" s="1"/>
  <c r="C32"/>
  <c r="E31" a="1"/>
  <c r="E31" s="1"/>
  <c r="AB28"/>
  <c r="I26" s="1"/>
  <c r="U25"/>
  <c r="I27"/>
  <c r="I30" a="1"/>
  <c r="I30" s="1"/>
  <c r="D30" s="1"/>
  <c r="E30" a="1"/>
  <c r="E30" s="1"/>
  <c r="D38" i="32"/>
  <c r="AB20"/>
  <c r="AB26"/>
  <c r="I29" a="1"/>
  <c r="I29" s="1"/>
  <c r="C30"/>
  <c r="E29" a="1"/>
  <c r="E29" s="1"/>
  <c r="I28" a="1"/>
  <c r="I28" s="1"/>
  <c r="E28" a="1"/>
  <c r="E28" s="1"/>
  <c r="E28" i="19" a="1"/>
  <c r="E28" s="1"/>
  <c r="U25" i="20"/>
  <c r="V25" i="22"/>
  <c r="E28" i="28" a="1"/>
  <c r="E28" s="1"/>
  <c r="C31" i="5"/>
  <c r="E28" i="22" a="1"/>
  <c r="E28" s="1"/>
  <c r="AB20" i="19"/>
  <c r="C31" i="6"/>
  <c r="I28" i="10" a="1"/>
  <c r="I28" s="1"/>
  <c r="V25" i="16"/>
  <c r="AB25" s="1"/>
  <c r="U25" i="19"/>
  <c r="E28" i="27" a="1"/>
  <c r="E28" s="1"/>
  <c r="D28"/>
  <c r="C29" i="28"/>
  <c r="E29" s="1" a="1"/>
  <c r="E29" s="1"/>
  <c r="E30" i="4" a="1"/>
  <c r="E30" s="1"/>
  <c r="U25" i="12"/>
  <c r="C29" i="13"/>
  <c r="I29" s="1" a="1"/>
  <c r="I29" s="1"/>
  <c r="U25" i="15"/>
  <c r="C31" i="17"/>
  <c r="I31" s="1" a="1"/>
  <c r="I31" s="1"/>
  <c r="C29" i="22"/>
  <c r="C30" s="1"/>
  <c r="C31" s="1"/>
  <c r="V25" i="25"/>
  <c r="U25" i="27"/>
  <c r="AB26" i="19"/>
  <c r="AB20" i="9"/>
  <c r="I24" s="1"/>
  <c r="AB26" i="20"/>
  <c r="AB20" i="16"/>
  <c r="AB20" i="26"/>
  <c r="I24" i="25"/>
  <c r="I30" i="4" a="1"/>
  <c r="I30" s="1"/>
  <c r="D30" s="1"/>
  <c r="V25" i="5"/>
  <c r="AB20" i="10"/>
  <c r="C29"/>
  <c r="I29" s="1" a="1"/>
  <c r="I29" s="1"/>
  <c r="AB20" i="11"/>
  <c r="E28" i="12" a="1"/>
  <c r="E28" s="1"/>
  <c r="D28" s="1"/>
  <c r="I28" i="13" a="1"/>
  <c r="I28" s="1"/>
  <c r="C29" i="15"/>
  <c r="I30" i="17" a="1"/>
  <c r="I30" s="1"/>
  <c r="D28" i="19"/>
  <c r="E29" i="27" a="1"/>
  <c r="E29" s="1"/>
  <c r="C29" i="9"/>
  <c r="D28" i="10"/>
  <c r="V25" i="11"/>
  <c r="AB25" s="1"/>
  <c r="AB26" s="1"/>
  <c r="AB20" i="12"/>
  <c r="I24" s="1"/>
  <c r="I28" i="15" a="1"/>
  <c r="I28" s="1"/>
  <c r="D28" s="1"/>
  <c r="C31" i="16"/>
  <c r="C32" s="1"/>
  <c r="AB20" i="22"/>
  <c r="D28"/>
  <c r="AB20" i="24"/>
  <c r="D28" i="28"/>
  <c r="U25" i="4"/>
  <c r="V25" i="6"/>
  <c r="AB25" s="1"/>
  <c r="AB28" s="1"/>
  <c r="I26" s="1"/>
  <c r="AB20" i="7"/>
  <c r="I24" s="1"/>
  <c r="E28" i="9" a="1"/>
  <c r="E28" s="1"/>
  <c r="D28" s="1"/>
  <c r="I29" i="12" a="1"/>
  <c r="I29" s="1"/>
  <c r="C29" i="14"/>
  <c r="E29" s="1" a="1"/>
  <c r="E29" s="1"/>
  <c r="AB20" i="17"/>
  <c r="I26" s="1"/>
  <c r="E31" a="1"/>
  <c r="E31" s="1"/>
  <c r="D31" s="1"/>
  <c r="V25" i="21"/>
  <c r="AB25" s="1"/>
  <c r="AB28" s="1"/>
  <c r="E30" a="1"/>
  <c r="E30" s="1"/>
  <c r="D30" s="1"/>
  <c r="V25" i="23"/>
  <c r="AB25" s="1"/>
  <c r="C29" i="24"/>
  <c r="I28" i="25" a="1"/>
  <c r="I28" s="1"/>
  <c r="AB20" i="29"/>
  <c r="E28" i="25" a="1"/>
  <c r="E28" s="1"/>
  <c r="V25" i="26"/>
  <c r="AB25" s="1"/>
  <c r="I29" i="27" a="1"/>
  <c r="I29" s="1"/>
  <c r="U25" i="28"/>
  <c r="D40" i="5"/>
  <c r="D40" i="6"/>
  <c r="D38" i="10"/>
  <c r="D38" i="9"/>
  <c r="D38" i="12"/>
  <c r="D40" i="4"/>
  <c r="D38" i="11"/>
  <c r="D40" i="16"/>
  <c r="D38" i="7"/>
  <c r="D38" i="14"/>
  <c r="D38" i="13"/>
  <c r="D40" i="21"/>
  <c r="D38" i="22"/>
  <c r="D40" i="18"/>
  <c r="D38" i="24"/>
  <c r="D38" i="15"/>
  <c r="D40" i="17"/>
  <c r="D38" i="27"/>
  <c r="D38" i="23"/>
  <c r="D38" i="26"/>
  <c r="D40" i="29"/>
  <c r="D38" i="19"/>
  <c r="D38" i="20"/>
  <c r="D38" i="25"/>
  <c r="D38" i="28"/>
  <c r="AB28" i="4"/>
  <c r="C32"/>
  <c r="E31" a="1"/>
  <c r="E31" s="1"/>
  <c r="I31" a="1"/>
  <c r="I31" s="1"/>
  <c r="AB20"/>
  <c r="AB20" i="13"/>
  <c r="C32" i="5"/>
  <c r="E31" a="1"/>
  <c r="E31" s="1"/>
  <c r="I31" a="1"/>
  <c r="I31" s="1"/>
  <c r="C32" i="6"/>
  <c r="E31" a="1"/>
  <c r="E31" s="1"/>
  <c r="I31" a="1"/>
  <c r="I31" s="1"/>
  <c r="I30" i="12" a="1"/>
  <c r="I30" s="1"/>
  <c r="C31"/>
  <c r="E30" a="1"/>
  <c r="E30" s="1"/>
  <c r="AO22" i="4"/>
  <c r="AB28" i="5"/>
  <c r="D28" i="13"/>
  <c r="AB20" i="5"/>
  <c r="I29" i="7" a="1"/>
  <c r="I29" s="1"/>
  <c r="C30"/>
  <c r="E29" a="1"/>
  <c r="E29" s="1"/>
  <c r="C32" i="22"/>
  <c r="I31" a="1"/>
  <c r="I31" s="1"/>
  <c r="E31" a="1"/>
  <c r="E31" s="1"/>
  <c r="E30" i="5" a="1"/>
  <c r="E30" s="1"/>
  <c r="D30" s="1"/>
  <c r="E30" i="6" a="1"/>
  <c r="E30" s="1"/>
  <c r="D30" s="1"/>
  <c r="I28" i="7" a="1"/>
  <c r="I28" s="1"/>
  <c r="AO21" i="9"/>
  <c r="D30" i="17"/>
  <c r="I24" i="22"/>
  <c r="E31" i="16" a="1"/>
  <c r="E31" s="1"/>
  <c r="C31" i="20"/>
  <c r="I30" a="1"/>
  <c r="I30" s="1"/>
  <c r="E30" a="1"/>
  <c r="E30" s="1"/>
  <c r="E29" i="10" a="1"/>
  <c r="E29" s="1"/>
  <c r="D29" s="1"/>
  <c r="E28" i="11" a="1"/>
  <c r="E28" s="1"/>
  <c r="D28" s="1"/>
  <c r="AO22" i="12"/>
  <c r="E29" i="13" a="1"/>
  <c r="E29" s="1"/>
  <c r="D29" s="1"/>
  <c r="AB26" i="15"/>
  <c r="I24" s="1"/>
  <c r="AB28" i="16"/>
  <c r="U25" i="14"/>
  <c r="V25"/>
  <c r="AB25" s="1"/>
  <c r="AB26" s="1"/>
  <c r="I29" a="1"/>
  <c r="I29" s="1"/>
  <c r="E28" i="7" a="1"/>
  <c r="E28" s="1"/>
  <c r="E29" i="9" a="1"/>
  <c r="E29" s="1"/>
  <c r="V25" i="10"/>
  <c r="AB25" s="1"/>
  <c r="AB26" s="1"/>
  <c r="I24" s="1"/>
  <c r="C30"/>
  <c r="AO22" i="11"/>
  <c r="C29"/>
  <c r="E29" i="12" a="1"/>
  <c r="E29" s="1"/>
  <c r="D29" s="1"/>
  <c r="V25" i="13"/>
  <c r="AB25" s="1"/>
  <c r="AB26" s="1"/>
  <c r="C30"/>
  <c r="AB20" i="14"/>
  <c r="AB20" i="18"/>
  <c r="I29" i="25" a="1"/>
  <c r="I29" s="1"/>
  <c r="C30"/>
  <c r="I30" i="27" a="1"/>
  <c r="I30" s="1"/>
  <c r="C31"/>
  <c r="E30" a="1"/>
  <c r="E30" s="1"/>
  <c r="I28" i="20" a="1"/>
  <c r="I28" s="1"/>
  <c r="I29" a="1"/>
  <c r="I29" s="1"/>
  <c r="I29" i="22" a="1"/>
  <c r="I29" s="1"/>
  <c r="I30" a="1"/>
  <c r="I30" s="1"/>
  <c r="AB26" i="23"/>
  <c r="E29" i="25" a="1"/>
  <c r="E29" s="1"/>
  <c r="I25" i="23"/>
  <c r="AO22"/>
  <c r="U25" i="24"/>
  <c r="V25"/>
  <c r="AB25" s="1"/>
  <c r="AB26" s="1"/>
  <c r="I24" s="1"/>
  <c r="I29" a="1"/>
  <c r="I29" s="1"/>
  <c r="D29" s="1"/>
  <c r="C30"/>
  <c r="E29" a="1"/>
  <c r="E29" s="1"/>
  <c r="I28" i="14" a="1"/>
  <c r="I28" s="1"/>
  <c r="D28" s="1"/>
  <c r="I30" i="16" a="1"/>
  <c r="I30" s="1"/>
  <c r="D30" s="1"/>
  <c r="C32" i="17"/>
  <c r="V25" i="18"/>
  <c r="AB25" s="1"/>
  <c r="AB28" s="1"/>
  <c r="E30" a="1"/>
  <c r="E30" s="1"/>
  <c r="D30" s="1"/>
  <c r="AO22" i="19"/>
  <c r="C29"/>
  <c r="E29" i="20" a="1"/>
  <c r="E29" s="1"/>
  <c r="E30" i="22" a="1"/>
  <c r="E30" s="1"/>
  <c r="I28" i="23" a="1"/>
  <c r="I28" s="1"/>
  <c r="C29"/>
  <c r="E28" a="1"/>
  <c r="E28" s="1"/>
  <c r="C31" i="18"/>
  <c r="I25" i="20"/>
  <c r="E28" a="1"/>
  <c r="E28" s="1"/>
  <c r="E29" i="22" a="1"/>
  <c r="E29" s="1"/>
  <c r="AB20" i="23"/>
  <c r="AB26" i="26"/>
  <c r="I24" s="1"/>
  <c r="AB26" i="27"/>
  <c r="I24" s="1"/>
  <c r="D29"/>
  <c r="AB20" i="28"/>
  <c r="I24" s="1"/>
  <c r="AB20" i="20"/>
  <c r="I24" s="1"/>
  <c r="AB20" i="21"/>
  <c r="AO22"/>
  <c r="C31"/>
  <c r="I25" i="28"/>
  <c r="I27" i="29"/>
  <c r="I28" i="24" a="1"/>
  <c r="I28" s="1"/>
  <c r="D28" s="1"/>
  <c r="E28" i="26" a="1"/>
  <c r="E28" s="1"/>
  <c r="D28" s="1"/>
  <c r="AO22" i="27"/>
  <c r="E30" i="29" a="1"/>
  <c r="E30" s="1"/>
  <c r="D30" s="1"/>
  <c r="C29" i="26"/>
  <c r="V25" i="29"/>
  <c r="AB25" s="1"/>
  <c r="AB28" s="1"/>
  <c r="I26" s="1"/>
  <c r="C31"/>
  <c r="C33" i="34" l="1"/>
  <c r="E32" a="1"/>
  <c r="E32" s="1"/>
  <c r="I32" a="1"/>
  <c r="I32" s="1"/>
  <c r="D28" i="32"/>
  <c r="D29"/>
  <c r="I24"/>
  <c r="C31"/>
  <c r="E30" a="1"/>
  <c r="E30" s="1"/>
  <c r="I30" a="1"/>
  <c r="I30" s="1"/>
  <c r="D31" i="4"/>
  <c r="I24" i="11"/>
  <c r="I24" i="19"/>
  <c r="D28" i="25"/>
  <c r="C30" i="14"/>
  <c r="C31" s="1"/>
  <c r="I26" i="16"/>
  <c r="I31" a="1"/>
  <c r="I31" s="1"/>
  <c r="D31" i="22"/>
  <c r="C30" i="28"/>
  <c r="I29" a="1"/>
  <c r="I29" s="1"/>
  <c r="D29" s="1"/>
  <c r="D28" i="23"/>
  <c r="D29" i="14"/>
  <c r="D31" i="5"/>
  <c r="C30" i="15"/>
  <c r="I29" a="1"/>
  <c r="I29" s="1"/>
  <c r="E29" a="1"/>
  <c r="E29" s="1"/>
  <c r="D29" i="20"/>
  <c r="D30" i="27"/>
  <c r="D31" i="6"/>
  <c r="C30" i="9"/>
  <c r="I29" a="1"/>
  <c r="I29" s="1"/>
  <c r="D29" s="1"/>
  <c r="I26" i="21"/>
  <c r="D28" i="7"/>
  <c r="C31" i="25"/>
  <c r="E30" a="1"/>
  <c r="E30" s="1"/>
  <c r="I30" a="1"/>
  <c r="I30" s="1"/>
  <c r="C30" i="19"/>
  <c r="E29" a="1"/>
  <c r="E29" s="1"/>
  <c r="I29" a="1"/>
  <c r="I29" s="1"/>
  <c r="D29" s="1"/>
  <c r="C33" i="17"/>
  <c r="E32" a="1"/>
  <c r="E32" s="1"/>
  <c r="I32" a="1"/>
  <c r="I32" s="1"/>
  <c r="E31" i="29" a="1"/>
  <c r="E31" s="1"/>
  <c r="I31" a="1"/>
  <c r="I31" s="1"/>
  <c r="C32"/>
  <c r="E31" i="18" a="1"/>
  <c r="E31" s="1"/>
  <c r="I31" a="1"/>
  <c r="I31" s="1"/>
  <c r="D31" s="1"/>
  <c r="C32"/>
  <c r="E30" i="24" a="1"/>
  <c r="E30" s="1"/>
  <c r="I30" a="1"/>
  <c r="I30" s="1"/>
  <c r="D30" s="1"/>
  <c r="C31"/>
  <c r="C32" i="27"/>
  <c r="E31" a="1"/>
  <c r="E31" s="1"/>
  <c r="I31" a="1"/>
  <c r="I31" s="1"/>
  <c r="D31" s="1"/>
  <c r="E29" i="11" a="1"/>
  <c r="E29" s="1"/>
  <c r="I29" a="1"/>
  <c r="I29" s="1"/>
  <c r="C30"/>
  <c r="I31" i="20" a="1"/>
  <c r="I31" s="1"/>
  <c r="C32"/>
  <c r="E31" a="1"/>
  <c r="E31" s="1"/>
  <c r="I32" i="5" a="1"/>
  <c r="I32" s="1"/>
  <c r="E32" a="1"/>
  <c r="E32" s="1"/>
  <c r="C33"/>
  <c r="I32" i="4" a="1"/>
  <c r="I32" s="1"/>
  <c r="C33"/>
  <c r="E32" a="1"/>
  <c r="E32" s="1"/>
  <c r="D28" i="20"/>
  <c r="I24" i="23"/>
  <c r="D29" i="22"/>
  <c r="I26" i="18"/>
  <c r="I24" i="14"/>
  <c r="D29" i="7"/>
  <c r="E29" i="26" a="1"/>
  <c r="E29" s="1"/>
  <c r="I29" a="1"/>
  <c r="I29" s="1"/>
  <c r="C30"/>
  <c r="E31" i="21" a="1"/>
  <c r="E31" s="1"/>
  <c r="I31" a="1"/>
  <c r="I31" s="1"/>
  <c r="C32"/>
  <c r="C31" i="7"/>
  <c r="E30" a="1"/>
  <c r="E30" s="1"/>
  <c r="I30" a="1"/>
  <c r="I30" s="1"/>
  <c r="D30" i="22"/>
  <c r="D29" i="25"/>
  <c r="D30" i="20"/>
  <c r="D31" i="16"/>
  <c r="D30" i="12"/>
  <c r="I26" i="4"/>
  <c r="E29" i="23" a="1"/>
  <c r="E29" s="1"/>
  <c r="I29" a="1"/>
  <c r="I29" s="1"/>
  <c r="C30"/>
  <c r="E32" i="16" a="1"/>
  <c r="E32" s="1"/>
  <c r="I32" a="1"/>
  <c r="I32" s="1"/>
  <c r="C33"/>
  <c r="I32" i="22" a="1"/>
  <c r="I32" s="1"/>
  <c r="C33"/>
  <c r="E32" a="1"/>
  <c r="E32" s="1"/>
  <c r="C32" i="12"/>
  <c r="E31" a="1"/>
  <c r="E31" s="1"/>
  <c r="I31" a="1"/>
  <c r="I31" s="1"/>
  <c r="I24" i="13"/>
  <c r="E30" i="10" a="1"/>
  <c r="E30" s="1"/>
  <c r="I30" a="1"/>
  <c r="I30" s="1"/>
  <c r="C31"/>
  <c r="E30" i="13" a="1"/>
  <c r="E30" s="1"/>
  <c r="I30" a="1"/>
  <c r="I30" s="1"/>
  <c r="C31"/>
  <c r="E30" i="14" a="1"/>
  <c r="E30" s="1"/>
  <c r="I32" i="6" a="1"/>
  <c r="I32" s="1"/>
  <c r="E32" a="1"/>
  <c r="E32" s="1"/>
  <c r="C33"/>
  <c r="I26" i="5"/>
  <c r="I33" i="34" l="1" a="1"/>
  <c r="I33" s="1"/>
  <c r="C34"/>
  <c r="E33" a="1"/>
  <c r="E33" s="1"/>
  <c r="D32"/>
  <c r="I31" i="32" a="1"/>
  <c r="I31" s="1"/>
  <c r="C32"/>
  <c r="E31" a="1"/>
  <c r="E31" s="1"/>
  <c r="D30"/>
  <c r="I30" i="14" a="1"/>
  <c r="I30" s="1"/>
  <c r="D30" s="1"/>
  <c r="D32" i="17"/>
  <c r="I30" i="28" a="1"/>
  <c r="I30" s="1"/>
  <c r="E30" a="1"/>
  <c r="E30" s="1"/>
  <c r="C31"/>
  <c r="D29" i="26"/>
  <c r="D32" i="4"/>
  <c r="D29" i="15"/>
  <c r="C31"/>
  <c r="I30" a="1"/>
  <c r="I30" s="1"/>
  <c r="E30" a="1"/>
  <c r="E30" s="1"/>
  <c r="D29" i="11"/>
  <c r="D31" i="29"/>
  <c r="D30" i="25"/>
  <c r="D30" i="13"/>
  <c r="D32" i="16"/>
  <c r="D30" i="7"/>
  <c r="D32" i="5"/>
  <c r="C31" i="9"/>
  <c r="I30" a="1"/>
  <c r="I30" s="1"/>
  <c r="E30" a="1"/>
  <c r="E30" s="1"/>
  <c r="I31" i="10" a="1"/>
  <c r="I31" s="1"/>
  <c r="C32"/>
  <c r="E31" a="1"/>
  <c r="E31" s="1"/>
  <c r="I30" i="23" a="1"/>
  <c r="I30" s="1"/>
  <c r="C31"/>
  <c r="E30" a="1"/>
  <c r="E30" s="1"/>
  <c r="I31" i="7" a="1"/>
  <c r="I31" s="1"/>
  <c r="C32"/>
  <c r="E31" a="1"/>
  <c r="E31" s="1"/>
  <c r="I32" i="21" a="1"/>
  <c r="I32" s="1"/>
  <c r="C33"/>
  <c r="E32" a="1"/>
  <c r="E32" s="1"/>
  <c r="C34" i="5"/>
  <c r="E33" a="1"/>
  <c r="E33" s="1"/>
  <c r="I33" a="1"/>
  <c r="I33" s="1"/>
  <c r="I31" i="25" a="1"/>
  <c r="I31" s="1"/>
  <c r="C32"/>
  <c r="E31" a="1"/>
  <c r="E31" s="1"/>
  <c r="D32" i="22"/>
  <c r="D31" i="20"/>
  <c r="I31" i="14" a="1"/>
  <c r="I31" s="1"/>
  <c r="C32"/>
  <c r="E31" a="1"/>
  <c r="E31" s="1"/>
  <c r="C34" i="22"/>
  <c r="I33" a="1"/>
  <c r="I33" s="1"/>
  <c r="E33" a="1"/>
  <c r="E33" s="1"/>
  <c r="I30" i="26" a="1"/>
  <c r="I30" s="1"/>
  <c r="C31"/>
  <c r="E30" a="1"/>
  <c r="E30" s="1"/>
  <c r="C33" i="20"/>
  <c r="I32" a="1"/>
  <c r="I32" s="1"/>
  <c r="E32" a="1"/>
  <c r="E32" s="1"/>
  <c r="I31" i="24" a="1"/>
  <c r="I31" s="1"/>
  <c r="C32"/>
  <c r="E31" a="1"/>
  <c r="E31" s="1"/>
  <c r="D32" i="6"/>
  <c r="D31" i="12"/>
  <c r="C34" i="4"/>
  <c r="E33" a="1"/>
  <c r="E33" s="1"/>
  <c r="I33" a="1"/>
  <c r="I33" s="1"/>
  <c r="I32" i="27" a="1"/>
  <c r="I32" s="1"/>
  <c r="C33"/>
  <c r="E32" a="1"/>
  <c r="E32" s="1"/>
  <c r="I32" i="18" a="1"/>
  <c r="I32" s="1"/>
  <c r="C33"/>
  <c r="E32" a="1"/>
  <c r="E32" s="1"/>
  <c r="I33" i="17" a="1"/>
  <c r="I33" s="1"/>
  <c r="C34"/>
  <c r="E33" a="1"/>
  <c r="E33" s="1"/>
  <c r="C34" i="6"/>
  <c r="E33" a="1"/>
  <c r="E33" s="1"/>
  <c r="I33" a="1"/>
  <c r="I33" s="1"/>
  <c r="I31" i="13" a="1"/>
  <c r="I31" s="1"/>
  <c r="C32"/>
  <c r="E31" a="1"/>
  <c r="E31" s="1"/>
  <c r="I32" i="12" a="1"/>
  <c r="I32" s="1"/>
  <c r="C33"/>
  <c r="E32" a="1"/>
  <c r="E32" s="1"/>
  <c r="I33" i="16" a="1"/>
  <c r="I33" s="1"/>
  <c r="C34"/>
  <c r="E33" a="1"/>
  <c r="E33" s="1"/>
  <c r="I30" i="11" a="1"/>
  <c r="I30" s="1"/>
  <c r="C31"/>
  <c r="E30" a="1"/>
  <c r="E30" s="1"/>
  <c r="I32" i="29" a="1"/>
  <c r="I32" s="1"/>
  <c r="C33"/>
  <c r="E32" a="1"/>
  <c r="E32" s="1"/>
  <c r="I30" i="19" a="1"/>
  <c r="I30" s="1"/>
  <c r="C31"/>
  <c r="E30" a="1"/>
  <c r="E30" s="1"/>
  <c r="D30" i="10"/>
  <c r="D29" i="23"/>
  <c r="D31" i="21"/>
  <c r="C35" i="34" l="1"/>
  <c r="E34" a="1"/>
  <c r="E34" s="1"/>
  <c r="I34" a="1"/>
  <c r="I34" s="1"/>
  <c r="D33"/>
  <c r="D31" i="32"/>
  <c r="C33"/>
  <c r="E32" a="1"/>
  <c r="E32" s="1"/>
  <c r="I32" a="1"/>
  <c r="I32" s="1"/>
  <c r="D31" i="24"/>
  <c r="D33" i="6"/>
  <c r="D33" i="4"/>
  <c r="D30" i="15"/>
  <c r="D30" i="28"/>
  <c r="D33" i="22"/>
  <c r="D31" i="14"/>
  <c r="E31" i="28" a="1"/>
  <c r="E31" s="1"/>
  <c r="C32"/>
  <c r="I31" a="1"/>
  <c r="I31" s="1"/>
  <c r="D30" i="19"/>
  <c r="D32" i="12"/>
  <c r="D32" i="18"/>
  <c r="D33" i="5"/>
  <c r="D30" i="23"/>
  <c r="E31" i="15" a="1"/>
  <c r="E31" s="1"/>
  <c r="C32"/>
  <c r="I31" a="1"/>
  <c r="I31" s="1"/>
  <c r="D30" i="9"/>
  <c r="D32" i="29"/>
  <c r="D31" i="13"/>
  <c r="D32" i="27"/>
  <c r="E31" i="9" a="1"/>
  <c r="E31" s="1"/>
  <c r="C32"/>
  <c r="I31" a="1"/>
  <c r="I31" s="1"/>
  <c r="D32" i="20"/>
  <c r="E34" i="16" a="1"/>
  <c r="E34" s="1"/>
  <c r="I34" a="1"/>
  <c r="I34" s="1"/>
  <c r="C35"/>
  <c r="C34" i="12"/>
  <c r="E33" a="1"/>
  <c r="E33" s="1"/>
  <c r="I33" a="1"/>
  <c r="I33" s="1"/>
  <c r="E33" i="18" a="1"/>
  <c r="E33" s="1"/>
  <c r="I33" a="1"/>
  <c r="I33" s="1"/>
  <c r="C34"/>
  <c r="E33" i="29" a="1"/>
  <c r="E33" s="1"/>
  <c r="I33" a="1"/>
  <c r="I33" s="1"/>
  <c r="C34"/>
  <c r="C33" i="13"/>
  <c r="I32" a="1"/>
  <c r="I32" s="1"/>
  <c r="E32" a="1"/>
  <c r="E32" s="1"/>
  <c r="I34" i="6" a="1"/>
  <c r="I34" s="1"/>
  <c r="D34" s="1"/>
  <c r="E34" a="1"/>
  <c r="E34" s="1"/>
  <c r="C35"/>
  <c r="C34" i="27"/>
  <c r="E33" a="1"/>
  <c r="E33" s="1"/>
  <c r="I33" a="1"/>
  <c r="I33" s="1"/>
  <c r="I34" i="4" a="1"/>
  <c r="I34" s="1"/>
  <c r="C35"/>
  <c r="E34" a="1"/>
  <c r="E34" s="1"/>
  <c r="D30" i="11"/>
  <c r="D30" i="26"/>
  <c r="D32" i="21"/>
  <c r="D31" i="10"/>
  <c r="C35" i="17"/>
  <c r="E34" a="1"/>
  <c r="E34" s="1"/>
  <c r="I34" a="1"/>
  <c r="I34" s="1"/>
  <c r="E31" i="11" a="1"/>
  <c r="E31" s="1"/>
  <c r="I31" a="1"/>
  <c r="I31" s="1"/>
  <c r="C32"/>
  <c r="E31" i="26" a="1"/>
  <c r="E31" s="1"/>
  <c r="I31" a="1"/>
  <c r="I31" s="1"/>
  <c r="C32"/>
  <c r="E34" i="22" a="1"/>
  <c r="E34" s="1"/>
  <c r="I34" a="1"/>
  <c r="I34" s="1"/>
  <c r="C35"/>
  <c r="E33" i="21" a="1"/>
  <c r="E33" s="1"/>
  <c r="I33" a="1"/>
  <c r="I33" s="1"/>
  <c r="D33" s="1"/>
  <c r="C34"/>
  <c r="E32" i="10" a="1"/>
  <c r="E32" s="1"/>
  <c r="I32" a="1"/>
  <c r="I32" s="1"/>
  <c r="C33"/>
  <c r="D33" i="16"/>
  <c r="D33" i="17"/>
  <c r="D31" i="25"/>
  <c r="D31" i="7"/>
  <c r="C33" i="25"/>
  <c r="E32" a="1"/>
  <c r="E32" s="1"/>
  <c r="I32" a="1"/>
  <c r="I32" s="1"/>
  <c r="C33" i="7"/>
  <c r="E32" a="1"/>
  <c r="E32" s="1"/>
  <c r="I32" a="1"/>
  <c r="I32" s="1"/>
  <c r="C32" i="19"/>
  <c r="E31" a="1"/>
  <c r="E31" s="1"/>
  <c r="I31" a="1"/>
  <c r="I31" s="1"/>
  <c r="E32" i="24" a="1"/>
  <c r="E32" s="1"/>
  <c r="I32" a="1"/>
  <c r="I32" s="1"/>
  <c r="C33"/>
  <c r="E33" i="20" a="1"/>
  <c r="E33" s="1"/>
  <c r="I33" a="1"/>
  <c r="I33" s="1"/>
  <c r="C34"/>
  <c r="E32" i="14" a="1"/>
  <c r="E32" s="1"/>
  <c r="I32" a="1"/>
  <c r="I32" s="1"/>
  <c r="C33"/>
  <c r="I34" i="5" a="1"/>
  <c r="I34" s="1"/>
  <c r="E34" a="1"/>
  <c r="E34" s="1"/>
  <c r="C35"/>
  <c r="E31" i="23" a="1"/>
  <c r="E31" s="1"/>
  <c r="I31" a="1"/>
  <c r="I31" s="1"/>
  <c r="C32"/>
  <c r="I35" i="34" l="1" a="1"/>
  <c r="I35" s="1"/>
  <c r="C36"/>
  <c r="E35" a="1"/>
  <c r="E35" s="1"/>
  <c r="D34"/>
  <c r="I33" i="32" a="1"/>
  <c r="I33" s="1"/>
  <c r="C34"/>
  <c r="E33" a="1"/>
  <c r="E33" s="1"/>
  <c r="D32"/>
  <c r="D34" i="17"/>
  <c r="D31" i="15"/>
  <c r="D31" i="28"/>
  <c r="D32" i="24"/>
  <c r="D32" i="7"/>
  <c r="D31" i="26"/>
  <c r="I32" i="28" a="1"/>
  <c r="I32" s="1"/>
  <c r="E32" a="1"/>
  <c r="E32" s="1"/>
  <c r="C33"/>
  <c r="D33" i="12"/>
  <c r="D31" i="9"/>
  <c r="C33"/>
  <c r="I32" a="1"/>
  <c r="I32" s="1"/>
  <c r="E32" a="1"/>
  <c r="E32" s="1"/>
  <c r="I32" i="15" a="1"/>
  <c r="I32" s="1"/>
  <c r="E32" a="1"/>
  <c r="E32" s="1"/>
  <c r="C33"/>
  <c r="D33" i="29"/>
  <c r="I33" i="14" a="1"/>
  <c r="I33" s="1"/>
  <c r="C34"/>
  <c r="E33" a="1"/>
  <c r="E33" s="1"/>
  <c r="I33" i="25" a="1"/>
  <c r="I33" s="1"/>
  <c r="C34"/>
  <c r="E33" a="1"/>
  <c r="E33" s="1"/>
  <c r="I34" i="21" a="1"/>
  <c r="I34" s="1"/>
  <c r="E34" a="1"/>
  <c r="E34" s="1"/>
  <c r="C35"/>
  <c r="I32" i="11" a="1"/>
  <c r="I32" s="1"/>
  <c r="C33"/>
  <c r="E32" a="1"/>
  <c r="E32" s="1"/>
  <c r="E33" i="13" a="1"/>
  <c r="E33" s="1"/>
  <c r="I33" a="1"/>
  <c r="I33" s="1"/>
  <c r="C34"/>
  <c r="I34" i="18" a="1"/>
  <c r="I34" s="1"/>
  <c r="C35"/>
  <c r="E34" a="1"/>
  <c r="E34" s="1"/>
  <c r="D31" i="23"/>
  <c r="D34" i="5"/>
  <c r="D33" i="20"/>
  <c r="D31" i="19"/>
  <c r="D34" i="22"/>
  <c r="D33" i="27"/>
  <c r="I32" i="23" a="1"/>
  <c r="I32" s="1"/>
  <c r="C33"/>
  <c r="E32" a="1"/>
  <c r="E32" s="1"/>
  <c r="C36" i="22"/>
  <c r="E35" a="1"/>
  <c r="E35" s="1"/>
  <c r="I35" a="1"/>
  <c r="I35" s="1"/>
  <c r="C36" i="6"/>
  <c r="E35" a="1"/>
  <c r="E35" s="1"/>
  <c r="I35" a="1"/>
  <c r="I35" s="1"/>
  <c r="D34" i="4"/>
  <c r="D32" i="13"/>
  <c r="D34" i="16"/>
  <c r="C35" i="20"/>
  <c r="E34" a="1"/>
  <c r="E34" s="1"/>
  <c r="I34" a="1"/>
  <c r="I34" s="1"/>
  <c r="I33" i="24" a="1"/>
  <c r="I33" s="1"/>
  <c r="C34"/>
  <c r="E33" a="1"/>
  <c r="E33" s="1"/>
  <c r="I32" i="19" a="1"/>
  <c r="I32" s="1"/>
  <c r="C33"/>
  <c r="E32" a="1"/>
  <c r="E32" s="1"/>
  <c r="I32" i="26" a="1"/>
  <c r="I32" s="1"/>
  <c r="C33"/>
  <c r="E32" a="1"/>
  <c r="E32" s="1"/>
  <c r="C36" i="4"/>
  <c r="E35" a="1"/>
  <c r="E35" s="1"/>
  <c r="I35" a="1"/>
  <c r="I35" s="1"/>
  <c r="I34" i="27" a="1"/>
  <c r="I34" s="1"/>
  <c r="C35"/>
  <c r="E34" a="1"/>
  <c r="E34" s="1"/>
  <c r="I35" i="16" a="1"/>
  <c r="I35" s="1"/>
  <c r="D35" s="1"/>
  <c r="C36"/>
  <c r="E35" a="1"/>
  <c r="E35" s="1"/>
  <c r="D32" i="25"/>
  <c r="D32" i="10"/>
  <c r="C36" i="5"/>
  <c r="E35" a="1"/>
  <c r="E35" s="1"/>
  <c r="I35" a="1"/>
  <c r="I35" s="1"/>
  <c r="I33" i="7" a="1"/>
  <c r="I33" s="1"/>
  <c r="D33" s="1"/>
  <c r="C34"/>
  <c r="E33" a="1"/>
  <c r="E33" s="1"/>
  <c r="I33" i="10" a="1"/>
  <c r="I33" s="1"/>
  <c r="D33" s="1"/>
  <c r="C34"/>
  <c r="E33" a="1"/>
  <c r="E33" s="1"/>
  <c r="I35" i="17" a="1"/>
  <c r="I35" s="1"/>
  <c r="C36"/>
  <c r="E35" a="1"/>
  <c r="E35" s="1"/>
  <c r="I34" i="29" a="1"/>
  <c r="I34" s="1"/>
  <c r="C35"/>
  <c r="E34" a="1"/>
  <c r="E34" s="1"/>
  <c r="I34" i="12" a="1"/>
  <c r="I34" s="1"/>
  <c r="D34" s="1"/>
  <c r="C35"/>
  <c r="E34" a="1"/>
  <c r="E34" s="1"/>
  <c r="D32" i="14"/>
  <c r="D31" i="11"/>
  <c r="D33" i="18"/>
  <c r="C37" i="34" l="1"/>
  <c r="E36" a="1"/>
  <c r="E36" s="1"/>
  <c r="I36" a="1"/>
  <c r="I36" s="1"/>
  <c r="D36" s="1"/>
  <c r="D35"/>
  <c r="C35" i="32"/>
  <c r="E34" a="1"/>
  <c r="E34" s="1"/>
  <c r="I34" a="1"/>
  <c r="I34" s="1"/>
  <c r="D33"/>
  <c r="D32" i="15"/>
  <c r="D32" i="28"/>
  <c r="D33" i="13"/>
  <c r="D32" i="11"/>
  <c r="C34" i="28"/>
  <c r="I33" a="1"/>
  <c r="I33" s="1"/>
  <c r="E33" a="1"/>
  <c r="E33" s="1"/>
  <c r="D34" i="21"/>
  <c r="D32" i="9"/>
  <c r="I33" a="1"/>
  <c r="I33" s="1"/>
  <c r="E33" a="1"/>
  <c r="E33" s="1"/>
  <c r="C34"/>
  <c r="E33" i="15" a="1"/>
  <c r="E33" s="1"/>
  <c r="C34"/>
  <c r="I33" a="1"/>
  <c r="I33" s="1"/>
  <c r="D35" i="6"/>
  <c r="D32" i="23"/>
  <c r="D32" i="26"/>
  <c r="D33" i="14"/>
  <c r="C35" i="7"/>
  <c r="E34" a="1"/>
  <c r="E34" s="1"/>
  <c r="I34" a="1"/>
  <c r="I34" s="1"/>
  <c r="E36" i="16" a="1"/>
  <c r="E36" s="1"/>
  <c r="I36" a="1"/>
  <c r="I36" s="1"/>
  <c r="C37"/>
  <c r="E33" i="26" a="1"/>
  <c r="E33" s="1"/>
  <c r="I33" a="1"/>
  <c r="I33" s="1"/>
  <c r="C34"/>
  <c r="I36" i="6" a="1"/>
  <c r="I36" s="1"/>
  <c r="E36" a="1"/>
  <c r="E36" s="1"/>
  <c r="C37"/>
  <c r="E33" i="11" a="1"/>
  <c r="E33" s="1"/>
  <c r="I33" a="1"/>
  <c r="I33" s="1"/>
  <c r="D33" s="1"/>
  <c r="C34"/>
  <c r="D35" i="4"/>
  <c r="D34" i="29"/>
  <c r="D34" i="27"/>
  <c r="D32" i="19"/>
  <c r="D34" i="20"/>
  <c r="D34" i="18"/>
  <c r="C36" i="12"/>
  <c r="E35" a="1"/>
  <c r="E35" s="1"/>
  <c r="I35" a="1"/>
  <c r="I35" s="1"/>
  <c r="E35" i="29" a="1"/>
  <c r="E35" s="1"/>
  <c r="I35" a="1"/>
  <c r="I35" s="1"/>
  <c r="C36"/>
  <c r="I36" i="5" a="1"/>
  <c r="I36" s="1"/>
  <c r="E36" a="1"/>
  <c r="E36" s="1"/>
  <c r="C37"/>
  <c r="C36" i="27"/>
  <c r="E35" a="1"/>
  <c r="E35" s="1"/>
  <c r="I35" a="1"/>
  <c r="I35" s="1"/>
  <c r="D35" s="1"/>
  <c r="I36" i="4" a="1"/>
  <c r="I36" s="1"/>
  <c r="C37"/>
  <c r="E36" a="1"/>
  <c r="E36" s="1"/>
  <c r="C34" i="19"/>
  <c r="E33" a="1"/>
  <c r="E33" s="1"/>
  <c r="I33" a="1"/>
  <c r="I33" s="1"/>
  <c r="E36" i="22" a="1"/>
  <c r="E36" s="1"/>
  <c r="I36" a="1"/>
  <c r="I36" s="1"/>
  <c r="D36" s="1"/>
  <c r="C37"/>
  <c r="E35" i="18" a="1"/>
  <c r="E35" s="1"/>
  <c r="I35" a="1"/>
  <c r="I35" s="1"/>
  <c r="C36"/>
  <c r="D35" i="5"/>
  <c r="D35" i="17"/>
  <c r="D33" i="24"/>
  <c r="D33" i="25"/>
  <c r="E34" i="24" a="1"/>
  <c r="E34" s="1"/>
  <c r="I34" a="1"/>
  <c r="I34" s="1"/>
  <c r="C35"/>
  <c r="E35" i="20" a="1"/>
  <c r="E35" s="1"/>
  <c r="I35" a="1"/>
  <c r="I35" s="1"/>
  <c r="D35" s="1"/>
  <c r="C36"/>
  <c r="E35" i="21" a="1"/>
  <c r="E35" s="1"/>
  <c r="I35" a="1"/>
  <c r="I35" s="1"/>
  <c r="C36"/>
  <c r="C35" i="25"/>
  <c r="E34" a="1"/>
  <c r="E34" s="1"/>
  <c r="I34" a="1"/>
  <c r="I34" s="1"/>
  <c r="C37" i="17"/>
  <c r="E36" a="1"/>
  <c r="E36" s="1"/>
  <c r="I36" a="1"/>
  <c r="I36" s="1"/>
  <c r="E34" i="10" a="1"/>
  <c r="E34" s="1"/>
  <c r="I34" a="1"/>
  <c r="I34" s="1"/>
  <c r="C35"/>
  <c r="E33" i="23" a="1"/>
  <c r="E33" s="1"/>
  <c r="I33" a="1"/>
  <c r="I33" s="1"/>
  <c r="C34"/>
  <c r="C35" i="13"/>
  <c r="E34" a="1"/>
  <c r="E34" s="1"/>
  <c r="I34" a="1"/>
  <c r="I34" s="1"/>
  <c r="E34" i="14" a="1"/>
  <c r="E34" s="1"/>
  <c r="I34" a="1"/>
  <c r="I34" s="1"/>
  <c r="C35"/>
  <c r="D35" i="22"/>
  <c r="I37" i="34" l="1" a="1"/>
  <c r="I37" s="1"/>
  <c r="C38"/>
  <c r="E37" a="1"/>
  <c r="E37" s="1"/>
  <c r="I35" i="32" a="1"/>
  <c r="I35" s="1"/>
  <c r="C36"/>
  <c r="E35" a="1"/>
  <c r="E35" s="1"/>
  <c r="D34"/>
  <c r="D33" i="15"/>
  <c r="D36" i="4"/>
  <c r="E34" i="28" a="1"/>
  <c r="E34" s="1"/>
  <c r="C35"/>
  <c r="I34" a="1"/>
  <c r="I34" s="1"/>
  <c r="D33" i="23"/>
  <c r="D34" i="25"/>
  <c r="D35" i="21"/>
  <c r="D34" i="13"/>
  <c r="D34" i="7"/>
  <c r="D33" i="9"/>
  <c r="D33" i="28"/>
  <c r="E34" i="15" a="1"/>
  <c r="E34" s="1"/>
  <c r="C35"/>
  <c r="I34" a="1"/>
  <c r="I34" s="1"/>
  <c r="D34" i="10"/>
  <c r="D34" i="14"/>
  <c r="I34" i="9" a="1"/>
  <c r="I34" s="1"/>
  <c r="E34" a="1"/>
  <c r="E34" s="1"/>
  <c r="C35"/>
  <c r="D35" i="12"/>
  <c r="I35" i="14" a="1"/>
  <c r="I35" s="1"/>
  <c r="C36"/>
  <c r="E35" a="1"/>
  <c r="E35" s="1"/>
  <c r="I35" i="25" a="1"/>
  <c r="I35" s="1"/>
  <c r="C36"/>
  <c r="E35" a="1"/>
  <c r="E35" s="1"/>
  <c r="C37" i="20"/>
  <c r="E36" a="1"/>
  <c r="E36" s="1"/>
  <c r="I36" a="1"/>
  <c r="I36" s="1"/>
  <c r="I35" i="24" a="1"/>
  <c r="I35" s="1"/>
  <c r="C36"/>
  <c r="E35" a="1"/>
  <c r="E35" s="1"/>
  <c r="I36" i="29" a="1"/>
  <c r="I36" s="1"/>
  <c r="C37"/>
  <c r="E36" a="1"/>
  <c r="E36" s="1"/>
  <c r="I34" i="26" a="1"/>
  <c r="I34" s="1"/>
  <c r="C35"/>
  <c r="E34" a="1"/>
  <c r="E34" s="1"/>
  <c r="I35" i="7" a="1"/>
  <c r="I35" s="1"/>
  <c r="C36"/>
  <c r="E35" a="1"/>
  <c r="E35" s="1"/>
  <c r="D36" i="17"/>
  <c r="D35" i="18"/>
  <c r="D36" i="5"/>
  <c r="D36" i="16"/>
  <c r="I36" i="18" a="1"/>
  <c r="I36" s="1"/>
  <c r="C37"/>
  <c r="E36" a="1"/>
  <c r="E36" s="1"/>
  <c r="I34" i="19" a="1"/>
  <c r="I34" s="1"/>
  <c r="C35"/>
  <c r="E34" a="1"/>
  <c r="E34" s="1"/>
  <c r="I37" i="16" a="1"/>
  <c r="I37" s="1"/>
  <c r="C38"/>
  <c r="E37" a="1"/>
  <c r="E37" s="1"/>
  <c r="D36" i="6"/>
  <c r="I37" i="17" a="1"/>
  <c r="I37" s="1"/>
  <c r="C38"/>
  <c r="E37" a="1"/>
  <c r="E37" s="1"/>
  <c r="I36" i="21" a="1"/>
  <c r="I36" s="1"/>
  <c r="E36" a="1"/>
  <c r="E36" s="1"/>
  <c r="C37"/>
  <c r="E37" i="22" a="1"/>
  <c r="E37" s="1"/>
  <c r="I37" a="1"/>
  <c r="I37" s="1"/>
  <c r="C38" i="5"/>
  <c r="E37" a="1"/>
  <c r="E37" s="1"/>
  <c r="I37" a="1"/>
  <c r="I37" s="1"/>
  <c r="I34" i="11" a="1"/>
  <c r="I34" s="1"/>
  <c r="C35"/>
  <c r="E34" a="1"/>
  <c r="E34" s="1"/>
  <c r="I34" i="23" a="1"/>
  <c r="I34" s="1"/>
  <c r="C35"/>
  <c r="E34" a="1"/>
  <c r="E34" s="1"/>
  <c r="C36" i="13"/>
  <c r="E35" a="1"/>
  <c r="E35" s="1"/>
  <c r="I35" a="1"/>
  <c r="I35" s="1"/>
  <c r="I35" i="10" a="1"/>
  <c r="I35" s="1"/>
  <c r="C36"/>
  <c r="E35" a="1"/>
  <c r="E35" s="1"/>
  <c r="C38" i="4"/>
  <c r="E37" a="1"/>
  <c r="E37" s="1"/>
  <c r="I37" a="1"/>
  <c r="I37" s="1"/>
  <c r="I36" i="27" a="1"/>
  <c r="I36" s="1"/>
  <c r="C37"/>
  <c r="E36" a="1"/>
  <c r="E36" s="1"/>
  <c r="I36" i="12" a="1"/>
  <c r="I36" s="1"/>
  <c r="C37"/>
  <c r="E36" a="1"/>
  <c r="E36" s="1"/>
  <c r="C38" i="6"/>
  <c r="E37" a="1"/>
  <c r="E37" s="1"/>
  <c r="I37" a="1"/>
  <c r="I37" s="1"/>
  <c r="D34" i="24"/>
  <c r="D33" i="19"/>
  <c r="D35" i="29"/>
  <c r="D33" i="26"/>
  <c r="C39" i="34" l="1"/>
  <c r="E38" a="1"/>
  <c r="E38" s="1"/>
  <c r="I38" a="1"/>
  <c r="I38" s="1"/>
  <c r="D37"/>
  <c r="D35" i="32"/>
  <c r="C37"/>
  <c r="E36" a="1"/>
  <c r="E36" s="1"/>
  <c r="I36" a="1"/>
  <c r="I36" s="1"/>
  <c r="D36" i="12"/>
  <c r="D37" i="17"/>
  <c r="D34" i="19"/>
  <c r="D36" i="20"/>
  <c r="D35" i="14"/>
  <c r="D34" i="9"/>
  <c r="C36" i="28"/>
  <c r="I35" a="1"/>
  <c r="I35" s="1"/>
  <c r="D35" s="1"/>
  <c r="E35" a="1"/>
  <c r="E35" s="1"/>
  <c r="D35" i="7"/>
  <c r="D35" i="10"/>
  <c r="D34" i="28"/>
  <c r="E35" i="15" a="1"/>
  <c r="E35" s="1"/>
  <c r="C36"/>
  <c r="I35" a="1"/>
  <c r="I35" s="1"/>
  <c r="D34"/>
  <c r="I35" i="9" a="1"/>
  <c r="I35" s="1"/>
  <c r="D35" s="1"/>
  <c r="E35" a="1"/>
  <c r="E35" s="1"/>
  <c r="C36"/>
  <c r="D37" i="16"/>
  <c r="D35" i="25"/>
  <c r="E37" i="12" a="1"/>
  <c r="E37" s="1"/>
  <c r="I37" a="1"/>
  <c r="I37" s="1"/>
  <c r="E37" i="21" a="1"/>
  <c r="E37" s="1"/>
  <c r="C38"/>
  <c r="I37" a="1"/>
  <c r="I37" s="1"/>
  <c r="C39" i="17"/>
  <c r="E38" a="1"/>
  <c r="E38" s="1"/>
  <c r="I38" a="1"/>
  <c r="I38" s="1"/>
  <c r="E38" i="16" a="1"/>
  <c r="E38" s="1"/>
  <c r="I38" a="1"/>
  <c r="I38" s="1"/>
  <c r="C39"/>
  <c r="E35" i="19" a="1"/>
  <c r="E35" s="1"/>
  <c r="I35" a="1"/>
  <c r="I35" s="1"/>
  <c r="C36"/>
  <c r="C37" i="7"/>
  <c r="E36" a="1"/>
  <c r="E36" s="1"/>
  <c r="I36" a="1"/>
  <c r="I36" s="1"/>
  <c r="E36" i="14" a="1"/>
  <c r="E36" s="1"/>
  <c r="I36" a="1"/>
  <c r="I36" s="1"/>
  <c r="D36" s="1"/>
  <c r="C37"/>
  <c r="D37" i="6"/>
  <c r="D36" i="27"/>
  <c r="D34" i="23"/>
  <c r="D37" i="5"/>
  <c r="D36" i="18"/>
  <c r="D34" i="26"/>
  <c r="D35" i="24"/>
  <c r="E35" i="11" a="1"/>
  <c r="E35" s="1"/>
  <c r="I35" a="1"/>
  <c r="I35" s="1"/>
  <c r="C36"/>
  <c r="I38" i="5" a="1"/>
  <c r="I38" s="1"/>
  <c r="E38" a="1"/>
  <c r="E38" s="1"/>
  <c r="C39"/>
  <c r="E36" i="10" a="1"/>
  <c r="E36" s="1"/>
  <c r="I36" a="1"/>
  <c r="I36" s="1"/>
  <c r="C37"/>
  <c r="C37" i="13"/>
  <c r="E36" a="1"/>
  <c r="E36" s="1"/>
  <c r="I36" a="1"/>
  <c r="I36" s="1"/>
  <c r="I38" i="6" a="1"/>
  <c r="I38" s="1"/>
  <c r="E38" a="1"/>
  <c r="E38" s="1"/>
  <c r="C39"/>
  <c r="E37" i="27" a="1"/>
  <c r="E37" s="1"/>
  <c r="I37" a="1"/>
  <c r="I37" s="1"/>
  <c r="D37" s="1"/>
  <c r="C39" i="4"/>
  <c r="I38" a="1"/>
  <c r="I38" s="1"/>
  <c r="E38" a="1"/>
  <c r="E38" s="1"/>
  <c r="E35" i="23" a="1"/>
  <c r="E35" s="1"/>
  <c r="I35" a="1"/>
  <c r="I35" s="1"/>
  <c r="C36"/>
  <c r="E37" i="18" a="1"/>
  <c r="E37" s="1"/>
  <c r="I37" a="1"/>
  <c r="I37" s="1"/>
  <c r="D37" s="1"/>
  <c r="C38"/>
  <c r="E35" i="26" a="1"/>
  <c r="E35" s="1"/>
  <c r="I35" a="1"/>
  <c r="I35" s="1"/>
  <c r="C36"/>
  <c r="E36" i="24" a="1"/>
  <c r="E36" s="1"/>
  <c r="I36" a="1"/>
  <c r="I36" s="1"/>
  <c r="D36" s="1"/>
  <c r="C37"/>
  <c r="E37" i="20" a="1"/>
  <c r="E37" s="1"/>
  <c r="I37" a="1"/>
  <c r="I37" s="1"/>
  <c r="D37" i="4"/>
  <c r="D35" i="13"/>
  <c r="D34" i="11"/>
  <c r="D37" i="22"/>
  <c r="D36" i="21"/>
  <c r="D36" i="29"/>
  <c r="E37" a="1"/>
  <c r="E37" s="1"/>
  <c r="I37" a="1"/>
  <c r="I37" s="1"/>
  <c r="C38"/>
  <c r="C37" i="25"/>
  <c r="E36" a="1"/>
  <c r="E36" s="1"/>
  <c r="I36" a="1"/>
  <c r="I36" s="1"/>
  <c r="I39" i="34" l="1" a="1"/>
  <c r="I39" s="1"/>
  <c r="E39" a="1"/>
  <c r="E39" s="1"/>
  <c r="D38"/>
  <c r="I37" i="32" a="1"/>
  <c r="I37" s="1"/>
  <c r="D37" s="1"/>
  <c r="E37" a="1"/>
  <c r="E37" s="1"/>
  <c r="D36"/>
  <c r="D37" i="20"/>
  <c r="D36" i="25"/>
  <c r="E36" i="28" a="1"/>
  <c r="E36" s="1"/>
  <c r="C37"/>
  <c r="I36" a="1"/>
  <c r="I36" s="1"/>
  <c r="D36" i="7"/>
  <c r="D35" i="19"/>
  <c r="D38" i="6"/>
  <c r="I36" i="15" a="1"/>
  <c r="I36" s="1"/>
  <c r="D36" s="1"/>
  <c r="E36" a="1"/>
  <c r="E36" s="1"/>
  <c r="C37"/>
  <c r="E36" i="9" a="1"/>
  <c r="E36" s="1"/>
  <c r="C37"/>
  <c r="I36" a="1"/>
  <c r="I36" s="1"/>
  <c r="D37" i="29"/>
  <c r="D37" i="12"/>
  <c r="D35" i="15"/>
  <c r="I37" i="25" a="1"/>
  <c r="I37" s="1"/>
  <c r="E37" a="1"/>
  <c r="E37" s="1"/>
  <c r="I37" i="24" a="1"/>
  <c r="I37" s="1"/>
  <c r="E37" a="1"/>
  <c r="E37" s="1"/>
  <c r="I38" i="18" a="1"/>
  <c r="I38" s="1"/>
  <c r="C39"/>
  <c r="E38" a="1"/>
  <c r="E38" s="1"/>
  <c r="I39" i="4" a="1"/>
  <c r="I39" s="1"/>
  <c r="E39" a="1"/>
  <c r="E39" s="1"/>
  <c r="I37" i="10" a="1"/>
  <c r="I37" s="1"/>
  <c r="E37" a="1"/>
  <c r="E37" s="1"/>
  <c r="D35" i="26"/>
  <c r="D35" i="23"/>
  <c r="D37" i="21"/>
  <c r="I36" i="26" a="1"/>
  <c r="I36" s="1"/>
  <c r="C37"/>
  <c r="E36" a="1"/>
  <c r="E36" s="1"/>
  <c r="I36" i="23" a="1"/>
  <c r="I36" s="1"/>
  <c r="C37"/>
  <c r="E36" a="1"/>
  <c r="E36" s="1"/>
  <c r="E39" i="6" a="1"/>
  <c r="E39" s="1"/>
  <c r="I39" a="1"/>
  <c r="I39" s="1"/>
  <c r="I37" i="13" a="1"/>
  <c r="I37" s="1"/>
  <c r="E37" a="1"/>
  <c r="E37" s="1"/>
  <c r="E39" i="5" a="1"/>
  <c r="E39" s="1"/>
  <c r="I39" a="1"/>
  <c r="I39" s="1"/>
  <c r="C37" i="19"/>
  <c r="E36" a="1"/>
  <c r="E36" s="1"/>
  <c r="I36" a="1"/>
  <c r="I36" s="1"/>
  <c r="I39" i="17" a="1"/>
  <c r="I39" s="1"/>
  <c r="E39" a="1"/>
  <c r="E39" s="1"/>
  <c r="D38" i="4"/>
  <c r="D35" i="11"/>
  <c r="D38" i="16"/>
  <c r="I38" i="29" a="1"/>
  <c r="I38" s="1"/>
  <c r="C39"/>
  <c r="E38" a="1"/>
  <c r="E38" s="1"/>
  <c r="I36" i="11" a="1"/>
  <c r="I36" s="1"/>
  <c r="C37"/>
  <c r="E36" a="1"/>
  <c r="E36" s="1"/>
  <c r="I37" i="7" a="1"/>
  <c r="I37" s="1"/>
  <c r="E37" a="1"/>
  <c r="E37" s="1"/>
  <c r="I39" i="16" a="1"/>
  <c r="I39" s="1"/>
  <c r="E39" a="1"/>
  <c r="E39" s="1"/>
  <c r="I37" i="14" a="1"/>
  <c r="I37" s="1"/>
  <c r="E37" a="1"/>
  <c r="E37" s="1"/>
  <c r="I38" i="21" a="1"/>
  <c r="I38" s="1"/>
  <c r="C39"/>
  <c r="E38" a="1"/>
  <c r="E38" s="1"/>
  <c r="D36" i="13"/>
  <c r="D36" i="10"/>
  <c r="D38" i="5"/>
  <c r="D38" i="17"/>
  <c r="D39" i="34" l="1"/>
  <c r="D36" i="11"/>
  <c r="D37" i="13"/>
  <c r="D36" i="26"/>
  <c r="D37" i="14"/>
  <c r="I37" i="28" a="1"/>
  <c r="I37" s="1"/>
  <c r="D37" s="1"/>
  <c r="E37" a="1"/>
  <c r="E37" s="1"/>
  <c r="D36"/>
  <c r="D37" i="25"/>
  <c r="D37" i="24"/>
  <c r="I37" i="9" a="1"/>
  <c r="I37" s="1"/>
  <c r="E37" a="1"/>
  <c r="E37" s="1"/>
  <c r="D36"/>
  <c r="E37" i="15" a="1"/>
  <c r="E37" s="1"/>
  <c r="I37" a="1"/>
  <c r="I37" s="1"/>
  <c r="D36" i="19"/>
  <c r="D38" i="21"/>
  <c r="D38" i="29"/>
  <c r="D38" i="18"/>
  <c r="E39" i="21" a="1"/>
  <c r="E39" s="1"/>
  <c r="I39" a="1"/>
  <c r="I39" s="1"/>
  <c r="E39" i="29" a="1"/>
  <c r="E39" s="1"/>
  <c r="I39" a="1"/>
  <c r="I39" s="1"/>
  <c r="E39" i="18" a="1"/>
  <c r="E39" s="1"/>
  <c r="I39" a="1"/>
  <c r="I39" s="1"/>
  <c r="D37" i="7"/>
  <c r="D39" i="17"/>
  <c r="D39" i="5"/>
  <c r="D39" i="6"/>
  <c r="D36" i="23"/>
  <c r="D37" i="10"/>
  <c r="E37" i="19" a="1"/>
  <c r="E37" s="1"/>
  <c r="I37" a="1"/>
  <c r="I37" s="1"/>
  <c r="E37" i="23" a="1"/>
  <c r="E37" s="1"/>
  <c r="I37" a="1"/>
  <c r="I37" s="1"/>
  <c r="E37" i="11" a="1"/>
  <c r="E37" s="1"/>
  <c r="I37" a="1"/>
  <c r="I37" s="1"/>
  <c r="E37" i="26" a="1"/>
  <c r="E37" s="1"/>
  <c r="I37" a="1"/>
  <c r="I37" s="1"/>
  <c r="D39" i="16"/>
  <c r="D39" i="4"/>
  <c r="D37" i="9" l="1"/>
  <c r="D37" i="11"/>
  <c r="D37" i="19"/>
  <c r="D39" i="18"/>
  <c r="D39" i="21"/>
  <c r="D37" i="15"/>
  <c r="D37" i="26"/>
  <c r="D39" i="29"/>
  <c r="D37" i="23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  <family val="2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  <family val="2"/>
          </rPr>
          <t>Insert value of any special bonuses your player has earned.
Be sure to do this in increments of 10,000.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J10" authorId="0">
      <text>
        <r>
          <rPr>
            <sz val="10"/>
            <color rgb="FF000000"/>
            <rFont val="Arial"/>
          </rPr>
          <t>Patrick, Please fill in skill prior to you next game. I updated your roster to reflect our game. - Trever
	-Trever Leikam
Oh, and update the match sheet with your skill selection. Thanks.
	-Trever Leikam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8" authorId="0">
      <text>
        <r>
          <rPr>
            <sz val="10"/>
            <color rgb="FF000000"/>
            <rFont val="Arial"/>
          </rPr>
          <t>Cost includes purchase of Grotty, who must be purchased alongside Brick Far'th.</t>
        </r>
      </text>
    </comment>
    <comment ref="A24" authorId="0">
      <text>
        <r>
          <rPr>
            <sz val="10"/>
            <color rgb="FF000000"/>
            <rFont val="Arial"/>
          </rPr>
          <t>Cost includes purchase of Brick Far'th, who must be purchased alongside Grotty.</t>
        </r>
      </text>
    </comment>
    <comment ref="A45" authorId="0">
      <text>
        <r>
          <rPr>
            <sz val="10"/>
            <color rgb="FF000000"/>
            <rFont val="Arial"/>
          </rPr>
          <t>Cost includes Valen the Swift, who must be bought alongside Lucien.</t>
        </r>
      </text>
    </comment>
    <comment ref="A64" authorId="0">
      <text>
        <r>
          <rPr>
            <sz val="10"/>
            <color rgb="FF000000"/>
            <rFont val="Arial"/>
          </rPr>
          <t>Cost includes Lucien the Swift, who must be bought alongside Valen.</t>
        </r>
      </text>
    </comment>
  </commentList>
</comments>
</file>

<file path=xl/sharedStrings.xml><?xml version="1.0" encoding="utf-8"?>
<sst xmlns="http://schemas.openxmlformats.org/spreadsheetml/2006/main" count="5305" uniqueCount="934">
  <si>
    <t>Race</t>
  </si>
  <si>
    <t>Stat Injuries</t>
  </si>
  <si>
    <t>Terrorwood Tyrants</t>
  </si>
  <si>
    <t>Chaos</t>
  </si>
  <si>
    <t>#</t>
  </si>
  <si>
    <t>Player Name</t>
  </si>
  <si>
    <t>Skills</t>
  </si>
  <si>
    <t>MA</t>
  </si>
  <si>
    <t>ST</t>
  </si>
  <si>
    <t>AG</t>
  </si>
  <si>
    <t>AV</t>
  </si>
  <si>
    <t>TD</t>
  </si>
  <si>
    <t>MVP</t>
  </si>
  <si>
    <t>SPP</t>
  </si>
  <si>
    <t>Type</t>
  </si>
  <si>
    <t>Kveland Krackens</t>
  </si>
  <si>
    <t>Starting Skills</t>
  </si>
  <si>
    <t>Norse</t>
  </si>
  <si>
    <t>Sylvania Crosses</t>
  </si>
  <si>
    <t>Improvements</t>
  </si>
  <si>
    <t>M</t>
  </si>
  <si>
    <t>The Art of War</t>
  </si>
  <si>
    <t>Chaos Dwarf</t>
  </si>
  <si>
    <t>N</t>
  </si>
  <si>
    <t>Black Horns</t>
  </si>
  <si>
    <t>S</t>
  </si>
  <si>
    <t>Byrchwood Blodgers</t>
  </si>
  <si>
    <t>Phillip</t>
  </si>
  <si>
    <t>R</t>
  </si>
  <si>
    <t>Crimson Lords</t>
  </si>
  <si>
    <t>Int</t>
  </si>
  <si>
    <t>The Walking Dead</t>
  </si>
  <si>
    <t>Undead</t>
  </si>
  <si>
    <t>Comp</t>
  </si>
  <si>
    <t>Cas</t>
  </si>
  <si>
    <t>Kills</t>
  </si>
  <si>
    <t>Fouls</t>
  </si>
  <si>
    <t>Low Standards</t>
  </si>
  <si>
    <t>Value</t>
  </si>
  <si>
    <t>The Moot Points</t>
  </si>
  <si>
    <t>Joe R</t>
  </si>
  <si>
    <t>Halfling</t>
  </si>
  <si>
    <t>Total</t>
  </si>
  <si>
    <t>Base Cost</t>
  </si>
  <si>
    <t>Bloody Wankers</t>
  </si>
  <si>
    <t>D</t>
  </si>
  <si>
    <t>Gold Diggers</t>
  </si>
  <si>
    <t>x</t>
  </si>
  <si>
    <t>Camelot Killers</t>
  </si>
  <si>
    <t>Fan Factor</t>
  </si>
  <si>
    <t>Knight of the Vampires</t>
  </si>
  <si>
    <t>Other</t>
  </si>
  <si>
    <t>Upkeep</t>
  </si>
  <si>
    <t>TREASURY TRACKING</t>
  </si>
  <si>
    <t>GAME TRACKING</t>
  </si>
  <si>
    <t>Simyin</t>
  </si>
  <si>
    <t>Fink Foulers</t>
  </si>
  <si>
    <t>Skaven</t>
  </si>
  <si>
    <t>Silver Tower Guardians</t>
  </si>
  <si>
    <t>Blood Mountain Berserkers</t>
  </si>
  <si>
    <t>Chaos Pact</t>
  </si>
  <si>
    <t>Dark Elf</t>
  </si>
  <si>
    <t>Quixotic Crushers</t>
  </si>
  <si>
    <t>Bretonnian</t>
  </si>
  <si>
    <t>Orc</t>
  </si>
  <si>
    <t>The Flying Circus</t>
  </si>
  <si>
    <t>Nurgle</t>
  </si>
  <si>
    <t>Gygax</t>
  </si>
  <si>
    <t>Lineman</t>
  </si>
  <si>
    <t>After Team Build</t>
  </si>
  <si>
    <t>Initial Fan Factor</t>
  </si>
  <si>
    <t>Koch</t>
  </si>
  <si>
    <t>Game</t>
  </si>
  <si>
    <t>Winnings</t>
  </si>
  <si>
    <t>Purchases</t>
  </si>
  <si>
    <t>Exp Mistakes</t>
  </si>
  <si>
    <t>Opponent</t>
  </si>
  <si>
    <t>Win/Tie/Loss?</t>
  </si>
  <si>
    <t>Touchdowns</t>
  </si>
  <si>
    <t>Zombie</t>
  </si>
  <si>
    <t>Cas Caused</t>
  </si>
  <si>
    <t>Bloomberg</t>
  </si>
  <si>
    <t>Guard</t>
  </si>
  <si>
    <t>G1</t>
  </si>
  <si>
    <t>Win</t>
  </si>
  <si>
    <t>Walton</t>
  </si>
  <si>
    <t>G2</t>
  </si>
  <si>
    <t>Tie</t>
  </si>
  <si>
    <t>Rockefeller</t>
  </si>
  <si>
    <t>Kick</t>
  </si>
  <si>
    <t>G3</t>
  </si>
  <si>
    <t>Th Art of War</t>
  </si>
  <si>
    <t>Carnegie</t>
  </si>
  <si>
    <t>Skeleton</t>
  </si>
  <si>
    <t>G4</t>
  </si>
  <si>
    <t>Morgan</t>
  </si>
  <si>
    <t>G5</t>
  </si>
  <si>
    <t>Ghoul</t>
  </si>
  <si>
    <t>Vanderbilt</t>
  </si>
  <si>
    <t>G6</t>
  </si>
  <si>
    <t>Gates</t>
  </si>
  <si>
    <t>Blitzer</t>
  </si>
  <si>
    <t>G7</t>
  </si>
  <si>
    <t>Dodge</t>
  </si>
  <si>
    <t xml:space="preserve">Zuckerberg </t>
  </si>
  <si>
    <t>G8</t>
  </si>
  <si>
    <t>Wight</t>
  </si>
  <si>
    <t>Buffet</t>
  </si>
  <si>
    <t>Thrower</t>
  </si>
  <si>
    <t>PO1</t>
  </si>
  <si>
    <t>PO2</t>
  </si>
  <si>
    <t>Mummy</t>
  </si>
  <si>
    <t>Trump</t>
  </si>
  <si>
    <t>Catcher</t>
  </si>
  <si>
    <t>PO3</t>
  </si>
  <si>
    <t>PO4</t>
  </si>
  <si>
    <t>VALUE OF AVAILABLE PLAYERS:</t>
  </si>
  <si>
    <t>TEAM NAME</t>
  </si>
  <si>
    <t>Golden Gluttons</t>
  </si>
  <si>
    <t>RE-ROLLS</t>
  </si>
  <si>
    <t>Dying to Win</t>
  </si>
  <si>
    <t>Next Season Starting Treasury</t>
  </si>
  <si>
    <t>FAN FACTOR</t>
  </si>
  <si>
    <t>Ending Treasury</t>
  </si>
  <si>
    <t>ASSISTANT COACHES</t>
  </si>
  <si>
    <t>Games Played</t>
  </si>
  <si>
    <t>RACE</t>
  </si>
  <si>
    <t>High Elf</t>
  </si>
  <si>
    <t>CHEERLEADERS</t>
  </si>
  <si>
    <t>Aaron Mckinney</t>
  </si>
  <si>
    <t>Casualties</t>
  </si>
  <si>
    <t>TEAM VALUE</t>
  </si>
  <si>
    <t>HALFLING MASTER CHEF</t>
  </si>
  <si>
    <t>TREASURY</t>
  </si>
  <si>
    <t>BRIBES</t>
  </si>
  <si>
    <t>VALUE OF EXTRAS:</t>
  </si>
  <si>
    <t>Star: Hack Enslash</t>
  </si>
  <si>
    <t>Star: J Earlice</t>
  </si>
  <si>
    <t>Star: Ramtut III</t>
  </si>
  <si>
    <t>Star: Dolfar Longstride</t>
  </si>
  <si>
    <t>Star: Setekh</t>
  </si>
  <si>
    <t>Star: Sinnedbad</t>
  </si>
  <si>
    <t>Star: Eldril Sidewinder</t>
  </si>
  <si>
    <t>Star: Lucien the Swift</t>
  </si>
  <si>
    <t>Star: Morg'n'Thorg</t>
  </si>
  <si>
    <t>Star: Prince Moranion</t>
  </si>
  <si>
    <t>Star: Soaren Hightower</t>
  </si>
  <si>
    <t>Star: Valen the Swift</t>
  </si>
  <si>
    <t>Star: Zara the Slayer</t>
  </si>
  <si>
    <t>Jason Campbell</t>
  </si>
  <si>
    <t>Goblin</t>
  </si>
  <si>
    <t>Brain</t>
  </si>
  <si>
    <t>Gutter Runner</t>
  </si>
  <si>
    <t>Oden</t>
  </si>
  <si>
    <t>Yhetee</t>
  </si>
  <si>
    <t>Block</t>
  </si>
  <si>
    <t>Bruce Gradkowski</t>
  </si>
  <si>
    <t>Fenris</t>
  </si>
  <si>
    <t>Werewolf</t>
  </si>
  <si>
    <t>Intial FF</t>
  </si>
  <si>
    <t>Pinky</t>
  </si>
  <si>
    <t>Brady Quinn</t>
  </si>
  <si>
    <t>-MA</t>
  </si>
  <si>
    <t>Sneaky Git</t>
  </si>
  <si>
    <t>Block, Sprint, +MA, Sure Feet</t>
  </si>
  <si>
    <t>Freki</t>
  </si>
  <si>
    <t>Loss</t>
  </si>
  <si>
    <t>Jeff Garcia</t>
  </si>
  <si>
    <t>Expensive Mistakes</t>
  </si>
  <si>
    <t>TDs</t>
  </si>
  <si>
    <t>FF</t>
  </si>
  <si>
    <t>Rizzo</t>
  </si>
  <si>
    <t>Magni</t>
  </si>
  <si>
    <t xml:space="preserve">Kveland Krakens </t>
  </si>
  <si>
    <t>Brandon Weeden</t>
  </si>
  <si>
    <t>Stand Firm</t>
  </si>
  <si>
    <t>Freeman</t>
  </si>
  <si>
    <t>Colt McCoy</t>
  </si>
  <si>
    <t>Thor</t>
  </si>
  <si>
    <t>Junior</t>
  </si>
  <si>
    <t xml:space="preserve">Link'n Pahk 'Eadsplitta's </t>
  </si>
  <si>
    <t>Loki</t>
  </si>
  <si>
    <t>Dodge, +AG, +ST</t>
  </si>
  <si>
    <t>Roderick</t>
  </si>
  <si>
    <t>Rat Ogre</t>
  </si>
  <si>
    <t>Njord</t>
  </si>
  <si>
    <t>Diving Catch, +AG</t>
  </si>
  <si>
    <t>Remy</t>
  </si>
  <si>
    <t>Ran</t>
  </si>
  <si>
    <t>Robert Griffin III</t>
  </si>
  <si>
    <t>Doom Diver</t>
  </si>
  <si>
    <t>Sure Hands</t>
  </si>
  <si>
    <t>Balder</t>
  </si>
  <si>
    <t>Brian Hoyer</t>
  </si>
  <si>
    <t>Pogoer</t>
  </si>
  <si>
    <t>Joro</t>
  </si>
  <si>
    <t>Itchy</t>
  </si>
  <si>
    <t>Tim Couch</t>
  </si>
  <si>
    <t>Looney</t>
  </si>
  <si>
    <t>Wrestle</t>
  </si>
  <si>
    <t>-AG</t>
  </si>
  <si>
    <t>Jerry</t>
  </si>
  <si>
    <t>Cleaveland Steamers</t>
  </si>
  <si>
    <t>Gefjun</t>
  </si>
  <si>
    <t>Charlie Frye</t>
  </si>
  <si>
    <t>Fanatic</t>
  </si>
  <si>
    <t>Chuckie</t>
  </si>
  <si>
    <t>Eostra</t>
  </si>
  <si>
    <t>Derek Anderson v1.1</t>
  </si>
  <si>
    <t>Bomma</t>
  </si>
  <si>
    <t>Mappy</t>
  </si>
  <si>
    <t>Trent Dilfer</t>
  </si>
  <si>
    <t>Troll</t>
  </si>
  <si>
    <t>Break Tackle, Juggernaut</t>
  </si>
  <si>
    <t>Mr. Jingles</t>
  </si>
  <si>
    <t>Jake Delhomme</t>
  </si>
  <si>
    <t>Pro</t>
  </si>
  <si>
    <t>Fezglitch</t>
  </si>
  <si>
    <t>Tim Couch Chainsaw Casulties</t>
  </si>
  <si>
    <t>&lt;---- Nice!</t>
  </si>
  <si>
    <t>Chris Thomason</t>
  </si>
  <si>
    <t>Daniel Connors</t>
  </si>
  <si>
    <t>gp</t>
  </si>
  <si>
    <t>HEAD COACH</t>
  </si>
  <si>
    <t>ASS. COACHES</t>
  </si>
  <si>
    <t>APOTHECARY</t>
  </si>
  <si>
    <t>v 6.2.3</t>
  </si>
  <si>
    <t xml:space="preserve">Made by   Casper Hansen,   commish of </t>
  </si>
  <si>
    <t>Star: Fungus the Loon</t>
  </si>
  <si>
    <t>Star: Madcap Miggz</t>
  </si>
  <si>
    <t>Star: Nobbla Blackwart</t>
  </si>
  <si>
    <t>Star: Scrappa Sorehead</t>
  </si>
  <si>
    <t>Star: Helmut Wulf</t>
  </si>
  <si>
    <t>Star: Karla Von Kill</t>
  </si>
  <si>
    <t>Star: Wilhelm Chaney</t>
  </si>
  <si>
    <t>Star: Glart Smashrip Jr.</t>
  </si>
  <si>
    <t>Star: Glart Smashrip Sr.</t>
  </si>
  <si>
    <t>Star: Hakflem Skuttlespike</t>
  </si>
  <si>
    <t>Star: Headsplitter</t>
  </si>
  <si>
    <t>Star: Kreek Rustgouger</t>
  </si>
  <si>
    <t>Star: Skitter Stab-Stab</t>
  </si>
  <si>
    <t>Cyprus Copperbeard</t>
  </si>
  <si>
    <t>Blocker</t>
  </si>
  <si>
    <t>Barry the Butcher</t>
  </si>
  <si>
    <t>Beastman</t>
  </si>
  <si>
    <t>Artenel</t>
  </si>
  <si>
    <t>Argus Anvilbeard</t>
  </si>
  <si>
    <t>Mighty Blow, Claws</t>
  </si>
  <si>
    <t>Umerchiel</t>
  </si>
  <si>
    <t>Harvey the Berserker</t>
  </si>
  <si>
    <t>Farley Forgebeard</t>
  </si>
  <si>
    <t>Riasen</t>
  </si>
  <si>
    <t>Mighty Blow</t>
  </si>
  <si>
    <t>Guard, Dodge</t>
  </si>
  <si>
    <t>Nithariel</t>
  </si>
  <si>
    <t>Greg the Brawny</t>
  </si>
  <si>
    <t>Groum Slatebeard</t>
  </si>
  <si>
    <t>Dionan</t>
  </si>
  <si>
    <t>W 3-0</t>
  </si>
  <si>
    <t>Arthur the Bizarre</t>
  </si>
  <si>
    <t>Thorrun Ironbeard</t>
  </si>
  <si>
    <t>Hyandur</t>
  </si>
  <si>
    <t>Dodge, Block</t>
  </si>
  <si>
    <t>W 2-0</t>
  </si>
  <si>
    <t>Scott the Black</t>
  </si>
  <si>
    <t>Kveland Krakens</t>
  </si>
  <si>
    <t>W 3-1</t>
  </si>
  <si>
    <t>Corey the Brash</t>
  </si>
  <si>
    <t>Tarth Fizzbrew</t>
  </si>
  <si>
    <t>Runner</t>
  </si>
  <si>
    <t>Adaerion</t>
  </si>
  <si>
    <t>Dodge, AG+1</t>
  </si>
  <si>
    <t>Block, Kick, Kick Off Return</t>
  </si>
  <si>
    <t>W 1-0</t>
  </si>
  <si>
    <t>Redhelwar</t>
  </si>
  <si>
    <t>Alex the Blade</t>
  </si>
  <si>
    <t>Aberforth Dumbledwarf</t>
  </si>
  <si>
    <t>Dodge, Str+1</t>
  </si>
  <si>
    <t>Jermayan</t>
  </si>
  <si>
    <t>L 1-2</t>
  </si>
  <si>
    <t>Thorkun Gandwarf</t>
  </si>
  <si>
    <t>Tackle, Strip Ball</t>
  </si>
  <si>
    <t>Sandalon</t>
  </si>
  <si>
    <t>L 0-2</t>
  </si>
  <si>
    <t>Tokkul Ankleslicer</t>
  </si>
  <si>
    <t>Troll Slayer</t>
  </si>
  <si>
    <t>Juggernaut</t>
  </si>
  <si>
    <t>Fimbur Kneecracker Jr</t>
  </si>
  <si>
    <t>Andoreniel</t>
  </si>
  <si>
    <t>Leader</t>
  </si>
  <si>
    <t>Mike the Barbaric</t>
  </si>
  <si>
    <t>Chaos Warrior</t>
  </si>
  <si>
    <t>Beldin Goldenlaager</t>
  </si>
  <si>
    <t>Extra Arms</t>
  </si>
  <si>
    <t>Rick the Brutal</t>
  </si>
  <si>
    <t>David J Harshman</t>
  </si>
  <si>
    <t>Carl the Bloody</t>
  </si>
  <si>
    <t>Simon the Basher</t>
  </si>
  <si>
    <t>Frank the Behemoth</t>
  </si>
  <si>
    <t>Minotaur</t>
  </si>
  <si>
    <t>Loner</t>
  </si>
  <si>
    <t>Claws, Tentacles</t>
  </si>
  <si>
    <t>Dwarf</t>
  </si>
  <si>
    <t>Raudog Hammershoulder</t>
  </si>
  <si>
    <t>Zudruiad Grayfist</t>
  </si>
  <si>
    <t>Star: Boomer Eziasson</t>
  </si>
  <si>
    <t>Star: Flint Churnblade</t>
  </si>
  <si>
    <t>Star: Grim Ironjaw</t>
  </si>
  <si>
    <t>Akubegg Coalforge</t>
  </si>
  <si>
    <t>Star: Grashnak Blackhoof</t>
  </si>
  <si>
    <t>Star: Grotty</t>
  </si>
  <si>
    <t>Star: Guffle Pusmaw</t>
  </si>
  <si>
    <t>Star: Lewdgrip Whiparm</t>
  </si>
  <si>
    <t>Star: Lord Borak the Despoiler</t>
  </si>
  <si>
    <t>Star: Max Spleenripper</t>
  </si>
  <si>
    <t>Thrurdragg Copperfoot</t>
  </si>
  <si>
    <t>Thoiord Silverhammer</t>
  </si>
  <si>
    <t>Bert Wheinworn</t>
  </si>
  <si>
    <t>Derderbar Plaingrip</t>
  </si>
  <si>
    <t>Lord Joshua Pvortis</t>
  </si>
  <si>
    <t>Vampire</t>
  </si>
  <si>
    <t>Block, +ST</t>
  </si>
  <si>
    <t>Akageg Flatcloak</t>
  </si>
  <si>
    <t>Ivd Waidmuller</t>
  </si>
  <si>
    <t>Count Russel Wilhelms</t>
  </si>
  <si>
    <t>Runrakic Disantram</t>
  </si>
  <si>
    <t>Duke James Graham</t>
  </si>
  <si>
    <t>Rienhard Wilpert</t>
  </si>
  <si>
    <t>Baron Cassius March</t>
  </si>
  <si>
    <t>Wrestle, -AG</t>
  </si>
  <si>
    <t>Loss.</t>
  </si>
  <si>
    <t>Gaston Fleichhacker</t>
  </si>
  <si>
    <t>Roger Biscof</t>
  </si>
  <si>
    <t>Kim Chancellor</t>
  </si>
  <si>
    <t>Thrall</t>
  </si>
  <si>
    <t>Maximilian Unger</t>
  </si>
  <si>
    <t>Ougrim Runla</t>
  </si>
  <si>
    <t>-</t>
  </si>
  <si>
    <t>Robert Wagner</t>
  </si>
  <si>
    <t>+ST, Mighty Blow</t>
  </si>
  <si>
    <t>Aldin Kia</t>
  </si>
  <si>
    <t>Raban Kruger</t>
  </si>
  <si>
    <t>Mighty Blow, Piling On</t>
  </si>
  <si>
    <t>Gregori Scuggs</t>
  </si>
  <si>
    <t>Tackle</t>
  </si>
  <si>
    <t>Dorin Redkin</t>
  </si>
  <si>
    <t>Arnoid Stoiber</t>
  </si>
  <si>
    <t>Clifford Avril</t>
  </si>
  <si>
    <t>Block, Fend, Dodge, +MV</t>
  </si>
  <si>
    <t>Grismondo Kissing</t>
  </si>
  <si>
    <t>Darren Fel</t>
  </si>
  <si>
    <t>Dodge, Mighty Blow</t>
  </si>
  <si>
    <t>Heimer Eichmann</t>
  </si>
  <si>
    <t>Percival Harvin</t>
  </si>
  <si>
    <t>Flagg Thorin</t>
  </si>
  <si>
    <t>Sylvania Suckhawks</t>
  </si>
  <si>
    <t>Gotthard Schotten</t>
  </si>
  <si>
    <t>Accurate, Fend</t>
  </si>
  <si>
    <t>Kunibert Scheibel</t>
  </si>
  <si>
    <t>Accurate, Strong Arm</t>
  </si>
  <si>
    <t>Dod Frothmaul</t>
  </si>
  <si>
    <t>Ogre</t>
  </si>
  <si>
    <t>Human</t>
  </si>
  <si>
    <t>Star: Crazy Igor</t>
  </si>
  <si>
    <t>Jo My'uhs</t>
  </si>
  <si>
    <t>Clark Kentwood</t>
  </si>
  <si>
    <t>Treeman</t>
  </si>
  <si>
    <t>Break Tackle</t>
  </si>
  <si>
    <t>Star: Griff Oberwald</t>
  </si>
  <si>
    <t>Star: Mighty Zug</t>
  </si>
  <si>
    <t>Ah'dum Men'deh</t>
  </si>
  <si>
    <t>Spruice Banner</t>
  </si>
  <si>
    <t>Dayv Zimma'mun</t>
  </si>
  <si>
    <t>Bruce Wyne</t>
  </si>
  <si>
    <t>Hopeful</t>
  </si>
  <si>
    <t>WIN</t>
  </si>
  <si>
    <t>Berry Allen</t>
  </si>
  <si>
    <t>Rye'un Dav'us</t>
  </si>
  <si>
    <t>TIE</t>
  </si>
  <si>
    <t>Ted Korn</t>
  </si>
  <si>
    <t>Tym Geh'bo'lys</t>
  </si>
  <si>
    <t>Peasants Lads, Peasants!</t>
  </si>
  <si>
    <t>LOSS</t>
  </si>
  <si>
    <t>Michael Jon Custard</t>
  </si>
  <si>
    <t>Sure Feet, Sprint</t>
  </si>
  <si>
    <t>Thor Odinsoup</t>
  </si>
  <si>
    <t>Arthur Curry</t>
  </si>
  <si>
    <t>Nest'ah San'chez</t>
  </si>
  <si>
    <t>Bisquey Batson</t>
  </si>
  <si>
    <t>Rhy'ch MacIn'tyre</t>
  </si>
  <si>
    <t>Tony Starch</t>
  </si>
  <si>
    <t>LoCal</t>
  </si>
  <si>
    <t>Hal Gourdon</t>
  </si>
  <si>
    <t>Bran'dun Pow'uhs</t>
  </si>
  <si>
    <t>Black Orc Blocker</t>
  </si>
  <si>
    <t>Hank McSoy</t>
  </si>
  <si>
    <t>"Big" Jih'mmy Lik'lit'r</t>
  </si>
  <si>
    <t>J'onn J'uice</t>
  </si>
  <si>
    <t>Myk 'Ensley</t>
  </si>
  <si>
    <t>Mahr'cell Mylls</t>
  </si>
  <si>
    <t>Joe Roberts</t>
  </si>
  <si>
    <t>Kendal Bowser</t>
  </si>
  <si>
    <t>Star: Ugroth Bolgrot</t>
  </si>
  <si>
    <t>Star: Varag Ghoul-Chewer</t>
  </si>
  <si>
    <t>Star: Buggy Baconbreath</t>
  </si>
  <si>
    <t>Star: Deeproot Strongbranch</t>
  </si>
  <si>
    <t>Star: Willow Rosebark</t>
  </si>
  <si>
    <t>Lord Haverforth</t>
  </si>
  <si>
    <t>Don Quixote</t>
  </si>
  <si>
    <t>Dodge, Sidestep, +AG, Leap</t>
  </si>
  <si>
    <t>Don Guerrero</t>
  </si>
  <si>
    <t>Lord Ravenholm</t>
  </si>
  <si>
    <t>Dodge, Sidestep, Leap, +AG</t>
  </si>
  <si>
    <t>Captain Carrot</t>
  </si>
  <si>
    <t>Yeoman</t>
  </si>
  <si>
    <t>Lord Pilkington</t>
  </si>
  <si>
    <t>Sir Robin</t>
  </si>
  <si>
    <t>Sancho</t>
  </si>
  <si>
    <t>Pudgy</t>
  </si>
  <si>
    <t>Filth</t>
  </si>
  <si>
    <t>Mort</t>
  </si>
  <si>
    <t>King Arthur</t>
  </si>
  <si>
    <t>Scum</t>
  </si>
  <si>
    <t>+MA</t>
  </si>
  <si>
    <t>Bilge</t>
  </si>
  <si>
    <t>Sir Lancelot</t>
  </si>
  <si>
    <t>El cid</t>
  </si>
  <si>
    <t>Guard, +AG</t>
  </si>
  <si>
    <t>Moist</t>
  </si>
  <si>
    <t>Sir Bedevere</t>
  </si>
  <si>
    <t>Jack Boot</t>
  </si>
  <si>
    <t>Portly</t>
  </si>
  <si>
    <t>Nobby Nobbs</t>
  </si>
  <si>
    <t>Dirt</t>
  </si>
  <si>
    <t>Dennis</t>
  </si>
  <si>
    <t>Samuel Vimes</t>
  </si>
  <si>
    <t>+AG</t>
  </si>
  <si>
    <t>Mud</t>
  </si>
  <si>
    <t>Patsy</t>
  </si>
  <si>
    <t>Concorde</t>
  </si>
  <si>
    <t>Maynard</t>
  </si>
  <si>
    <t>Tim</t>
  </si>
  <si>
    <t>Roger</t>
  </si>
  <si>
    <t>Matthew Quinn</t>
  </si>
  <si>
    <t>rolled 11 for lvl up</t>
  </si>
  <si>
    <t xml:space="preserve"> +AG</t>
  </si>
  <si>
    <t>Strong Arm</t>
  </si>
  <si>
    <t>requires game1 spp add</t>
  </si>
  <si>
    <t xml:space="preserve">Ripper </t>
  </si>
  <si>
    <t>Star: Ripper Bolgrot</t>
  </si>
  <si>
    <t>Ooligan</t>
  </si>
  <si>
    <t>Squiggaly Squishas'</t>
  </si>
  <si>
    <t>Nicholas J. Milberger</t>
  </si>
  <si>
    <t>Nicholas J Milberger</t>
  </si>
  <si>
    <t>Payton</t>
  </si>
  <si>
    <t>Kraneia</t>
  </si>
  <si>
    <t>Jamie</t>
  </si>
  <si>
    <t>Balanos</t>
  </si>
  <si>
    <t>+AG, Block</t>
  </si>
  <si>
    <t>Meliae</t>
  </si>
  <si>
    <t>Jessie</t>
  </si>
  <si>
    <t>Kissiae</t>
  </si>
  <si>
    <t>Block, Side Step</t>
  </si>
  <si>
    <t>W 2-1</t>
  </si>
  <si>
    <t>Cameron</t>
  </si>
  <si>
    <t>Kvenland Krakens</t>
  </si>
  <si>
    <t>Epimeliades</t>
  </si>
  <si>
    <t>Eidothea</t>
  </si>
  <si>
    <t>Sam</t>
  </si>
  <si>
    <t>Celeblasdaer</t>
  </si>
  <si>
    <t>Block, +MA</t>
  </si>
  <si>
    <t>L1-2</t>
  </si>
  <si>
    <t>Drew</t>
  </si>
  <si>
    <t>Carasdir</t>
  </si>
  <si>
    <t>Sure Feet, +MA</t>
  </si>
  <si>
    <t>L 3-1</t>
  </si>
  <si>
    <t>Jordan</t>
  </si>
  <si>
    <t>(Normal Skill)</t>
  </si>
  <si>
    <t>Cleaveland Streamers</t>
  </si>
  <si>
    <t>Linewoman</t>
  </si>
  <si>
    <t>Dead</t>
  </si>
  <si>
    <t>Blake</t>
  </si>
  <si>
    <t>Edolmir</t>
  </si>
  <si>
    <t>Wardancer</t>
  </si>
  <si>
    <t>Dauntless, Jump Up</t>
  </si>
  <si>
    <t>Bobbie</t>
  </si>
  <si>
    <t>Syndrron</t>
  </si>
  <si>
    <t>Pinnochionose</t>
  </si>
  <si>
    <t>Alex</t>
  </si>
  <si>
    <t>Wood Elf</t>
  </si>
  <si>
    <t>Phillip Ponzer</t>
  </si>
  <si>
    <t>Amazon</t>
  </si>
  <si>
    <t>Star: Jordell Fleshbreeze</t>
  </si>
  <si>
    <t>Patrick Morrissey</t>
  </si>
  <si>
    <t>Manfred von Richthofen</t>
  </si>
  <si>
    <t>Beast</t>
  </si>
  <si>
    <t>Star: Roxanna Darknall</t>
  </si>
  <si>
    <t>Rene Fonck</t>
  </si>
  <si>
    <t>Warrior</t>
  </si>
  <si>
    <t>Adolphe Pegoud</t>
  </si>
  <si>
    <t>Albert Ball</t>
  </si>
  <si>
    <t>Tex Hill</t>
  </si>
  <si>
    <t>Billy Bishop</t>
  </si>
  <si>
    <t>Pestigor</t>
  </si>
  <si>
    <t>Khousset Heavyguard</t>
  </si>
  <si>
    <t>Indra Lal Roy</t>
  </si>
  <si>
    <t>Therreth Muddelver</t>
  </si>
  <si>
    <t>Edward Mannock</t>
  </si>
  <si>
    <t>Rotter</t>
  </si>
  <si>
    <t>William R. Dunn</t>
  </si>
  <si>
    <t>Dorarmog Battlegrog</t>
  </si>
  <si>
    <t>Gerhard Barkhorn</t>
  </si>
  <si>
    <t>Giora Epstein</t>
  </si>
  <si>
    <t>Dalongrag Beastbrewer</t>
  </si>
  <si>
    <t>The Black Horns</t>
  </si>
  <si>
    <t>Dareghir Plateforged</t>
  </si>
  <si>
    <t>Durikgren Chainback</t>
  </si>
  <si>
    <t>Dalotac Minebreaker</t>
  </si>
  <si>
    <t>Ursim Hammertoe</t>
  </si>
  <si>
    <t>Randy Cummins</t>
  </si>
  <si>
    <t>Noraterlug Warmhelm</t>
  </si>
  <si>
    <t>Dodden Bitterhorn</t>
  </si>
  <si>
    <t>Russell Parks</t>
  </si>
  <si>
    <t>Shane Foulco</t>
  </si>
  <si>
    <t>Accurate</t>
  </si>
  <si>
    <t>Clifford Franklin, Jr.</t>
  </si>
  <si>
    <t>Earl Wilkinson</t>
  </si>
  <si>
    <t>Guard, + AG</t>
  </si>
  <si>
    <t>Danny Bateman</t>
  </si>
  <si>
    <t>Guard, Mighty Blow</t>
  </si>
  <si>
    <t>Walter Cochran, Jr.</t>
  </si>
  <si>
    <t>Brian Murphy</t>
  </si>
  <si>
    <t>Jumbo Fumiko, Jr.</t>
  </si>
  <si>
    <t>Block, Break Tackle</t>
  </si>
  <si>
    <t>Andre Jackson</t>
  </si>
  <si>
    <t>Jamal Jackson</t>
  </si>
  <si>
    <t>Dwight Edwards</t>
  </si>
  <si>
    <t>Malcom La Mont</t>
  </si>
  <si>
    <t>Hershel "Doc" Greene</t>
  </si>
  <si>
    <t>Don Weiters, Jr.</t>
  </si>
  <si>
    <t>Block, Guard</t>
  </si>
  <si>
    <t>"Sensei" Eastman</t>
  </si>
  <si>
    <t>Match #</t>
  </si>
  <si>
    <t>Joe Roberts - Link'n Pahk 'eadsplita's</t>
  </si>
  <si>
    <t>Merle "The Stump" Dixon</t>
  </si>
  <si>
    <t>Nigel Gruff</t>
  </si>
  <si>
    <t>Flagg Thorin - Crimson Lords</t>
  </si>
  <si>
    <t>Tyreese "Hammer" Williams</t>
  </si>
  <si>
    <t>Accurate, Kick</t>
  </si>
  <si>
    <t>Shane "The Tool" Walsh</t>
  </si>
  <si>
    <t>The Replacements</t>
  </si>
  <si>
    <t>Glen "Too Soon" Rhee</t>
  </si>
  <si>
    <t>Trever Leikam</t>
  </si>
  <si>
    <t>Block, Catch</t>
  </si>
  <si>
    <t>Abraham "The Leach" Ford</t>
  </si>
  <si>
    <t>Bob "Smiles" Stookey</t>
  </si>
  <si>
    <t>Leader, Sure Hands</t>
  </si>
  <si>
    <t>Maverick Glorius</t>
  </si>
  <si>
    <t>Patthor</t>
  </si>
  <si>
    <t>Sophia Peletier</t>
  </si>
  <si>
    <t>Thar Runbek</t>
  </si>
  <si>
    <t>Barlin Runbek</t>
  </si>
  <si>
    <t>Dwight D. Eisenhower</t>
  </si>
  <si>
    <t>George S. Patton</t>
  </si>
  <si>
    <t>Omar Bradley</t>
  </si>
  <si>
    <t>Chris Thomason - Cleaveland Streamers</t>
  </si>
  <si>
    <t>George Marshall</t>
  </si>
  <si>
    <t>Patrick Morrissey - Sylvania Crosses</t>
  </si>
  <si>
    <t>Douglass MacArthur</t>
  </si>
  <si>
    <t>Aaron Mckinney - Golden Gluttons</t>
  </si>
  <si>
    <t>Mark W. Clark</t>
  </si>
  <si>
    <t>Phillip Ponzer - Byrchwood Blodgers</t>
  </si>
  <si>
    <t>Ira C. Eaker</t>
  </si>
  <si>
    <t>Bull Centaur</t>
  </si>
  <si>
    <t>Carl Spaatz</t>
  </si>
  <si>
    <t>Harry S. Truman</t>
  </si>
  <si>
    <t>Ernest King</t>
  </si>
  <si>
    <t>Hobgoblin</t>
  </si>
  <si>
    <t>Chester W. Nimitz</t>
  </si>
  <si>
    <t>Name</t>
  </si>
  <si>
    <t>Paired With</t>
  </si>
  <si>
    <t>Rostered By</t>
  </si>
  <si>
    <t>Elf</t>
  </si>
  <si>
    <t>Khemri</t>
  </si>
  <si>
    <t>Daemons of Khorne</t>
  </si>
  <si>
    <t>Lizardman</t>
  </si>
  <si>
    <t>Necromantic</t>
  </si>
  <si>
    <t>Slann</t>
  </si>
  <si>
    <t>Underworld</t>
  </si>
  <si>
    <t>Cost</t>
  </si>
  <si>
    <t>Barik Farblast</t>
  </si>
  <si>
    <t>X</t>
  </si>
  <si>
    <t>Loner, Hail Mary Pass, Pass, Secret Weapon, Strong Arm, Sure Hands, Thick Skull</t>
  </si>
  <si>
    <t>Bertha Bigfist</t>
  </si>
  <si>
    <t>Loner, Bone-Head, Break Tackle, Dodge, Mighty Blow, Thick Skull, Throw Team-Mate</t>
  </si>
  <si>
    <t>Bo Gallante</t>
  </si>
  <si>
    <t>Loner, Dodge, Side Step, Sprint, Sure Feet</t>
  </si>
  <si>
    <t>William Halsey Jr.</t>
  </si>
  <si>
    <t>Bomber Dribblesnot</t>
  </si>
  <si>
    <t>Loner, Accurate, Bombardier, Dodge, Right Stuff, Secret Weapon, Stunty</t>
  </si>
  <si>
    <t>Boomer Eziasson</t>
  </si>
  <si>
    <t>Loner, Accurate, Block, Bombardier, Secret Weapon, Thick Skull</t>
  </si>
  <si>
    <t>Brick Far'th</t>
  </si>
  <si>
    <t>Grotty</t>
  </si>
  <si>
    <t>Loner, Bone-Head, Mighty Blow, Nerves of Steel, Strong Arm, Thick Skull, Throw Team-Mate</t>
  </si>
  <si>
    <t>Buggy Baconbreath</t>
  </si>
  <si>
    <t>Loner, Block, Dodge, Nerves of Steel, Right Stuff, Stunty</t>
  </si>
  <si>
    <t>Count Luther Von Drakenborg</t>
  </si>
  <si>
    <t>Loner, Block, Hypnotic Gaze, Regeneration, Side Step</t>
  </si>
  <si>
    <t>Crazy Igor</t>
  </si>
  <si>
    <t>Loner, Dauntless, Regeneration, Thick Skull (Can be bitten as a Thrall)</t>
  </si>
  <si>
    <t>Deeproot Strongbranch</t>
  </si>
  <si>
    <t>Loner, Block, Mighty Blow, Stand Firm, Strong Arm, Thick Skull, Throw Team-Mate</t>
  </si>
  <si>
    <t>Frank Jack Fletcher</t>
  </si>
  <si>
    <t>Dolfar Longstride</t>
  </si>
  <si>
    <t>Loner, Diving Catch, Hail Mary Pass, Kick, Kick Off Return, Pass Block</t>
  </si>
  <si>
    <t>Eldril Sidewinder</t>
  </si>
  <si>
    <t>Loner, Catch, Dodge, Hypnotic Gaze, Nerves of Steel, Pass Block</t>
  </si>
  <si>
    <t>Loner, Ball &amp; Chain, Disturbing Presence, Foul Appearance, No Hands, Secret Weapon</t>
  </si>
  <si>
    <t>Flint Churnblade</t>
  </si>
  <si>
    <t>Loner, Block, Chainsaw, Secret Weapon, Thick Skull</t>
  </si>
  <si>
    <t>Fungus the Loon</t>
  </si>
  <si>
    <t>Loner, Ball &amp; Chain, Mighty Blow, No Hands, Secret Weapon, Stunty</t>
  </si>
  <si>
    <t>Furious George</t>
  </si>
  <si>
    <t>Loner, Catch, Dodge, Extra Arms, Pass Block, Strip Ball, Wrestle</t>
  </si>
  <si>
    <t>Glart Smashrip Jr.</t>
  </si>
  <si>
    <t>Loner, Block, Claw, Juggernaut</t>
  </si>
  <si>
    <t>Glart Smashrip Sr.</t>
  </si>
  <si>
    <t>Loner, Block, Claw, Grab, Juggernaut, Sure Feet</t>
  </si>
  <si>
    <t>Grashnak Blackhoof</t>
  </si>
  <si>
    <t>Loner, Frenzy, Horn, Mighty Blow, Thick Skull</t>
  </si>
  <si>
    <t>Griff Oberwald</t>
  </si>
  <si>
    <t>Loner, Block, Dodge, Fend, Sprint, Sure Feet</t>
  </si>
  <si>
    <t>Grim Ironjaw</t>
  </si>
  <si>
    <t>Loner, Block, Dauntless, Frenzy, Multiple Block, Thick Skull</t>
  </si>
  <si>
    <t>Loner, Dodge, Right Stuff, Stunty</t>
  </si>
  <si>
    <t>Guffle Pusmaw</t>
  </si>
  <si>
    <t>Loner, Foul Appearance, Monstrous Mouth, Nurgle's Rot</t>
  </si>
  <si>
    <t>Hack Enslash</t>
  </si>
  <si>
    <t>Loner, Chainsaw, Regeneration, Secret Weapon, Side Step</t>
  </si>
  <si>
    <t>Hakflem Skuttlespike</t>
  </si>
  <si>
    <t>Loner, Dodge, Extra Arms, Prehensile Tails, Two Heads</t>
  </si>
  <si>
    <t>Headsplitter</t>
  </si>
  <si>
    <t>Loner, Frenzy, Mighty Blow, Prehensile Tail</t>
  </si>
  <si>
    <t>Helmut Wulf</t>
  </si>
  <si>
    <t>Loner, Chainsaw, Secret Weapon, Stand Firm</t>
  </si>
  <si>
    <t>Hemlock</t>
  </si>
  <si>
    <t>Loner, Block, Dodge, Sidestep, Jump Up, Stab, Stunty</t>
  </si>
  <si>
    <t>Horkon Heartripper</t>
  </si>
  <si>
    <t>Loner, Dodge, Leap, Multiple Block, Shadowing Stab</t>
  </si>
  <si>
    <t>Hthark the Unstoppable</t>
  </si>
  <si>
    <t>Loner, Block, Break Tackle, Juggernaut, Sprint, Sure Feet, Thick Skull</t>
  </si>
  <si>
    <t>Hubris Rukarth</t>
  </si>
  <si>
    <t>Loner, Block, Dirty Player, Jump Up, Mighty Blow, Strip Ball</t>
  </si>
  <si>
    <t>Sun Tzu</t>
  </si>
  <si>
    <t>Humerus Carpal</t>
  </si>
  <si>
    <t>Loner, Catch, Dodge, Regeneration, Nerves of Steel</t>
  </si>
  <si>
    <t>Icepelt Hammerblow</t>
  </si>
  <si>
    <t>Loner, Claws, Disturbing Presence, Frenzy, Regeneration, Thick Skull</t>
  </si>
  <si>
    <t>Ithaca Benoin</t>
  </si>
  <si>
    <t>Loner, Accurate, Dump Off, Nerves of Steel, Pass, Regeneration, Sure Hands</t>
  </si>
  <si>
    <t>J Earlice</t>
  </si>
  <si>
    <t>Loner, Catch, Diving Catch, Dodge, Sprint</t>
  </si>
  <si>
    <t>Jordell Fleshbreeze</t>
  </si>
  <si>
    <t>Loner, Block, Diving Catch, Dodge, Leap, Side Step</t>
  </si>
  <si>
    <t>Karla Von Kill</t>
  </si>
  <si>
    <t>Loner, Block, Dauntless, Dodge, Jump Up</t>
  </si>
  <si>
    <t>King Boombastic</t>
  </si>
  <si>
    <t>Loner, Break Tackle, Grab, Mighty Blow, Piling On, Wild Animal</t>
  </si>
  <si>
    <t>Kreek Rustgouger</t>
  </si>
  <si>
    <t>Loner, Ball &amp; Chain, Mighty Blow, No Hands, Prehensile Tail, Secret Weapon</t>
  </si>
  <si>
    <t>Lewdgrip Whiparm</t>
  </si>
  <si>
    <t>Loner, Pass, Strong Arm, Sure Hands, Tentacles</t>
  </si>
  <si>
    <t>Lord Borak the Despoiler</t>
  </si>
  <si>
    <t>Loner, Block, Dirty Player, Mighty Blow</t>
  </si>
  <si>
    <t>Lottabottol</t>
  </si>
  <si>
    <t>Loner, Catch, Diving Tackle, Jump Up, Leap, Pass Block, Shadowing, Very Long Legs</t>
  </si>
  <si>
    <t>Lucien the Swift</t>
  </si>
  <si>
    <t>Valen the Swift</t>
  </si>
  <si>
    <t>Loner, Block, Mighty Blow, Tackle</t>
  </si>
  <si>
    <t>Madcap Miggz</t>
  </si>
  <si>
    <t>Loner, Break Tackle, Claw, Leap, Very Long Legs, Wild Animal</t>
  </si>
  <si>
    <t>Max Spleenripper</t>
  </si>
  <si>
    <t>Loner, Chainsaw, Secret Weapon</t>
  </si>
  <si>
    <t>Mighty Zug</t>
  </si>
  <si>
    <t>Loner, Block, Mighty Blow</t>
  </si>
  <si>
    <t>Morg'n'Thorg</t>
  </si>
  <si>
    <t>Loner, Block, Might Blow, Thick Skull, Throw Team-Mate</t>
  </si>
  <si>
    <t>Nobbla Blackwart</t>
  </si>
  <si>
    <t>Loner, Block, Dodge, Chainsaw, Secret Weapon, Stunty</t>
  </si>
  <si>
    <t>Prince Moranion</t>
  </si>
  <si>
    <t>Loner, Block, Dauntless, Tackle, Wrestle</t>
  </si>
  <si>
    <t>Quetzal Leap</t>
  </si>
  <si>
    <t>Loner, Catch, Diving Catch, Fend, Kick Off Return, Leap, Nerves of Steel, Very Long Legs</t>
  </si>
  <si>
    <t>Ramtut III</t>
  </si>
  <si>
    <t>Loner, Break Tackle, Mighty Blow, Regeneration, Wrestle</t>
  </si>
  <si>
    <t>Rashnak Backstabber</t>
  </si>
  <si>
    <t>Loner, Dodge, Side Step, Sneaky Git, Stab</t>
  </si>
  <si>
    <t>Ripper Bolgrot</t>
  </si>
  <si>
    <t>Loner, Grab, Mighty Blow, Regeneration, Throw Team-Mate</t>
  </si>
  <si>
    <t>Roxanna Darknall</t>
  </si>
  <si>
    <t>Loner, Dodge, Frenzy, Jump Up, Juggernaut, Leap</t>
  </si>
  <si>
    <t>Scrappa Sorehead</t>
  </si>
  <si>
    <t>Loner, Dirty Player, Dodge, Leap, Right Stuff, Sprint, Stunty, Sure Feet, Very Long Legs</t>
  </si>
  <si>
    <t>Setekh</t>
  </si>
  <si>
    <t>Loner, Block, Break Tackle, Juggernaut, Regeneration, Strip Ball</t>
  </si>
  <si>
    <t>Sinnedbad</t>
  </si>
  <si>
    <t>Loner, Block, Jump Up, Pass Block, Regeneration, Secret Weapon, Side Step, Stab</t>
  </si>
  <si>
    <t>Skitter Stab-Stab</t>
  </si>
  <si>
    <t>Loner, Dodge, Prehensile Tail, Shadowing, Stab</t>
  </si>
  <si>
    <t>Slibli</t>
  </si>
  <si>
    <t>Loner, Block, Grab, Guard, Stand Firm</t>
  </si>
  <si>
    <t>Soaren Hightower</t>
  </si>
  <si>
    <t>Loner, Fend, Kick Off Return, Pass, Safe Throw, Sure Hands, Strong Arm</t>
  </si>
  <si>
    <t>Ugroth Bolgrot</t>
  </si>
  <si>
    <t>Loner, Accurate, Nerves of Steel, Pass, Safe Throw, Sure Hands</t>
  </si>
  <si>
    <t>Varag Ghoul-Chewer</t>
  </si>
  <si>
    <t>Loner, Block, Jump Up, Mighty Blow, Thick Skull</t>
  </si>
  <si>
    <t>Wilhelm Chaney</t>
  </si>
  <si>
    <t>Loner, Catch, Claws, Frenzy, Regeneration, Wrestle</t>
  </si>
  <si>
    <t>Willow Rosebark</t>
  </si>
  <si>
    <t>Loner, Dauntless, Side Step, Thick Skull</t>
  </si>
  <si>
    <t>Zara the Slayer</t>
  </si>
  <si>
    <t>Loner, Block, Dauntless, Dodge, Jump Up, Stab, Stakes</t>
  </si>
  <si>
    <t>Zzharg Madeye</t>
  </si>
  <si>
    <t>Loner, Hail Mary Pass, Pass, Secret Weapon, Strong Arm, Sure Hands, Tackle, Thick Skull</t>
  </si>
  <si>
    <t>Star: Hthark the Unstoppable</t>
  </si>
  <si>
    <t>Star: Rashnak Backstabber</t>
  </si>
  <si>
    <t>Star: Zzharg Madeye</t>
  </si>
  <si>
    <t>Title</t>
  </si>
  <si>
    <t>Race+Title</t>
  </si>
  <si>
    <t>Max</t>
  </si>
  <si>
    <t>Normal</t>
  </si>
  <si>
    <t>Double</t>
  </si>
  <si>
    <t>Races</t>
  </si>
  <si>
    <t>Reroll Cost</t>
  </si>
  <si>
    <t>General</t>
  </si>
  <si>
    <t>Agility</t>
  </si>
  <si>
    <t>Strength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</si>
  <si>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</si>
  <si>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</si>
  <si>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</si>
  <si>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</si>
  <si>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</si>
  <si>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</si>
  <si>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</si>
  <si>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G</t>
  </si>
  <si>
    <t>ASP</t>
  </si>
  <si>
    <t>Catch</t>
  </si>
  <si>
    <t>Big Hand</t>
  </si>
  <si>
    <t>Always Hungry</t>
  </si>
  <si>
    <t>No</t>
  </si>
  <si>
    <t>Dodge, Pass</t>
  </si>
  <si>
    <t>GP</t>
  </si>
  <si>
    <t>AS</t>
  </si>
  <si>
    <t>Dauntless</t>
  </si>
  <si>
    <t>Diving Catch</t>
  </si>
  <si>
    <t>Grab</t>
  </si>
  <si>
    <t>Dump-off</t>
  </si>
  <si>
    <t>Claws</t>
  </si>
  <si>
    <t>Animosity</t>
  </si>
  <si>
    <t>Yes</t>
  </si>
  <si>
    <t/>
  </si>
  <si>
    <t>A</t>
  </si>
  <si>
    <t>P</t>
  </si>
  <si>
    <t>Dodge, Catch</t>
  </si>
  <si>
    <t>GA</t>
  </si>
  <si>
    <t>SP</t>
  </si>
  <si>
    <t>Dirty Player</t>
  </si>
  <si>
    <t>Diving Tackle</t>
  </si>
  <si>
    <t>Hail Mary Pass</t>
  </si>
  <si>
    <t>Disturbing Presence</t>
  </si>
  <si>
    <t>Ball &amp; Chain</t>
  </si>
  <si>
    <t>Block, Dodge</t>
  </si>
  <si>
    <t>GS</t>
  </si>
  <si>
    <t>AP</t>
  </si>
  <si>
    <t>Fend</t>
  </si>
  <si>
    <t>Blood Lust</t>
  </si>
  <si>
    <t>Jump Up</t>
  </si>
  <si>
    <t>Nerves of Steel</t>
  </si>
  <si>
    <t>Foul Appearance</t>
  </si>
  <si>
    <t>Bombardier</t>
  </si>
  <si>
    <t>Kick-Off Return</t>
  </si>
  <si>
    <t>Leap</t>
  </si>
  <si>
    <t>Multiple Block</t>
  </si>
  <si>
    <t>Horns</t>
  </si>
  <si>
    <t>Bone-Head</t>
  </si>
  <si>
    <t>Block, Catch, Dauntless</t>
  </si>
  <si>
    <t>GAP</t>
  </si>
  <si>
    <t>Pass Block</t>
  </si>
  <si>
    <t>Side Step</t>
  </si>
  <si>
    <t>Piling On</t>
  </si>
  <si>
    <t>Safe Throw</t>
  </si>
  <si>
    <t>Prehensile Tail</t>
  </si>
  <si>
    <t>Chainsaw</t>
  </si>
  <si>
    <t>GSM</t>
  </si>
  <si>
    <t>Sneaky Grit</t>
  </si>
  <si>
    <t>Tentacles</t>
  </si>
  <si>
    <t>Decay</t>
  </si>
  <si>
    <t>Shadowing</t>
  </si>
  <si>
    <t>Sprint</t>
  </si>
  <si>
    <t>Two Heads</t>
  </si>
  <si>
    <t>Fan Favorite</t>
  </si>
  <si>
    <t>Loner, Frenzy, Horns, Mighty Blow, Thick Skull, Wild Animal</t>
  </si>
  <si>
    <t>SM</t>
  </si>
  <si>
    <t>Strip Ball</t>
  </si>
  <si>
    <t>Sure Feet</t>
  </si>
  <si>
    <t>Thick Skull</t>
  </si>
  <si>
    <t>Very Long Legs</t>
  </si>
  <si>
    <t>Hypnotic Gaze</t>
  </si>
  <si>
    <t>Block, Tackle, Thick Skull</t>
  </si>
  <si>
    <t>APM</t>
  </si>
  <si>
    <t>Monstrous Mouth</t>
  </si>
  <si>
    <t>Sprint, Sure Feet, Thick Skull</t>
  </si>
  <si>
    <t>No Hands</t>
  </si>
  <si>
    <t>GAPM</t>
  </si>
  <si>
    <t>Nurgle's Rot</t>
  </si>
  <si>
    <t>Marauder</t>
  </si>
  <si>
    <t>GSPM</t>
  </si>
  <si>
    <t>Really Stupid</t>
  </si>
  <si>
    <t>Goblin Renegade</t>
  </si>
  <si>
    <t>Animosity, Dodge, Right Stuff, Stunty</t>
  </si>
  <si>
    <t>AM</t>
  </si>
  <si>
    <t>GSP</t>
  </si>
  <si>
    <t>Regeneration</t>
  </si>
  <si>
    <t>Skaven Renegade</t>
  </si>
  <si>
    <t>GM</t>
  </si>
  <si>
    <t>Right Stuff</t>
  </si>
  <si>
    <t>Dark Elf Renegade</t>
  </si>
  <si>
    <t>GAM</t>
  </si>
  <si>
    <t>Secret Weapon</t>
  </si>
  <si>
    <t>Loner, Always Hungry, Mighty Blow, Really Stupid, Regeneration, Throw Team-mate</t>
  </si>
  <si>
    <t>Stab</t>
  </si>
  <si>
    <t>Loner, Bone-head, Mighty Blow, Thick Skull, Throw Team-mate</t>
  </si>
  <si>
    <t>Stakes</t>
  </si>
  <si>
    <t>Loner, Frenzy, Wild Animal, Horns, Mighty Blow, Thick Skull</t>
  </si>
  <si>
    <t>Stunty</t>
  </si>
  <si>
    <t>Pit Fighter</t>
  </si>
  <si>
    <t>Frenzy</t>
  </si>
  <si>
    <t>Swoop</t>
  </si>
  <si>
    <t>Bloodletter</t>
  </si>
  <si>
    <t>Horns, Juggernaut, Regeneration</t>
  </si>
  <si>
    <t>GAS</t>
  </si>
  <si>
    <t>Take Root</t>
  </si>
  <si>
    <t>Herald</t>
  </si>
  <si>
    <t>Frenzy, Horns, Juggernaut</t>
  </si>
  <si>
    <t>Throw Team-mate</t>
  </si>
  <si>
    <t>Bloodthirster</t>
  </si>
  <si>
    <t>Loner, Frenzy, Wild Animal, Claw, Horns, Juggernaut, Regeneration</t>
  </si>
  <si>
    <t>Timmm-ber!</t>
  </si>
  <si>
    <t>Titchy</t>
  </si>
  <si>
    <t>Dump-Off</t>
  </si>
  <si>
    <t>Wild Animal</t>
  </si>
  <si>
    <t>Assassin</t>
  </si>
  <si>
    <t>Shadowing, Stab</t>
  </si>
  <si>
    <t>Witch Elf</t>
  </si>
  <si>
    <t>Frenzy, Dodge, Jump Up</t>
  </si>
  <si>
    <t>Sure Hands, Thick Skull</t>
  </si>
  <si>
    <t>Block, Thick Skull</t>
  </si>
  <si>
    <t>Block, Dauntless, Frenzy, Thick Skull</t>
  </si>
  <si>
    <t>Deathroller</t>
  </si>
  <si>
    <t>Loner, Break Tackle, Dirty Player, Juggernaut, Mighty Blow, No Hands, Secret Weapon, Stand Firm</t>
  </si>
  <si>
    <t>Pass</t>
  </si>
  <si>
    <t>Catch, Nerves of Steel</t>
  </si>
  <si>
    <t>Right Stuff, Stunty, Swoop</t>
  </si>
  <si>
    <t>Dodge, Right Stuff, Stunty</t>
  </si>
  <si>
    <t>Bombardier, Dodge, Secret Weapon, Stunty</t>
  </si>
  <si>
    <t>Chainsaw, Secret Weapon, Stunty</t>
  </si>
  <si>
    <t>Ball &amp; Chain, No Hands, Secret Weapon, Stunty</t>
  </si>
  <si>
    <t>Disturbing Presence, Dodge, Fan Favorite, Right Stuff, Stunty</t>
  </si>
  <si>
    <t>Dodge, Leap, Stunty, Very Long Legs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</si>
  <si>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</si>
  <si>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</si>
  <si>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</si>
  <si>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</si>
  <si>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</si>
  <si>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</si>
  <si>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</si>
  <si>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</si>
  <si>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</si>
  <si>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</si>
  <si>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</si>
  <si>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Skink</t>
  </si>
  <si>
    <t>Dodge, Stunty</t>
  </si>
  <si>
    <t>Saurus</t>
  </si>
  <si>
    <t>Kroxigor</t>
  </si>
  <si>
    <t>Loner, Bone-Head, Mighty Blow, Prehensile Tail, Thick Skull</t>
  </si>
  <si>
    <t>Flesh Golem</t>
  </si>
  <si>
    <t>Stand Firm, Thick Skull, Regeneration</t>
  </si>
  <si>
    <t>Claws, Frenzy, Regeneration</t>
  </si>
  <si>
    <t>Block, Pass</t>
  </si>
  <si>
    <t>Block, Dauntless</t>
  </si>
  <si>
    <t>Block, Frenzy, Jump Up</t>
  </si>
  <si>
    <t>Loner, Claws, Disturbing Presence, Frenzy, Wild Animal</t>
  </si>
  <si>
    <t>Decay, Nurgle's Rot</t>
  </si>
  <si>
    <t>Horns, Nurgle's Rot, Regeneration</t>
  </si>
  <si>
    <t>Disturbing Presence, Foul Appearance, Nurgle's Rot, Regeneration</t>
  </si>
  <si>
    <t>Loner, Distrubing Presence, Foul Appearance, Mighty Blow, Nurgle's Rot, Really Stupid, Regeneration, Tentacles</t>
  </si>
  <si>
    <t>Snotling</t>
  </si>
  <si>
    <t>Dodge, Right Stuff, Stunty, Side Step, Titchy</t>
  </si>
  <si>
    <t>Bone-Head, Mighty Blow, Thick Skull, Throw Team-mate</t>
  </si>
  <si>
    <t>Right Stuff, Dodge, Stunty</t>
  </si>
  <si>
    <t>Sure Hands, Pass</t>
  </si>
  <si>
    <t>Black Orc</t>
  </si>
  <si>
    <t>Bonobo</t>
  </si>
  <si>
    <t>Orangutan</t>
  </si>
  <si>
    <t>Extra Arms, Strong Arm</t>
  </si>
  <si>
    <t>Chimpanzee</t>
  </si>
  <si>
    <t>Extra Arms, Wrestle</t>
  </si>
  <si>
    <t>Gorilla</t>
  </si>
  <si>
    <t>Extra Arms, Grab</t>
  </si>
  <si>
    <t>Silverback</t>
  </si>
  <si>
    <t>Loner, Wild Animal, Extra Arms, Grab, Mighty Blow</t>
  </si>
  <si>
    <t>ASPM</t>
  </si>
  <si>
    <t>ASM</t>
  </si>
  <si>
    <t>Dodge, Weeping Dagger</t>
  </si>
  <si>
    <t>SPM</t>
  </si>
  <si>
    <t>Loner, Frenzy, Mighty Blow, Prehensal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</si>
  <si>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</si>
  <si>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</si>
  <si>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</si>
  <si>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</si>
  <si>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Mighty Blow, Regeneration</t>
  </si>
  <si>
    <t>Skaven Lineman</t>
  </si>
  <si>
    <t>Skaven Thrower</t>
  </si>
  <si>
    <t>Animosity, Pass, Sure Hands</t>
  </si>
  <si>
    <t>GPM</t>
  </si>
  <si>
    <t>Skaven Blitzer</t>
  </si>
  <si>
    <t>Animosity, Block</t>
  </si>
  <si>
    <t>Blood Lust, Hypnotic Gaze, Regeneration</t>
  </si>
  <si>
    <t>Catch, Dodge, Sprint</t>
  </si>
  <si>
    <t>Block, Dodge, Leap</t>
  </si>
  <si>
    <t>Loner, Mighty Blow, Stand Firm, Strong Arm, Take Root, Thick Skull, Throw Team-mate</t>
  </si>
  <si>
    <r>
      <rPr>
        <sz val="16"/>
        <color theme="0"/>
        <rFont val="Arial"/>
        <family val="2"/>
      </rPr>
      <t>Cleaveland Streamers</t>
    </r>
  </si>
</sst>
</file>

<file path=xl/styles.xml><?xml version="1.0" encoding="utf-8"?>
<styleSheet xmlns="http://schemas.openxmlformats.org/spreadsheetml/2006/main">
  <numFmts count="3">
    <numFmt numFmtId="164" formatCode="#,##0\ \g\p"/>
    <numFmt numFmtId="165" formatCode="\+\1;\-\1;\+0"/>
    <numFmt numFmtId="170" formatCode="\+\1;\-\1;\+0"/>
  </numFmts>
  <fonts count="49">
    <font>
      <sz val="10"/>
      <color rgb="FF000000"/>
      <name val="Arial"/>
    </font>
    <font>
      <sz val="10"/>
      <name val="Arial"/>
    </font>
    <font>
      <sz val="10"/>
      <name val="Arial"/>
    </font>
    <font>
      <sz val="8"/>
      <name val="Arial"/>
    </font>
    <font>
      <sz val="8"/>
      <name val="Arial"/>
    </font>
    <font>
      <sz val="6"/>
      <name val="Arial"/>
    </font>
    <font>
      <sz val="6"/>
      <color rgb="FF333333"/>
      <name val="Arial"/>
    </font>
    <font>
      <b/>
      <sz val="10"/>
      <name val="Arial"/>
    </font>
    <font>
      <b/>
      <sz val="8"/>
      <name val="Arial"/>
    </font>
    <font>
      <sz val="8"/>
      <color rgb="FF006200"/>
      <name val="Arial"/>
    </font>
    <font>
      <sz val="7"/>
      <color rgb="FF808080"/>
      <name val="Arial"/>
    </font>
    <font>
      <b/>
      <sz val="7"/>
      <color rgb="FF800000"/>
      <name val="Arial"/>
    </font>
    <font>
      <sz val="7"/>
      <name val="Arial"/>
    </font>
    <font>
      <sz val="8"/>
      <color rgb="FF000000"/>
      <name val="Arial"/>
    </font>
    <font>
      <sz val="8"/>
      <color rgb="FF333333"/>
      <name val="Arial"/>
    </font>
    <font>
      <b/>
      <sz val="14"/>
      <name val="Arial"/>
    </font>
    <font>
      <sz val="10"/>
      <name val="Arial"/>
    </font>
    <font>
      <u/>
      <sz val="7"/>
      <color rgb="FF808080"/>
      <name val="Arial"/>
    </font>
    <font>
      <sz val="7"/>
      <color rgb="FF333333"/>
      <name val="Arial"/>
    </font>
    <font>
      <sz val="6"/>
      <color rgb="FF808080"/>
      <name val="Arial"/>
    </font>
    <font>
      <sz val="9"/>
      <name val="Arial"/>
    </font>
    <font>
      <strike/>
      <sz val="8"/>
      <name val="Arial"/>
    </font>
    <font>
      <u/>
      <sz val="7"/>
      <color rgb="FF808080"/>
      <name val="Arial"/>
    </font>
    <font>
      <u/>
      <sz val="7"/>
      <color rgb="FF808080"/>
      <name val="Arial"/>
    </font>
    <font>
      <sz val="10"/>
      <color rgb="FF333333"/>
      <name val="Arial"/>
    </font>
    <font>
      <sz val="10"/>
      <color rgb="FF808080"/>
      <name val="Arial"/>
    </font>
    <font>
      <b/>
      <sz val="8"/>
      <name val="Arial"/>
    </font>
    <font>
      <b/>
      <sz val="8"/>
      <color rgb="FF000000"/>
      <name val="Arial"/>
    </font>
    <font>
      <sz val="10"/>
      <name val="Arial"/>
    </font>
    <font>
      <sz val="10"/>
      <color rgb="FF666666"/>
      <name val="Arial"/>
    </font>
    <font>
      <sz val="8"/>
      <color rgb="FF666666"/>
      <name val="Arial"/>
    </font>
    <font>
      <b/>
      <sz val="10"/>
      <name val="Arial"/>
    </font>
    <font>
      <b/>
      <sz val="16"/>
      <color theme="0"/>
      <name val="Nosifer"/>
    </font>
    <font>
      <sz val="16"/>
      <color theme="0"/>
      <name val="Arial"/>
      <family val="2"/>
    </font>
    <font>
      <sz val="10"/>
      <color rgb="FF000000"/>
      <name val="Arial"/>
      <family val="2"/>
    </font>
    <font>
      <sz val="6"/>
      <color rgb="FF333333"/>
      <name val="Arial"/>
      <family val="2"/>
    </font>
    <font>
      <sz val="7"/>
      <color rgb="FF808080"/>
      <name val="Arial"/>
      <family val="2"/>
    </font>
    <font>
      <sz val="8"/>
      <color rgb="FF006200"/>
      <name val="Arial"/>
      <family val="2"/>
    </font>
    <font>
      <sz val="8"/>
      <color rgb="FF333333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color rgb="FF80000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u/>
      <sz val="7"/>
      <color rgb="FF808080"/>
      <name val="Arial"/>
      <family val="2"/>
    </font>
    <font>
      <sz val="7"/>
      <color rgb="FF33333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666666"/>
        <bgColor rgb="FF666666"/>
      </patternFill>
    </fill>
  </fills>
  <borders count="1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4" fillId="0" borderId="79"/>
  </cellStyleXfs>
  <cellXfs count="80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5" fillId="4" borderId="20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 wrapText="1"/>
    </xf>
    <xf numFmtId="0" fontId="5" fillId="4" borderId="28" xfId="0" applyFont="1" applyFill="1" applyBorder="1" applyAlignment="1">
      <alignment horizontal="center" wrapText="1"/>
    </xf>
    <xf numFmtId="0" fontId="5" fillId="4" borderId="30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/>
    </xf>
    <xf numFmtId="49" fontId="3" fillId="4" borderId="21" xfId="0" applyNumberFormat="1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 shrinkToFit="1"/>
    </xf>
    <xf numFmtId="0" fontId="8" fillId="3" borderId="3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44" xfId="0" applyFont="1" applyFill="1" applyBorder="1" applyAlignment="1">
      <alignment horizontal="center" vertical="center"/>
    </xf>
    <xf numFmtId="0" fontId="12" fillId="7" borderId="45" xfId="0" applyFont="1" applyFill="1" applyBorder="1" applyAlignment="1">
      <alignment horizontal="center" vertical="center" shrinkToFit="1"/>
    </xf>
    <xf numFmtId="0" fontId="12" fillId="7" borderId="5" xfId="0" applyFont="1" applyFill="1" applyBorder="1" applyAlignment="1">
      <alignment horizontal="center" vertical="center" shrinkToFit="1"/>
    </xf>
    <xf numFmtId="0" fontId="12" fillId="7" borderId="46" xfId="0" applyFont="1" applyFill="1" applyBorder="1" applyAlignment="1">
      <alignment horizontal="center" vertical="center" shrinkToFit="1"/>
    </xf>
    <xf numFmtId="0" fontId="12" fillId="5" borderId="47" xfId="0" applyFont="1" applyFill="1" applyBorder="1" applyAlignment="1">
      <alignment horizontal="center" vertical="center" shrinkToFit="1"/>
    </xf>
    <xf numFmtId="0" fontId="12" fillId="5" borderId="5" xfId="0" applyFont="1" applyFill="1" applyBorder="1" applyAlignment="1">
      <alignment horizontal="center" vertical="center" shrinkToFit="1"/>
    </xf>
    <xf numFmtId="0" fontId="12" fillId="5" borderId="44" xfId="0" applyFont="1" applyFill="1" applyBorder="1" applyAlignment="1">
      <alignment horizontal="center" vertical="center" shrinkToFit="1"/>
    </xf>
    <xf numFmtId="0" fontId="3" fillId="3" borderId="45" xfId="0" applyFont="1" applyFill="1" applyBorder="1" applyAlignment="1">
      <alignment horizontal="center" vertical="center" shrinkToFit="1"/>
    </xf>
    <xf numFmtId="164" fontId="3" fillId="3" borderId="46" xfId="0" applyNumberFormat="1" applyFont="1" applyFill="1" applyBorder="1" applyAlignment="1">
      <alignment horizontal="right" vertical="center" shrinkToFit="1"/>
    </xf>
    <xf numFmtId="164" fontId="3" fillId="3" borderId="48" xfId="0" applyNumberFormat="1" applyFont="1" applyFill="1" applyBorder="1" applyAlignment="1">
      <alignment horizontal="center" vertical="center" shrinkToFit="1"/>
    </xf>
    <xf numFmtId="3" fontId="12" fillId="5" borderId="47" xfId="0" applyNumberFormat="1" applyFont="1" applyFill="1" applyBorder="1" applyAlignment="1">
      <alignment horizontal="center" vertical="center" shrinkToFit="1"/>
    </xf>
    <xf numFmtId="3" fontId="12" fillId="5" borderId="5" xfId="0" applyNumberFormat="1" applyFont="1" applyFill="1" applyBorder="1" applyAlignment="1">
      <alignment horizontal="center" vertical="center" shrinkToFit="1"/>
    </xf>
    <xf numFmtId="3" fontId="2" fillId="5" borderId="5" xfId="0" applyNumberFormat="1" applyFont="1" applyFill="1" applyBorder="1"/>
    <xf numFmtId="164" fontId="2" fillId="8" borderId="49" xfId="0" applyNumberFormat="1" applyFont="1" applyFill="1" applyBorder="1"/>
    <xf numFmtId="0" fontId="3" fillId="8" borderId="11" xfId="0" applyFont="1" applyFill="1" applyBorder="1" applyAlignment="1">
      <alignment horizontal="right" vertical="center"/>
    </xf>
    <xf numFmtId="164" fontId="3" fillId="9" borderId="11" xfId="0" applyNumberFormat="1" applyFont="1" applyFill="1" applyBorder="1" applyAlignment="1">
      <alignment horizontal="center" vertical="center"/>
    </xf>
    <xf numFmtId="0" fontId="1" fillId="0" borderId="38" xfId="0" applyFont="1" applyBorder="1"/>
    <xf numFmtId="0" fontId="1" fillId="0" borderId="0" xfId="0" applyFont="1" applyAlignment="1">
      <alignment vertical="center"/>
    </xf>
    <xf numFmtId="0" fontId="4" fillId="1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8" fillId="3" borderId="5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37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 shrinkToFit="1"/>
    </xf>
    <xf numFmtId="0" fontId="12" fillId="7" borderId="10" xfId="0" applyFont="1" applyFill="1" applyBorder="1" applyAlignment="1">
      <alignment horizontal="center" vertical="center" shrinkToFit="1"/>
    </xf>
    <xf numFmtId="0" fontId="12" fillId="7" borderId="13" xfId="0" applyFont="1" applyFill="1" applyBorder="1" applyAlignment="1">
      <alignment horizontal="center" vertical="center" shrinkToFit="1"/>
    </xf>
    <xf numFmtId="0" fontId="12" fillId="5" borderId="51" xfId="0" applyFont="1" applyFill="1" applyBorder="1" applyAlignment="1">
      <alignment horizontal="center" vertical="center" shrinkToFit="1"/>
    </xf>
    <xf numFmtId="0" fontId="12" fillId="5" borderId="10" xfId="0" applyFont="1" applyFill="1" applyBorder="1" applyAlignment="1">
      <alignment horizontal="center" vertical="center" shrinkToFit="1"/>
    </xf>
    <xf numFmtId="0" fontId="12" fillId="5" borderId="10" xfId="0" applyFont="1" applyFill="1" applyBorder="1" applyAlignment="1">
      <alignment horizontal="center" vertical="center" shrinkToFit="1"/>
    </xf>
    <xf numFmtId="0" fontId="12" fillId="5" borderId="37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164" fontId="3" fillId="3" borderId="50" xfId="0" applyNumberFormat="1" applyFont="1" applyFill="1" applyBorder="1" applyAlignment="1">
      <alignment horizontal="center" vertical="center" shrinkToFit="1"/>
    </xf>
    <xf numFmtId="3" fontId="12" fillId="5" borderId="51" xfId="0" applyNumberFormat="1" applyFont="1" applyFill="1" applyBorder="1" applyAlignment="1">
      <alignment horizontal="center" vertical="center" shrinkToFit="1"/>
    </xf>
    <xf numFmtId="3" fontId="12" fillId="5" borderId="10" xfId="0" applyNumberFormat="1" applyFont="1" applyFill="1" applyBorder="1" applyAlignment="1">
      <alignment horizontal="center" vertical="center" shrinkToFit="1"/>
    </xf>
    <xf numFmtId="0" fontId="3" fillId="11" borderId="11" xfId="0" applyFont="1" applyFill="1" applyBorder="1" applyAlignment="1">
      <alignment horizontal="center" vertical="center"/>
    </xf>
    <xf numFmtId="0" fontId="3" fillId="11" borderId="30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5" borderId="51" xfId="0" applyFont="1" applyFill="1" applyBorder="1" applyAlignment="1">
      <alignment vertical="center" shrinkToFit="1"/>
    </xf>
    <xf numFmtId="0" fontId="9" fillId="2" borderId="13" xfId="0" applyFont="1" applyFill="1" applyBorder="1" applyAlignment="1">
      <alignment horizontal="center" vertical="center" wrapText="1"/>
    </xf>
    <xf numFmtId="3" fontId="12" fillId="5" borderId="10" xfId="0" applyNumberFormat="1" applyFont="1" applyFill="1" applyBorder="1" applyAlignment="1">
      <alignment horizontal="center" vertical="center" shrinkToFit="1"/>
    </xf>
    <xf numFmtId="0" fontId="3" fillId="12" borderId="39" xfId="0" applyFont="1" applyFill="1" applyBorder="1" applyAlignment="1">
      <alignment horizontal="center" vertical="center"/>
    </xf>
    <xf numFmtId="164" fontId="3" fillId="9" borderId="34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13" borderId="3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165" fontId="3" fillId="10" borderId="4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3" borderId="50" xfId="0" applyNumberFormat="1" applyFont="1" applyFill="1" applyBorder="1" applyAlignment="1">
      <alignment horizontal="center" vertical="center" shrinkToFit="1"/>
    </xf>
    <xf numFmtId="0" fontId="3" fillId="12" borderId="50" xfId="0" applyFont="1" applyFill="1" applyBorder="1" applyAlignment="1">
      <alignment horizontal="center" vertical="center"/>
    </xf>
    <xf numFmtId="164" fontId="3" fillId="9" borderId="51" xfId="0" applyNumberFormat="1" applyFont="1" applyFill="1" applyBorder="1" applyAlignment="1">
      <alignment horizontal="center" vertical="center"/>
    </xf>
    <xf numFmtId="164" fontId="3" fillId="9" borderId="51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13" borderId="3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165" fontId="3" fillId="10" borderId="1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/>
    </xf>
    <xf numFmtId="165" fontId="3" fillId="10" borderId="13" xfId="0" applyNumberFormat="1" applyFont="1" applyFill="1" applyBorder="1" applyAlignment="1">
      <alignment horizontal="center" vertical="center"/>
    </xf>
    <xf numFmtId="165" fontId="3" fillId="10" borderId="46" xfId="0" applyNumberFormat="1" applyFont="1" applyFill="1" applyBorder="1" applyAlignment="1">
      <alignment vertical="center"/>
    </xf>
    <xf numFmtId="165" fontId="3" fillId="10" borderId="13" xfId="0" applyNumberFormat="1" applyFont="1" applyFill="1" applyBorder="1" applyAlignment="1">
      <alignment vertical="center"/>
    </xf>
    <xf numFmtId="3" fontId="12" fillId="5" borderId="51" xfId="0" applyNumberFormat="1" applyFont="1" applyFill="1" applyBorder="1" applyAlignment="1">
      <alignment horizontal="center" vertical="center" shrinkToFit="1"/>
    </xf>
    <xf numFmtId="0" fontId="3" fillId="12" borderId="52" xfId="0" applyFont="1" applyFill="1" applyBorder="1" applyAlignment="1">
      <alignment horizontal="center" vertical="center"/>
    </xf>
    <xf numFmtId="164" fontId="3" fillId="9" borderId="53" xfId="0" applyNumberFormat="1" applyFont="1" applyFill="1" applyBorder="1" applyAlignment="1">
      <alignment horizontal="center" vertical="center"/>
    </xf>
    <xf numFmtId="164" fontId="3" fillId="2" borderId="25" xfId="0" applyNumberFormat="1" applyFont="1" applyFill="1" applyBorder="1" applyAlignment="1">
      <alignment horizontal="center" vertical="center"/>
    </xf>
    <xf numFmtId="164" fontId="3" fillId="13" borderId="43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3" fillId="13" borderId="25" xfId="0" applyFont="1" applyFill="1" applyBorder="1" applyAlignment="1">
      <alignment horizontal="center" vertical="center"/>
    </xf>
    <xf numFmtId="165" fontId="3" fillId="10" borderId="40" xfId="0" applyNumberFormat="1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right" vertical="center"/>
    </xf>
    <xf numFmtId="164" fontId="3" fillId="3" borderId="21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3" fontId="3" fillId="3" borderId="14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8" fillId="5" borderId="54" xfId="0" applyFont="1" applyFill="1" applyBorder="1" applyAlignment="1">
      <alignment vertical="center" shrinkToFit="1"/>
    </xf>
    <xf numFmtId="0" fontId="3" fillId="0" borderId="29" xfId="0" applyFont="1" applyBorder="1" applyAlignment="1">
      <alignment horizontal="center" vertical="center" shrinkToFit="1"/>
    </xf>
    <xf numFmtId="0" fontId="8" fillId="3" borderId="54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165" fontId="3" fillId="10" borderId="40" xfId="0" applyNumberFormat="1" applyFont="1" applyFill="1" applyBorder="1" applyAlignment="1">
      <alignment vertical="center"/>
    </xf>
    <xf numFmtId="0" fontId="8" fillId="3" borderId="29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0" fillId="3" borderId="54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55" xfId="0" applyFont="1" applyFill="1" applyBorder="1" applyAlignment="1">
      <alignment horizontal="center" vertical="center"/>
    </xf>
    <xf numFmtId="0" fontId="12" fillId="7" borderId="56" xfId="0" applyFont="1" applyFill="1" applyBorder="1" applyAlignment="1">
      <alignment horizontal="center" vertical="center" shrinkToFit="1"/>
    </xf>
    <xf numFmtId="0" fontId="12" fillId="7" borderId="27" xfId="0" applyFont="1" applyFill="1" applyBorder="1" applyAlignment="1">
      <alignment horizontal="center" vertical="center" shrinkToFit="1"/>
    </xf>
    <xf numFmtId="0" fontId="12" fillId="7" borderId="29" xfId="0" applyFont="1" applyFill="1" applyBorder="1" applyAlignment="1">
      <alignment horizontal="center" vertical="center" shrinkToFit="1"/>
    </xf>
    <xf numFmtId="0" fontId="12" fillId="5" borderId="54" xfId="0" applyFont="1" applyFill="1" applyBorder="1" applyAlignment="1">
      <alignment horizontal="center" vertical="center" shrinkToFit="1"/>
    </xf>
    <xf numFmtId="0" fontId="12" fillId="5" borderId="27" xfId="0" applyFont="1" applyFill="1" applyBorder="1" applyAlignment="1">
      <alignment horizontal="center" vertical="center" shrinkToFit="1"/>
    </xf>
    <xf numFmtId="0" fontId="12" fillId="5" borderId="27" xfId="0" applyFont="1" applyFill="1" applyBorder="1" applyAlignment="1">
      <alignment horizontal="center" vertical="center" shrinkToFit="1"/>
    </xf>
    <xf numFmtId="0" fontId="12" fillId="5" borderId="55" xfId="0" applyFont="1" applyFill="1" applyBorder="1" applyAlignment="1">
      <alignment horizontal="center" vertical="center" shrinkToFit="1"/>
    </xf>
    <xf numFmtId="0" fontId="3" fillId="3" borderId="56" xfId="0" applyFont="1" applyFill="1" applyBorder="1" applyAlignment="1">
      <alignment horizontal="center" vertical="center" shrinkToFit="1"/>
    </xf>
    <xf numFmtId="164" fontId="3" fillId="3" borderId="52" xfId="0" applyNumberFormat="1" applyFont="1" applyFill="1" applyBorder="1" applyAlignment="1">
      <alignment horizontal="center" vertical="center" shrinkToFit="1"/>
    </xf>
    <xf numFmtId="3" fontId="12" fillId="5" borderId="53" xfId="0" applyNumberFormat="1" applyFont="1" applyFill="1" applyBorder="1" applyAlignment="1">
      <alignment horizontal="center" vertical="center" shrinkToFit="1"/>
    </xf>
    <xf numFmtId="3" fontId="12" fillId="5" borderId="25" xfId="0" applyNumberFormat="1" applyFont="1" applyFill="1" applyBorder="1" applyAlignment="1">
      <alignment horizontal="center" vertical="center" shrinkToFit="1"/>
    </xf>
    <xf numFmtId="3" fontId="2" fillId="5" borderId="26" xfId="0" applyNumberFormat="1" applyFont="1" applyFill="1" applyBorder="1"/>
    <xf numFmtId="164" fontId="2" fillId="8" borderId="57" xfId="0" applyNumberFormat="1" applyFont="1" applyFill="1" applyBorder="1"/>
    <xf numFmtId="0" fontId="1" fillId="0" borderId="0" xfId="0" applyFont="1" applyAlignment="1">
      <alignment horizontal="center"/>
    </xf>
    <xf numFmtId="164" fontId="14" fillId="4" borderId="21" xfId="0" applyNumberFormat="1" applyFont="1" applyFill="1" applyBorder="1" applyAlignment="1">
      <alignment horizontal="right" vertical="center" shrinkToFit="1"/>
    </xf>
    <xf numFmtId="0" fontId="1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 shrinkToFit="1"/>
    </xf>
    <xf numFmtId="0" fontId="3" fillId="4" borderId="63" xfId="0" applyFont="1" applyFill="1" applyBorder="1" applyAlignment="1">
      <alignment horizontal="center" vertical="center"/>
    </xf>
    <xf numFmtId="164" fontId="3" fillId="3" borderId="64" xfId="0" applyNumberFormat="1" applyFont="1" applyFill="1" applyBorder="1" applyAlignment="1">
      <alignment horizontal="right" vertical="center" shrinkToFit="1"/>
    </xf>
    <xf numFmtId="3" fontId="3" fillId="3" borderId="10" xfId="0" applyNumberFormat="1" applyFont="1" applyFill="1" applyBorder="1" applyAlignment="1">
      <alignment horizontal="center" vertical="center" shrinkToFit="1"/>
    </xf>
    <xf numFmtId="0" fontId="3" fillId="4" borderId="66" xfId="0" applyFont="1" applyFill="1" applyBorder="1" applyAlignment="1">
      <alignment horizontal="center" vertical="center"/>
    </xf>
    <xf numFmtId="164" fontId="3" fillId="3" borderId="68" xfId="0" applyNumberFormat="1" applyFont="1" applyFill="1" applyBorder="1" applyAlignment="1">
      <alignment horizontal="right" vertical="center" shrinkToFit="1"/>
    </xf>
    <xf numFmtId="0" fontId="4" fillId="4" borderId="6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shrinkToFit="1"/>
    </xf>
    <xf numFmtId="0" fontId="3" fillId="4" borderId="6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164" fontId="3" fillId="3" borderId="40" xfId="0" applyNumberFormat="1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right" vertical="center"/>
    </xf>
    <xf numFmtId="164" fontId="3" fillId="3" borderId="28" xfId="0" applyNumberFormat="1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 shrinkToFit="1"/>
    </xf>
    <xf numFmtId="0" fontId="3" fillId="4" borderId="73" xfId="0" applyFont="1" applyFill="1" applyBorder="1" applyAlignment="1">
      <alignment horizontal="center" vertical="center"/>
    </xf>
    <xf numFmtId="0" fontId="8" fillId="0" borderId="0" xfId="0" applyFont="1" applyAlignment="1">
      <alignment vertical="center" shrinkToFit="1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3" fontId="14" fillId="0" borderId="0" xfId="0" applyNumberFormat="1" applyFont="1" applyAlignment="1">
      <alignment horizontal="right" vertical="center" shrinkToFit="1"/>
    </xf>
    <xf numFmtId="0" fontId="4" fillId="15" borderId="0" xfId="0" applyFont="1" applyFill="1"/>
    <xf numFmtId="0" fontId="4" fillId="15" borderId="0" xfId="0" applyFont="1" applyFill="1" applyAlignment="1">
      <alignment horizontal="center"/>
    </xf>
    <xf numFmtId="0" fontId="4" fillId="15" borderId="78" xfId="0" applyFont="1" applyFill="1" applyBorder="1"/>
    <xf numFmtId="0" fontId="1" fillId="0" borderId="78" xfId="0" applyFont="1" applyBorder="1"/>
    <xf numFmtId="0" fontId="4" fillId="15" borderId="0" xfId="0" applyFont="1" applyFill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/>
    <xf numFmtId="164" fontId="7" fillId="0" borderId="0" xfId="0" applyNumberFormat="1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4" borderId="11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3" fillId="2" borderId="79" xfId="0" applyFont="1" applyFill="1" applyBorder="1" applyAlignment="1"/>
    <xf numFmtId="0" fontId="3" fillId="6" borderId="39" xfId="0" applyFont="1" applyFill="1" applyBorder="1" applyAlignment="1">
      <alignment horizontal="center" vertical="center"/>
    </xf>
    <xf numFmtId="0" fontId="8" fillId="5" borderId="80" xfId="0" applyFont="1" applyFill="1" applyBorder="1" applyAlignment="1">
      <alignment vertical="center" shrinkToFit="1"/>
    </xf>
    <xf numFmtId="49" fontId="3" fillId="4" borderId="14" xfId="0" applyNumberFormat="1" applyFont="1" applyFill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1" fillId="6" borderId="81" xfId="0" applyFont="1" applyFill="1" applyBorder="1" applyAlignment="1">
      <alignment horizontal="center" vertical="center"/>
    </xf>
    <xf numFmtId="0" fontId="11" fillId="6" borderId="81" xfId="0" applyFont="1" applyFill="1" applyBorder="1" applyAlignment="1">
      <alignment horizontal="center" vertical="center"/>
    </xf>
    <xf numFmtId="0" fontId="5" fillId="7" borderId="82" xfId="0" applyFont="1" applyFill="1" applyBorder="1" applyAlignment="1">
      <alignment horizontal="center" vertical="center" shrinkToFit="1"/>
    </xf>
    <xf numFmtId="0" fontId="5" fillId="7" borderId="83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5" fillId="7" borderId="84" xfId="0" applyFont="1" applyFill="1" applyBorder="1" applyAlignment="1">
      <alignment horizontal="center" vertical="center" shrinkToFit="1"/>
    </xf>
    <xf numFmtId="0" fontId="3" fillId="5" borderId="85" xfId="0" applyFont="1" applyFill="1" applyBorder="1" applyAlignment="1">
      <alignment horizontal="center" vertical="center" shrinkToFit="1"/>
    </xf>
    <xf numFmtId="0" fontId="3" fillId="5" borderId="86" xfId="0" applyFont="1" applyFill="1" applyBorder="1" applyAlignment="1">
      <alignment horizontal="center" vertical="center" shrinkToFit="1"/>
    </xf>
    <xf numFmtId="0" fontId="3" fillId="5" borderId="85" xfId="0" applyFont="1" applyFill="1" applyBorder="1" applyAlignment="1">
      <alignment horizontal="center" vertical="center" shrinkToFit="1"/>
    </xf>
    <xf numFmtId="0" fontId="5" fillId="7" borderId="85" xfId="0" applyFont="1" applyFill="1" applyBorder="1" applyAlignment="1">
      <alignment horizontal="center" vertical="center" shrinkToFit="1"/>
    </xf>
    <xf numFmtId="0" fontId="3" fillId="5" borderId="87" xfId="0" applyFont="1" applyFill="1" applyBorder="1" applyAlignment="1">
      <alignment horizontal="center" vertical="center" shrinkToFit="1"/>
    </xf>
    <xf numFmtId="0" fontId="3" fillId="3" borderId="81" xfId="0" applyFont="1" applyFill="1" applyBorder="1" applyAlignment="1">
      <alignment horizontal="center" vertical="center" shrinkToFit="1"/>
    </xf>
    <xf numFmtId="164" fontId="12" fillId="8" borderId="13" xfId="0" applyNumberFormat="1" applyFont="1" applyFill="1" applyBorder="1" applyAlignment="1">
      <alignment horizontal="center" vertical="center" shrinkToFit="1"/>
    </xf>
    <xf numFmtId="0" fontId="1" fillId="0" borderId="38" xfId="0" applyFont="1" applyBorder="1" applyAlignment="1">
      <alignment vertical="center"/>
    </xf>
    <xf numFmtId="0" fontId="3" fillId="8" borderId="11" xfId="0" applyFont="1" applyFill="1" applyBorder="1" applyAlignment="1">
      <alignment vertical="center"/>
    </xf>
    <xf numFmtId="164" fontId="3" fillId="9" borderId="11" xfId="0" applyNumberFormat="1" applyFont="1" applyFill="1" applyBorder="1" applyAlignment="1">
      <alignment horizontal="center"/>
    </xf>
    <xf numFmtId="0" fontId="20" fillId="11" borderId="11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3" fillId="6" borderId="50" xfId="0" applyFont="1" applyFill="1" applyBorder="1" applyAlignment="1">
      <alignment horizontal="center" vertical="center"/>
    </xf>
    <xf numFmtId="0" fontId="8" fillId="5" borderId="88" xfId="0" applyFont="1" applyFill="1" applyBorder="1" applyAlignment="1">
      <alignment vertical="center" shrinkToFit="1"/>
    </xf>
    <xf numFmtId="0" fontId="9" fillId="2" borderId="13" xfId="0" quotePrefix="1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shrinkToFit="1"/>
    </xf>
    <xf numFmtId="0" fontId="19" fillId="0" borderId="68" xfId="0" applyFont="1" applyBorder="1" applyAlignment="1">
      <alignment horizontal="center" vertical="center"/>
    </xf>
    <xf numFmtId="0" fontId="11" fillId="6" borderId="50" xfId="0" applyFont="1" applyFill="1" applyBorder="1" applyAlignment="1">
      <alignment horizontal="center" vertical="center"/>
    </xf>
    <xf numFmtId="0" fontId="11" fillId="6" borderId="50" xfId="0" applyFont="1" applyFill="1" applyBorder="1" applyAlignment="1">
      <alignment horizontal="center" vertical="center"/>
    </xf>
    <xf numFmtId="0" fontId="5" fillId="7" borderId="88" xfId="0" applyFont="1" applyFill="1" applyBorder="1" applyAlignment="1">
      <alignment horizontal="center" vertical="center" shrinkToFit="1"/>
    </xf>
    <xf numFmtId="0" fontId="5" fillId="7" borderId="8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5" fillId="7" borderId="90" xfId="0" applyFont="1" applyFill="1" applyBorder="1" applyAlignment="1">
      <alignment horizontal="center" vertical="center" shrinkToFit="1"/>
    </xf>
    <xf numFmtId="0" fontId="3" fillId="5" borderId="66" xfId="0" applyFont="1" applyFill="1" applyBorder="1" applyAlignment="1">
      <alignment horizontal="center" vertical="center" shrinkToFit="1"/>
    </xf>
    <xf numFmtId="0" fontId="3" fillId="5" borderId="66" xfId="0" applyFont="1" applyFill="1" applyBorder="1" applyAlignment="1">
      <alignment horizontal="center" vertical="center" shrinkToFit="1"/>
    </xf>
    <xf numFmtId="0" fontId="3" fillId="5" borderId="10" xfId="0" applyFont="1" applyFill="1" applyBorder="1" applyAlignment="1">
      <alignment horizontal="center" vertical="center" shrinkToFit="1"/>
    </xf>
    <xf numFmtId="165" fontId="3" fillId="10" borderId="46" xfId="0" applyNumberFormat="1" applyFont="1" applyFill="1" applyBorder="1" applyAlignment="1">
      <alignment vertical="center"/>
    </xf>
    <xf numFmtId="0" fontId="5" fillId="7" borderId="66" xfId="0" applyFont="1" applyFill="1" applyBorder="1" applyAlignment="1">
      <alignment horizontal="center" vertical="center" shrinkToFit="1"/>
    </xf>
    <xf numFmtId="0" fontId="3" fillId="5" borderId="13" xfId="0" applyFont="1" applyFill="1" applyBorder="1" applyAlignment="1">
      <alignment horizontal="center" vertical="center" shrinkToFit="1"/>
    </xf>
    <xf numFmtId="0" fontId="3" fillId="3" borderId="50" xfId="0" applyFont="1" applyFill="1" applyBorder="1" applyAlignment="1">
      <alignment horizontal="center" vertical="center" shrinkToFit="1"/>
    </xf>
    <xf numFmtId="164" fontId="3" fillId="11" borderId="11" xfId="0" applyNumberFormat="1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11" borderId="11" xfId="0" applyFont="1" applyFill="1" applyBorder="1" applyAlignment="1">
      <alignment horizontal="center" wrapText="1"/>
    </xf>
    <xf numFmtId="165" fontId="3" fillId="10" borderId="46" xfId="0" applyNumberFormat="1" applyFont="1" applyFill="1" applyBorder="1" applyAlignment="1">
      <alignment horizontal="center" vertical="center"/>
    </xf>
    <xf numFmtId="165" fontId="3" fillId="10" borderId="13" xfId="0" applyNumberFormat="1" applyFont="1" applyFill="1" applyBorder="1" applyAlignment="1">
      <alignment vertical="center"/>
    </xf>
    <xf numFmtId="0" fontId="3" fillId="1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0" borderId="9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164" fontId="3" fillId="13" borderId="37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/>
    <xf numFmtId="0" fontId="5" fillId="7" borderId="66" xfId="0" applyFont="1" applyFill="1" applyBorder="1" applyAlignment="1">
      <alignment horizontal="center" vertical="center" shrinkToFit="1"/>
    </xf>
    <xf numFmtId="0" fontId="13" fillId="2" borderId="92" xfId="0" applyFont="1" applyFill="1" applyBorder="1" applyAlignment="1">
      <alignment horizontal="center" vertical="center"/>
    </xf>
    <xf numFmtId="0" fontId="21" fillId="2" borderId="79" xfId="0" applyFont="1" applyFill="1" applyBorder="1" applyAlignment="1"/>
    <xf numFmtId="0" fontId="21" fillId="6" borderId="5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164" fontId="3" fillId="9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0" borderId="91" xfId="0" applyFont="1" applyFill="1" applyBorder="1" applyAlignment="1">
      <alignment horizontal="center"/>
    </xf>
    <xf numFmtId="0" fontId="21" fillId="0" borderId="0" xfId="0" applyFont="1" applyAlignment="1"/>
    <xf numFmtId="0" fontId="12" fillId="7" borderId="10" xfId="0" applyFont="1" applyFill="1" applyBorder="1" applyAlignment="1">
      <alignment horizontal="center" vertical="center" shrinkToFit="1"/>
    </xf>
    <xf numFmtId="0" fontId="5" fillId="7" borderId="89" xfId="0" applyFont="1" applyFill="1" applyBorder="1" applyAlignment="1">
      <alignment horizontal="center" vertical="center" shrinkToFit="1"/>
    </xf>
    <xf numFmtId="3" fontId="12" fillId="5" borderId="25" xfId="0" applyNumberFormat="1" applyFont="1" applyFill="1" applyBorder="1" applyAlignment="1">
      <alignment horizontal="center" vertical="center" shrinkToFit="1"/>
    </xf>
    <xf numFmtId="0" fontId="3" fillId="3" borderId="51" xfId="0" applyNumberFormat="1" applyFont="1" applyFill="1" applyBorder="1" applyAlignment="1">
      <alignment horizontal="center" vertical="center" wrapText="1"/>
    </xf>
    <xf numFmtId="164" fontId="3" fillId="3" borderId="46" xfId="0" applyNumberFormat="1" applyFont="1" applyFill="1" applyBorder="1" applyAlignment="1">
      <alignment horizontal="right" vertical="center" shrinkToFit="1"/>
    </xf>
    <xf numFmtId="0" fontId="3" fillId="14" borderId="11" xfId="0" applyFont="1" applyFill="1" applyBorder="1" applyAlignment="1">
      <alignment horizontal="center" vertical="center"/>
    </xf>
    <xf numFmtId="0" fontId="3" fillId="17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8" fillId="5" borderId="93" xfId="0" applyFont="1" applyFill="1" applyBorder="1" applyAlignment="1">
      <alignment vertical="center" shrinkToFit="1"/>
    </xf>
    <xf numFmtId="0" fontId="3" fillId="0" borderId="40" xfId="0" applyFont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164" fontId="12" fillId="8" borderId="40" xfId="0" applyNumberFormat="1" applyFont="1" applyFill="1" applyBorder="1" applyAlignment="1">
      <alignment horizontal="center" vertical="center" shrinkToFit="1"/>
    </xf>
    <xf numFmtId="0" fontId="9" fillId="2" borderId="40" xfId="0" applyFont="1" applyFill="1" applyBorder="1" applyAlignment="1">
      <alignment horizontal="center" vertical="center" wrapText="1"/>
    </xf>
    <xf numFmtId="0" fontId="19" fillId="0" borderId="75" xfId="0" applyFont="1" applyBorder="1" applyAlignment="1">
      <alignment horizontal="center" vertical="center"/>
    </xf>
    <xf numFmtId="0" fontId="11" fillId="6" borderId="52" xfId="0" applyFont="1" applyFill="1" applyBorder="1" applyAlignment="1">
      <alignment horizontal="center" vertical="center"/>
    </xf>
    <xf numFmtId="0" fontId="5" fillId="7" borderId="93" xfId="0" applyFont="1" applyFill="1" applyBorder="1" applyAlignment="1">
      <alignment horizontal="center" vertical="center" shrinkToFit="1"/>
    </xf>
    <xf numFmtId="0" fontId="5" fillId="7" borderId="94" xfId="0" applyFont="1" applyFill="1" applyBorder="1" applyAlignment="1">
      <alignment horizontal="center" vertical="center" shrinkToFit="1"/>
    </xf>
    <xf numFmtId="0" fontId="5" fillId="7" borderId="25" xfId="0" applyFont="1" applyFill="1" applyBorder="1" applyAlignment="1">
      <alignment horizontal="center" vertical="center" shrinkToFit="1"/>
    </xf>
    <xf numFmtId="0" fontId="5" fillId="7" borderId="95" xfId="0" applyFont="1" applyFill="1" applyBorder="1" applyAlignment="1">
      <alignment horizontal="center" vertical="center" shrinkToFit="1"/>
    </xf>
    <xf numFmtId="0" fontId="3" fillId="5" borderId="96" xfId="0" applyFont="1" applyFill="1" applyBorder="1" applyAlignment="1">
      <alignment horizontal="center" vertical="center" shrinkToFit="1"/>
    </xf>
    <xf numFmtId="0" fontId="3" fillId="5" borderId="25" xfId="0" applyFont="1" applyFill="1" applyBorder="1" applyAlignment="1">
      <alignment horizontal="center" vertical="center" shrinkToFit="1"/>
    </xf>
    <xf numFmtId="0" fontId="5" fillId="7" borderId="96" xfId="0" applyFont="1" applyFill="1" applyBorder="1" applyAlignment="1">
      <alignment horizontal="center" vertical="center" shrinkToFit="1"/>
    </xf>
    <xf numFmtId="0" fontId="3" fillId="5" borderId="40" xfId="0" applyFont="1" applyFill="1" applyBorder="1" applyAlignment="1">
      <alignment horizontal="center" vertical="center" shrinkToFit="1"/>
    </xf>
    <xf numFmtId="0" fontId="3" fillId="3" borderId="52" xfId="0" applyFont="1" applyFill="1" applyBorder="1" applyAlignment="1">
      <alignment horizontal="center" vertical="center" shrinkToFit="1"/>
    </xf>
    <xf numFmtId="164" fontId="1" fillId="0" borderId="0" xfId="0" applyNumberFormat="1" applyFont="1" applyAlignment="1">
      <alignment horizontal="center"/>
    </xf>
    <xf numFmtId="0" fontId="3" fillId="4" borderId="9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9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shrinkToFit="1"/>
    </xf>
    <xf numFmtId="0" fontId="3" fillId="4" borderId="100" xfId="0" applyFont="1" applyFill="1" applyBorder="1" applyAlignment="1">
      <alignment horizontal="right" vertical="center"/>
    </xf>
    <xf numFmtId="3" fontId="12" fillId="4" borderId="102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164" fontId="4" fillId="3" borderId="46" xfId="0" applyNumberFormat="1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right" vertical="center"/>
    </xf>
    <xf numFmtId="0" fontId="12" fillId="4" borderId="90" xfId="0" applyFont="1" applyFill="1" applyBorder="1" applyAlignment="1">
      <alignment horizontal="center" vertical="center"/>
    </xf>
    <xf numFmtId="0" fontId="4" fillId="15" borderId="0" xfId="0" applyFont="1" applyFill="1" applyAlignment="1">
      <alignment vertical="center"/>
    </xf>
    <xf numFmtId="0" fontId="3" fillId="4" borderId="66" xfId="0" applyFont="1" applyFill="1" applyBorder="1" applyAlignment="1">
      <alignment horizontal="right" vertical="center"/>
    </xf>
    <xf numFmtId="0" fontId="4" fillId="15" borderId="0" xfId="0" applyFont="1" applyFill="1" applyAlignment="1">
      <alignment horizontal="center" vertical="center"/>
    </xf>
    <xf numFmtId="0" fontId="3" fillId="4" borderId="103" xfId="0" applyFont="1" applyFill="1" applyBorder="1" applyAlignment="1">
      <alignment horizontal="center" vertical="center"/>
    </xf>
    <xf numFmtId="0" fontId="6" fillId="4" borderId="104" xfId="0" applyFont="1" applyFill="1" applyBorder="1" applyAlignment="1"/>
    <xf numFmtId="0" fontId="3" fillId="4" borderId="105" xfId="0" applyFont="1" applyFill="1" applyBorder="1" applyAlignment="1">
      <alignment vertical="center"/>
    </xf>
    <xf numFmtId="0" fontId="10" fillId="4" borderId="105" xfId="0" applyFont="1" applyFill="1" applyBorder="1" applyAlignment="1">
      <alignment horizontal="right"/>
    </xf>
    <xf numFmtId="0" fontId="22" fillId="4" borderId="105" xfId="0" applyFont="1" applyFill="1" applyBorder="1" applyAlignment="1">
      <alignment vertical="top"/>
    </xf>
    <xf numFmtId="0" fontId="14" fillId="4" borderId="107" xfId="0" applyFont="1" applyFill="1" applyBorder="1" applyAlignment="1">
      <alignment horizontal="center" vertical="center"/>
    </xf>
    <xf numFmtId="0" fontId="18" fillId="4" borderId="107" xfId="0" applyFont="1" applyFill="1" applyBorder="1" applyAlignment="1">
      <alignment horizontal="left" vertical="center"/>
    </xf>
    <xf numFmtId="0" fontId="6" fillId="4" borderId="108" xfId="0" applyFont="1" applyFill="1" applyBorder="1" applyAlignment="1">
      <alignment horizontal="center" vertical="center"/>
    </xf>
    <xf numFmtId="0" fontId="6" fillId="0" borderId="0" xfId="0" applyFont="1" applyAlignment="1"/>
    <xf numFmtId="0" fontId="10" fillId="0" borderId="0" xfId="0" applyFont="1" applyAlignment="1">
      <alignment horizontal="right"/>
    </xf>
    <xf numFmtId="0" fontId="23" fillId="0" borderId="0" xfId="0" applyFont="1" applyAlignment="1">
      <alignment vertical="top"/>
    </xf>
    <xf numFmtId="0" fontId="16" fillId="0" borderId="0" xfId="0" applyFont="1" applyAlignment="1"/>
    <xf numFmtId="0" fontId="4" fillId="15" borderId="78" xfId="0" applyFont="1" applyFill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4" fillId="15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49" fontId="3" fillId="4" borderId="16" xfId="0" applyNumberFormat="1" applyFont="1" applyFill="1" applyBorder="1" applyAlignment="1">
      <alignment horizontal="center"/>
    </xf>
    <xf numFmtId="0" fontId="8" fillId="5" borderId="6" xfId="0" applyFont="1" applyFill="1" applyBorder="1"/>
    <xf numFmtId="0" fontId="5" fillId="7" borderId="83" xfId="0" applyFont="1" applyFill="1" applyBorder="1" applyAlignment="1">
      <alignment horizontal="center" vertical="center" shrinkToFit="1"/>
    </xf>
    <xf numFmtId="0" fontId="3" fillId="5" borderId="86" xfId="0" applyFont="1" applyFill="1" applyBorder="1" applyAlignment="1">
      <alignment horizontal="center" vertical="center" shrinkToFit="1"/>
    </xf>
    <xf numFmtId="0" fontId="8" fillId="5" borderId="9" xfId="0" applyFont="1" applyFill="1" applyBorder="1" applyAlignment="1"/>
    <xf numFmtId="0" fontId="5" fillId="7" borderId="88" xfId="0" applyFont="1" applyFill="1" applyBorder="1" applyAlignment="1">
      <alignment horizontal="center" vertical="center" shrinkToFit="1"/>
    </xf>
    <xf numFmtId="0" fontId="8" fillId="5" borderId="9" xfId="0" applyFont="1" applyFill="1" applyBorder="1"/>
    <xf numFmtId="0" fontId="12" fillId="5" borderId="37" xfId="0" applyFont="1" applyFill="1" applyBorder="1" applyAlignment="1">
      <alignment horizontal="center" vertical="center" shrinkToFit="1"/>
    </xf>
    <xf numFmtId="0" fontId="5" fillId="7" borderId="90" xfId="0" applyFont="1" applyFill="1" applyBorder="1" applyAlignment="1">
      <alignment horizontal="center" vertical="center" shrinkToFit="1"/>
    </xf>
    <xf numFmtId="0" fontId="12" fillId="7" borderId="13" xfId="0" applyFont="1" applyFill="1" applyBorder="1" applyAlignment="1">
      <alignment horizontal="center" vertical="center" shrinkToFit="1"/>
    </xf>
    <xf numFmtId="0" fontId="12" fillId="5" borderId="51" xfId="0" applyFont="1" applyFill="1" applyBorder="1" applyAlignment="1">
      <alignment horizontal="center" vertical="center" shrinkToFit="1"/>
    </xf>
    <xf numFmtId="0" fontId="3" fillId="0" borderId="68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12" fillId="7" borderId="27" xfId="0" applyFont="1" applyFill="1" applyBorder="1" applyAlignment="1">
      <alignment horizontal="center" vertical="center" shrinkToFit="1"/>
    </xf>
    <xf numFmtId="0" fontId="8" fillId="5" borderId="88" xfId="0" applyFont="1" applyFill="1" applyBorder="1" applyAlignment="1">
      <alignment vertical="center" shrinkToFit="1"/>
    </xf>
    <xf numFmtId="0" fontId="8" fillId="5" borderId="93" xfId="0" applyFont="1" applyFill="1" applyBorder="1" applyAlignment="1">
      <alignment vertical="center" shrinkToFit="1"/>
    </xf>
    <xf numFmtId="0" fontId="11" fillId="6" borderId="52" xfId="0" applyFont="1" applyFill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 shrinkToFit="1"/>
    </xf>
    <xf numFmtId="0" fontId="24" fillId="0" borderId="0" xfId="0" applyFont="1" applyAlignment="1"/>
    <xf numFmtId="0" fontId="25" fillId="0" borderId="0" xfId="0" applyFont="1" applyAlignment="1">
      <alignment vertical="top"/>
    </xf>
    <xf numFmtId="0" fontId="16" fillId="0" borderId="0" xfId="0" applyFont="1" applyAlignment="1">
      <alignment vertical="center"/>
    </xf>
    <xf numFmtId="0" fontId="24" fillId="0" borderId="0" xfId="0" applyFont="1" applyAlignment="1">
      <alignment horizontal="center" vertical="center" shrinkToFi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8" fillId="5" borderId="6" xfId="0" applyFont="1" applyFill="1" applyBorder="1"/>
    <xf numFmtId="0" fontId="8" fillId="5" borderId="9" xfId="0" applyFont="1" applyFill="1" applyBorder="1"/>
    <xf numFmtId="0" fontId="2" fillId="5" borderId="9" xfId="0" applyFont="1" applyFill="1" applyBorder="1"/>
    <xf numFmtId="0" fontId="2" fillId="5" borderId="9" xfId="0" applyFont="1" applyFill="1" applyBorder="1"/>
    <xf numFmtId="49" fontId="3" fillId="4" borderId="21" xfId="0" applyNumberFormat="1" applyFont="1" applyFill="1" applyBorder="1" applyAlignment="1">
      <alignment horizontal="center" vertical="center"/>
    </xf>
    <xf numFmtId="164" fontId="3" fillId="8" borderId="49" xfId="0" applyNumberFormat="1" applyFont="1" applyFill="1" applyBorder="1" applyAlignment="1">
      <alignment horizontal="center" vertical="center"/>
    </xf>
    <xf numFmtId="164" fontId="3" fillId="8" borderId="5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vertical="center"/>
    </xf>
    <xf numFmtId="164" fontId="2" fillId="8" borderId="49" xfId="0" applyNumberFormat="1" applyFont="1" applyFill="1" applyBorder="1" applyAlignment="1">
      <alignment vertical="center"/>
    </xf>
    <xf numFmtId="0" fontId="11" fillId="6" borderId="37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 shrinkToFit="1"/>
    </xf>
    <xf numFmtId="0" fontId="9" fillId="2" borderId="59" xfId="0" applyFont="1" applyFill="1" applyBorder="1" applyAlignment="1">
      <alignment horizontal="center" vertical="center"/>
    </xf>
    <xf numFmtId="0" fontId="8" fillId="5" borderId="53" xfId="0" applyFont="1" applyFill="1" applyBorder="1" applyAlignment="1">
      <alignment vertical="center" shrinkToFit="1"/>
    </xf>
    <xf numFmtId="0" fontId="3" fillId="0" borderId="40" xfId="0" applyFont="1" applyBorder="1" applyAlignment="1">
      <alignment horizontal="center" vertical="center" shrinkToFit="1"/>
    </xf>
    <xf numFmtId="3" fontId="2" fillId="5" borderId="26" xfId="0" applyNumberFormat="1" applyFont="1" applyFill="1" applyBorder="1" applyAlignment="1">
      <alignment vertical="center"/>
    </xf>
    <xf numFmtId="164" fontId="2" fillId="8" borderId="57" xfId="0" applyNumberFormat="1" applyFont="1" applyFill="1" applyBorder="1" applyAlignment="1">
      <alignment vertical="center"/>
    </xf>
    <xf numFmtId="164" fontId="3" fillId="3" borderId="68" xfId="0" applyNumberFormat="1" applyFont="1" applyFill="1" applyBorder="1" applyAlignment="1">
      <alignment horizontal="right" vertical="center" shrinkToFit="1"/>
    </xf>
    <xf numFmtId="0" fontId="3" fillId="11" borderId="1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164" fontId="3" fillId="13" borderId="10" xfId="0" applyNumberFormat="1" applyFont="1" applyFill="1" applyBorder="1" applyAlignment="1">
      <alignment horizontal="center" vertical="center"/>
    </xf>
    <xf numFmtId="164" fontId="3" fillId="13" borderId="10" xfId="0" applyNumberFormat="1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left" vertical="center"/>
    </xf>
    <xf numFmtId="0" fontId="3" fillId="5" borderId="113" xfId="0" applyFont="1" applyFill="1" applyBorder="1" applyAlignment="1">
      <alignment horizontal="center" vertical="center"/>
    </xf>
    <xf numFmtId="0" fontId="3" fillId="5" borderId="114" xfId="0" applyFont="1" applyFill="1" applyBorder="1" applyAlignment="1">
      <alignment horizontal="center" vertical="center"/>
    </xf>
    <xf numFmtId="0" fontId="3" fillId="5" borderId="114" xfId="0" applyFont="1" applyFill="1" applyBorder="1" applyAlignment="1">
      <alignment horizontal="center" vertical="center"/>
    </xf>
    <xf numFmtId="0" fontId="5" fillId="7" borderId="114" xfId="0" applyFont="1" applyFill="1" applyBorder="1" applyAlignment="1">
      <alignment horizontal="center" vertical="center"/>
    </xf>
    <xf numFmtId="0" fontId="3" fillId="5" borderId="115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left" vertical="center"/>
    </xf>
    <xf numFmtId="0" fontId="3" fillId="5" borderId="116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5" fillId="7" borderId="51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right" vertical="center" shrinkToFit="1"/>
    </xf>
    <xf numFmtId="0" fontId="3" fillId="5" borderId="51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3" fillId="10" borderId="46" xfId="0" applyFont="1" applyFill="1" applyBorder="1" applyAlignment="1">
      <alignment vertical="center"/>
    </xf>
    <xf numFmtId="0" fontId="3" fillId="10" borderId="13" xfId="0" applyFont="1" applyFill="1" applyBorder="1" applyAlignment="1">
      <alignment vertical="center"/>
    </xf>
    <xf numFmtId="0" fontId="8" fillId="5" borderId="9" xfId="0" applyFont="1" applyFill="1" applyBorder="1" applyAlignment="1">
      <alignment horizontal="left" vertical="center"/>
    </xf>
    <xf numFmtId="0" fontId="26" fillId="5" borderId="117" xfId="0" applyFont="1" applyFill="1" applyBorder="1" applyAlignment="1"/>
    <xf numFmtId="0" fontId="3" fillId="10" borderId="13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3" fillId="10" borderId="40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0" fontId="8" fillId="5" borderId="45" xfId="0" applyFont="1" applyFill="1" applyBorder="1"/>
    <xf numFmtId="0" fontId="8" fillId="5" borderId="45" xfId="0" applyFont="1" applyFill="1" applyBorder="1"/>
    <xf numFmtId="0" fontId="8" fillId="5" borderId="45" xfId="0" applyFont="1" applyFill="1" applyBorder="1" applyAlignment="1">
      <alignment wrapText="1"/>
    </xf>
    <xf numFmtId="0" fontId="2" fillId="5" borderId="45" xfId="0" applyFont="1" applyFill="1" applyBorder="1"/>
    <xf numFmtId="0" fontId="8" fillId="5" borderId="24" xfId="0" applyFont="1" applyFill="1" applyBorder="1"/>
    <xf numFmtId="0" fontId="8" fillId="5" borderId="45" xfId="0" applyFont="1" applyFill="1" applyBorder="1" applyAlignment="1">
      <alignment wrapText="1"/>
    </xf>
    <xf numFmtId="0" fontId="2" fillId="5" borderId="9" xfId="0" applyFont="1" applyFill="1" applyBorder="1" applyAlignment="1">
      <alignment vertical="center"/>
    </xf>
    <xf numFmtId="0" fontId="2" fillId="5" borderId="51" xfId="0" applyFont="1" applyFill="1" applyBorder="1" applyAlignment="1">
      <alignment vertical="center"/>
    </xf>
    <xf numFmtId="0" fontId="12" fillId="5" borderId="51" xfId="0" applyFont="1" applyFill="1" applyBorder="1" applyAlignment="1">
      <alignment horizontal="center" vertical="center"/>
    </xf>
    <xf numFmtId="0" fontId="2" fillId="7" borderId="51" xfId="0" applyFont="1" applyFill="1" applyBorder="1" applyAlignment="1">
      <alignment vertical="center"/>
    </xf>
    <xf numFmtId="0" fontId="27" fillId="5" borderId="45" xfId="0" applyFont="1" applyFill="1" applyBorder="1"/>
    <xf numFmtId="0" fontId="12" fillId="5" borderId="45" xfId="0" applyFont="1" applyFill="1" applyBorder="1" applyAlignment="1">
      <alignment horizontal="center" vertical="center"/>
    </xf>
    <xf numFmtId="0" fontId="12" fillId="5" borderId="47" xfId="0" applyFont="1" applyFill="1" applyBorder="1" applyAlignment="1">
      <alignment horizontal="center" vertical="center"/>
    </xf>
    <xf numFmtId="0" fontId="12" fillId="5" borderId="47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vertical="center"/>
    </xf>
    <xf numFmtId="0" fontId="2" fillId="5" borderId="45" xfId="0" applyFont="1" applyFill="1" applyBorder="1" applyAlignment="1">
      <alignment vertical="center"/>
    </xf>
    <xf numFmtId="0" fontId="2" fillId="5" borderId="47" xfId="0" applyFont="1" applyFill="1" applyBorder="1" applyAlignment="1">
      <alignment vertical="center"/>
    </xf>
    <xf numFmtId="0" fontId="12" fillId="5" borderId="47" xfId="0" applyFont="1" applyFill="1" applyBorder="1" applyAlignment="1">
      <alignment horizontal="center" vertical="center"/>
    </xf>
    <xf numFmtId="0" fontId="12" fillId="7" borderId="47" xfId="0" applyFont="1" applyFill="1" applyBorder="1" applyAlignment="1">
      <alignment horizontal="center" vertical="center"/>
    </xf>
    <xf numFmtId="0" fontId="8" fillId="5" borderId="45" xfId="0" applyFont="1" applyFill="1" applyBorder="1" applyAlignment="1"/>
    <xf numFmtId="0" fontId="8" fillId="5" borderId="24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180"/>
    </xf>
    <xf numFmtId="0" fontId="28" fillId="0" borderId="0" xfId="0" applyNumberFormat="1" applyFont="1" applyAlignment="1">
      <alignment horizontal="center"/>
    </xf>
    <xf numFmtId="0" fontId="28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0" fontId="29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 textRotation="180"/>
    </xf>
    <xf numFmtId="0" fontId="4" fillId="18" borderId="0" xfId="0" applyFont="1" applyFill="1" applyAlignment="1">
      <alignment vertical="center"/>
    </xf>
    <xf numFmtId="0" fontId="30" fillId="18" borderId="0" xfId="0" applyNumberFormat="1" applyFont="1" applyFill="1" applyAlignment="1">
      <alignment horizontal="center" vertical="center"/>
    </xf>
    <xf numFmtId="0" fontId="30" fillId="18" borderId="0" xfId="0" applyFont="1" applyFill="1" applyAlignment="1">
      <alignment horizontal="center" vertical="center"/>
    </xf>
    <xf numFmtId="0" fontId="1" fillId="0" borderId="0" xfId="0" applyFont="1" applyAlignment="1"/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1" fillId="0" borderId="10" xfId="0" applyFont="1" applyBorder="1" applyAlignment="1"/>
    <xf numFmtId="3" fontId="31" fillId="0" borderId="10" xfId="0" applyNumberFormat="1" applyFont="1" applyBorder="1" applyAlignment="1">
      <alignment horizontal="right"/>
    </xf>
    <xf numFmtId="3" fontId="31" fillId="0" borderId="10" xfId="0" applyNumberFormat="1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3" fontId="31" fillId="0" borderId="10" xfId="0" applyNumberFormat="1" applyFont="1" applyBorder="1" applyAlignment="1"/>
    <xf numFmtId="0" fontId="31" fillId="0" borderId="0" xfId="0" applyFont="1"/>
    <xf numFmtId="0" fontId="31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18" xfId="0" applyFont="1" applyBorder="1" applyAlignment="1">
      <alignment horizontal="center"/>
    </xf>
    <xf numFmtId="0" fontId="1" fillId="0" borderId="117" xfId="0" applyFont="1" applyBorder="1" applyAlignment="1">
      <alignment horizontal="center"/>
    </xf>
    <xf numFmtId="0" fontId="2" fillId="2" borderId="0" xfId="0" applyFont="1" applyFill="1" applyAlignment="1"/>
    <xf numFmtId="3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18" xfId="0" applyFont="1" applyBorder="1" applyAlignment="1">
      <alignment horizontal="center"/>
    </xf>
    <xf numFmtId="0" fontId="1" fillId="0" borderId="117" xfId="0" applyFont="1" applyBorder="1" applyAlignment="1">
      <alignment horizontal="center"/>
    </xf>
    <xf numFmtId="3" fontId="1" fillId="0" borderId="0" xfId="0" applyNumberFormat="1" applyFont="1"/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3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3" fontId="3" fillId="5" borderId="10" xfId="0" applyNumberFormat="1" applyFont="1" applyFill="1" applyBorder="1" applyAlignment="1">
      <alignment horizontal="center" vertical="center" shrinkToFit="1"/>
    </xf>
    <xf numFmtId="0" fontId="7" fillId="0" borderId="38" xfId="0" applyFont="1" applyBorder="1" applyAlignment="1">
      <alignment horizontal="center" vertical="center"/>
    </xf>
    <xf numFmtId="0" fontId="0" fillId="0" borderId="0" xfId="0" applyFont="1" applyAlignment="1"/>
    <xf numFmtId="164" fontId="3" fillId="4" borderId="67" xfId="0" applyNumberFormat="1" applyFont="1" applyFill="1" applyBorder="1" applyAlignment="1">
      <alignment horizontal="center" vertical="center"/>
    </xf>
    <xf numFmtId="0" fontId="1" fillId="0" borderId="36" xfId="0" applyFont="1" applyBorder="1"/>
    <xf numFmtId="0" fontId="1" fillId="0" borderId="68" xfId="0" applyFont="1" applyBorder="1"/>
    <xf numFmtId="0" fontId="3" fillId="4" borderId="35" xfId="0" applyFont="1" applyFill="1" applyBorder="1" applyAlignment="1">
      <alignment horizontal="center" vertical="center" shrinkToFit="1"/>
    </xf>
    <xf numFmtId="0" fontId="1" fillId="0" borderId="71" xfId="0" applyFont="1" applyBorder="1"/>
    <xf numFmtId="0" fontId="3" fillId="4" borderId="67" xfId="0" applyFont="1" applyFill="1" applyBorder="1" applyAlignment="1">
      <alignment horizontal="center" vertical="center" shrinkToFit="1"/>
    </xf>
    <xf numFmtId="0" fontId="1" fillId="0" borderId="51" xfId="0" applyFont="1" applyBorder="1"/>
    <xf numFmtId="0" fontId="3" fillId="4" borderId="36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8" fillId="4" borderId="65" xfId="0" applyFont="1" applyFill="1" applyBorder="1" applyAlignment="1">
      <alignment horizontal="center" vertical="center"/>
    </xf>
    <xf numFmtId="0" fontId="1" fillId="0" borderId="21" xfId="0" applyFont="1" applyBorder="1"/>
    <xf numFmtId="0" fontId="14" fillId="4" borderId="58" xfId="0" applyFont="1" applyFill="1" applyBorder="1" applyAlignment="1">
      <alignment horizontal="right" vertical="center"/>
    </xf>
    <xf numFmtId="0" fontId="1" fillId="0" borderId="58" xfId="0" applyFont="1" applyBorder="1"/>
    <xf numFmtId="0" fontId="3" fillId="4" borderId="61" xfId="0" applyFont="1" applyFill="1" applyBorder="1" applyAlignment="1">
      <alignment horizontal="center" vertical="center" shrinkToFit="1"/>
    </xf>
    <xf numFmtId="0" fontId="1" fillId="0" borderId="62" xfId="0" applyFont="1" applyBorder="1"/>
    <xf numFmtId="0" fontId="1" fillId="0" borderId="47" xfId="0" applyFont="1" applyBorder="1"/>
    <xf numFmtId="164" fontId="3" fillId="4" borderId="61" xfId="0" applyNumberFormat="1" applyFont="1" applyFill="1" applyBorder="1" applyAlignment="1">
      <alignment horizontal="center" vertical="center"/>
    </xf>
    <xf numFmtId="0" fontId="1" fillId="0" borderId="49" xfId="0" applyFont="1" applyBorder="1"/>
    <xf numFmtId="0" fontId="3" fillId="4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38" xfId="0" applyFont="1" applyBorder="1"/>
    <xf numFmtId="0" fontId="1" fillId="0" borderId="59" xfId="0" applyFont="1" applyBorder="1"/>
    <xf numFmtId="0" fontId="1" fillId="0" borderId="76" xfId="0" applyFont="1" applyBorder="1"/>
    <xf numFmtId="0" fontId="1" fillId="0" borderId="77" xfId="0" applyFont="1" applyBorder="1"/>
    <xf numFmtId="0" fontId="1" fillId="0" borderId="57" xfId="0" applyFont="1" applyBorder="1"/>
    <xf numFmtId="0" fontId="15" fillId="5" borderId="38" xfId="0" applyFont="1" applyFill="1" applyBorder="1" applyAlignment="1">
      <alignment horizontal="center" vertical="center"/>
    </xf>
    <xf numFmtId="0" fontId="1" fillId="0" borderId="70" xfId="0" applyFont="1" applyBorder="1"/>
    <xf numFmtId="0" fontId="3" fillId="4" borderId="0" xfId="0" applyFont="1" applyFill="1" applyAlignment="1">
      <alignment horizontal="center" vertical="center"/>
    </xf>
    <xf numFmtId="0" fontId="1" fillId="0" borderId="60" xfId="0" applyFont="1" applyBorder="1"/>
    <xf numFmtId="0" fontId="1" fillId="0" borderId="69" xfId="0" applyFont="1" applyBorder="1"/>
    <xf numFmtId="0" fontId="3" fillId="4" borderId="42" xfId="0" applyFont="1" applyFill="1" applyBorder="1" applyAlignment="1">
      <alignment horizontal="center" vertical="center"/>
    </xf>
    <xf numFmtId="0" fontId="1" fillId="0" borderId="42" xfId="0" applyFont="1" applyBorder="1"/>
    <xf numFmtId="0" fontId="16" fillId="5" borderId="35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shrinkToFit="1"/>
    </xf>
    <xf numFmtId="0" fontId="1" fillId="0" borderId="72" xfId="0" applyFont="1" applyBorder="1"/>
    <xf numFmtId="164" fontId="3" fillId="4" borderId="74" xfId="0" applyNumberFormat="1" applyFont="1" applyFill="1" applyBorder="1" applyAlignment="1">
      <alignment horizontal="center" vertical="center"/>
    </xf>
    <xf numFmtId="0" fontId="1" fillId="0" borderId="75" xfId="0" applyFont="1" applyBorder="1"/>
    <xf numFmtId="164" fontId="16" fillId="3" borderId="35" xfId="0" applyNumberFormat="1" applyFont="1" applyFill="1" applyBorder="1" applyAlignment="1">
      <alignment horizontal="center" vertical="center"/>
    </xf>
    <xf numFmtId="164" fontId="16" fillId="3" borderId="41" xfId="0" applyNumberFormat="1" applyFont="1" applyFill="1" applyBorder="1" applyAlignment="1">
      <alignment horizontal="center" vertical="center"/>
    </xf>
    <xf numFmtId="0" fontId="32" fillId="16" borderId="38" xfId="0" applyFont="1" applyFill="1" applyBorder="1" applyAlignment="1">
      <alignment horizontal="center" vertical="center"/>
    </xf>
    <xf numFmtId="0" fontId="33" fillId="0" borderId="0" xfId="0" applyFont="1" applyAlignment="1"/>
    <xf numFmtId="0" fontId="33" fillId="0" borderId="59" xfId="0" applyFont="1" applyBorder="1"/>
    <xf numFmtId="0" fontId="33" fillId="0" borderId="38" xfId="0" applyFont="1" applyBorder="1"/>
    <xf numFmtId="0" fontId="33" fillId="0" borderId="70" xfId="0" applyFont="1" applyBorder="1"/>
    <xf numFmtId="0" fontId="33" fillId="0" borderId="62" xfId="0" applyFont="1" applyBorder="1"/>
    <xf numFmtId="0" fontId="33" fillId="0" borderId="49" xfId="0" applyFont="1" applyBorder="1"/>
    <xf numFmtId="0" fontId="8" fillId="2" borderId="2" xfId="0" applyFont="1" applyFill="1" applyBorder="1" applyAlignment="1">
      <alignment vertical="center" shrinkToFit="1"/>
    </xf>
    <xf numFmtId="0" fontId="3" fillId="4" borderId="70" xfId="0" applyFont="1" applyFill="1" applyBorder="1" applyAlignment="1">
      <alignment horizontal="center" vertical="center"/>
    </xf>
    <xf numFmtId="3" fontId="12" fillId="4" borderId="67" xfId="0" applyNumberFormat="1" applyFont="1" applyFill="1" applyBorder="1" applyAlignment="1">
      <alignment horizontal="center" vertical="center"/>
    </xf>
    <xf numFmtId="3" fontId="12" fillId="4" borderId="74" xfId="0" applyNumberFormat="1" applyFont="1" applyFill="1" applyBorder="1" applyAlignment="1">
      <alignment horizontal="center" vertical="center"/>
    </xf>
    <xf numFmtId="0" fontId="3" fillId="4" borderId="99" xfId="0" applyFont="1" applyFill="1" applyBorder="1" applyAlignment="1">
      <alignment horizontal="center" vertical="center" shrinkToFit="1"/>
    </xf>
    <xf numFmtId="0" fontId="1" fillId="0" borderId="32" xfId="0" applyFont="1" applyBorder="1"/>
    <xf numFmtId="0" fontId="1" fillId="0" borderId="34" xfId="0" applyFont="1" applyBorder="1"/>
    <xf numFmtId="0" fontId="3" fillId="4" borderId="35" xfId="0" applyFont="1" applyFill="1" applyBorder="1" applyAlignment="1">
      <alignment horizontal="center" vertical="center"/>
    </xf>
    <xf numFmtId="0" fontId="18" fillId="4" borderId="106" xfId="0" applyFont="1" applyFill="1" applyBorder="1" applyAlignment="1">
      <alignment horizontal="right" vertical="center"/>
    </xf>
    <xf numFmtId="0" fontId="14" fillId="4" borderId="106" xfId="0" applyFont="1" applyFill="1" applyBorder="1" applyAlignment="1">
      <alignment horizontal="center" vertical="center" shrinkToFit="1"/>
    </xf>
    <xf numFmtId="0" fontId="1" fillId="0" borderId="12" xfId="0" applyFont="1" applyBorder="1"/>
    <xf numFmtId="0" fontId="3" fillId="3" borderId="35" xfId="0" applyFont="1" applyFill="1" applyBorder="1" applyAlignment="1">
      <alignment vertical="center"/>
    </xf>
    <xf numFmtId="0" fontId="18" fillId="4" borderId="65" xfId="0" applyFont="1" applyFill="1" applyBorder="1" applyAlignment="1">
      <alignment horizontal="right" vertical="center"/>
    </xf>
    <xf numFmtId="3" fontId="12" fillId="4" borderId="99" xfId="0" applyNumberFormat="1" applyFont="1" applyFill="1" applyBorder="1" applyAlignment="1">
      <alignment horizontal="center" vertical="center"/>
    </xf>
    <xf numFmtId="0" fontId="1" fillId="0" borderId="101" xfId="0" applyFont="1" applyBorder="1"/>
    <xf numFmtId="0" fontId="7" fillId="5" borderId="31" xfId="0" applyFont="1" applyFill="1" applyBorder="1" applyAlignment="1">
      <alignment horizontal="center" vertical="center"/>
    </xf>
    <xf numFmtId="0" fontId="1" fillId="0" borderId="64" xfId="0" applyFont="1" applyBorder="1"/>
    <xf numFmtId="0" fontId="3" fillId="5" borderId="3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 shrinkToFit="1"/>
    </xf>
    <xf numFmtId="164" fontId="7" fillId="0" borderId="0" xfId="0" applyNumberFormat="1" applyFont="1" applyAlignment="1">
      <alignment horizontal="center" vertical="center"/>
    </xf>
    <xf numFmtId="0" fontId="3" fillId="4" borderId="109" xfId="0" applyFont="1" applyFill="1" applyBorder="1" applyAlignment="1">
      <alignment horizontal="center" vertical="center"/>
    </xf>
    <xf numFmtId="0" fontId="1" fillId="0" borderId="110" xfId="0" applyFont="1" applyBorder="1"/>
    <xf numFmtId="0" fontId="1" fillId="0" borderId="111" xfId="0" applyFont="1" applyBorder="1"/>
    <xf numFmtId="0" fontId="3" fillId="4" borderId="62" xfId="0" applyFont="1" applyFill="1" applyBorder="1" applyAlignment="1">
      <alignment horizontal="center" vertical="center"/>
    </xf>
    <xf numFmtId="0" fontId="7" fillId="5" borderId="70" xfId="0" applyFont="1" applyFill="1" applyBorder="1" applyAlignment="1">
      <alignment horizontal="center" vertical="center"/>
    </xf>
    <xf numFmtId="0" fontId="14" fillId="4" borderId="65" xfId="0" applyFont="1" applyFill="1" applyBorder="1" applyAlignment="1">
      <alignment horizontal="right" vertical="center"/>
    </xf>
    <xf numFmtId="0" fontId="3" fillId="4" borderId="3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/>
    </xf>
    <xf numFmtId="0" fontId="39" fillId="0" borderId="79" xfId="1" applyFont="1" applyAlignment="1">
      <alignment vertical="center"/>
    </xf>
    <xf numFmtId="0" fontId="39" fillId="2" borderId="79" xfId="1" applyFont="1" applyFill="1" applyAlignment="1">
      <alignment vertical="center"/>
    </xf>
    <xf numFmtId="0" fontId="39" fillId="2" borderId="79" xfId="1" applyFont="1" applyFill="1" applyAlignment="1">
      <alignment horizontal="center" vertical="center" shrinkToFit="1"/>
    </xf>
    <xf numFmtId="0" fontId="39" fillId="0" borderId="79" xfId="1" applyFont="1" applyAlignment="1">
      <alignment horizontal="center" vertical="center"/>
    </xf>
    <xf numFmtId="0" fontId="34" fillId="0" borderId="79" xfId="1" applyFont="1" applyAlignment="1"/>
    <xf numFmtId="0" fontId="39" fillId="0" borderId="79" xfId="1" applyFont="1" applyAlignment="1">
      <alignment horizontal="center" vertical="center" shrinkToFit="1"/>
    </xf>
    <xf numFmtId="0" fontId="40" fillId="4" borderId="2" xfId="1" applyFont="1" applyFill="1" applyBorder="1" applyAlignment="1">
      <alignment horizontal="center" vertical="center"/>
    </xf>
    <xf numFmtId="0" fontId="41" fillId="0" borderId="100" xfId="1" applyFont="1" applyBorder="1"/>
    <xf numFmtId="0" fontId="41" fillId="0" borderId="4" xfId="1" applyFont="1" applyBorder="1"/>
    <xf numFmtId="0" fontId="40" fillId="0" borderId="79" xfId="1" applyFont="1" applyAlignment="1">
      <alignment horizontal="center" vertical="center"/>
    </xf>
    <xf numFmtId="0" fontId="35" fillId="0" borderId="79" xfId="1" applyFont="1" applyAlignment="1">
      <alignment horizontal="center" vertical="center"/>
    </xf>
    <xf numFmtId="49" fontId="39" fillId="0" borderId="79" xfId="1" applyNumberFormat="1" applyFont="1" applyAlignment="1">
      <alignment horizontal="center" vertical="center" wrapText="1"/>
    </xf>
    <xf numFmtId="49" fontId="39" fillId="0" borderId="79" xfId="1" applyNumberFormat="1" applyFont="1" applyAlignment="1">
      <alignment horizontal="center" vertical="center"/>
    </xf>
    <xf numFmtId="0" fontId="42" fillId="0" borderId="79" xfId="1" applyFont="1" applyAlignment="1">
      <alignment horizontal="center" vertical="center"/>
    </xf>
    <xf numFmtId="0" fontId="39" fillId="4" borderId="11" xfId="1" applyFont="1" applyFill="1" applyBorder="1" applyAlignment="1">
      <alignment horizontal="center" vertical="center"/>
    </xf>
    <xf numFmtId="0" fontId="39" fillId="4" borderId="107" xfId="1" applyFont="1" applyFill="1" applyBorder="1" applyAlignment="1">
      <alignment horizontal="center" vertical="center"/>
    </xf>
    <xf numFmtId="0" fontId="39" fillId="4" borderId="14" xfId="1" applyFont="1" applyFill="1" applyBorder="1" applyAlignment="1">
      <alignment horizontal="center" vertical="center" shrinkToFit="1"/>
    </xf>
    <xf numFmtId="0" fontId="39" fillId="4" borderId="65" xfId="1" applyFont="1" applyFill="1" applyBorder="1" applyAlignment="1">
      <alignment horizontal="center" vertical="center"/>
    </xf>
    <xf numFmtId="0" fontId="39" fillId="4" borderId="16" xfId="1" applyFont="1" applyFill="1" applyBorder="1" applyAlignment="1">
      <alignment horizontal="center" vertical="center"/>
    </xf>
    <xf numFmtId="0" fontId="39" fillId="4" borderId="30" xfId="1" applyFont="1" applyFill="1" applyBorder="1" applyAlignment="1">
      <alignment horizontal="center" vertical="center"/>
    </xf>
    <xf numFmtId="0" fontId="39" fillId="4" borderId="21" xfId="1" applyFont="1" applyFill="1" applyBorder="1" applyAlignment="1">
      <alignment horizontal="center" vertical="center"/>
    </xf>
    <xf numFmtId="0" fontId="39" fillId="4" borderId="20" xfId="1" applyFont="1" applyFill="1" applyBorder="1" applyAlignment="1">
      <alignment horizontal="center" vertical="center"/>
    </xf>
    <xf numFmtId="0" fontId="39" fillId="4" borderId="107" xfId="1" applyFont="1" applyFill="1" applyBorder="1" applyAlignment="1">
      <alignment vertical="center"/>
    </xf>
    <xf numFmtId="0" fontId="40" fillId="4" borderId="20" xfId="1" applyFont="1" applyFill="1" applyBorder="1" applyAlignment="1">
      <alignment horizontal="center"/>
    </xf>
    <xf numFmtId="0" fontId="40" fillId="4" borderId="16" xfId="1" applyFont="1" applyFill="1" applyBorder="1" applyAlignment="1">
      <alignment horizontal="center"/>
    </xf>
    <xf numFmtId="0" fontId="40" fillId="4" borderId="22" xfId="1" applyFont="1" applyFill="1" applyBorder="1" applyAlignment="1">
      <alignment horizontal="center"/>
    </xf>
    <xf numFmtId="0" fontId="40" fillId="4" borderId="24" xfId="1" applyFont="1" applyFill="1" applyBorder="1" applyAlignment="1">
      <alignment horizontal="center"/>
    </xf>
    <xf numFmtId="0" fontId="40" fillId="4" borderId="26" xfId="1" applyFont="1" applyFill="1" applyBorder="1" applyAlignment="1">
      <alignment horizontal="center" wrapText="1"/>
    </xf>
    <xf numFmtId="0" fontId="40" fillId="4" borderId="28" xfId="1" applyFont="1" applyFill="1" applyBorder="1" applyAlignment="1">
      <alignment horizontal="center" wrapText="1"/>
    </xf>
    <xf numFmtId="0" fontId="40" fillId="4" borderId="30" xfId="1" applyFont="1" applyFill="1" applyBorder="1" applyAlignment="1">
      <alignment horizontal="center"/>
    </xf>
    <xf numFmtId="0" fontId="35" fillId="4" borderId="16" xfId="1" applyFont="1" applyFill="1" applyBorder="1" applyAlignment="1">
      <alignment horizontal="center"/>
    </xf>
    <xf numFmtId="0" fontId="39" fillId="4" borderId="14" xfId="1" applyFont="1" applyFill="1" applyBorder="1" applyAlignment="1">
      <alignment horizontal="center" vertical="center"/>
    </xf>
    <xf numFmtId="49" fontId="39" fillId="4" borderId="16" xfId="1" applyNumberFormat="1" applyFont="1" applyFill="1" applyBorder="1" applyAlignment="1">
      <alignment horizontal="center" vertical="center" wrapText="1"/>
    </xf>
    <xf numFmtId="49" fontId="39" fillId="4" borderId="16" xfId="1" applyNumberFormat="1" applyFont="1" applyFill="1" applyBorder="1" applyAlignment="1">
      <alignment horizontal="center" vertical="center"/>
    </xf>
    <xf numFmtId="49" fontId="39" fillId="4" borderId="16" xfId="1" applyNumberFormat="1" applyFont="1" applyFill="1" applyBorder="1" applyAlignment="1">
      <alignment horizontal="center"/>
    </xf>
    <xf numFmtId="49" fontId="39" fillId="4" borderId="21" xfId="1" applyNumberFormat="1" applyFont="1" applyFill="1" applyBorder="1" applyAlignment="1">
      <alignment horizontal="center"/>
    </xf>
    <xf numFmtId="0" fontId="42" fillId="0" borderId="79" xfId="1" applyFont="1" applyAlignment="1">
      <alignment horizontal="center" vertical="center"/>
    </xf>
    <xf numFmtId="0" fontId="34" fillId="0" borderId="79" xfId="1" applyFont="1" applyAlignment="1"/>
    <xf numFmtId="0" fontId="42" fillId="0" borderId="38" xfId="1" applyFont="1" applyBorder="1" applyAlignment="1">
      <alignment horizontal="center" vertical="center"/>
    </xf>
    <xf numFmtId="0" fontId="39" fillId="4" borderId="39" xfId="1" applyFont="1" applyFill="1" applyBorder="1" applyAlignment="1">
      <alignment horizontal="center" vertical="center"/>
    </xf>
    <xf numFmtId="0" fontId="43" fillId="5" borderId="34" xfId="1" applyFont="1" applyFill="1" applyBorder="1" applyAlignment="1">
      <alignment vertical="center" shrinkToFit="1"/>
    </xf>
    <xf numFmtId="0" fontId="39" fillId="0" borderId="8" xfId="1" applyFont="1" applyBorder="1" applyAlignment="1">
      <alignment horizontal="center" vertical="center" shrinkToFit="1"/>
    </xf>
    <xf numFmtId="0" fontId="43" fillId="3" borderId="34" xfId="1" applyFont="1" applyFill="1" applyBorder="1" applyAlignment="1">
      <alignment horizontal="center" vertical="center"/>
    </xf>
    <xf numFmtId="0" fontId="43" fillId="3" borderId="7" xfId="1" applyFont="1" applyFill="1" applyBorder="1" applyAlignment="1">
      <alignment horizontal="center" vertical="center"/>
    </xf>
    <xf numFmtId="0" fontId="43" fillId="3" borderId="8" xfId="1" applyFont="1" applyFill="1" applyBorder="1" applyAlignment="1">
      <alignment horizontal="center" vertical="center"/>
    </xf>
    <xf numFmtId="0" fontId="39" fillId="3" borderId="34" xfId="1" applyFont="1" applyFill="1" applyBorder="1" applyAlignment="1">
      <alignment horizontal="center" vertical="center" wrapText="1"/>
    </xf>
    <xf numFmtId="0" fontId="37" fillId="2" borderId="8" xfId="1" applyFont="1" applyFill="1" applyBorder="1" applyAlignment="1">
      <alignment horizontal="center" vertical="center" wrapText="1"/>
    </xf>
    <xf numFmtId="0" fontId="36" fillId="3" borderId="34" xfId="1" applyFont="1" applyFill="1" applyBorder="1" applyAlignment="1">
      <alignment horizontal="center" vertical="center"/>
    </xf>
    <xf numFmtId="0" fontId="44" fillId="6" borderId="86" xfId="1" applyFont="1" applyFill="1" applyBorder="1" applyAlignment="1">
      <alignment horizontal="center" vertical="center"/>
    </xf>
    <xf numFmtId="0" fontId="44" fillId="6" borderId="83" xfId="1" applyFont="1" applyFill="1" applyBorder="1" applyAlignment="1">
      <alignment horizontal="center" vertical="center"/>
    </xf>
    <xf numFmtId="0" fontId="45" fillId="7" borderId="45" xfId="1" applyFont="1" applyFill="1" applyBorder="1" applyAlignment="1">
      <alignment horizontal="center" vertical="center" shrinkToFit="1"/>
    </xf>
    <xf numFmtId="0" fontId="45" fillId="7" borderId="86" xfId="1" applyFont="1" applyFill="1" applyBorder="1" applyAlignment="1">
      <alignment horizontal="center" vertical="center" shrinkToFit="1"/>
    </xf>
    <xf numFmtId="0" fontId="45" fillId="7" borderId="87" xfId="1" applyFont="1" applyFill="1" applyBorder="1" applyAlignment="1">
      <alignment horizontal="center" vertical="center" shrinkToFit="1"/>
    </xf>
    <xf numFmtId="0" fontId="45" fillId="5" borderId="114" xfId="1" applyFont="1" applyFill="1" applyBorder="1" applyAlignment="1">
      <alignment horizontal="center" vertical="center" shrinkToFit="1"/>
    </xf>
    <xf numFmtId="0" fontId="45" fillId="5" borderId="86" xfId="1" applyFont="1" applyFill="1" applyBorder="1" applyAlignment="1">
      <alignment horizontal="center" vertical="center" shrinkToFit="1"/>
    </xf>
    <xf numFmtId="0" fontId="45" fillId="5" borderId="83" xfId="1" applyFont="1" applyFill="1" applyBorder="1" applyAlignment="1">
      <alignment horizontal="center" vertical="center" shrinkToFit="1"/>
    </xf>
    <xf numFmtId="0" fontId="39" fillId="3" borderId="45" xfId="1" applyFont="1" applyFill="1" applyBorder="1" applyAlignment="1">
      <alignment horizontal="center" vertical="center" shrinkToFit="1"/>
    </xf>
    <xf numFmtId="164" fontId="39" fillId="3" borderId="87" xfId="1" applyNumberFormat="1" applyFont="1" applyFill="1" applyBorder="1" applyAlignment="1">
      <alignment horizontal="right" vertical="center" shrinkToFit="1"/>
    </xf>
    <xf numFmtId="164" fontId="39" fillId="3" borderId="81" xfId="1" applyNumberFormat="1" applyFont="1" applyFill="1" applyBorder="1" applyAlignment="1">
      <alignment horizontal="center" vertical="center" shrinkToFit="1"/>
    </xf>
    <xf numFmtId="3" fontId="45" fillId="5" borderId="114" xfId="1" applyNumberFormat="1" applyFont="1" applyFill="1" applyBorder="1" applyAlignment="1">
      <alignment horizontal="center" vertical="center" shrinkToFit="1"/>
    </xf>
    <xf numFmtId="3" fontId="45" fillId="5" borderId="86" xfId="1" applyNumberFormat="1" applyFont="1" applyFill="1" applyBorder="1" applyAlignment="1">
      <alignment horizontal="center" vertical="center" shrinkToFit="1"/>
    </xf>
    <xf numFmtId="3" fontId="41" fillId="5" borderId="86" xfId="1" applyNumberFormat="1" applyFont="1" applyFill="1" applyBorder="1"/>
    <xf numFmtId="164" fontId="41" fillId="8" borderId="115" xfId="1" applyNumberFormat="1" applyFont="1" applyFill="1" applyBorder="1"/>
    <xf numFmtId="0" fontId="39" fillId="8" borderId="11" xfId="1" applyFont="1" applyFill="1" applyBorder="1" applyAlignment="1">
      <alignment horizontal="right" vertical="center"/>
    </xf>
    <xf numFmtId="164" fontId="39" fillId="9" borderId="11" xfId="1" applyNumberFormat="1" applyFont="1" applyFill="1" applyBorder="1" applyAlignment="1">
      <alignment horizontal="center" vertical="center"/>
    </xf>
    <xf numFmtId="0" fontId="41" fillId="0" borderId="38" xfId="1" applyFont="1" applyBorder="1"/>
    <xf numFmtId="0" fontId="41" fillId="0" borderId="79" xfId="1" applyFont="1" applyAlignment="1">
      <alignment vertical="center"/>
    </xf>
    <xf numFmtId="0" fontId="39" fillId="10" borderId="11" xfId="1" applyFont="1" applyFill="1" applyBorder="1" applyAlignment="1">
      <alignment horizontal="center" vertical="center"/>
    </xf>
    <xf numFmtId="0" fontId="41" fillId="0" borderId="79" xfId="1" applyFont="1" applyAlignment="1">
      <alignment horizontal="center" vertical="center"/>
    </xf>
    <xf numFmtId="0" fontId="39" fillId="4" borderId="50" xfId="1" applyFont="1" applyFill="1" applyBorder="1" applyAlignment="1">
      <alignment horizontal="center" vertical="center"/>
    </xf>
    <xf numFmtId="0" fontId="43" fillId="5" borderId="116" xfId="1" applyFont="1" applyFill="1" applyBorder="1" applyAlignment="1">
      <alignment vertical="center" shrinkToFit="1"/>
    </xf>
    <xf numFmtId="0" fontId="39" fillId="0" borderId="13" xfId="1" applyFont="1" applyBorder="1" applyAlignment="1">
      <alignment horizontal="center" vertical="center" shrinkToFit="1"/>
    </xf>
    <xf numFmtId="0" fontId="43" fillId="3" borderId="116" xfId="1" applyFont="1" applyFill="1" applyBorder="1" applyAlignment="1">
      <alignment horizontal="center" vertical="center"/>
    </xf>
    <xf numFmtId="0" fontId="43" fillId="3" borderId="10" xfId="1" applyFont="1" applyFill="1" applyBorder="1" applyAlignment="1">
      <alignment horizontal="center" vertical="center"/>
    </xf>
    <xf numFmtId="0" fontId="43" fillId="3" borderId="13" xfId="1" applyFont="1" applyFill="1" applyBorder="1" applyAlignment="1">
      <alignment horizontal="center" vertical="center"/>
    </xf>
    <xf numFmtId="0" fontId="39" fillId="3" borderId="116" xfId="1" applyFont="1" applyFill="1" applyBorder="1" applyAlignment="1">
      <alignment horizontal="center" vertical="center" wrapText="1"/>
    </xf>
    <xf numFmtId="0" fontId="37" fillId="2" borderId="13" xfId="1" applyFont="1" applyFill="1" applyBorder="1" applyAlignment="1">
      <alignment horizontal="center" vertical="center" wrapText="1"/>
    </xf>
    <xf numFmtId="0" fontId="36" fillId="3" borderId="116" xfId="1" applyFont="1" applyFill="1" applyBorder="1" applyAlignment="1">
      <alignment horizontal="center" vertical="center"/>
    </xf>
    <xf numFmtId="0" fontId="44" fillId="6" borderId="10" xfId="1" applyFont="1" applyFill="1" applyBorder="1" applyAlignment="1">
      <alignment horizontal="center" vertical="center"/>
    </xf>
    <xf numFmtId="0" fontId="44" fillId="6" borderId="89" xfId="1" applyFont="1" applyFill="1" applyBorder="1" applyAlignment="1">
      <alignment horizontal="center" vertical="center"/>
    </xf>
    <xf numFmtId="0" fontId="45" fillId="7" borderId="9" xfId="1" applyFont="1" applyFill="1" applyBorder="1" applyAlignment="1">
      <alignment horizontal="center" vertical="center" shrinkToFit="1"/>
    </xf>
    <xf numFmtId="0" fontId="45" fillId="7" borderId="10" xfId="1" applyFont="1" applyFill="1" applyBorder="1" applyAlignment="1">
      <alignment horizontal="center" vertical="center" shrinkToFit="1"/>
    </xf>
    <xf numFmtId="0" fontId="45" fillId="7" borderId="13" xfId="1" applyFont="1" applyFill="1" applyBorder="1" applyAlignment="1">
      <alignment horizontal="center" vertical="center" shrinkToFit="1"/>
    </xf>
    <xf numFmtId="0" fontId="45" fillId="5" borderId="116" xfId="1" applyFont="1" applyFill="1" applyBorder="1" applyAlignment="1">
      <alignment horizontal="center" vertical="center" shrinkToFit="1"/>
    </xf>
    <xf numFmtId="0" fontId="45" fillId="5" borderId="10" xfId="1" applyFont="1" applyFill="1" applyBorder="1" applyAlignment="1">
      <alignment horizontal="center" vertical="center" shrinkToFit="1"/>
    </xf>
    <xf numFmtId="0" fontId="45" fillId="5" borderId="89" xfId="1" applyFont="1" applyFill="1" applyBorder="1" applyAlignment="1">
      <alignment horizontal="center" vertical="center" shrinkToFit="1"/>
    </xf>
    <xf numFmtId="0" fontId="39" fillId="3" borderId="9" xfId="1" applyFont="1" applyFill="1" applyBorder="1" applyAlignment="1">
      <alignment horizontal="center" vertical="center" shrinkToFit="1"/>
    </xf>
    <xf numFmtId="164" fontId="39" fillId="3" borderId="50" xfId="1" applyNumberFormat="1" applyFont="1" applyFill="1" applyBorder="1" applyAlignment="1">
      <alignment horizontal="center" vertical="center" shrinkToFit="1"/>
    </xf>
    <xf numFmtId="3" fontId="45" fillId="5" borderId="116" xfId="1" applyNumberFormat="1" applyFont="1" applyFill="1" applyBorder="1" applyAlignment="1">
      <alignment horizontal="center" vertical="center" shrinkToFit="1"/>
    </xf>
    <xf numFmtId="3" fontId="45" fillId="5" borderId="10" xfId="1" applyNumberFormat="1" applyFont="1" applyFill="1" applyBorder="1" applyAlignment="1">
      <alignment horizontal="center" vertical="center" shrinkToFit="1"/>
    </xf>
    <xf numFmtId="0" fontId="39" fillId="11" borderId="11" xfId="1" applyFont="1" applyFill="1" applyBorder="1" applyAlignment="1">
      <alignment horizontal="center" vertical="center"/>
    </xf>
    <xf numFmtId="0" fontId="39" fillId="11" borderId="30" xfId="1" applyFont="1" applyFill="1" applyBorder="1" applyAlignment="1">
      <alignment horizontal="center" vertical="center"/>
    </xf>
    <xf numFmtId="0" fontId="39" fillId="11" borderId="16" xfId="1" applyFont="1" applyFill="1" applyBorder="1" applyAlignment="1">
      <alignment horizontal="center" vertical="center"/>
    </xf>
    <xf numFmtId="0" fontId="39" fillId="11" borderId="22" xfId="1" applyFont="1" applyFill="1" applyBorder="1" applyAlignment="1">
      <alignment horizontal="center" vertical="center" wrapText="1"/>
    </xf>
    <xf numFmtId="0" fontId="39" fillId="11" borderId="20" xfId="1" applyFont="1" applyFill="1" applyBorder="1" applyAlignment="1">
      <alignment horizontal="center" vertical="center"/>
    </xf>
    <xf numFmtId="0" fontId="39" fillId="11" borderId="16" xfId="1" applyFont="1" applyFill="1" applyBorder="1" applyAlignment="1">
      <alignment horizontal="center" vertical="center" wrapText="1"/>
    </xf>
    <xf numFmtId="0" fontId="39" fillId="11" borderId="14" xfId="1" applyFont="1" applyFill="1" applyBorder="1" applyAlignment="1">
      <alignment horizontal="center" vertical="center" wrapText="1"/>
    </xf>
    <xf numFmtId="0" fontId="39" fillId="0" borderId="79" xfId="1" applyFont="1" applyAlignment="1">
      <alignment horizontal="center" vertical="center" wrapText="1"/>
    </xf>
    <xf numFmtId="0" fontId="39" fillId="12" borderId="39" xfId="1" applyFont="1" applyFill="1" applyBorder="1" applyAlignment="1">
      <alignment horizontal="center" vertical="center"/>
    </xf>
    <xf numFmtId="164" fontId="39" fillId="9" borderId="34" xfId="1" applyNumberFormat="1" applyFont="1" applyFill="1" applyBorder="1" applyAlignment="1">
      <alignment horizontal="center" vertical="center"/>
    </xf>
    <xf numFmtId="164" fontId="39" fillId="2" borderId="7" xfId="1" applyNumberFormat="1" applyFont="1" applyFill="1" applyBorder="1" applyAlignment="1">
      <alignment horizontal="center" vertical="center"/>
    </xf>
    <xf numFmtId="164" fontId="39" fillId="13" borderId="33" xfId="1" applyNumberFormat="1" applyFont="1" applyFill="1" applyBorder="1" applyAlignment="1">
      <alignment horizontal="center" vertical="center"/>
    </xf>
    <xf numFmtId="0" fontId="39" fillId="2" borderId="6" xfId="1" applyFont="1" applyFill="1" applyBorder="1" applyAlignment="1">
      <alignment horizontal="center" vertical="center"/>
    </xf>
    <xf numFmtId="0" fontId="39" fillId="2" borderId="7" xfId="1" applyFont="1" applyFill="1" applyBorder="1" applyAlignment="1">
      <alignment horizontal="center" vertical="center"/>
    </xf>
    <xf numFmtId="0" fontId="39" fillId="9" borderId="7" xfId="1" applyFont="1" applyFill="1" applyBorder="1" applyAlignment="1">
      <alignment horizontal="center" vertical="center"/>
    </xf>
    <xf numFmtId="0" fontId="39" fillId="13" borderId="7" xfId="1" applyFont="1" applyFill="1" applyBorder="1" applyAlignment="1">
      <alignment horizontal="center" vertical="center"/>
    </xf>
    <xf numFmtId="170" fontId="39" fillId="10" borderId="87" xfId="1" applyNumberFormat="1" applyFont="1" applyFill="1" applyBorder="1" applyAlignment="1">
      <alignment horizontal="center" vertical="center"/>
    </xf>
    <xf numFmtId="0" fontId="39" fillId="12" borderId="50" xfId="1" applyFont="1" applyFill="1" applyBorder="1" applyAlignment="1">
      <alignment horizontal="center" vertical="center"/>
    </xf>
    <xf numFmtId="164" fontId="39" fillId="9" borderId="116" xfId="1" applyNumberFormat="1" applyFont="1" applyFill="1" applyBorder="1" applyAlignment="1">
      <alignment horizontal="center" vertical="center"/>
    </xf>
    <xf numFmtId="164" fontId="39" fillId="2" borderId="10" xfId="1" applyNumberFormat="1" applyFont="1" applyFill="1" applyBorder="1" applyAlignment="1">
      <alignment horizontal="center" vertical="center"/>
    </xf>
    <xf numFmtId="164" fontId="39" fillId="13" borderId="89" xfId="1" applyNumberFormat="1" applyFont="1" applyFill="1" applyBorder="1" applyAlignment="1">
      <alignment horizontal="center" vertical="center"/>
    </xf>
    <xf numFmtId="0" fontId="39" fillId="2" borderId="9" xfId="1" applyFont="1" applyFill="1" applyBorder="1" applyAlignment="1">
      <alignment horizontal="center" vertical="center"/>
    </xf>
    <xf numFmtId="0" fontId="39" fillId="2" borderId="10" xfId="1" applyFont="1" applyFill="1" applyBorder="1" applyAlignment="1">
      <alignment horizontal="center" vertical="center"/>
    </xf>
    <xf numFmtId="0" fontId="39" fillId="9" borderId="10" xfId="1" applyFont="1" applyFill="1" applyBorder="1" applyAlignment="1">
      <alignment horizontal="center" vertical="center"/>
    </xf>
    <xf numFmtId="0" fontId="39" fillId="13" borderId="10" xfId="1" applyFont="1" applyFill="1" applyBorder="1" applyAlignment="1">
      <alignment horizontal="center" vertical="center"/>
    </xf>
    <xf numFmtId="170" fontId="39" fillId="10" borderId="13" xfId="1" applyNumberFormat="1" applyFont="1" applyFill="1" applyBorder="1" applyAlignment="1">
      <alignment horizontal="center" vertical="center"/>
    </xf>
    <xf numFmtId="0" fontId="39" fillId="12" borderId="52" xfId="1" applyFont="1" applyFill="1" applyBorder="1" applyAlignment="1">
      <alignment horizontal="center" vertical="center"/>
    </xf>
    <xf numFmtId="164" fontId="39" fillId="9" borderId="53" xfId="1" applyNumberFormat="1" applyFont="1" applyFill="1" applyBorder="1" applyAlignment="1">
      <alignment horizontal="center" vertical="center"/>
    </xf>
    <xf numFmtId="164" fontId="39" fillId="2" borderId="25" xfId="1" applyNumberFormat="1" applyFont="1" applyFill="1" applyBorder="1" applyAlignment="1">
      <alignment horizontal="center" vertical="center"/>
    </xf>
    <xf numFmtId="164" fontId="39" fillId="13" borderId="94" xfId="1" applyNumberFormat="1" applyFont="1" applyFill="1" applyBorder="1" applyAlignment="1">
      <alignment horizontal="center" vertical="center"/>
    </xf>
    <xf numFmtId="0" fontId="39" fillId="2" borderId="23" xfId="1" applyFont="1" applyFill="1" applyBorder="1" applyAlignment="1">
      <alignment horizontal="center" vertical="center"/>
    </xf>
    <xf numFmtId="0" fontId="39" fillId="2" borderId="25" xfId="1" applyFont="1" applyFill="1" applyBorder="1" applyAlignment="1">
      <alignment horizontal="center" vertical="center"/>
    </xf>
    <xf numFmtId="0" fontId="39" fillId="9" borderId="25" xfId="1" applyFont="1" applyFill="1" applyBorder="1" applyAlignment="1">
      <alignment horizontal="center" vertical="center"/>
    </xf>
    <xf numFmtId="0" fontId="39" fillId="13" borderId="25" xfId="1" applyFont="1" applyFill="1" applyBorder="1" applyAlignment="1">
      <alignment horizontal="center" vertical="center"/>
    </xf>
    <xf numFmtId="170" fontId="39" fillId="10" borderId="40" xfId="1" applyNumberFormat="1" applyFont="1" applyFill="1" applyBorder="1" applyAlignment="1">
      <alignment horizontal="center" vertical="center"/>
    </xf>
    <xf numFmtId="0" fontId="39" fillId="14" borderId="11" xfId="1" applyFont="1" applyFill="1" applyBorder="1" applyAlignment="1">
      <alignment horizontal="right" vertical="center"/>
    </xf>
    <xf numFmtId="164" fontId="39" fillId="3" borderId="21" xfId="1" applyNumberFormat="1" applyFont="1" applyFill="1" applyBorder="1" applyAlignment="1">
      <alignment horizontal="center" vertical="center"/>
    </xf>
    <xf numFmtId="0" fontId="39" fillId="3" borderId="20" xfId="1" applyFont="1" applyFill="1" applyBorder="1" applyAlignment="1">
      <alignment horizontal="center" vertical="center"/>
    </xf>
    <xf numFmtId="0" fontId="39" fillId="3" borderId="16" xfId="1" applyFont="1" applyFill="1" applyBorder="1" applyAlignment="1">
      <alignment horizontal="center" vertical="center"/>
    </xf>
    <xf numFmtId="3" fontId="39" fillId="3" borderId="14" xfId="1" applyNumberFormat="1" applyFont="1" applyFill="1" applyBorder="1" applyAlignment="1">
      <alignment horizontal="center" vertical="center"/>
    </xf>
    <xf numFmtId="0" fontId="39" fillId="4" borderId="52" xfId="1" applyFont="1" applyFill="1" applyBorder="1" applyAlignment="1">
      <alignment horizontal="center" vertical="center"/>
    </xf>
    <xf numFmtId="0" fontId="43" fillId="5" borderId="54" xfId="1" applyFont="1" applyFill="1" applyBorder="1" applyAlignment="1">
      <alignment vertical="center" shrinkToFit="1"/>
    </xf>
    <xf numFmtId="0" fontId="43" fillId="3" borderId="54" xfId="1" applyFont="1" applyFill="1" applyBorder="1" applyAlignment="1">
      <alignment horizontal="center" vertical="center"/>
    </xf>
    <xf numFmtId="0" fontId="43" fillId="3" borderId="27" xfId="1" applyFont="1" applyFill="1" applyBorder="1" applyAlignment="1">
      <alignment horizontal="center" vertical="center"/>
    </xf>
    <xf numFmtId="0" fontId="43" fillId="3" borderId="29" xfId="1" applyFont="1" applyFill="1" applyBorder="1" applyAlignment="1">
      <alignment horizontal="center" vertical="center"/>
    </xf>
    <xf numFmtId="0" fontId="39" fillId="3" borderId="54" xfId="1" applyFont="1" applyFill="1" applyBorder="1" applyAlignment="1">
      <alignment horizontal="center" vertical="center" wrapText="1"/>
    </xf>
    <xf numFmtId="0" fontId="37" fillId="2" borderId="29" xfId="1" applyFont="1" applyFill="1" applyBorder="1" applyAlignment="1">
      <alignment horizontal="center" vertical="center" wrapText="1"/>
    </xf>
    <xf numFmtId="0" fontId="36" fillId="3" borderId="54" xfId="1" applyFont="1" applyFill="1" applyBorder="1" applyAlignment="1">
      <alignment horizontal="center" vertical="center"/>
    </xf>
    <xf numFmtId="0" fontId="44" fillId="6" borderId="27" xfId="1" applyFont="1" applyFill="1" applyBorder="1" applyAlignment="1">
      <alignment horizontal="center" vertical="center"/>
    </xf>
    <xf numFmtId="0" fontId="44" fillId="6" borderId="55" xfId="1" applyFont="1" applyFill="1" applyBorder="1" applyAlignment="1">
      <alignment horizontal="center" vertical="center"/>
    </xf>
    <xf numFmtId="0" fontId="45" fillId="7" borderId="56" xfId="1" applyFont="1" applyFill="1" applyBorder="1" applyAlignment="1">
      <alignment horizontal="center" vertical="center" shrinkToFit="1"/>
    </xf>
    <xf numFmtId="0" fontId="45" fillId="7" borderId="27" xfId="1" applyFont="1" applyFill="1" applyBorder="1" applyAlignment="1">
      <alignment horizontal="center" vertical="center" shrinkToFit="1"/>
    </xf>
    <xf numFmtId="0" fontId="45" fillId="7" borderId="29" xfId="1" applyFont="1" applyFill="1" applyBorder="1" applyAlignment="1">
      <alignment horizontal="center" vertical="center" shrinkToFit="1"/>
    </xf>
    <xf numFmtId="0" fontId="45" fillId="5" borderId="54" xfId="1" applyFont="1" applyFill="1" applyBorder="1" applyAlignment="1">
      <alignment horizontal="center" vertical="center" shrinkToFit="1"/>
    </xf>
    <xf numFmtId="0" fontId="45" fillId="5" borderId="27" xfId="1" applyFont="1" applyFill="1" applyBorder="1" applyAlignment="1">
      <alignment horizontal="center" vertical="center" shrinkToFit="1"/>
    </xf>
    <xf numFmtId="0" fontId="45" fillId="5" borderId="55" xfId="1" applyFont="1" applyFill="1" applyBorder="1" applyAlignment="1">
      <alignment horizontal="center" vertical="center" shrinkToFit="1"/>
    </xf>
    <xf numFmtId="0" fontId="39" fillId="3" borderId="56" xfId="1" applyFont="1" applyFill="1" applyBorder="1" applyAlignment="1">
      <alignment horizontal="center" vertical="center" shrinkToFit="1"/>
    </xf>
    <xf numFmtId="164" fontId="39" fillId="3" borderId="52" xfId="1" applyNumberFormat="1" applyFont="1" applyFill="1" applyBorder="1" applyAlignment="1">
      <alignment horizontal="center" vertical="center" shrinkToFit="1"/>
    </xf>
    <xf numFmtId="3" fontId="45" fillId="5" borderId="53" xfId="1" applyNumberFormat="1" applyFont="1" applyFill="1" applyBorder="1" applyAlignment="1">
      <alignment horizontal="center" vertical="center" shrinkToFit="1"/>
    </xf>
    <xf numFmtId="3" fontId="45" fillId="5" borderId="25" xfId="1" applyNumberFormat="1" applyFont="1" applyFill="1" applyBorder="1" applyAlignment="1">
      <alignment horizontal="center" vertical="center" shrinkToFit="1"/>
    </xf>
    <xf numFmtId="3" fontId="41" fillId="5" borderId="26" xfId="1" applyNumberFormat="1" applyFont="1" applyFill="1" applyBorder="1"/>
    <xf numFmtId="164" fontId="41" fillId="8" borderId="57" xfId="1" applyNumberFormat="1" applyFont="1" applyFill="1" applyBorder="1"/>
    <xf numFmtId="0" fontId="41" fillId="0" borderId="79" xfId="1" applyFont="1" applyAlignment="1">
      <alignment horizontal="center"/>
    </xf>
    <xf numFmtId="0" fontId="39" fillId="5" borderId="2" xfId="1" applyFont="1" applyFill="1" applyBorder="1" applyAlignment="1">
      <alignment horizontal="center" vertical="center"/>
    </xf>
    <xf numFmtId="0" fontId="38" fillId="4" borderId="107" xfId="1" applyFont="1" applyFill="1" applyBorder="1" applyAlignment="1">
      <alignment horizontal="right" vertical="center"/>
    </xf>
    <xf numFmtId="0" fontId="41" fillId="0" borderId="107" xfId="1" applyFont="1" applyBorder="1"/>
    <xf numFmtId="0" fontId="41" fillId="0" borderId="21" xfId="1" applyFont="1" applyBorder="1"/>
    <xf numFmtId="164" fontId="38" fillId="4" borderId="21" xfId="1" applyNumberFormat="1" applyFont="1" applyFill="1" applyBorder="1" applyAlignment="1">
      <alignment horizontal="right" vertical="center" shrinkToFit="1"/>
    </xf>
    <xf numFmtId="0" fontId="41" fillId="0" borderId="38" xfId="1" applyFont="1" applyBorder="1"/>
    <xf numFmtId="0" fontId="41" fillId="0" borderId="59" xfId="1" applyFont="1" applyBorder="1"/>
    <xf numFmtId="0" fontId="39" fillId="4" borderId="79" xfId="1" applyFont="1" applyFill="1" applyAlignment="1">
      <alignment horizontal="center" vertical="center"/>
    </xf>
    <xf numFmtId="0" fontId="41" fillId="0" borderId="79" xfId="1" applyFont="1" applyBorder="1"/>
    <xf numFmtId="0" fontId="46" fillId="5" borderId="38" xfId="1" applyFont="1" applyFill="1" applyBorder="1" applyAlignment="1">
      <alignment horizontal="center" vertical="center"/>
    </xf>
    <xf numFmtId="0" fontId="39" fillId="4" borderId="111" xfId="1" applyFont="1" applyFill="1" applyBorder="1" applyAlignment="1">
      <alignment horizontal="center" vertical="center" shrinkToFit="1"/>
    </xf>
    <xf numFmtId="0" fontId="41" fillId="0" borderId="111" xfId="1" applyFont="1" applyBorder="1"/>
    <xf numFmtId="0" fontId="41" fillId="0" borderId="114" xfId="1" applyFont="1" applyBorder="1"/>
    <xf numFmtId="0" fontId="39" fillId="5" borderId="86" xfId="1" applyFont="1" applyFill="1" applyBorder="1" applyAlignment="1">
      <alignment horizontal="center" vertical="center" shrinkToFit="1"/>
    </xf>
    <xf numFmtId="0" fontId="39" fillId="4" borderId="79" xfId="1" applyFont="1" applyFill="1" applyBorder="1" applyAlignment="1">
      <alignment horizontal="center" vertical="center"/>
    </xf>
    <xf numFmtId="164" fontId="39" fillId="4" borderId="111" xfId="1" applyNumberFormat="1" applyFont="1" applyFill="1" applyBorder="1" applyAlignment="1">
      <alignment horizontal="center" vertical="center"/>
    </xf>
    <xf numFmtId="0" fontId="41" fillId="0" borderId="115" xfId="1" applyFont="1" applyBorder="1"/>
    <xf numFmtId="164" fontId="39" fillId="3" borderId="102" xfId="1" applyNumberFormat="1" applyFont="1" applyFill="1" applyBorder="1" applyAlignment="1">
      <alignment horizontal="right" vertical="center" shrinkToFit="1"/>
    </xf>
    <xf numFmtId="0" fontId="43" fillId="4" borderId="65" xfId="1" applyFont="1" applyFill="1" applyBorder="1" applyAlignment="1">
      <alignment horizontal="center" vertical="center"/>
    </xf>
    <xf numFmtId="0" fontId="39" fillId="4" borderId="71" xfId="1" applyFont="1" applyFill="1" applyBorder="1" applyAlignment="1">
      <alignment horizontal="center" vertical="center" shrinkToFit="1"/>
    </xf>
    <xf numFmtId="0" fontId="41" fillId="0" borderId="71" xfId="1" applyFont="1" applyBorder="1"/>
    <xf numFmtId="0" fontId="41" fillId="0" borderId="116" xfId="1" applyFont="1" applyBorder="1"/>
    <xf numFmtId="3" fontId="39" fillId="3" borderId="10" xfId="1" applyNumberFormat="1" applyFont="1" applyFill="1" applyBorder="1" applyAlignment="1">
      <alignment horizontal="center" vertical="center" shrinkToFit="1"/>
    </xf>
    <xf numFmtId="0" fontId="39" fillId="4" borderId="71" xfId="1" applyFont="1" applyFill="1" applyBorder="1" applyAlignment="1">
      <alignment horizontal="center" vertical="center"/>
    </xf>
    <xf numFmtId="164" fontId="39" fillId="4" borderId="71" xfId="1" applyNumberFormat="1" applyFont="1" applyFill="1" applyBorder="1" applyAlignment="1">
      <alignment horizontal="center" vertical="center"/>
    </xf>
    <xf numFmtId="0" fontId="41" fillId="0" borderId="90" xfId="1" applyFont="1" applyBorder="1"/>
    <xf numFmtId="164" fontId="39" fillId="3" borderId="90" xfId="1" applyNumberFormat="1" applyFont="1" applyFill="1" applyBorder="1" applyAlignment="1">
      <alignment horizontal="right" vertical="center" shrinkToFit="1"/>
    </xf>
    <xf numFmtId="0" fontId="39" fillId="4" borderId="6" xfId="1" applyFont="1" applyFill="1" applyBorder="1" applyAlignment="1">
      <alignment horizontal="center" vertical="center"/>
    </xf>
    <xf numFmtId="164" fontId="39" fillId="3" borderId="8" xfId="1" applyNumberFormat="1" applyFont="1" applyFill="1" applyBorder="1" applyAlignment="1">
      <alignment horizontal="center" vertical="center"/>
    </xf>
    <xf numFmtId="0" fontId="41" fillId="0" borderId="109" xfId="1" applyFont="1" applyBorder="1"/>
    <xf numFmtId="0" fontId="39" fillId="5" borderId="10" xfId="1" applyFont="1" applyFill="1" applyBorder="1" applyAlignment="1">
      <alignment horizontal="center" vertical="center" shrinkToFit="1"/>
    </xf>
    <xf numFmtId="0" fontId="39" fillId="4" borderId="9" xfId="1" applyFont="1" applyFill="1" applyBorder="1" applyAlignment="1">
      <alignment horizontal="center" vertical="center"/>
    </xf>
    <xf numFmtId="164" fontId="39" fillId="3" borderId="13" xfId="1" applyNumberFormat="1" applyFont="1" applyFill="1" applyBorder="1" applyAlignment="1">
      <alignment horizontal="center" vertical="center"/>
    </xf>
    <xf numFmtId="0" fontId="39" fillId="4" borderId="71" xfId="1" applyFont="1" applyFill="1" applyBorder="1" applyAlignment="1">
      <alignment horizontal="center" vertical="center"/>
    </xf>
    <xf numFmtId="0" fontId="41" fillId="5" borderId="88" xfId="1" applyFont="1" applyFill="1" applyBorder="1" applyAlignment="1">
      <alignment horizontal="center" vertical="center"/>
    </xf>
    <xf numFmtId="0" fontId="39" fillId="4" borderId="88" xfId="1" applyFont="1" applyFill="1" applyBorder="1" applyAlignment="1">
      <alignment horizontal="center" vertical="center" shrinkToFit="1"/>
    </xf>
    <xf numFmtId="0" fontId="39" fillId="4" borderId="23" xfId="1" applyFont="1" applyFill="1" applyBorder="1" applyAlignment="1">
      <alignment horizontal="center" vertical="center"/>
    </xf>
    <xf numFmtId="164" fontId="39" fillId="3" borderId="40" xfId="1" applyNumberFormat="1" applyFont="1" applyFill="1" applyBorder="1" applyAlignment="1">
      <alignment horizontal="center" vertical="center"/>
    </xf>
    <xf numFmtId="164" fontId="41" fillId="3" borderId="88" xfId="1" applyNumberFormat="1" applyFont="1" applyFill="1" applyBorder="1" applyAlignment="1">
      <alignment horizontal="center" vertical="center"/>
    </xf>
    <xf numFmtId="0" fontId="39" fillId="4" borderId="24" xfId="1" applyFont="1" applyFill="1" applyBorder="1" applyAlignment="1">
      <alignment horizontal="right" vertical="center"/>
    </xf>
    <xf numFmtId="164" fontId="39" fillId="3" borderId="28" xfId="1" applyNumberFormat="1" applyFont="1" applyFill="1" applyBorder="1" applyAlignment="1">
      <alignment horizontal="center" vertical="center"/>
    </xf>
    <xf numFmtId="0" fontId="39" fillId="4" borderId="96" xfId="1" applyFont="1" applyFill="1" applyBorder="1" applyAlignment="1">
      <alignment horizontal="center" vertical="center"/>
    </xf>
    <xf numFmtId="0" fontId="41" fillId="0" borderId="96" xfId="1" applyFont="1" applyBorder="1"/>
    <xf numFmtId="164" fontId="41" fillId="3" borderId="93" xfId="1" applyNumberFormat="1" applyFont="1" applyFill="1" applyBorder="1" applyAlignment="1">
      <alignment horizontal="center" vertical="center"/>
    </xf>
    <xf numFmtId="0" fontId="39" fillId="4" borderId="93" xfId="1" applyFont="1" applyFill="1" applyBorder="1" applyAlignment="1">
      <alignment horizontal="center" vertical="center" shrinkToFit="1"/>
    </xf>
    <xf numFmtId="0" fontId="39" fillId="5" borderId="25" xfId="1" applyFont="1" applyFill="1" applyBorder="1" applyAlignment="1">
      <alignment horizontal="center" vertical="center" shrinkToFit="1"/>
    </xf>
    <xf numFmtId="0" fontId="39" fillId="4" borderId="78" xfId="1" applyFont="1" applyFill="1" applyBorder="1" applyAlignment="1">
      <alignment horizontal="center" vertical="center"/>
    </xf>
    <xf numFmtId="164" fontId="39" fillId="4" borderId="96" xfId="1" applyNumberFormat="1" applyFont="1" applyFill="1" applyBorder="1" applyAlignment="1">
      <alignment horizontal="center" vertical="center"/>
    </xf>
    <xf numFmtId="0" fontId="41" fillId="0" borderId="95" xfId="1" applyFont="1" applyBorder="1"/>
    <xf numFmtId="0" fontId="41" fillId="0" borderId="104" xfId="1" applyFont="1" applyBorder="1"/>
    <xf numFmtId="0" fontId="41" fillId="0" borderId="108" xfId="1" applyFont="1" applyBorder="1"/>
    <xf numFmtId="0" fontId="41" fillId="0" borderId="57" xfId="1" applyFont="1" applyBorder="1"/>
    <xf numFmtId="0" fontId="43" fillId="0" borderId="79" xfId="1" applyFont="1" applyAlignment="1">
      <alignment vertical="center" shrinkToFit="1"/>
    </xf>
    <xf numFmtId="0" fontId="35" fillId="0" borderId="79" xfId="1" applyFont="1" applyAlignment="1">
      <alignment vertical="center"/>
    </xf>
    <xf numFmtId="0" fontId="36" fillId="0" borderId="79" xfId="1" applyFont="1" applyAlignment="1">
      <alignment horizontal="right" vertical="center"/>
    </xf>
    <xf numFmtId="0" fontId="47" fillId="0" borderId="79" xfId="1" applyFont="1" applyAlignment="1">
      <alignment vertical="center"/>
    </xf>
    <xf numFmtId="0" fontId="38" fillId="0" borderId="79" xfId="1" applyFont="1" applyAlignment="1">
      <alignment horizontal="center" vertical="center" shrinkToFit="1"/>
    </xf>
    <xf numFmtId="0" fontId="38" fillId="0" borderId="79" xfId="1" applyFont="1" applyAlignment="1">
      <alignment horizontal="center" vertical="center"/>
    </xf>
    <xf numFmtId="0" fontId="48" fillId="0" borderId="79" xfId="1" applyFont="1" applyAlignment="1">
      <alignment horizontal="left" vertical="center"/>
    </xf>
    <xf numFmtId="0" fontId="48" fillId="0" borderId="79" xfId="1" applyFont="1" applyAlignment="1">
      <alignment horizontal="right" vertical="center"/>
    </xf>
    <xf numFmtId="3" fontId="38" fillId="0" borderId="79" xfId="1" applyNumberFormat="1" applyFont="1" applyAlignment="1">
      <alignment horizontal="right" vertical="center" shrinkToFit="1"/>
    </xf>
    <xf numFmtId="0" fontId="39" fillId="15" borderId="79" xfId="1" applyFont="1" applyFill="1"/>
    <xf numFmtId="0" fontId="39" fillId="15" borderId="79" xfId="1" applyFont="1" applyFill="1" applyAlignment="1">
      <alignment horizontal="center"/>
    </xf>
    <xf numFmtId="0" fontId="39" fillId="15" borderId="78" xfId="1" applyFont="1" applyFill="1" applyBorder="1"/>
    <xf numFmtId="0" fontId="41" fillId="0" borderId="78" xfId="1" applyFont="1" applyBorder="1"/>
  </cellXfs>
  <cellStyles count="2">
    <cellStyle name="Normal" xfId="0" builtinId="0"/>
    <cellStyle name="Normal 2" xfId="1"/>
  </cellStyles>
  <dxfs count="848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D5D5D5"/>
      </font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F4C7C3"/>
          <bgColor rgb="FFF4C7C3"/>
        </patternFill>
      </fill>
    </dxf>
    <dxf>
      <font>
        <color rgb="FFD5D5D5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5">
    <tableStyle name="Printable-style" pivot="0" count="3">
      <tableStyleElement type="headerRow" dxfId="847"/>
      <tableStyleElement type="firstRowStripe" dxfId="846"/>
      <tableStyleElement type="secondRowStripe" dxfId="845"/>
    </tableStyle>
    <tableStyle name="AM2-style" pivot="0" count="2">
      <tableStyleElement type="firstRowStripe" dxfId="844"/>
      <tableStyleElement type="secondRowStripe" dxfId="843"/>
    </tableStyle>
    <tableStyle name="Blank-style" pivot="0" count="2">
      <tableStyleElement type="firstRowStripe" dxfId="842"/>
      <tableStyleElement type="secondRowStripe" dxfId="841"/>
    </tableStyle>
    <tableStyle name="CT3-style" pivot="0" count="2">
      <tableStyleElement type="firstRowStripe" dxfId="840"/>
      <tableStyleElement type="secondRowStripe" dxfId="839"/>
    </tableStyle>
    <tableStyle name="DC3-style" pivot="0" count="2">
      <tableStyleElement type="firstRowStripe" dxfId="838"/>
      <tableStyleElement type="secondRowStripe" dxfId="837"/>
    </tableStyle>
    <tableStyle name="DH2-style" pivot="0" count="2">
      <tableStyleElement type="firstRowStripe" dxfId="836"/>
      <tableStyleElement type="secondRowStripe" dxfId="835"/>
    </tableStyle>
    <tableStyle name="FT1-style" pivot="0" count="2">
      <tableStyleElement type="firstRowStripe" dxfId="834"/>
      <tableStyleElement type="secondRowStripe" dxfId="833"/>
    </tableStyle>
    <tableStyle name="JR1-style" pivot="0" count="2">
      <tableStyleElement type="firstRowStripe" dxfId="832"/>
      <tableStyleElement type="secondRowStripe" dxfId="831"/>
    </tableStyle>
    <tableStyle name="FT2-style" pivot="0" count="2">
      <tableStyleElement type="firstRowStripe" dxfId="830"/>
      <tableStyleElement type="secondRowStripe" dxfId="829"/>
    </tableStyle>
    <tableStyle name="JR2-style" pivot="0" count="2">
      <tableStyleElement type="firstRowStripe" dxfId="828"/>
      <tableStyleElement type="secondRowStripe" dxfId="827"/>
    </tableStyle>
    <tableStyle name="JR3-style" pivot="0" count="2">
      <tableStyleElement type="firstRowStripe" dxfId="826"/>
      <tableStyleElement type="secondRowStripe" dxfId="825"/>
    </tableStyle>
    <tableStyle name="KB1-style" pivot="0" count="2">
      <tableStyleElement type="firstRowStripe" dxfId="824"/>
      <tableStyleElement type="secondRowStripe" dxfId="823"/>
    </tableStyle>
    <tableStyle name="KB2-style" pivot="0" count="2">
      <tableStyleElement type="firstRowStripe" dxfId="30"/>
      <tableStyleElement type="secondRowStripe" dxfId="29"/>
    </tableStyle>
    <tableStyle name="MQ1-style" pivot="0" count="2">
      <tableStyleElement type="firstRowStripe" dxfId="822"/>
      <tableStyleElement type="secondRowStripe" dxfId="821"/>
    </tableStyle>
    <tableStyle name="MQ2-style" pivot="0" count="2">
      <tableStyleElement type="firstRowStripe" dxfId="820"/>
      <tableStyleElement type="secondRowStripe" dxfId="819"/>
    </tableStyle>
    <tableStyle name="MQ3-style" pivot="0" count="2">
      <tableStyleElement type="firstRowStripe" dxfId="818"/>
      <tableStyleElement type="secondRowStripe" dxfId="817"/>
    </tableStyle>
    <tableStyle name="NM1-style" pivot="0" count="2">
      <tableStyleElement type="firstRowStripe" dxfId="816"/>
      <tableStyleElement type="secondRowStripe" dxfId="815"/>
    </tableStyle>
    <tableStyle name="NM2-style" pivot="0" count="2">
      <tableStyleElement type="firstRowStripe" dxfId="814"/>
      <tableStyleElement type="secondRowStripe" dxfId="813"/>
    </tableStyle>
    <tableStyle name="PP2-style" pivot="0" count="2">
      <tableStyleElement type="firstRowStripe" dxfId="812"/>
      <tableStyleElement type="secondRowStripe" dxfId="811"/>
    </tableStyle>
    <tableStyle name="PM1-style" pivot="0" count="2">
      <tableStyleElement type="firstRowStripe" dxfId="810"/>
      <tableStyleElement type="secondRowStripe" dxfId="809"/>
    </tableStyle>
    <tableStyle name="RC2-style" pivot="0" count="2">
      <tableStyleElement type="firstRowStripe" dxfId="808"/>
      <tableStyleElement type="secondRowStripe" dxfId="807"/>
    </tableStyle>
    <tableStyle name="RP1-style" pivot="0" count="2">
      <tableStyleElement type="firstRowStripe" dxfId="806"/>
      <tableStyleElement type="secondRowStripe" dxfId="805"/>
    </tableStyle>
    <tableStyle name="TL1-style" pivot="0" count="2">
      <tableStyleElement type="firstRowStripe" dxfId="804"/>
      <tableStyleElement type="secondRowStripe" dxfId="803"/>
    </tableStyle>
    <tableStyle name="TL2-style" pivot="0" count="2">
      <tableStyleElement type="firstRowStripe" dxfId="802"/>
      <tableStyleElement type="secondRowStripe" dxfId="801"/>
    </tableStyle>
    <tableStyle name="TL3-style" pivot="0" count="2">
      <tableStyleElement type="firstRowStripe" dxfId="800"/>
      <tableStyleElement type="secondRowStripe" dxfId="799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hillip\Downloads\KCBBL%20S3.5%20Rosters%20(4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cords"/>
      <sheetName val="Printable"/>
      <sheetName val="Blank"/>
      <sheetName val="AM1"/>
      <sheetName val="AM2"/>
      <sheetName val="CT3"/>
      <sheetName val="DC1-OLD"/>
      <sheetName val="DC1"/>
      <sheetName val="DC3-OLD"/>
      <sheetName val="DC3"/>
      <sheetName val="DH1"/>
      <sheetName val="DH2"/>
      <sheetName val="DH3"/>
      <sheetName val="FT1"/>
      <sheetName val="FT2"/>
      <sheetName val="JR1"/>
      <sheetName val="JR2"/>
      <sheetName val="JR3"/>
      <sheetName val="KB1"/>
      <sheetName val="KB2"/>
      <sheetName val="MQ1"/>
      <sheetName val="MQ2"/>
      <sheetName val="MQ3"/>
      <sheetName val="NM1"/>
      <sheetName val="NM2"/>
      <sheetName val="PM1"/>
      <sheetName val="PP2"/>
      <sheetName val="RC2"/>
      <sheetName val="RP1"/>
      <sheetName val="TL1"/>
      <sheetName val="TL2"/>
      <sheetName val="TL3"/>
      <sheetName val="Star Players-Hidden"/>
      <sheetName val="Season Player Stats"/>
      <sheetName val="Star Players"/>
      <sheetName val="Database"/>
      <sheetName val="Database-Hidd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2">
          <cell r="D2" t="str">
            <v>Amazon</v>
          </cell>
          <cell r="E2" t="str">
            <v>Bretonnian</v>
          </cell>
          <cell r="F2" t="str">
            <v>Chaos</v>
          </cell>
          <cell r="G2" t="str">
            <v>Chaos Dwarf</v>
          </cell>
          <cell r="H2" t="str">
            <v>Chaos Pact</v>
          </cell>
          <cell r="I2" t="str">
            <v>Dark Elf</v>
          </cell>
          <cell r="J2" t="str">
            <v>Dwarf</v>
          </cell>
          <cell r="K2" t="str">
            <v>Elf</v>
          </cell>
          <cell r="L2" t="str">
            <v>Goblin</v>
          </cell>
          <cell r="M2" t="str">
            <v>Halfling</v>
          </cell>
          <cell r="N2" t="str">
            <v>High Elf</v>
          </cell>
          <cell r="O2" t="str">
            <v>Human</v>
          </cell>
          <cell r="P2" t="str">
            <v>Khemri</v>
          </cell>
          <cell r="Q2" t="str">
            <v>Daemons of Khorne</v>
          </cell>
          <cell r="R2" t="str">
            <v>Lizardman</v>
          </cell>
          <cell r="S2" t="str">
            <v>Necromantic</v>
          </cell>
          <cell r="T2" t="str">
            <v>Norse</v>
          </cell>
          <cell r="U2" t="str">
            <v>Nurgle</v>
          </cell>
          <cell r="V2" t="str">
            <v>Ogre</v>
          </cell>
          <cell r="W2" t="str">
            <v>Orc</v>
          </cell>
          <cell r="X2" t="str">
            <v>Simyin</v>
          </cell>
          <cell r="Y2" t="str">
            <v>Skaven</v>
          </cell>
          <cell r="Z2" t="str">
            <v>Slann</v>
          </cell>
          <cell r="AA2" t="str">
            <v>Undead</v>
          </cell>
          <cell r="AB2" t="str">
            <v>Underworld</v>
          </cell>
          <cell r="AC2" t="str">
            <v>Vampire</v>
          </cell>
          <cell r="AD2" t="str">
            <v>Wood Elf</v>
          </cell>
        </row>
        <row r="3">
          <cell r="A3" t="str">
            <v>Barik Farblast</v>
          </cell>
          <cell r="J3" t="str">
            <v>X</v>
          </cell>
          <cell r="AE3" t="str">
            <v>Loner, Hail Mary Pass, Pass, Secret Weapon, Strong Arm, Sure Hands, Thick Skull</v>
          </cell>
          <cell r="AF3">
            <v>60000</v>
          </cell>
          <cell r="AG3">
            <v>6</v>
          </cell>
          <cell r="AH3">
            <v>3</v>
          </cell>
          <cell r="AI3">
            <v>3</v>
          </cell>
          <cell r="AJ3">
            <v>8</v>
          </cell>
          <cell r="AK3">
            <v>20000</v>
          </cell>
        </row>
        <row r="4">
          <cell r="A4" t="str">
            <v>Bertha Bigfist</v>
          </cell>
          <cell r="D4" t="str">
            <v>X</v>
          </cell>
          <cell r="M4" t="str">
            <v>X</v>
          </cell>
          <cell r="V4" t="str">
            <v>X</v>
          </cell>
          <cell r="AE4" t="str">
            <v>Loner, Bone-Head, Break Tackle, Dodge, Mighty Blow, Thick Skull, Throw Team-Mate</v>
          </cell>
          <cell r="AF4">
            <v>290000</v>
          </cell>
          <cell r="AG4">
            <v>6</v>
          </cell>
          <cell r="AH4">
            <v>5</v>
          </cell>
          <cell r="AI4">
            <v>2</v>
          </cell>
          <cell r="AJ4">
            <v>9</v>
          </cell>
          <cell r="AK4">
            <v>50000</v>
          </cell>
        </row>
        <row r="5">
          <cell r="A5" t="str">
            <v>Bo Gallante</v>
          </cell>
          <cell r="N5" t="str">
            <v>X</v>
          </cell>
          <cell r="AE5" t="str">
            <v>Loner, Dodge, Side Step, Sprint, Sure Feet</v>
          </cell>
          <cell r="AF5">
            <v>160000</v>
          </cell>
          <cell r="AG5">
            <v>8</v>
          </cell>
          <cell r="AH5">
            <v>3</v>
          </cell>
          <cell r="AI5">
            <v>4</v>
          </cell>
          <cell r="AJ5">
            <v>7</v>
          </cell>
          <cell r="AK5">
            <v>40000</v>
          </cell>
        </row>
        <row r="6">
          <cell r="A6" t="str">
            <v>Bomber Dribblesnot</v>
          </cell>
          <cell r="H6" t="str">
            <v>X</v>
          </cell>
          <cell r="L6" t="str">
            <v>X</v>
          </cell>
          <cell r="V6" t="str">
            <v>X</v>
          </cell>
          <cell r="W6" t="str">
            <v>X</v>
          </cell>
          <cell r="AB6" t="str">
            <v>X</v>
          </cell>
          <cell r="AE6" t="str">
            <v>Loner, Accurate, Bombardier, Dodge, Right Stuff, Secret Weapon, Stunty</v>
          </cell>
          <cell r="AF6">
            <v>60000</v>
          </cell>
          <cell r="AG6">
            <v>6</v>
          </cell>
          <cell r="AH6">
            <v>2</v>
          </cell>
          <cell r="AI6">
            <v>3</v>
          </cell>
          <cell r="AJ6">
            <v>7</v>
          </cell>
          <cell r="AK6">
            <v>20000</v>
          </cell>
        </row>
        <row r="7">
          <cell r="A7" t="str">
            <v>Boomer Eziasson</v>
          </cell>
          <cell r="J7" t="str">
            <v>X</v>
          </cell>
          <cell r="T7" t="str">
            <v>X</v>
          </cell>
          <cell r="AE7" t="str">
            <v>Loner, Accurate, Block, Bombardier, Secret Weapon, Thick Skull</v>
          </cell>
          <cell r="AF7">
            <v>60000</v>
          </cell>
          <cell r="AG7">
            <v>4</v>
          </cell>
          <cell r="AH7">
            <v>3</v>
          </cell>
          <cell r="AI7">
            <v>2</v>
          </cell>
          <cell r="AJ7">
            <v>9</v>
          </cell>
          <cell r="AK7">
            <v>20000</v>
          </cell>
        </row>
        <row r="8">
          <cell r="A8" t="str">
            <v>Brick Far'th</v>
          </cell>
          <cell r="B8" t="str">
            <v>Grotty</v>
          </cell>
          <cell r="F8" t="str">
            <v>X</v>
          </cell>
          <cell r="U8" t="str">
            <v>X</v>
          </cell>
          <cell r="V8" t="str">
            <v>X</v>
          </cell>
          <cell r="AE8" t="str">
            <v>Loner, Bone-Head, Mighty Blow, Nerves of Steel, Strong Arm, Thick Skull, Throw Team-Mate</v>
          </cell>
          <cell r="AF8">
            <v>290000</v>
          </cell>
          <cell r="AG8">
            <v>5</v>
          </cell>
          <cell r="AH8">
            <v>5</v>
          </cell>
          <cell r="AI8">
            <v>2</v>
          </cell>
          <cell r="AJ8">
            <v>9</v>
          </cell>
          <cell r="AK8">
            <v>50000</v>
          </cell>
        </row>
        <row r="9">
          <cell r="A9" t="str">
            <v>Buggy Baconbreath</v>
          </cell>
          <cell r="M9" t="str">
            <v>X</v>
          </cell>
          <cell r="O9" t="str">
            <v>X</v>
          </cell>
          <cell r="AE9" t="str">
            <v>Loner, Block, Dodge, Nerves of Steel, Right Stuff, Stunty</v>
          </cell>
          <cell r="AF9">
            <v>140000</v>
          </cell>
          <cell r="AG9">
            <v>5</v>
          </cell>
          <cell r="AH9">
            <v>3</v>
          </cell>
          <cell r="AI9">
            <v>3</v>
          </cell>
          <cell r="AJ9">
            <v>6</v>
          </cell>
          <cell r="AK9">
            <v>30000</v>
          </cell>
        </row>
        <row r="10">
          <cell r="A10" t="str">
            <v>Count Luther Von Drakenborg</v>
          </cell>
          <cell r="S10" t="str">
            <v>X</v>
          </cell>
          <cell r="AA10" t="str">
            <v>X</v>
          </cell>
          <cell r="AC10" t="str">
            <v>X</v>
          </cell>
          <cell r="AE10" t="str">
            <v>Loner, Block, Hypnotic Gaze, Regeneration, Side Step</v>
          </cell>
          <cell r="AF10">
            <v>390000</v>
          </cell>
          <cell r="AG10">
            <v>6</v>
          </cell>
          <cell r="AH10">
            <v>5</v>
          </cell>
          <cell r="AI10">
            <v>4</v>
          </cell>
          <cell r="AJ10">
            <v>9</v>
          </cell>
          <cell r="AK10">
            <v>60000</v>
          </cell>
        </row>
        <row r="11">
          <cell r="A11" t="str">
            <v>Crazy Igor</v>
          </cell>
          <cell r="H11" t="str">
            <v>X</v>
          </cell>
          <cell r="AC11" t="str">
            <v>X</v>
          </cell>
          <cell r="AE11" t="str">
            <v>Loner, Dauntless, Regeneration, Thick Skull (Can be bitten as a Thrall)</v>
          </cell>
          <cell r="AF11">
            <v>120000</v>
          </cell>
          <cell r="AG11">
            <v>6</v>
          </cell>
          <cell r="AH11">
            <v>3</v>
          </cell>
          <cell r="AI11">
            <v>3</v>
          </cell>
          <cell r="AJ11">
            <v>8</v>
          </cell>
          <cell r="AK11">
            <v>30000</v>
          </cell>
        </row>
        <row r="12">
          <cell r="A12" t="str">
            <v>Deeproot Strongbranch</v>
          </cell>
          <cell r="M12" t="str">
            <v>X</v>
          </cell>
          <cell r="AE12" t="str">
            <v>Loner, Block, Mighty Blow, Stand Firm, Strong Arm, Thick Skull, Throw Team-Mate</v>
          </cell>
          <cell r="AF12">
            <v>300000</v>
          </cell>
          <cell r="AG12">
            <v>2</v>
          </cell>
          <cell r="AH12">
            <v>7</v>
          </cell>
          <cell r="AI12">
            <v>1</v>
          </cell>
          <cell r="AJ12">
            <v>10</v>
          </cell>
          <cell r="AK12">
            <v>50000</v>
          </cell>
        </row>
        <row r="13">
          <cell r="A13" t="str">
            <v>Dolfar Longstride</v>
          </cell>
          <cell r="E13" t="str">
            <v>X</v>
          </cell>
          <cell r="K13" t="str">
            <v>X</v>
          </cell>
          <cell r="N13" t="str">
            <v>X</v>
          </cell>
          <cell r="AD13" t="str">
            <v>X</v>
          </cell>
          <cell r="AE13" t="str">
            <v>Loner, Diving Catch, Hail Mary Pass, Kick, Kick Off Return, Pass Block</v>
          </cell>
          <cell r="AF13">
            <v>150000</v>
          </cell>
          <cell r="AG13">
            <v>7</v>
          </cell>
          <cell r="AH13">
            <v>3</v>
          </cell>
          <cell r="AI13">
            <v>4</v>
          </cell>
          <cell r="AJ13">
            <v>7</v>
          </cell>
          <cell r="AK13">
            <v>30000</v>
          </cell>
        </row>
        <row r="14">
          <cell r="A14" t="str">
            <v>Eldril Sidewinder</v>
          </cell>
          <cell r="I14" t="str">
            <v>X</v>
          </cell>
          <cell r="K14" t="str">
            <v>X</v>
          </cell>
          <cell r="N14" t="str">
            <v>X</v>
          </cell>
          <cell r="AD14" t="str">
            <v>X</v>
          </cell>
          <cell r="AE14" t="str">
            <v>Loner, Catch, Dodge, Hypnotic Gaze, Nerves of Steel, Pass Block</v>
          </cell>
          <cell r="AF14">
            <v>200000</v>
          </cell>
          <cell r="AG14">
            <v>8</v>
          </cell>
          <cell r="AH14">
            <v>3</v>
          </cell>
          <cell r="AI14">
            <v>4</v>
          </cell>
          <cell r="AJ14">
            <v>7</v>
          </cell>
          <cell r="AK14">
            <v>40000</v>
          </cell>
        </row>
        <row r="15">
          <cell r="A15" t="str">
            <v>Fezglitch</v>
          </cell>
          <cell r="Y15" t="str">
            <v>X</v>
          </cell>
          <cell r="AB15" t="str">
            <v>X</v>
          </cell>
          <cell r="AE15" t="str">
            <v>Loner, Ball &amp; Chain, Disturbing Presence, Foul Appearance, No Hands, Secret Weapon</v>
          </cell>
          <cell r="AF15">
            <v>100000</v>
          </cell>
          <cell r="AG15">
            <v>4</v>
          </cell>
          <cell r="AH15">
            <v>7</v>
          </cell>
          <cell r="AI15">
            <v>3</v>
          </cell>
          <cell r="AJ15">
            <v>7</v>
          </cell>
          <cell r="AK15">
            <v>20000</v>
          </cell>
        </row>
        <row r="16">
          <cell r="A16" t="str">
            <v>Flint Churnblade</v>
          </cell>
          <cell r="J16" t="str">
            <v>X</v>
          </cell>
          <cell r="AE16" t="str">
            <v>Loner, Block, Chainsaw, Secret Weapon, Thick Skull</v>
          </cell>
          <cell r="AF16">
            <v>130000</v>
          </cell>
          <cell r="AG16">
            <v>5</v>
          </cell>
          <cell r="AH16">
            <v>3</v>
          </cell>
          <cell r="AI16">
            <v>2</v>
          </cell>
          <cell r="AJ16">
            <v>8</v>
          </cell>
          <cell r="AK16">
            <v>30000</v>
          </cell>
        </row>
        <row r="17">
          <cell r="A17" t="str">
            <v>Fungus the Loon</v>
          </cell>
          <cell r="L17" t="str">
            <v>X</v>
          </cell>
          <cell r="AE17" t="str">
            <v>Loner, Ball &amp; Chain, Mighty Blow, No Hands, Secret Weapon, Stunty</v>
          </cell>
          <cell r="AF17">
            <v>80000</v>
          </cell>
          <cell r="AG17">
            <v>4</v>
          </cell>
          <cell r="AH17">
            <v>7</v>
          </cell>
          <cell r="AI17">
            <v>3</v>
          </cell>
          <cell r="AJ17">
            <v>7</v>
          </cell>
          <cell r="AK17">
            <v>20000</v>
          </cell>
        </row>
        <row r="18">
          <cell r="A18" t="str">
            <v>Furious George</v>
          </cell>
          <cell r="X18" t="str">
            <v>X</v>
          </cell>
          <cell r="AE18" t="str">
            <v>Loner, Catch, Dodge, Extra Arms, Pass Block, Strip Ball, Wrestle</v>
          </cell>
          <cell r="AF18">
            <v>170000</v>
          </cell>
          <cell r="AG18">
            <v>7</v>
          </cell>
          <cell r="AH18">
            <v>3</v>
          </cell>
          <cell r="AI18">
            <v>3</v>
          </cell>
          <cell r="AJ18">
            <v>7</v>
          </cell>
          <cell r="AK18">
            <v>40000</v>
          </cell>
        </row>
        <row r="19">
          <cell r="A19" t="str">
            <v>Glart Smashrip Jr.</v>
          </cell>
          <cell r="Y19" t="str">
            <v>X</v>
          </cell>
          <cell r="AB19" t="str">
            <v>X</v>
          </cell>
          <cell r="AE19" t="str">
            <v>Loner, Block, Claw, Juggernaut</v>
          </cell>
          <cell r="AF19">
            <v>210000</v>
          </cell>
          <cell r="AG19">
            <v>7</v>
          </cell>
          <cell r="AH19">
            <v>4</v>
          </cell>
          <cell r="AI19">
            <v>3</v>
          </cell>
          <cell r="AJ19">
            <v>8</v>
          </cell>
          <cell r="AK19">
            <v>50000</v>
          </cell>
        </row>
        <row r="20">
          <cell r="A20" t="str">
            <v>Glart Smashrip Sr.</v>
          </cell>
          <cell r="Y20" t="str">
            <v>X</v>
          </cell>
          <cell r="AE20" t="str">
            <v>Loner, Block, Claw, Grab, Juggernaut, Sure Feet</v>
          </cell>
          <cell r="AF20">
            <v>190000</v>
          </cell>
          <cell r="AG20">
            <v>5</v>
          </cell>
          <cell r="AH20">
            <v>4</v>
          </cell>
          <cell r="AI20">
            <v>2</v>
          </cell>
          <cell r="AJ20">
            <v>8</v>
          </cell>
          <cell r="AK20">
            <v>40000</v>
          </cell>
        </row>
        <row r="21">
          <cell r="A21" t="str">
            <v>Grashnak Blackhoof</v>
          </cell>
          <cell r="F21" t="str">
            <v>X</v>
          </cell>
          <cell r="G21" t="str">
            <v>X</v>
          </cell>
          <cell r="Q21" t="str">
            <v>X</v>
          </cell>
          <cell r="U21" t="str">
            <v>X</v>
          </cell>
          <cell r="AE21" t="str">
            <v>Loner, Frenzy, Horn, Mighty Blow, Thick Skull</v>
          </cell>
          <cell r="AF21">
            <v>310000</v>
          </cell>
          <cell r="AG21">
            <v>6</v>
          </cell>
          <cell r="AH21">
            <v>6</v>
          </cell>
          <cell r="AI21">
            <v>2</v>
          </cell>
          <cell r="AJ21">
            <v>8</v>
          </cell>
          <cell r="AK21">
            <v>60000</v>
          </cell>
        </row>
        <row r="22">
          <cell r="A22" t="str">
            <v>Griff Oberwald</v>
          </cell>
          <cell r="E22" t="str">
            <v>X</v>
          </cell>
          <cell r="O22" t="str">
            <v>X</v>
          </cell>
          <cell r="X22" t="str">
            <v>X</v>
          </cell>
          <cell r="AE22" t="str">
            <v>Loner, Block, Dodge, Fend, Sprint, Sure Feet</v>
          </cell>
          <cell r="AF22">
            <v>320000</v>
          </cell>
          <cell r="AG22">
            <v>7</v>
          </cell>
          <cell r="AH22">
            <v>4</v>
          </cell>
          <cell r="AI22">
            <v>4</v>
          </cell>
          <cell r="AJ22">
            <v>8</v>
          </cell>
          <cell r="AK22">
            <v>60000</v>
          </cell>
        </row>
        <row r="23">
          <cell r="A23" t="str">
            <v>Grim Ironjaw</v>
          </cell>
          <cell r="J23" t="str">
            <v>X</v>
          </cell>
          <cell r="AE23" t="str">
            <v>Loner, Block, Dauntless, Frenzy, Multiple Block, Thick Skull</v>
          </cell>
          <cell r="AF23">
            <v>220000</v>
          </cell>
          <cell r="AG23">
            <v>5</v>
          </cell>
          <cell r="AH23">
            <v>4</v>
          </cell>
          <cell r="AI23">
            <v>3</v>
          </cell>
          <cell r="AJ23">
            <v>8</v>
          </cell>
          <cell r="AK23">
            <v>50000</v>
          </cell>
        </row>
        <row r="24">
          <cell r="A24" t="str">
            <v>Grotty</v>
          </cell>
          <cell r="B24" t="str">
            <v>Brick Far'th</v>
          </cell>
          <cell r="F24" t="str">
            <v>X</v>
          </cell>
          <cell r="U24" t="str">
            <v>X</v>
          </cell>
          <cell r="V24" t="str">
            <v>X</v>
          </cell>
          <cell r="AE24" t="str">
            <v>Loner, Dodge, Right Stuff, Stunty</v>
          </cell>
          <cell r="AF24">
            <v>0</v>
          </cell>
          <cell r="AG24">
            <v>6</v>
          </cell>
          <cell r="AH24">
            <v>2</v>
          </cell>
          <cell r="AI24">
            <v>4</v>
          </cell>
          <cell r="AJ24">
            <v>7</v>
          </cell>
          <cell r="AK24">
            <v>0</v>
          </cell>
        </row>
        <row r="25">
          <cell r="A25" t="str">
            <v>Guffle Pusmaw</v>
          </cell>
          <cell r="F25" t="str">
            <v>X</v>
          </cell>
          <cell r="U25" t="str">
            <v>X</v>
          </cell>
          <cell r="AE25" t="str">
            <v>Loner, Foul Appearance, Monstrous Mouth, Nurgle's Rot</v>
          </cell>
          <cell r="AF25">
            <v>210000</v>
          </cell>
          <cell r="AG25">
            <v>5</v>
          </cell>
          <cell r="AH25">
            <v>3</v>
          </cell>
          <cell r="AI25">
            <v>4</v>
          </cell>
          <cell r="AJ25">
            <v>9</v>
          </cell>
          <cell r="AK25">
            <v>50000</v>
          </cell>
        </row>
        <row r="26">
          <cell r="A26" t="str">
            <v>Hack Enslash</v>
          </cell>
          <cell r="P26" t="str">
            <v>X</v>
          </cell>
          <cell r="S26" t="str">
            <v>X</v>
          </cell>
          <cell r="AA26" t="str">
            <v>X</v>
          </cell>
          <cell r="AE26" t="str">
            <v>Loner, Chainsaw, Regeneration, Secret Weapon, Side Step</v>
          </cell>
          <cell r="AF26">
            <v>120000</v>
          </cell>
          <cell r="AG26">
            <v>6</v>
          </cell>
          <cell r="AH26">
            <v>3</v>
          </cell>
          <cell r="AI26">
            <v>2</v>
          </cell>
          <cell r="AJ26">
            <v>7</v>
          </cell>
          <cell r="AK26">
            <v>30000</v>
          </cell>
        </row>
        <row r="27">
          <cell r="A27" t="str">
            <v>Hakflem Skuttlespike</v>
          </cell>
          <cell r="Y27" t="str">
            <v>X</v>
          </cell>
          <cell r="AE27" t="str">
            <v>Loner, Dodge, Extra Arms, Prehensile Tails, Two Heads</v>
          </cell>
          <cell r="AF27">
            <v>200000</v>
          </cell>
          <cell r="AG27">
            <v>9</v>
          </cell>
          <cell r="AH27">
            <v>3</v>
          </cell>
          <cell r="AI27">
            <v>4</v>
          </cell>
          <cell r="AJ27">
            <v>7</v>
          </cell>
          <cell r="AK27">
            <v>40000</v>
          </cell>
        </row>
        <row r="28">
          <cell r="A28" t="str">
            <v>Headsplitter</v>
          </cell>
          <cell r="Y28" t="str">
            <v>X</v>
          </cell>
          <cell r="AE28" t="str">
            <v>Loner, Frenzy, Mighty Blow, Prehensile Tail</v>
          </cell>
          <cell r="AF28">
            <v>340000</v>
          </cell>
          <cell r="AG28">
            <v>6</v>
          </cell>
          <cell r="AH28">
            <v>6</v>
          </cell>
          <cell r="AI28">
            <v>3</v>
          </cell>
          <cell r="AJ28">
            <v>8</v>
          </cell>
          <cell r="AK28">
            <v>60000</v>
          </cell>
        </row>
        <row r="29">
          <cell r="A29" t="str">
            <v>Helmut Wulf</v>
          </cell>
          <cell r="D29" t="str">
            <v>X</v>
          </cell>
          <cell r="O29" t="str">
            <v>X</v>
          </cell>
          <cell r="R29" t="str">
            <v>X</v>
          </cell>
          <cell r="T29" t="str">
            <v>X</v>
          </cell>
          <cell r="X29" t="str">
            <v>X</v>
          </cell>
          <cell r="Z29" t="str">
            <v>X</v>
          </cell>
          <cell r="AC29" t="str">
            <v>X</v>
          </cell>
          <cell r="AE29" t="str">
            <v>Loner, Chainsaw, Secret Weapon, Stand Firm</v>
          </cell>
          <cell r="AF29">
            <v>110000</v>
          </cell>
          <cell r="AG29">
            <v>6</v>
          </cell>
          <cell r="AH29">
            <v>3</v>
          </cell>
          <cell r="AI29">
            <v>3</v>
          </cell>
          <cell r="AJ29">
            <v>8</v>
          </cell>
          <cell r="AK29">
            <v>30000</v>
          </cell>
        </row>
        <row r="30">
          <cell r="A30" t="str">
            <v>Hemlock</v>
          </cell>
          <cell r="R30" t="str">
            <v>X</v>
          </cell>
          <cell r="Z30" t="str">
            <v>X</v>
          </cell>
          <cell r="AE30" t="str">
            <v>Loner, Block, Dodge, Sidestep, Jump Up, Stab, Stunty</v>
          </cell>
          <cell r="AF30">
            <v>170000</v>
          </cell>
          <cell r="AG30">
            <v>8</v>
          </cell>
          <cell r="AH30">
            <v>2</v>
          </cell>
          <cell r="AI30">
            <v>3</v>
          </cell>
          <cell r="AJ30">
            <v>7</v>
          </cell>
          <cell r="AK30">
            <v>40000</v>
          </cell>
        </row>
        <row r="31">
          <cell r="A31" t="str">
            <v>Horkon Heartripper</v>
          </cell>
          <cell r="I31" t="str">
            <v>X</v>
          </cell>
          <cell r="AE31" t="str">
            <v>Loner, Dodge, Leap, Multiple Block, Shadowing Stab</v>
          </cell>
          <cell r="AF31">
            <v>210000</v>
          </cell>
          <cell r="AG31">
            <v>7</v>
          </cell>
          <cell r="AH31">
            <v>3</v>
          </cell>
          <cell r="AI31">
            <v>4</v>
          </cell>
          <cell r="AJ31">
            <v>7</v>
          </cell>
          <cell r="AK31">
            <v>50000</v>
          </cell>
        </row>
        <row r="32">
          <cell r="A32" t="str">
            <v>Hthark the Unstoppable</v>
          </cell>
          <cell r="G32" t="str">
            <v>X</v>
          </cell>
          <cell r="AE32" t="str">
            <v>Loner, Block, Break Tackle, Juggernaut, Sprint, Sure Feet, Thick Skull</v>
          </cell>
          <cell r="AF32">
            <v>330000</v>
          </cell>
          <cell r="AG32">
            <v>6</v>
          </cell>
          <cell r="AH32">
            <v>5</v>
          </cell>
          <cell r="AI32">
            <v>2</v>
          </cell>
          <cell r="AJ32">
            <v>9</v>
          </cell>
          <cell r="AK32">
            <v>60000</v>
          </cell>
        </row>
        <row r="33">
          <cell r="A33" t="str">
            <v>Hubris Rukarth</v>
          </cell>
          <cell r="I33" t="str">
            <v>X</v>
          </cell>
          <cell r="K33" t="str">
            <v>X</v>
          </cell>
          <cell r="AE33" t="str">
            <v>Loner, Block, Dirty Player, Jump Up, Mighty Blow, Strip Ball</v>
          </cell>
          <cell r="AF33">
            <v>260000</v>
          </cell>
          <cell r="AG33">
            <v>7</v>
          </cell>
          <cell r="AH33">
            <v>4</v>
          </cell>
          <cell r="AI33">
            <v>4</v>
          </cell>
          <cell r="AJ33">
            <v>8</v>
          </cell>
          <cell r="AK33">
            <v>50000</v>
          </cell>
        </row>
        <row r="34">
          <cell r="A34" t="str">
            <v>Humerus Carpal</v>
          </cell>
          <cell r="P34" t="str">
            <v>X</v>
          </cell>
          <cell r="AE34" t="str">
            <v>Loner, Catch, Dodge, Regeneration, Nerves of Steel</v>
          </cell>
          <cell r="AF34">
            <v>130000</v>
          </cell>
          <cell r="AG34">
            <v>7</v>
          </cell>
          <cell r="AH34">
            <v>2</v>
          </cell>
          <cell r="AI34">
            <v>3</v>
          </cell>
          <cell r="AJ34">
            <v>7</v>
          </cell>
          <cell r="AK34">
            <v>30000</v>
          </cell>
        </row>
        <row r="35">
          <cell r="A35" t="str">
            <v>Icepelt Hammerblow</v>
          </cell>
          <cell r="T35" t="str">
            <v>X</v>
          </cell>
          <cell r="AE35" t="str">
            <v>Loner, Claws, Disturbing Presence, Frenzy, Regeneration, Thick Skull</v>
          </cell>
          <cell r="AF35">
            <v>330000</v>
          </cell>
          <cell r="AG35">
            <v>5</v>
          </cell>
          <cell r="AH35">
            <v>6</v>
          </cell>
          <cell r="AI35">
            <v>1</v>
          </cell>
          <cell r="AJ35">
            <v>8</v>
          </cell>
          <cell r="AK35">
            <v>60000</v>
          </cell>
        </row>
        <row r="36">
          <cell r="A36" t="str">
            <v>Ithaca Benoin</v>
          </cell>
          <cell r="I36" t="str">
            <v>X</v>
          </cell>
          <cell r="P36" t="str">
            <v>X</v>
          </cell>
          <cell r="AE36" t="str">
            <v>Loner, Accurate, Dump Off, Nerves of Steel, Pass, Regeneration, Sure Hands</v>
          </cell>
          <cell r="AF36">
            <v>220000</v>
          </cell>
          <cell r="AG36">
            <v>7</v>
          </cell>
          <cell r="AH36">
            <v>3</v>
          </cell>
          <cell r="AI36">
            <v>3</v>
          </cell>
          <cell r="AJ36">
            <v>7</v>
          </cell>
          <cell r="AK36">
            <v>50000</v>
          </cell>
        </row>
        <row r="37">
          <cell r="A37" t="str">
            <v>J Earlice</v>
          </cell>
          <cell r="S37" t="str">
            <v>X</v>
          </cell>
          <cell r="AA37" t="str">
            <v>X</v>
          </cell>
          <cell r="AC37" t="str">
            <v>X</v>
          </cell>
          <cell r="AE37" t="str">
            <v>Loner, Catch, Diving Catch, Dodge, Sprint</v>
          </cell>
          <cell r="AF37">
            <v>180000</v>
          </cell>
          <cell r="AG37">
            <v>8</v>
          </cell>
          <cell r="AH37">
            <v>3</v>
          </cell>
          <cell r="AI37">
            <v>3</v>
          </cell>
          <cell r="AJ37">
            <v>7</v>
          </cell>
          <cell r="AK37">
            <v>40000</v>
          </cell>
        </row>
        <row r="38">
          <cell r="A38" t="str">
            <v>Jordell Fleshbreeze</v>
          </cell>
          <cell r="K38" t="str">
            <v>X</v>
          </cell>
          <cell r="AD38" t="str">
            <v>X</v>
          </cell>
          <cell r="AE38" t="str">
            <v>Loner, Block, Diving Catch, Dodge, Leap, Side Step</v>
          </cell>
          <cell r="AF38">
            <v>260000</v>
          </cell>
          <cell r="AG38">
            <v>8</v>
          </cell>
          <cell r="AH38">
            <v>3</v>
          </cell>
          <cell r="AI38">
            <v>5</v>
          </cell>
          <cell r="AJ38">
            <v>7</v>
          </cell>
          <cell r="AK38">
            <v>50000</v>
          </cell>
        </row>
        <row r="39">
          <cell r="A39" t="str">
            <v>Karla Von Kill</v>
          </cell>
          <cell r="D39" t="str">
            <v>X</v>
          </cell>
          <cell r="E39" t="str">
            <v>X</v>
          </cell>
          <cell r="M39" t="str">
            <v>X</v>
          </cell>
          <cell r="O39" t="str">
            <v>X</v>
          </cell>
          <cell r="T39" t="str">
            <v>X</v>
          </cell>
          <cell r="AE39" t="str">
            <v>Loner, Block, Dauntless, Dodge, Jump Up</v>
          </cell>
          <cell r="AF39">
            <v>220000</v>
          </cell>
          <cell r="AG39">
            <v>6</v>
          </cell>
          <cell r="AH39">
            <v>4</v>
          </cell>
          <cell r="AI39">
            <v>3</v>
          </cell>
          <cell r="AJ39">
            <v>8</v>
          </cell>
          <cell r="AK39">
            <v>50000</v>
          </cell>
        </row>
        <row r="40">
          <cell r="A40" t="str">
            <v>King Boombastic</v>
          </cell>
          <cell r="X40" t="str">
            <v>X</v>
          </cell>
          <cell r="AE40" t="str">
            <v>Loner, Break Tackle, Grab, Mighty Blow, Piling On, Wild Animal</v>
          </cell>
          <cell r="AF40">
            <v>270000</v>
          </cell>
          <cell r="AG40">
            <v>6</v>
          </cell>
          <cell r="AH40">
            <v>5</v>
          </cell>
          <cell r="AI40">
            <v>1</v>
          </cell>
          <cell r="AJ40">
            <v>9</v>
          </cell>
          <cell r="AK40">
            <v>50000</v>
          </cell>
        </row>
        <row r="41">
          <cell r="A41" t="str">
            <v>Kreek Rustgouger</v>
          </cell>
          <cell r="Y41" t="str">
            <v>X</v>
          </cell>
          <cell r="AB41" t="str">
            <v>X</v>
          </cell>
          <cell r="AE41" t="str">
            <v>Loner, Ball &amp; Chain, Mighty Blow, No Hands, Prehensile Tail, Secret Weapon</v>
          </cell>
          <cell r="AF41">
            <v>130000</v>
          </cell>
          <cell r="AG41">
            <v>5</v>
          </cell>
          <cell r="AH41">
            <v>7</v>
          </cell>
          <cell r="AI41">
            <v>2</v>
          </cell>
          <cell r="AJ41">
            <v>9</v>
          </cell>
          <cell r="AK41">
            <v>30000</v>
          </cell>
        </row>
        <row r="42">
          <cell r="A42" t="str">
            <v>Lewdgrip Whiparm</v>
          </cell>
          <cell r="F42" t="str">
            <v>X</v>
          </cell>
          <cell r="H42" t="str">
            <v>X</v>
          </cell>
          <cell r="U42" t="str">
            <v>X</v>
          </cell>
          <cell r="AE42" t="str">
            <v>Loner, Pass, Strong Arm, Sure Hands, Tentacles</v>
          </cell>
          <cell r="AF42">
            <v>150000</v>
          </cell>
          <cell r="AG42">
            <v>6</v>
          </cell>
          <cell r="AH42">
            <v>3</v>
          </cell>
          <cell r="AI42">
            <v>3</v>
          </cell>
          <cell r="AJ42">
            <v>9</v>
          </cell>
          <cell r="AK42">
            <v>30000</v>
          </cell>
        </row>
        <row r="43">
          <cell r="A43" t="str">
            <v>Lord Borak the Despoiler</v>
          </cell>
          <cell r="F43" t="str">
            <v>X</v>
          </cell>
          <cell r="U43" t="str">
            <v>X</v>
          </cell>
          <cell r="AE43" t="str">
            <v>Loner, Block, Dirty Player, Mighty Blow</v>
          </cell>
          <cell r="AF43">
            <v>300000</v>
          </cell>
          <cell r="AG43">
            <v>5</v>
          </cell>
          <cell r="AH43">
            <v>5</v>
          </cell>
          <cell r="AI43">
            <v>3</v>
          </cell>
          <cell r="AJ43">
            <v>9</v>
          </cell>
          <cell r="AK43">
            <v>50000</v>
          </cell>
        </row>
        <row r="44">
          <cell r="A44" t="str">
            <v>Lottabottol</v>
          </cell>
          <cell r="R44" t="str">
            <v>X</v>
          </cell>
          <cell r="Z44" t="str">
            <v>X</v>
          </cell>
          <cell r="AE44" t="str">
            <v>Loner, Catch, Diving Tackle, Jump Up, Leap, Pass Block, Shadowing, Very Long Legs</v>
          </cell>
          <cell r="AF44">
            <v>220000</v>
          </cell>
          <cell r="AG44">
            <v>8</v>
          </cell>
          <cell r="AH44">
            <v>3</v>
          </cell>
          <cell r="AI44">
            <v>3</v>
          </cell>
          <cell r="AJ44">
            <v>8</v>
          </cell>
          <cell r="AK44">
            <v>50000</v>
          </cell>
        </row>
        <row r="45">
          <cell r="A45" t="str">
            <v>Lucien the Swift</v>
          </cell>
          <cell r="B45" t="str">
            <v>Valen the Swift</v>
          </cell>
          <cell r="K45" t="str">
            <v>X</v>
          </cell>
          <cell r="N45" t="str">
            <v>X</v>
          </cell>
          <cell r="AD45" t="str">
            <v>X</v>
          </cell>
          <cell r="AE45" t="str">
            <v>Loner, Block, Mighty Blow, Tackle</v>
          </cell>
          <cell r="AF45">
            <v>390000</v>
          </cell>
          <cell r="AG45">
            <v>7</v>
          </cell>
          <cell r="AH45">
            <v>3</v>
          </cell>
          <cell r="AI45">
            <v>4</v>
          </cell>
          <cell r="AJ45">
            <v>8</v>
          </cell>
          <cell r="AK45">
            <v>60000</v>
          </cell>
        </row>
        <row r="46">
          <cell r="A46" t="str">
            <v>Madcap Miggz</v>
          </cell>
          <cell r="L46" t="str">
            <v>X</v>
          </cell>
          <cell r="AE46" t="str">
            <v>Loner, Break Tackle, Claw, Leap, Very Long Legs, Wild Animal</v>
          </cell>
          <cell r="AF46">
            <v>170000</v>
          </cell>
          <cell r="AG46">
            <v>6</v>
          </cell>
          <cell r="AH46">
            <v>4</v>
          </cell>
          <cell r="AI46">
            <v>3</v>
          </cell>
          <cell r="AJ46">
            <v>8</v>
          </cell>
          <cell r="AK46">
            <v>40000</v>
          </cell>
        </row>
        <row r="47">
          <cell r="A47" t="str">
            <v>Max Spleenripper</v>
          </cell>
          <cell r="F47" t="str">
            <v>X</v>
          </cell>
          <cell r="U47" t="str">
            <v>X</v>
          </cell>
          <cell r="AE47" t="str">
            <v>Loner, Chainsaw, Secret Weapon</v>
          </cell>
          <cell r="AF47">
            <v>130000</v>
          </cell>
          <cell r="AG47">
            <v>5</v>
          </cell>
          <cell r="AH47">
            <v>4</v>
          </cell>
          <cell r="AI47">
            <v>3</v>
          </cell>
          <cell r="AJ47">
            <v>8</v>
          </cell>
          <cell r="AK47">
            <v>30000</v>
          </cell>
        </row>
        <row r="48">
          <cell r="A48" t="str">
            <v>Mighty Zug</v>
          </cell>
          <cell r="E48" t="str">
            <v>X</v>
          </cell>
          <cell r="O48" t="str">
            <v>X</v>
          </cell>
          <cell r="X48" t="str">
            <v>X</v>
          </cell>
          <cell r="AE48" t="str">
            <v>Loner, Block, Mighty Blow</v>
          </cell>
          <cell r="AF48">
            <v>260000</v>
          </cell>
          <cell r="AG48">
            <v>4</v>
          </cell>
          <cell r="AH48">
            <v>5</v>
          </cell>
          <cell r="AI48">
            <v>2</v>
          </cell>
          <cell r="AJ48">
            <v>9</v>
          </cell>
          <cell r="AK48">
            <v>50000</v>
          </cell>
        </row>
        <row r="49">
          <cell r="A49" t="str">
            <v>Morg'n'Thorg</v>
          </cell>
          <cell r="D49" t="str">
            <v>X</v>
          </cell>
          <cell r="E49" t="str">
            <v>X</v>
          </cell>
          <cell r="F49" t="str">
            <v>X</v>
          </cell>
          <cell r="G49" t="str">
            <v>X</v>
          </cell>
          <cell r="H49" t="str">
            <v>X</v>
          </cell>
          <cell r="I49" t="str">
            <v>X</v>
          </cell>
          <cell r="J49" t="str">
            <v>X</v>
          </cell>
          <cell r="K49" t="str">
            <v>X</v>
          </cell>
          <cell r="L49" t="str">
            <v>X</v>
          </cell>
          <cell r="M49" t="str">
            <v>X</v>
          </cell>
          <cell r="N49" t="str">
            <v>X</v>
          </cell>
          <cell r="O49" t="str">
            <v>X</v>
          </cell>
          <cell r="Q49" t="str">
            <v>X</v>
          </cell>
          <cell r="R49" t="str">
            <v>X</v>
          </cell>
          <cell r="T49" t="str">
            <v>X</v>
          </cell>
          <cell r="U49" t="str">
            <v>X</v>
          </cell>
          <cell r="V49" t="str">
            <v>X</v>
          </cell>
          <cell r="W49" t="str">
            <v>X</v>
          </cell>
          <cell r="X49" t="str">
            <v>X</v>
          </cell>
          <cell r="Y49" t="str">
            <v>X</v>
          </cell>
          <cell r="Z49" t="str">
            <v>X</v>
          </cell>
          <cell r="AB49" t="str">
            <v>X</v>
          </cell>
          <cell r="AC49" t="str">
            <v>X</v>
          </cell>
          <cell r="AD49" t="str">
            <v>X</v>
          </cell>
          <cell r="AE49" t="str">
            <v>Loner, Block, Might Blow, Thick Skull, Throw Team-Mate</v>
          </cell>
          <cell r="AF49">
            <v>430000</v>
          </cell>
          <cell r="AG49">
            <v>6</v>
          </cell>
          <cell r="AH49">
            <v>6</v>
          </cell>
          <cell r="AI49">
            <v>3</v>
          </cell>
          <cell r="AJ49">
            <v>10</v>
          </cell>
          <cell r="AK49">
            <v>60000</v>
          </cell>
        </row>
        <row r="50">
          <cell r="A50" t="str">
            <v>Nobbla Blackwart</v>
          </cell>
          <cell r="G50" t="str">
            <v>X</v>
          </cell>
          <cell r="L50" t="str">
            <v>X</v>
          </cell>
          <cell r="V50" t="str">
            <v>X</v>
          </cell>
          <cell r="AB50" t="str">
            <v>X</v>
          </cell>
          <cell r="AE50" t="str">
            <v>Loner, Block, Dodge, Chainsaw, Secret Weapon, Stunty</v>
          </cell>
          <cell r="AF50">
            <v>130000</v>
          </cell>
          <cell r="AG50">
            <v>6</v>
          </cell>
          <cell r="AH50">
            <v>2</v>
          </cell>
          <cell r="AI50">
            <v>3</v>
          </cell>
          <cell r="AJ50">
            <v>7</v>
          </cell>
          <cell r="AK50">
            <v>30000</v>
          </cell>
        </row>
        <row r="51">
          <cell r="A51" t="str">
            <v>Prince Moranion</v>
          </cell>
          <cell r="K51" t="str">
            <v>X</v>
          </cell>
          <cell r="N51" t="str">
            <v>X</v>
          </cell>
          <cell r="AE51" t="str">
            <v>Loner, Block, Dauntless, Tackle, Wrestle</v>
          </cell>
          <cell r="AF51">
            <v>230000</v>
          </cell>
          <cell r="AG51">
            <v>7</v>
          </cell>
          <cell r="AH51">
            <v>4</v>
          </cell>
          <cell r="AI51">
            <v>4</v>
          </cell>
          <cell r="AJ51">
            <v>8</v>
          </cell>
          <cell r="AK51">
            <v>50000</v>
          </cell>
        </row>
        <row r="52">
          <cell r="A52" t="str">
            <v>Quetzal Leap</v>
          </cell>
          <cell r="R52" t="str">
            <v>X</v>
          </cell>
          <cell r="Z52" t="str">
            <v>X</v>
          </cell>
          <cell r="AE52" t="str">
            <v>Loner, Catch, Diving Catch, Fend, Kick Off Return, Leap, Nerves of Steel, Very Long Legs</v>
          </cell>
          <cell r="AF52">
            <v>250000</v>
          </cell>
          <cell r="AG52">
            <v>8</v>
          </cell>
          <cell r="AH52">
            <v>2</v>
          </cell>
          <cell r="AI52">
            <v>4</v>
          </cell>
          <cell r="AJ52">
            <v>7</v>
          </cell>
          <cell r="AK52">
            <v>50000</v>
          </cell>
        </row>
        <row r="53">
          <cell r="A53" t="str">
            <v>Ramtut III</v>
          </cell>
          <cell r="P53" t="str">
            <v>X</v>
          </cell>
          <cell r="S53" t="str">
            <v>X</v>
          </cell>
          <cell r="AA53" t="str">
            <v>X</v>
          </cell>
          <cell r="AE53" t="str">
            <v>Loner, Break Tackle, Mighty Blow, Regeneration, Wrestle</v>
          </cell>
          <cell r="AF53">
            <v>380000</v>
          </cell>
          <cell r="AG53">
            <v>7</v>
          </cell>
          <cell r="AH53">
            <v>3</v>
          </cell>
          <cell r="AI53">
            <v>3</v>
          </cell>
          <cell r="AJ53">
            <v>7</v>
          </cell>
          <cell r="AK53">
            <v>60000</v>
          </cell>
        </row>
        <row r="54">
          <cell r="A54" t="str">
            <v>Rashnak Backstabber</v>
          </cell>
          <cell r="G54" t="str">
            <v>X</v>
          </cell>
          <cell r="AE54" t="str">
            <v>Loner, Dodge, Side Step, Sneaky Git, Stab</v>
          </cell>
          <cell r="AF54">
            <v>200000</v>
          </cell>
          <cell r="AG54">
            <v>7</v>
          </cell>
          <cell r="AH54">
            <v>3</v>
          </cell>
          <cell r="AI54">
            <v>3</v>
          </cell>
          <cell r="AJ54">
            <v>7</v>
          </cell>
          <cell r="AK54">
            <v>40000</v>
          </cell>
        </row>
        <row r="55">
          <cell r="A55" t="str">
            <v>Ripper Bolgrot</v>
          </cell>
          <cell r="C55" t="str">
            <v>Squiggaly Squishas'</v>
          </cell>
          <cell r="L55" t="str">
            <v>X</v>
          </cell>
          <cell r="W55" t="str">
            <v>X</v>
          </cell>
          <cell r="AE55" t="str">
            <v>Loner, Grab, Mighty Blow, Regeneration, Throw Team-Mate</v>
          </cell>
          <cell r="AF55">
            <v>270000</v>
          </cell>
          <cell r="AG55">
            <v>4</v>
          </cell>
          <cell r="AH55">
            <v>6</v>
          </cell>
          <cell r="AI55">
            <v>1</v>
          </cell>
          <cell r="AJ55">
            <v>9</v>
          </cell>
          <cell r="AK55">
            <v>50000</v>
          </cell>
        </row>
        <row r="56">
          <cell r="A56" t="str">
            <v>Roxanna Darknall</v>
          </cell>
          <cell r="D56" t="str">
            <v>X</v>
          </cell>
          <cell r="I56" t="str">
            <v>X</v>
          </cell>
          <cell r="AE56" t="str">
            <v>Loner, Dodge, Frenzy, Jump Up, Juggernaut, Leap</v>
          </cell>
          <cell r="AF56">
            <v>250000</v>
          </cell>
          <cell r="AG56">
            <v>8</v>
          </cell>
          <cell r="AH56">
            <v>3</v>
          </cell>
          <cell r="AI56">
            <v>5</v>
          </cell>
          <cell r="AJ56">
            <v>7</v>
          </cell>
          <cell r="AK56">
            <v>50000</v>
          </cell>
        </row>
        <row r="57">
          <cell r="A57" t="str">
            <v>Scrappa Sorehead</v>
          </cell>
          <cell r="L57" t="str">
            <v>X</v>
          </cell>
          <cell r="V57" t="str">
            <v>X</v>
          </cell>
          <cell r="W57" t="str">
            <v>X</v>
          </cell>
          <cell r="AE57" t="str">
            <v>Loner, Dirty Player, Dodge, Leap, Right Stuff, Sprint, Stunty, Sure Feet, Very Long Legs</v>
          </cell>
          <cell r="AF57">
            <v>150000</v>
          </cell>
          <cell r="AG57">
            <v>7</v>
          </cell>
          <cell r="AH57">
            <v>2</v>
          </cell>
          <cell r="AI57">
            <v>3</v>
          </cell>
          <cell r="AJ57">
            <v>7</v>
          </cell>
          <cell r="AK57">
            <v>30000</v>
          </cell>
        </row>
        <row r="58">
          <cell r="A58" t="str">
            <v>Setekh</v>
          </cell>
          <cell r="P58" t="str">
            <v>X</v>
          </cell>
          <cell r="S58" t="str">
            <v>X</v>
          </cell>
          <cell r="AA58" t="str">
            <v>X</v>
          </cell>
          <cell r="AE58" t="str">
            <v>Loner, Block, Break Tackle, Juggernaut, Regeneration, Strip Ball</v>
          </cell>
          <cell r="AF58">
            <v>220000</v>
          </cell>
          <cell r="AG58">
            <v>6</v>
          </cell>
          <cell r="AH58">
            <v>4</v>
          </cell>
          <cell r="AI58">
            <v>2</v>
          </cell>
          <cell r="AJ58">
            <v>8</v>
          </cell>
          <cell r="AK58">
            <v>50000</v>
          </cell>
        </row>
        <row r="59">
          <cell r="A59" t="str">
            <v>Sinnedbad</v>
          </cell>
          <cell r="P59" t="str">
            <v>X</v>
          </cell>
          <cell r="AA59" t="str">
            <v>X</v>
          </cell>
          <cell r="AE59" t="str">
            <v>Loner, Block, Jump Up, Pass Block, Regeneration, Secret Weapon, Side Step, Stab</v>
          </cell>
          <cell r="AF59">
            <v>80000</v>
          </cell>
          <cell r="AG59">
            <v>6</v>
          </cell>
          <cell r="AH59">
            <v>3</v>
          </cell>
          <cell r="AI59">
            <v>2</v>
          </cell>
          <cell r="AJ59">
            <v>7</v>
          </cell>
          <cell r="AK59">
            <v>20000</v>
          </cell>
        </row>
        <row r="60">
          <cell r="A60" t="str">
            <v>Skitter Stab-Stab</v>
          </cell>
          <cell r="Y60" t="str">
            <v>X</v>
          </cell>
          <cell r="AB60" t="str">
            <v>X</v>
          </cell>
          <cell r="AE60" t="str">
            <v>Loner, Dodge, Prehensile Tail, Shadowing, Stab</v>
          </cell>
          <cell r="AF60">
            <v>160000</v>
          </cell>
          <cell r="AG60">
            <v>9</v>
          </cell>
          <cell r="AH60">
            <v>2</v>
          </cell>
          <cell r="AI60">
            <v>4</v>
          </cell>
          <cell r="AJ60">
            <v>7</v>
          </cell>
          <cell r="AK60">
            <v>40000</v>
          </cell>
        </row>
        <row r="61">
          <cell r="A61" t="str">
            <v>Slibli</v>
          </cell>
          <cell r="R61" t="str">
            <v>X</v>
          </cell>
          <cell r="Z61" t="str">
            <v>X</v>
          </cell>
          <cell r="AE61" t="str">
            <v>Loner, Block, Grab, Guard, Stand Firm</v>
          </cell>
          <cell r="AF61">
            <v>250000</v>
          </cell>
          <cell r="AG61">
            <v>7</v>
          </cell>
          <cell r="AH61">
            <v>4</v>
          </cell>
          <cell r="AI61">
            <v>1</v>
          </cell>
          <cell r="AJ61">
            <v>9</v>
          </cell>
          <cell r="AK61">
            <v>50000</v>
          </cell>
        </row>
        <row r="62">
          <cell r="A62" t="str">
            <v>Soaren Hightower</v>
          </cell>
          <cell r="N62" t="str">
            <v>X</v>
          </cell>
          <cell r="AE62" t="str">
            <v>Loner, Fend, Kick Off Return, Pass, Safe Throw, Sure Hands, Strong Arm</v>
          </cell>
          <cell r="AF62">
            <v>180000</v>
          </cell>
          <cell r="AG62">
            <v>6</v>
          </cell>
          <cell r="AH62">
            <v>3</v>
          </cell>
          <cell r="AI62">
            <v>4</v>
          </cell>
          <cell r="AJ62">
            <v>8</v>
          </cell>
          <cell r="AK62">
            <v>40000</v>
          </cell>
        </row>
        <row r="63">
          <cell r="A63" t="str">
            <v>Ugroth Bolgrot</v>
          </cell>
          <cell r="H63" t="str">
            <v>X</v>
          </cell>
          <cell r="W63" t="str">
            <v>X</v>
          </cell>
          <cell r="AE63" t="str">
            <v>Loner, Chainsaw, Secret Weapon</v>
          </cell>
          <cell r="AF63">
            <v>100000</v>
          </cell>
          <cell r="AG63">
            <v>5</v>
          </cell>
          <cell r="AH63">
            <v>3</v>
          </cell>
          <cell r="AI63">
            <v>3</v>
          </cell>
          <cell r="AJ63">
            <v>9</v>
          </cell>
          <cell r="AK63">
            <v>20000</v>
          </cell>
        </row>
        <row r="64">
          <cell r="A64" t="str">
            <v>Valen the Swift</v>
          </cell>
          <cell r="B64" t="str">
            <v>Lucien the Swift</v>
          </cell>
          <cell r="K64" t="str">
            <v>X</v>
          </cell>
          <cell r="N64" t="str">
            <v>X</v>
          </cell>
          <cell r="AD64" t="str">
            <v>X</v>
          </cell>
          <cell r="AE64" t="str">
            <v>Loner, Accurate, Nerves of Steel, Pass, Safe Throw, Sure Hands</v>
          </cell>
          <cell r="AF64">
            <v>0</v>
          </cell>
          <cell r="AG64">
            <v>7</v>
          </cell>
          <cell r="AH64">
            <v>3</v>
          </cell>
          <cell r="AI64">
            <v>5</v>
          </cell>
          <cell r="AJ64">
            <v>7</v>
          </cell>
          <cell r="AK64">
            <v>0</v>
          </cell>
        </row>
        <row r="65">
          <cell r="A65" t="str">
            <v>Varag Ghoul-Chewer</v>
          </cell>
          <cell r="W65" t="str">
            <v>X</v>
          </cell>
          <cell r="AE65" t="str">
            <v>Loner, Block, Jump Up, Mighty Blow, Thick Skull</v>
          </cell>
          <cell r="AF65">
            <v>150000</v>
          </cell>
          <cell r="AG65">
            <v>6</v>
          </cell>
          <cell r="AH65">
            <v>4</v>
          </cell>
          <cell r="AI65">
            <v>3</v>
          </cell>
          <cell r="AJ65">
            <v>9</v>
          </cell>
          <cell r="AK65">
            <v>30000</v>
          </cell>
        </row>
        <row r="66">
          <cell r="A66" t="str">
            <v>Wilhelm Chaney</v>
          </cell>
          <cell r="T66" t="str">
            <v>X</v>
          </cell>
          <cell r="U66" t="str">
            <v>X</v>
          </cell>
          <cell r="AC66" t="str">
            <v>X</v>
          </cell>
          <cell r="AE66" t="str">
            <v>Loner, Catch, Claws, Frenzy, Regeneration, Wrestle</v>
          </cell>
          <cell r="AF66">
            <v>240000</v>
          </cell>
          <cell r="AG66">
            <v>8</v>
          </cell>
          <cell r="AH66">
            <v>4</v>
          </cell>
          <cell r="AI66">
            <v>3</v>
          </cell>
          <cell r="AJ66">
            <v>8</v>
          </cell>
          <cell r="AK66">
            <v>50000</v>
          </cell>
        </row>
        <row r="67">
          <cell r="A67" t="str">
            <v>Willow Rosebark</v>
          </cell>
          <cell r="D67" t="str">
            <v>X</v>
          </cell>
          <cell r="E67" t="str">
            <v>X</v>
          </cell>
          <cell r="M67" t="str">
            <v>X</v>
          </cell>
          <cell r="AD67" t="str">
            <v>X</v>
          </cell>
          <cell r="AE67" t="str">
            <v>Loner, Dauntless, Side Step, Thick Skull</v>
          </cell>
          <cell r="AF67">
            <v>150000</v>
          </cell>
          <cell r="AG67">
            <v>5</v>
          </cell>
          <cell r="AH67">
            <v>4</v>
          </cell>
          <cell r="AI67">
            <v>3</v>
          </cell>
          <cell r="AJ67">
            <v>8</v>
          </cell>
          <cell r="AK67">
            <v>30000</v>
          </cell>
        </row>
        <row r="68">
          <cell r="A68" t="str">
            <v>Zara the Slayer</v>
          </cell>
          <cell r="D68" t="str">
            <v>X</v>
          </cell>
          <cell r="I68" t="str">
            <v>X</v>
          </cell>
          <cell r="M68" t="str">
            <v>X</v>
          </cell>
          <cell r="N68" t="str">
            <v>X</v>
          </cell>
          <cell r="O68" t="str">
            <v>X</v>
          </cell>
          <cell r="T68" t="str">
            <v>X</v>
          </cell>
          <cell r="AD68" t="str">
            <v>X</v>
          </cell>
          <cell r="AE68" t="str">
            <v>Loner, Block, Dauntless, Dodge, Jump Up, Stab, Stakes</v>
          </cell>
          <cell r="AF68">
            <v>270000</v>
          </cell>
          <cell r="AG68">
            <v>6</v>
          </cell>
          <cell r="AH68">
            <v>4</v>
          </cell>
          <cell r="AI68">
            <v>3</v>
          </cell>
          <cell r="AJ68">
            <v>8</v>
          </cell>
          <cell r="AK68">
            <v>50000</v>
          </cell>
        </row>
        <row r="69">
          <cell r="A69" t="str">
            <v>Zzharg Madeye</v>
          </cell>
          <cell r="G69" t="str">
            <v>X</v>
          </cell>
          <cell r="H69" t="str">
            <v>X</v>
          </cell>
          <cell r="AE69" t="str">
            <v>Loner, Hail Mary Pass, Pass, Secret Weapon, Strong Arm, Sure Hands, Tackle, Thick Skull</v>
          </cell>
          <cell r="AF69">
            <v>90000</v>
          </cell>
          <cell r="AG69">
            <v>4</v>
          </cell>
          <cell r="AH69">
            <v>4</v>
          </cell>
          <cell r="AI69">
            <v>3</v>
          </cell>
          <cell r="AJ69">
            <v>9</v>
          </cell>
          <cell r="AK69">
            <v>20000</v>
          </cell>
        </row>
      </sheetData>
      <sheetData sheetId="33"/>
      <sheetData sheetId="34"/>
      <sheetData sheetId="35"/>
      <sheetData sheetId="36">
        <row r="2">
          <cell r="A2" t="str">
            <v>Amazon</v>
          </cell>
          <cell r="B2" t="str">
            <v>Linewoman</v>
          </cell>
          <cell r="C2" t="str">
            <v>AmazonLinewoman</v>
          </cell>
          <cell r="D2">
            <v>16</v>
          </cell>
          <cell r="E2">
            <v>50000</v>
          </cell>
          <cell r="F2">
            <v>6</v>
          </cell>
          <cell r="G2">
            <v>3</v>
          </cell>
          <cell r="H2">
            <v>3</v>
          </cell>
          <cell r="I2">
            <v>7</v>
          </cell>
          <cell r="J2" t="str">
            <v>Dodge</v>
          </cell>
          <cell r="N2" t="str">
            <v>Amazon</v>
          </cell>
          <cell r="O2">
            <v>50000</v>
          </cell>
          <cell r="X2" t="str">
            <v>Khemri</v>
          </cell>
          <cell r="Y2" t="str">
            <v>No</v>
          </cell>
        </row>
        <row r="3">
          <cell r="A3" t="str">
            <v>Amazon</v>
          </cell>
          <cell r="B3" t="str">
            <v>Thrower</v>
          </cell>
          <cell r="C3" t="str">
            <v>AmazonThrower</v>
          </cell>
          <cell r="D3">
            <v>2</v>
          </cell>
          <cell r="E3">
            <v>70000</v>
          </cell>
          <cell r="F3">
            <v>6</v>
          </cell>
          <cell r="G3">
            <v>3</v>
          </cell>
          <cell r="H3">
            <v>3</v>
          </cell>
          <cell r="I3">
            <v>7</v>
          </cell>
          <cell r="J3" t="str">
            <v>Dodge, Pass</v>
          </cell>
          <cell r="N3" t="str">
            <v>Bretonnian</v>
          </cell>
          <cell r="O3">
            <v>70000</v>
          </cell>
          <cell r="X3" t="str">
            <v>Necromantic</v>
          </cell>
          <cell r="Y3" t="str">
            <v>Yes</v>
          </cell>
        </row>
        <row r="4">
          <cell r="A4" t="str">
            <v>Amazon</v>
          </cell>
          <cell r="B4" t="str">
            <v>Catcher</v>
          </cell>
          <cell r="C4" t="str">
            <v>AmazonCatcher</v>
          </cell>
          <cell r="D4">
            <v>2</v>
          </cell>
          <cell r="E4">
            <v>70000</v>
          </cell>
          <cell r="F4">
            <v>6</v>
          </cell>
          <cell r="G4">
            <v>3</v>
          </cell>
          <cell r="H4">
            <v>3</v>
          </cell>
          <cell r="I4">
            <v>7</v>
          </cell>
          <cell r="J4" t="str">
            <v>Dodge, Catch</v>
          </cell>
          <cell r="N4" t="str">
            <v>Chaos</v>
          </cell>
          <cell r="O4">
            <v>60000</v>
          </cell>
          <cell r="X4" t="str">
            <v>Nurgle</v>
          </cell>
          <cell r="Y4" t="str">
            <v>No</v>
          </cell>
        </row>
        <row r="5">
          <cell r="A5" t="str">
            <v>Amazon</v>
          </cell>
          <cell r="B5" t="str">
            <v>Blitzer</v>
          </cell>
          <cell r="C5" t="str">
            <v>AmazonBlitzer</v>
          </cell>
          <cell r="D5">
            <v>4</v>
          </cell>
          <cell r="E5">
            <v>90000</v>
          </cell>
          <cell r="F5">
            <v>6</v>
          </cell>
          <cell r="G5">
            <v>3</v>
          </cell>
          <cell r="H5">
            <v>3</v>
          </cell>
          <cell r="I5">
            <v>7</v>
          </cell>
          <cell r="J5" t="str">
            <v>Block, Dodge</v>
          </cell>
          <cell r="N5" t="str">
            <v>Chaos Dwarf</v>
          </cell>
          <cell r="O5">
            <v>70000</v>
          </cell>
          <cell r="X5" t="str">
            <v>Undead</v>
          </cell>
          <cell r="Y5" t="str">
            <v>Yes</v>
          </cell>
        </row>
        <row r="6">
          <cell r="A6" t="str">
            <v>Bretonnian</v>
          </cell>
          <cell r="B6" t="str">
            <v>Lineman</v>
          </cell>
          <cell r="C6" t="str">
            <v>BretonnianLineman</v>
          </cell>
          <cell r="D6">
            <v>16</v>
          </cell>
          <cell r="E6">
            <v>40000</v>
          </cell>
          <cell r="F6">
            <v>6</v>
          </cell>
          <cell r="G6">
            <v>3</v>
          </cell>
          <cell r="H6">
            <v>2</v>
          </cell>
          <cell r="I6">
            <v>7</v>
          </cell>
          <cell r="J6" t="str">
            <v>Fend</v>
          </cell>
          <cell r="N6" t="str">
            <v>Chaos Pact</v>
          </cell>
          <cell r="O6">
            <v>70000</v>
          </cell>
        </row>
        <row r="7">
          <cell r="A7" t="str">
            <v>Bretonnian</v>
          </cell>
          <cell r="B7" t="str">
            <v>Yeoman</v>
          </cell>
          <cell r="C7" t="str">
            <v>BretonnianYeoman</v>
          </cell>
          <cell r="D7">
            <v>4</v>
          </cell>
          <cell r="E7">
            <v>70000</v>
          </cell>
          <cell r="F7">
            <v>6</v>
          </cell>
          <cell r="G7">
            <v>3</v>
          </cell>
          <cell r="H7">
            <v>3</v>
          </cell>
          <cell r="I7">
            <v>8</v>
          </cell>
          <cell r="J7" t="str">
            <v>Wrestle</v>
          </cell>
          <cell r="N7" t="str">
            <v>Daemons of Khorne</v>
          </cell>
          <cell r="O7">
            <v>70000</v>
          </cell>
        </row>
        <row r="8">
          <cell r="A8" t="str">
            <v>Bretonnian</v>
          </cell>
          <cell r="B8" t="str">
            <v>Blitzer</v>
          </cell>
          <cell r="C8" t="str">
            <v>BretonnianBlitzer</v>
          </cell>
          <cell r="D8">
            <v>4</v>
          </cell>
          <cell r="E8">
            <v>110000</v>
          </cell>
          <cell r="F8">
            <v>7</v>
          </cell>
          <cell r="G8">
            <v>3</v>
          </cell>
          <cell r="H8">
            <v>3</v>
          </cell>
          <cell r="I8">
            <v>8</v>
          </cell>
          <cell r="J8" t="str">
            <v>Block, Catch, Dauntless</v>
          </cell>
          <cell r="N8" t="str">
            <v>Dark Elf</v>
          </cell>
          <cell r="O8">
            <v>50000</v>
          </cell>
        </row>
        <row r="9">
          <cell r="A9" t="str">
            <v>Chaos</v>
          </cell>
          <cell r="B9" t="str">
            <v>Beastman</v>
          </cell>
          <cell r="C9" t="str">
            <v>ChaosBeastman</v>
          </cell>
          <cell r="D9">
            <v>16</v>
          </cell>
          <cell r="E9">
            <v>60000</v>
          </cell>
          <cell r="F9">
            <v>6</v>
          </cell>
          <cell r="G9">
            <v>3</v>
          </cell>
          <cell r="H9">
            <v>3</v>
          </cell>
          <cell r="I9">
            <v>8</v>
          </cell>
          <cell r="J9" t="str">
            <v>Horns</v>
          </cell>
          <cell r="N9" t="str">
            <v>Dwarf</v>
          </cell>
          <cell r="O9">
            <v>50000</v>
          </cell>
        </row>
        <row r="10">
          <cell r="A10" t="str">
            <v>Chaos</v>
          </cell>
          <cell r="B10" t="str">
            <v>Chaos Warrior</v>
          </cell>
          <cell r="C10" t="str">
            <v>ChaosChaos Warrior</v>
          </cell>
          <cell r="D10">
            <v>4</v>
          </cell>
          <cell r="E10">
            <v>100000</v>
          </cell>
          <cell r="F10">
            <v>5</v>
          </cell>
          <cell r="G10">
            <v>4</v>
          </cell>
          <cell r="H10">
            <v>3</v>
          </cell>
          <cell r="I10">
            <v>9</v>
          </cell>
          <cell r="N10" t="str">
            <v>Elf</v>
          </cell>
          <cell r="O10">
            <v>50000</v>
          </cell>
        </row>
        <row r="11">
          <cell r="A11" t="str">
            <v>Chaos</v>
          </cell>
          <cell r="B11" t="str">
            <v>Minotaur</v>
          </cell>
          <cell r="C11" t="str">
            <v>ChaosMinotaur</v>
          </cell>
          <cell r="D11">
            <v>1</v>
          </cell>
          <cell r="E11">
            <v>150000</v>
          </cell>
          <cell r="F11">
            <v>5</v>
          </cell>
          <cell r="G11">
            <v>5</v>
          </cell>
          <cell r="H11">
            <v>2</v>
          </cell>
          <cell r="I11">
            <v>8</v>
          </cell>
          <cell r="J11" t="str">
            <v>Loner, Frenzy, Horns, Mighty Blow, Thick Skull, Wild Animal</v>
          </cell>
          <cell r="N11" t="str">
            <v>Goblin</v>
          </cell>
          <cell r="O11">
            <v>60000</v>
          </cell>
        </row>
        <row r="12">
          <cell r="A12" t="str">
            <v>Chaos Dwarf</v>
          </cell>
          <cell r="B12" t="str">
            <v>Hobgoblin</v>
          </cell>
          <cell r="C12" t="str">
            <v>Chaos DwarfHobgoblin</v>
          </cell>
          <cell r="D12">
            <v>16</v>
          </cell>
          <cell r="E12">
            <v>40000</v>
          </cell>
          <cell r="F12">
            <v>6</v>
          </cell>
          <cell r="G12">
            <v>3</v>
          </cell>
          <cell r="H12">
            <v>3</v>
          </cell>
          <cell r="I12">
            <v>7</v>
          </cell>
          <cell r="N12" t="str">
            <v>Halfling</v>
          </cell>
          <cell r="O12">
            <v>60000</v>
          </cell>
        </row>
        <row r="13">
          <cell r="A13" t="str">
            <v>Chaos Dwarf</v>
          </cell>
          <cell r="B13" t="str">
            <v>Blocker</v>
          </cell>
          <cell r="C13" t="str">
            <v>Chaos DwarfBlocker</v>
          </cell>
          <cell r="D13">
            <v>6</v>
          </cell>
          <cell r="E13">
            <v>70000</v>
          </cell>
          <cell r="F13">
            <v>4</v>
          </cell>
          <cell r="G13">
            <v>3</v>
          </cell>
          <cell r="H13">
            <v>2</v>
          </cell>
          <cell r="I13">
            <v>9</v>
          </cell>
          <cell r="J13" t="str">
            <v>Block, Tackle, Thick Skull</v>
          </cell>
          <cell r="N13" t="str">
            <v>High Elf</v>
          </cell>
          <cell r="O13">
            <v>50000</v>
          </cell>
        </row>
        <row r="14">
          <cell r="A14" t="str">
            <v>Chaos Dwarf</v>
          </cell>
          <cell r="B14" t="str">
            <v>Bull Centaur</v>
          </cell>
          <cell r="C14" t="str">
            <v>Chaos DwarfBull Centaur</v>
          </cell>
          <cell r="D14">
            <v>2</v>
          </cell>
          <cell r="E14">
            <v>130000</v>
          </cell>
          <cell r="F14">
            <v>6</v>
          </cell>
          <cell r="G14">
            <v>4</v>
          </cell>
          <cell r="H14">
            <v>2</v>
          </cell>
          <cell r="I14">
            <v>9</v>
          </cell>
          <cell r="J14" t="str">
            <v>Sprint, Sure Feet, Thick Skull</v>
          </cell>
          <cell r="N14" t="str">
            <v>Human</v>
          </cell>
          <cell r="O14">
            <v>50000</v>
          </cell>
        </row>
        <row r="15">
          <cell r="A15" t="str">
            <v>Chaos Dwarf</v>
          </cell>
          <cell r="B15" t="str">
            <v>Minotaur</v>
          </cell>
          <cell r="C15" t="str">
            <v>Chaos DwarfMinotaur</v>
          </cell>
          <cell r="D15">
            <v>1</v>
          </cell>
          <cell r="E15">
            <v>150000</v>
          </cell>
          <cell r="F15">
            <v>5</v>
          </cell>
          <cell r="G15">
            <v>5</v>
          </cell>
          <cell r="H15">
            <v>2</v>
          </cell>
          <cell r="I15">
            <v>8</v>
          </cell>
          <cell r="J15" t="str">
            <v>Loner, Frenzy, Horns, Mighty Blow, Thick Skull, Wild Animal</v>
          </cell>
          <cell r="N15" t="str">
            <v>Khemri</v>
          </cell>
          <cell r="O15">
            <v>70000</v>
          </cell>
        </row>
        <row r="16">
          <cell r="A16" t="str">
            <v>Chaos Pact</v>
          </cell>
          <cell r="B16" t="str">
            <v>Marauder</v>
          </cell>
          <cell r="C16" t="str">
            <v>Chaos PactMarauder</v>
          </cell>
          <cell r="D16">
            <v>12</v>
          </cell>
          <cell r="E16">
            <v>50000</v>
          </cell>
          <cell r="F16">
            <v>6</v>
          </cell>
          <cell r="G16">
            <v>3</v>
          </cell>
          <cell r="H16">
            <v>3</v>
          </cell>
          <cell r="I16">
            <v>8</v>
          </cell>
          <cell r="N16" t="str">
            <v>Lizardman</v>
          </cell>
          <cell r="O16">
            <v>60000</v>
          </cell>
        </row>
        <row r="17">
          <cell r="A17" t="str">
            <v>Chaos Pact</v>
          </cell>
          <cell r="B17" t="str">
            <v>Goblin Renegade</v>
          </cell>
          <cell r="C17" t="str">
            <v>Chaos PactGoblin Renegade</v>
          </cell>
          <cell r="D17">
            <v>1</v>
          </cell>
          <cell r="E17">
            <v>40000</v>
          </cell>
          <cell r="F17">
            <v>6</v>
          </cell>
          <cell r="G17">
            <v>2</v>
          </cell>
          <cell r="H17">
            <v>3</v>
          </cell>
          <cell r="I17">
            <v>7</v>
          </cell>
          <cell r="J17" t="str">
            <v>Animosity, Dodge, Right Stuff, Stunty</v>
          </cell>
          <cell r="N17" t="str">
            <v>Necromantic</v>
          </cell>
          <cell r="O17">
            <v>70000</v>
          </cell>
        </row>
        <row r="18">
          <cell r="A18" t="str">
            <v>Chaos Pact</v>
          </cell>
          <cell r="B18" t="str">
            <v>Skaven Renegade</v>
          </cell>
          <cell r="C18" t="str">
            <v>Chaos PactSkaven Renegade</v>
          </cell>
          <cell r="D18">
            <v>1</v>
          </cell>
          <cell r="E18">
            <v>50000</v>
          </cell>
          <cell r="F18">
            <v>7</v>
          </cell>
          <cell r="G18">
            <v>3</v>
          </cell>
          <cell r="H18">
            <v>3</v>
          </cell>
          <cell r="I18">
            <v>7</v>
          </cell>
          <cell r="J18" t="str">
            <v>Animosity</v>
          </cell>
          <cell r="N18" t="str">
            <v>Norse</v>
          </cell>
          <cell r="O18">
            <v>60000</v>
          </cell>
        </row>
        <row r="19">
          <cell r="A19" t="str">
            <v>Chaos Pact</v>
          </cell>
          <cell r="B19" t="str">
            <v>Dark Elf Renegade</v>
          </cell>
          <cell r="C19" t="str">
            <v>Chaos PactDark Elf Renegade</v>
          </cell>
          <cell r="D19">
            <v>1</v>
          </cell>
          <cell r="E19">
            <v>70000</v>
          </cell>
          <cell r="F19">
            <v>6</v>
          </cell>
          <cell r="G19">
            <v>3</v>
          </cell>
          <cell r="H19">
            <v>4</v>
          </cell>
          <cell r="I19">
            <v>8</v>
          </cell>
          <cell r="J19" t="str">
            <v>Animosity</v>
          </cell>
          <cell r="N19" t="str">
            <v>Nurgle</v>
          </cell>
          <cell r="O19">
            <v>70000</v>
          </cell>
        </row>
        <row r="20">
          <cell r="A20" t="str">
            <v>Chaos Pact</v>
          </cell>
          <cell r="B20" t="str">
            <v>Troll</v>
          </cell>
          <cell r="C20" t="str">
            <v>Chaos PactTroll</v>
          </cell>
          <cell r="D20">
            <v>1</v>
          </cell>
          <cell r="E20">
            <v>110000</v>
          </cell>
          <cell r="F20">
            <v>4</v>
          </cell>
          <cell r="G20">
            <v>5</v>
          </cell>
          <cell r="H20">
            <v>1</v>
          </cell>
          <cell r="I20">
            <v>9</v>
          </cell>
          <cell r="J20" t="str">
            <v>Loner, Always Hungry, Mighty Blow, Really Stupid, Regeneration, Throw Team-mate</v>
          </cell>
          <cell r="N20" t="str">
            <v>Ogre</v>
          </cell>
          <cell r="O20">
            <v>70000</v>
          </cell>
        </row>
        <row r="21">
          <cell r="A21" t="str">
            <v>Chaos Pact</v>
          </cell>
          <cell r="B21" t="str">
            <v>Ogre</v>
          </cell>
          <cell r="C21" t="str">
            <v>Chaos PactOgre</v>
          </cell>
          <cell r="D21">
            <v>1</v>
          </cell>
          <cell r="E21">
            <v>140000</v>
          </cell>
          <cell r="F21">
            <v>5</v>
          </cell>
          <cell r="G21">
            <v>5</v>
          </cell>
          <cell r="H21">
            <v>2</v>
          </cell>
          <cell r="I21">
            <v>9</v>
          </cell>
          <cell r="J21" t="str">
            <v>Loner, Bone-head, Mighty Blow, Thick Skull, Throw Team-mate</v>
          </cell>
          <cell r="N21" t="str">
            <v>Orc</v>
          </cell>
          <cell r="O21">
            <v>60000</v>
          </cell>
        </row>
        <row r="22">
          <cell r="A22" t="str">
            <v>Chaos Pact</v>
          </cell>
          <cell r="B22" t="str">
            <v>Minotaur</v>
          </cell>
          <cell r="C22" t="str">
            <v>Chaos PactMinotaur</v>
          </cell>
          <cell r="D22">
            <v>1</v>
          </cell>
          <cell r="E22">
            <v>150000</v>
          </cell>
          <cell r="F22">
            <v>5</v>
          </cell>
          <cell r="G22">
            <v>5</v>
          </cell>
          <cell r="H22">
            <v>2</v>
          </cell>
          <cell r="I22">
            <v>8</v>
          </cell>
          <cell r="J22" t="str">
            <v>Loner, Frenzy, Wild Animal, Horns, Mighty Blow, Thick Skull</v>
          </cell>
          <cell r="N22" t="str">
            <v>Simyin</v>
          </cell>
          <cell r="O22">
            <v>60000</v>
          </cell>
        </row>
        <row r="23">
          <cell r="A23" t="str">
            <v>Daemons of Khorne</v>
          </cell>
          <cell r="B23" t="str">
            <v>Pit Fighter</v>
          </cell>
          <cell r="C23" t="str">
            <v>Daemons of KhornePit Fighter</v>
          </cell>
          <cell r="D23">
            <v>16</v>
          </cell>
          <cell r="E23">
            <v>60000</v>
          </cell>
          <cell r="F23">
            <v>6</v>
          </cell>
          <cell r="G23">
            <v>3</v>
          </cell>
          <cell r="H23">
            <v>3</v>
          </cell>
          <cell r="I23">
            <v>8</v>
          </cell>
          <cell r="J23" t="str">
            <v>Frenzy</v>
          </cell>
          <cell r="N23" t="str">
            <v>Skaven</v>
          </cell>
          <cell r="O23">
            <v>60000</v>
          </cell>
        </row>
        <row r="24">
          <cell r="A24" t="str">
            <v>Daemons of Khorne</v>
          </cell>
          <cell r="B24" t="str">
            <v>Bloodletter</v>
          </cell>
          <cell r="C24" t="str">
            <v>Daemons of KhorneBloodletter</v>
          </cell>
          <cell r="D24">
            <v>4</v>
          </cell>
          <cell r="E24">
            <v>80000</v>
          </cell>
          <cell r="F24">
            <v>6</v>
          </cell>
          <cell r="G24">
            <v>3</v>
          </cell>
          <cell r="H24">
            <v>3</v>
          </cell>
          <cell r="I24">
            <v>7</v>
          </cell>
          <cell r="J24" t="str">
            <v>Horns, Juggernaut, Regeneration</v>
          </cell>
          <cell r="N24" t="str">
            <v>Slann</v>
          </cell>
          <cell r="O24">
            <v>50000</v>
          </cell>
        </row>
        <row r="25">
          <cell r="A25" t="str">
            <v>Daemons of Khorne</v>
          </cell>
          <cell r="B25" t="str">
            <v>Herald</v>
          </cell>
          <cell r="C25" t="str">
            <v>Daemons of KhorneHerald</v>
          </cell>
          <cell r="D25">
            <v>2</v>
          </cell>
          <cell r="E25">
            <v>90000</v>
          </cell>
          <cell r="F25">
            <v>6</v>
          </cell>
          <cell r="G25">
            <v>3</v>
          </cell>
          <cell r="H25">
            <v>3</v>
          </cell>
          <cell r="I25">
            <v>8</v>
          </cell>
          <cell r="J25" t="str">
            <v>Frenzy, Horns, Juggernaut</v>
          </cell>
          <cell r="N25" t="str">
            <v>Undead</v>
          </cell>
          <cell r="O25">
            <v>70000</v>
          </cell>
        </row>
        <row r="26">
          <cell r="A26" t="str">
            <v>Daemons of Khorne</v>
          </cell>
          <cell r="B26" t="str">
            <v>Bloodthirster</v>
          </cell>
          <cell r="C26" t="str">
            <v>Daemons of KhorneBloodthirster</v>
          </cell>
          <cell r="D26">
            <v>1</v>
          </cell>
          <cell r="E26">
            <v>180000</v>
          </cell>
          <cell r="F26">
            <v>6</v>
          </cell>
          <cell r="G26">
            <v>5</v>
          </cell>
          <cell r="H26">
            <v>1</v>
          </cell>
          <cell r="I26">
            <v>9</v>
          </cell>
          <cell r="J26" t="str">
            <v>Loner, Frenzy, Wild Animal, Claw, Horns, Juggernaut, Regeneration</v>
          </cell>
          <cell r="N26" t="str">
            <v>Underworld</v>
          </cell>
          <cell r="O26">
            <v>70000</v>
          </cell>
        </row>
        <row r="27">
          <cell r="A27" t="str">
            <v>Dark Elf</v>
          </cell>
          <cell r="B27" t="str">
            <v>Lineman</v>
          </cell>
          <cell r="C27" t="str">
            <v>Dark ElfLineman</v>
          </cell>
          <cell r="D27">
            <v>16</v>
          </cell>
          <cell r="E27">
            <v>70000</v>
          </cell>
          <cell r="F27">
            <v>6</v>
          </cell>
          <cell r="G27">
            <v>3</v>
          </cell>
          <cell r="H27">
            <v>4</v>
          </cell>
          <cell r="I27">
            <v>8</v>
          </cell>
          <cell r="N27" t="str">
            <v>Vampire</v>
          </cell>
          <cell r="O27">
            <v>70000</v>
          </cell>
        </row>
        <row r="28">
          <cell r="A28" t="str">
            <v>Dark Elf</v>
          </cell>
          <cell r="B28" t="str">
            <v>Runner</v>
          </cell>
          <cell r="C28" t="str">
            <v>Dark ElfRunner</v>
          </cell>
          <cell r="D28">
            <v>2</v>
          </cell>
          <cell r="E28">
            <v>80000</v>
          </cell>
          <cell r="F28">
            <v>7</v>
          </cell>
          <cell r="G28">
            <v>3</v>
          </cell>
          <cell r="H28">
            <v>4</v>
          </cell>
          <cell r="I28">
            <v>7</v>
          </cell>
          <cell r="J28" t="str">
            <v>Dump-Off</v>
          </cell>
          <cell r="N28" t="str">
            <v>Wood Elf</v>
          </cell>
          <cell r="O28">
            <v>50000</v>
          </cell>
        </row>
        <row r="29">
          <cell r="A29" t="str">
            <v>Dark Elf</v>
          </cell>
          <cell r="B29" t="str">
            <v>Assassin</v>
          </cell>
          <cell r="C29" t="str">
            <v>Dark ElfAssassin</v>
          </cell>
          <cell r="D29">
            <v>2</v>
          </cell>
          <cell r="E29">
            <v>90000</v>
          </cell>
          <cell r="F29">
            <v>6</v>
          </cell>
          <cell r="G29">
            <v>3</v>
          </cell>
          <cell r="H29">
            <v>4</v>
          </cell>
          <cell r="I29">
            <v>7</v>
          </cell>
          <cell r="J29" t="str">
            <v>Shadowing, Stab</v>
          </cell>
        </row>
        <row r="30">
          <cell r="A30" t="str">
            <v>Dark Elf</v>
          </cell>
          <cell r="B30" t="str">
            <v>Blitzer</v>
          </cell>
          <cell r="C30" t="str">
            <v>Dark ElfBlitzer</v>
          </cell>
          <cell r="D30">
            <v>4</v>
          </cell>
          <cell r="E30">
            <v>100000</v>
          </cell>
          <cell r="F30">
            <v>7</v>
          </cell>
          <cell r="G30">
            <v>3</v>
          </cell>
          <cell r="H30">
            <v>4</v>
          </cell>
          <cell r="I30">
            <v>8</v>
          </cell>
          <cell r="J30" t="str">
            <v>Block</v>
          </cell>
        </row>
        <row r="31">
          <cell r="A31" t="str">
            <v>Dark Elf</v>
          </cell>
          <cell r="B31" t="str">
            <v>Witch Elf</v>
          </cell>
          <cell r="C31" t="str">
            <v>Dark ElfWitch Elf</v>
          </cell>
          <cell r="D31">
            <v>2</v>
          </cell>
          <cell r="E31">
            <v>110000</v>
          </cell>
          <cell r="F31">
            <v>7</v>
          </cell>
          <cell r="G31">
            <v>3</v>
          </cell>
          <cell r="H31">
            <v>4</v>
          </cell>
          <cell r="I31">
            <v>7</v>
          </cell>
          <cell r="J31" t="str">
            <v>Frenzy, Dodge, Jump Up</v>
          </cell>
        </row>
        <row r="32">
          <cell r="A32" t="str">
            <v>Dwarf</v>
          </cell>
          <cell r="B32" t="str">
            <v>Blocker</v>
          </cell>
          <cell r="C32" t="str">
            <v>DwarfBlocker</v>
          </cell>
          <cell r="D32">
            <v>16</v>
          </cell>
          <cell r="E32">
            <v>70000</v>
          </cell>
          <cell r="F32">
            <v>4</v>
          </cell>
          <cell r="G32">
            <v>3</v>
          </cell>
          <cell r="H32">
            <v>2</v>
          </cell>
          <cell r="I32">
            <v>9</v>
          </cell>
          <cell r="J32" t="str">
            <v>Block, Tackle, Thick Skull</v>
          </cell>
        </row>
        <row r="33">
          <cell r="A33" t="str">
            <v>Dwarf</v>
          </cell>
          <cell r="B33" t="str">
            <v>Runner</v>
          </cell>
          <cell r="C33" t="str">
            <v>DwarfRunner</v>
          </cell>
          <cell r="D33">
            <v>2</v>
          </cell>
          <cell r="E33">
            <v>80000</v>
          </cell>
          <cell r="F33">
            <v>6</v>
          </cell>
          <cell r="G33">
            <v>3</v>
          </cell>
          <cell r="H33">
            <v>3</v>
          </cell>
          <cell r="I33">
            <v>8</v>
          </cell>
          <cell r="J33" t="str">
            <v>Sure Hands, Thick Skull</v>
          </cell>
        </row>
        <row r="34">
          <cell r="A34" t="str">
            <v>Dwarf</v>
          </cell>
          <cell r="B34" t="str">
            <v>Blitzer</v>
          </cell>
          <cell r="C34" t="str">
            <v>DwarfBlitzer</v>
          </cell>
          <cell r="D34">
            <v>2</v>
          </cell>
          <cell r="E34">
            <v>80000</v>
          </cell>
          <cell r="F34">
            <v>5</v>
          </cell>
          <cell r="G34">
            <v>3</v>
          </cell>
          <cell r="H34">
            <v>3</v>
          </cell>
          <cell r="I34">
            <v>9</v>
          </cell>
          <cell r="J34" t="str">
            <v>Block, Thick Skull</v>
          </cell>
        </row>
        <row r="35">
          <cell r="A35" t="str">
            <v>Dwarf</v>
          </cell>
          <cell r="B35" t="str">
            <v>Troll Slayer</v>
          </cell>
          <cell r="C35" t="str">
            <v>DwarfTroll Slayer</v>
          </cell>
          <cell r="D35">
            <v>2</v>
          </cell>
          <cell r="E35">
            <v>90000</v>
          </cell>
          <cell r="F35">
            <v>5</v>
          </cell>
          <cell r="G35">
            <v>3</v>
          </cell>
          <cell r="H35">
            <v>2</v>
          </cell>
          <cell r="I35">
            <v>8</v>
          </cell>
          <cell r="J35" t="str">
            <v>Block, Dauntless, Frenzy, Thick Skull</v>
          </cell>
        </row>
        <row r="36">
          <cell r="A36" t="str">
            <v>Dwarf</v>
          </cell>
          <cell r="B36" t="str">
            <v>Deathroller</v>
          </cell>
          <cell r="C36" t="str">
            <v>DwarfDeathroller</v>
          </cell>
          <cell r="D36">
            <v>1</v>
          </cell>
          <cell r="E36">
            <v>160000</v>
          </cell>
          <cell r="F36">
            <v>4</v>
          </cell>
          <cell r="G36">
            <v>7</v>
          </cell>
          <cell r="H36">
            <v>1</v>
          </cell>
          <cell r="I36">
            <v>10</v>
          </cell>
          <cell r="J36" t="str">
            <v>Loner, Break Tackle, Dirty Player, Juggernaut, Mighty Blow, No Hands, Secret Weapon, Stand Firm</v>
          </cell>
        </row>
        <row r="37">
          <cell r="A37" t="str">
            <v>Elf</v>
          </cell>
          <cell r="B37" t="str">
            <v>Lineman</v>
          </cell>
          <cell r="C37" t="str">
            <v>ElfLineman</v>
          </cell>
          <cell r="D37">
            <v>16</v>
          </cell>
          <cell r="E37">
            <v>60000</v>
          </cell>
          <cell r="F37">
            <v>6</v>
          </cell>
          <cell r="G37">
            <v>3</v>
          </cell>
          <cell r="H37">
            <v>4</v>
          </cell>
          <cell r="I37">
            <v>7</v>
          </cell>
        </row>
        <row r="38">
          <cell r="A38" t="str">
            <v>Elf</v>
          </cell>
          <cell r="B38" t="str">
            <v>Thrower</v>
          </cell>
          <cell r="C38" t="str">
            <v>ElfThrower</v>
          </cell>
          <cell r="D38">
            <v>2</v>
          </cell>
          <cell r="E38">
            <v>70000</v>
          </cell>
          <cell r="F38">
            <v>6</v>
          </cell>
          <cell r="G38">
            <v>3</v>
          </cell>
          <cell r="H38">
            <v>4</v>
          </cell>
          <cell r="I38">
            <v>7</v>
          </cell>
          <cell r="J38" t="str">
            <v>Pass</v>
          </cell>
        </row>
        <row r="39">
          <cell r="A39" t="str">
            <v>Elf</v>
          </cell>
          <cell r="B39" t="str">
            <v>Catcher</v>
          </cell>
          <cell r="C39" t="str">
            <v>ElfCatcher</v>
          </cell>
          <cell r="D39">
            <v>4</v>
          </cell>
          <cell r="E39">
            <v>100000</v>
          </cell>
          <cell r="F39">
            <v>8</v>
          </cell>
          <cell r="G39">
            <v>3</v>
          </cell>
          <cell r="H39">
            <v>4</v>
          </cell>
          <cell r="I39">
            <v>7</v>
          </cell>
          <cell r="J39" t="str">
            <v>Catch, Nerves of Steel</v>
          </cell>
        </row>
        <row r="40">
          <cell r="A40" t="str">
            <v>Elf</v>
          </cell>
          <cell r="B40" t="str">
            <v>Blitzer</v>
          </cell>
          <cell r="C40" t="str">
            <v>ElfBlitzer</v>
          </cell>
          <cell r="D40">
            <v>2</v>
          </cell>
          <cell r="E40">
            <v>110000</v>
          </cell>
          <cell r="F40">
            <v>7</v>
          </cell>
          <cell r="G40">
            <v>3</v>
          </cell>
          <cell r="H40">
            <v>4</v>
          </cell>
          <cell r="I40">
            <v>8</v>
          </cell>
          <cell r="J40" t="str">
            <v>Block, Side Step</v>
          </cell>
        </row>
        <row r="41">
          <cell r="A41" t="str">
            <v>Goblin</v>
          </cell>
          <cell r="B41" t="str">
            <v>Goblin</v>
          </cell>
          <cell r="C41" t="str">
            <v>GoblinGoblin</v>
          </cell>
          <cell r="D41">
            <v>16</v>
          </cell>
          <cell r="E41">
            <v>40000</v>
          </cell>
          <cell r="F41">
            <v>6</v>
          </cell>
          <cell r="G41">
            <v>2</v>
          </cell>
          <cell r="H41">
            <v>3</v>
          </cell>
          <cell r="I41">
            <v>7</v>
          </cell>
          <cell r="J41" t="str">
            <v>Dodge, Right Stuff, Stunty</v>
          </cell>
        </row>
        <row r="42">
          <cell r="A42" t="str">
            <v>Goblin</v>
          </cell>
          <cell r="B42" t="str">
            <v>Doom Diver</v>
          </cell>
          <cell r="C42" t="str">
            <v>GoblinDoom Diver</v>
          </cell>
          <cell r="D42">
            <v>1</v>
          </cell>
          <cell r="E42">
            <v>60000</v>
          </cell>
          <cell r="F42">
            <v>6</v>
          </cell>
          <cell r="G42">
            <v>2</v>
          </cell>
          <cell r="H42">
            <v>3</v>
          </cell>
          <cell r="I42">
            <v>7</v>
          </cell>
          <cell r="J42" t="str">
            <v>Right Stuff, Stunty, Swoop</v>
          </cell>
        </row>
        <row r="43">
          <cell r="A43" t="str">
            <v>Goblin</v>
          </cell>
          <cell r="B43" t="str">
            <v>Bomma</v>
          </cell>
          <cell r="C43" t="str">
            <v>GoblinBomma</v>
          </cell>
          <cell r="D43">
            <v>1</v>
          </cell>
          <cell r="E43">
            <v>40000</v>
          </cell>
          <cell r="F43">
            <v>6</v>
          </cell>
          <cell r="G43">
            <v>2</v>
          </cell>
          <cell r="H43">
            <v>3</v>
          </cell>
          <cell r="I43">
            <v>7</v>
          </cell>
          <cell r="J43" t="str">
            <v>Bombardier, Dodge, Secret Weapon, Stunty</v>
          </cell>
        </row>
        <row r="44">
          <cell r="A44" t="str">
            <v>Goblin</v>
          </cell>
          <cell r="B44" t="str">
            <v>Looney</v>
          </cell>
          <cell r="C44" t="str">
            <v>GoblinLooney</v>
          </cell>
          <cell r="D44">
            <v>1</v>
          </cell>
          <cell r="E44">
            <v>40000</v>
          </cell>
          <cell r="F44">
            <v>6</v>
          </cell>
          <cell r="G44">
            <v>2</v>
          </cell>
          <cell r="H44">
            <v>3</v>
          </cell>
          <cell r="I44">
            <v>7</v>
          </cell>
          <cell r="J44" t="str">
            <v>Chainsaw, Secret Weapon, Stunty</v>
          </cell>
        </row>
        <row r="45">
          <cell r="A45" t="str">
            <v>Goblin</v>
          </cell>
          <cell r="B45" t="str">
            <v>Fanatic</v>
          </cell>
          <cell r="C45" t="str">
            <v>GoblinFanatic</v>
          </cell>
          <cell r="D45">
            <v>1</v>
          </cell>
          <cell r="E45">
            <v>70000</v>
          </cell>
          <cell r="F45">
            <v>3</v>
          </cell>
          <cell r="G45">
            <v>7</v>
          </cell>
          <cell r="H45">
            <v>3</v>
          </cell>
          <cell r="I45">
            <v>7</v>
          </cell>
          <cell r="J45" t="str">
            <v>Ball &amp; Chain, No Hands, Secret Weapon, Stunty</v>
          </cell>
        </row>
        <row r="46">
          <cell r="A46" t="str">
            <v>Goblin</v>
          </cell>
          <cell r="B46" t="str">
            <v>Ooligan</v>
          </cell>
          <cell r="C46" t="str">
            <v>GoblinOoligan</v>
          </cell>
          <cell r="D46">
            <v>1</v>
          </cell>
          <cell r="E46">
            <v>70000</v>
          </cell>
          <cell r="F46">
            <v>6</v>
          </cell>
          <cell r="G46">
            <v>2</v>
          </cell>
          <cell r="H46">
            <v>3</v>
          </cell>
          <cell r="I46">
            <v>7</v>
          </cell>
          <cell r="J46" t="str">
            <v>Disturbing Presence, Dodge, Fan Favorite, Right Stuff, Stunty</v>
          </cell>
        </row>
        <row r="47">
          <cell r="A47" t="str">
            <v>Goblin</v>
          </cell>
          <cell r="B47" t="str">
            <v>Pogoer</v>
          </cell>
          <cell r="C47" t="str">
            <v>GoblinPogoer</v>
          </cell>
          <cell r="D47">
            <v>1</v>
          </cell>
          <cell r="E47">
            <v>70000</v>
          </cell>
          <cell r="F47">
            <v>7</v>
          </cell>
          <cell r="G47">
            <v>2</v>
          </cell>
          <cell r="H47">
            <v>3</v>
          </cell>
          <cell r="I47">
            <v>7</v>
          </cell>
          <cell r="J47" t="str">
            <v>Dodge, Leap, Stunty, Very Long Legs</v>
          </cell>
        </row>
        <row r="48">
          <cell r="A48" t="str">
            <v>Goblin</v>
          </cell>
          <cell r="B48" t="str">
            <v>Troll</v>
          </cell>
          <cell r="C48" t="str">
            <v>GoblinTroll</v>
          </cell>
          <cell r="D48">
            <v>2</v>
          </cell>
          <cell r="E48">
            <v>110000</v>
          </cell>
          <cell r="F48">
            <v>4</v>
          </cell>
          <cell r="G48">
            <v>5</v>
          </cell>
          <cell r="H48">
            <v>1</v>
          </cell>
          <cell r="I48">
            <v>9</v>
          </cell>
          <cell r="J48" t="str">
            <v>Loner, Always Hungry, Mighty Blow, Really Stupid, Regeneration, Throw Team-mate</v>
          </cell>
        </row>
        <row r="49">
          <cell r="A49" t="str">
            <v>Halfling</v>
          </cell>
          <cell r="B49" t="str">
            <v>Hopeful</v>
          </cell>
          <cell r="C49" t="str">
            <v>HalflingHopeful</v>
          </cell>
          <cell r="D49">
            <v>16</v>
          </cell>
          <cell r="E49">
            <v>30000</v>
          </cell>
          <cell r="F49">
            <v>5</v>
          </cell>
          <cell r="G49">
            <v>2</v>
          </cell>
          <cell r="H49">
            <v>3</v>
          </cell>
          <cell r="I49">
            <v>6</v>
          </cell>
          <cell r="J49" t="str">
            <v>Dodge, Right Stuff, Stunty</v>
          </cell>
        </row>
        <row r="50">
          <cell r="A50" t="str">
            <v>Halfling</v>
          </cell>
          <cell r="B50" t="str">
            <v>Treeman</v>
          </cell>
          <cell r="C50" t="str">
            <v>HalflingTreeman</v>
          </cell>
          <cell r="D50">
            <v>2</v>
          </cell>
          <cell r="E50">
            <v>120000</v>
          </cell>
          <cell r="F50">
            <v>2</v>
          </cell>
          <cell r="G50">
            <v>6</v>
          </cell>
          <cell r="H50">
            <v>1</v>
          </cell>
          <cell r="I50">
            <v>10</v>
          </cell>
          <cell r="J50" t="str">
            <v>Mighty Blow, Stand Firm, Strong Arm, Take Root, Thick Skull, Throw Team-mate, Timmm-ber!</v>
          </cell>
        </row>
        <row r="51">
          <cell r="A51" t="str">
            <v>High Elf</v>
          </cell>
          <cell r="B51" t="str">
            <v>Lineman</v>
          </cell>
          <cell r="C51" t="str">
            <v>High ElfLineman</v>
          </cell>
          <cell r="D51">
            <v>16</v>
          </cell>
          <cell r="E51">
            <v>70000</v>
          </cell>
          <cell r="F51">
            <v>6</v>
          </cell>
          <cell r="G51">
            <v>3</v>
          </cell>
          <cell r="H51">
            <v>4</v>
          </cell>
          <cell r="I51">
            <v>8</v>
          </cell>
        </row>
        <row r="52">
          <cell r="A52" t="str">
            <v>High Elf</v>
          </cell>
          <cell r="B52" t="str">
            <v>Thrower</v>
          </cell>
          <cell r="C52" t="str">
            <v>High ElfThrower</v>
          </cell>
          <cell r="D52">
            <v>2</v>
          </cell>
          <cell r="E52">
            <v>90000</v>
          </cell>
          <cell r="F52">
            <v>6</v>
          </cell>
          <cell r="G52">
            <v>3</v>
          </cell>
          <cell r="H52">
            <v>4</v>
          </cell>
          <cell r="I52">
            <v>8</v>
          </cell>
          <cell r="J52" t="str">
            <v>Pass, Safe Throw</v>
          </cell>
        </row>
        <row r="53">
          <cell r="A53" t="str">
            <v>High Elf</v>
          </cell>
          <cell r="B53" t="str">
            <v>Catcher</v>
          </cell>
          <cell r="C53" t="str">
            <v>High ElfCatcher</v>
          </cell>
          <cell r="D53">
            <v>4</v>
          </cell>
          <cell r="E53">
            <v>90000</v>
          </cell>
          <cell r="F53">
            <v>8</v>
          </cell>
          <cell r="G53">
            <v>3</v>
          </cell>
          <cell r="H53">
            <v>4</v>
          </cell>
          <cell r="I53">
            <v>7</v>
          </cell>
          <cell r="J53" t="str">
            <v>Catch</v>
          </cell>
        </row>
        <row r="54">
          <cell r="A54" t="str">
            <v>High Elf</v>
          </cell>
          <cell r="B54" t="str">
            <v>Blitzer</v>
          </cell>
          <cell r="C54" t="str">
            <v>High ElfBlitzer</v>
          </cell>
          <cell r="D54">
            <v>2</v>
          </cell>
          <cell r="E54">
            <v>100000</v>
          </cell>
          <cell r="F54">
            <v>7</v>
          </cell>
          <cell r="G54">
            <v>3</v>
          </cell>
          <cell r="H54">
            <v>4</v>
          </cell>
          <cell r="I54">
            <v>8</v>
          </cell>
          <cell r="J54" t="str">
            <v>Block</v>
          </cell>
        </row>
        <row r="55">
          <cell r="A55" t="str">
            <v>Human</v>
          </cell>
          <cell r="B55" t="str">
            <v>Lineman</v>
          </cell>
          <cell r="C55" t="str">
            <v>HumanLineman</v>
          </cell>
          <cell r="D55">
            <v>16</v>
          </cell>
          <cell r="E55">
            <v>50000</v>
          </cell>
          <cell r="F55">
            <v>6</v>
          </cell>
          <cell r="G55">
            <v>3</v>
          </cell>
          <cell r="H55">
            <v>3</v>
          </cell>
          <cell r="I55">
            <v>8</v>
          </cell>
        </row>
        <row r="56">
          <cell r="A56" t="str">
            <v>Human</v>
          </cell>
          <cell r="B56" t="str">
            <v>Catcher</v>
          </cell>
          <cell r="C56" t="str">
            <v>HumanCatcher</v>
          </cell>
          <cell r="D56">
            <v>2</v>
          </cell>
          <cell r="E56">
            <v>60000</v>
          </cell>
          <cell r="F56">
            <v>8</v>
          </cell>
          <cell r="G56">
            <v>2</v>
          </cell>
          <cell r="H56">
            <v>3</v>
          </cell>
          <cell r="I56">
            <v>7</v>
          </cell>
          <cell r="J56" t="str">
            <v>Dodge, Catch</v>
          </cell>
        </row>
        <row r="57">
          <cell r="A57" t="str">
            <v>Human</v>
          </cell>
          <cell r="B57" t="str">
            <v>Thrower</v>
          </cell>
          <cell r="C57" t="str">
            <v>HumanThrower</v>
          </cell>
          <cell r="D57">
            <v>2</v>
          </cell>
          <cell r="E57">
            <v>70000</v>
          </cell>
          <cell r="F57">
            <v>6</v>
          </cell>
          <cell r="G57">
            <v>3</v>
          </cell>
          <cell r="H57">
            <v>3</v>
          </cell>
          <cell r="I57">
            <v>8</v>
          </cell>
          <cell r="J57" t="str">
            <v>Pass, Sure Hands</v>
          </cell>
        </row>
        <row r="58">
          <cell r="A58" t="str">
            <v>Human</v>
          </cell>
          <cell r="B58" t="str">
            <v>Blitzer</v>
          </cell>
          <cell r="C58" t="str">
            <v>HumanBlitzer</v>
          </cell>
          <cell r="D58">
            <v>4</v>
          </cell>
          <cell r="E58">
            <v>90000</v>
          </cell>
          <cell r="F58">
            <v>7</v>
          </cell>
          <cell r="G58">
            <v>3</v>
          </cell>
          <cell r="H58">
            <v>3</v>
          </cell>
          <cell r="I58">
            <v>8</v>
          </cell>
          <cell r="J58" t="str">
            <v>Block</v>
          </cell>
        </row>
        <row r="59">
          <cell r="A59" t="str">
            <v>Human</v>
          </cell>
          <cell r="B59" t="str">
            <v>Ogre</v>
          </cell>
          <cell r="C59" t="str">
            <v>HumanOgre</v>
          </cell>
          <cell r="D59">
            <v>1</v>
          </cell>
          <cell r="E59">
            <v>140000</v>
          </cell>
          <cell r="F59">
            <v>5</v>
          </cell>
          <cell r="G59">
            <v>5</v>
          </cell>
          <cell r="H59">
            <v>2</v>
          </cell>
          <cell r="I59">
            <v>9</v>
          </cell>
          <cell r="J59" t="str">
            <v>Loner, Bone-Head, Mighty Blow, Thick Skull, Throw Team-mate</v>
          </cell>
        </row>
        <row r="60">
          <cell r="A60" t="str">
            <v>Khemri</v>
          </cell>
          <cell r="B60" t="str">
            <v>Skeleton</v>
          </cell>
          <cell r="C60" t="str">
            <v>KhemriSkeleton</v>
          </cell>
          <cell r="D60">
            <v>16</v>
          </cell>
          <cell r="E60">
            <v>40000</v>
          </cell>
          <cell r="F60">
            <v>5</v>
          </cell>
          <cell r="G60">
            <v>3</v>
          </cell>
          <cell r="H60">
            <v>2</v>
          </cell>
          <cell r="I60">
            <v>7</v>
          </cell>
          <cell r="J60" t="str">
            <v>Regeneration, Thick Skull</v>
          </cell>
        </row>
        <row r="61">
          <cell r="A61" t="str">
            <v>Khemri</v>
          </cell>
          <cell r="B61" t="str">
            <v>Thro-Ra</v>
          </cell>
          <cell r="C61" t="str">
            <v>KhemriThro-Ra</v>
          </cell>
          <cell r="D61">
            <v>2</v>
          </cell>
          <cell r="E61">
            <v>70000</v>
          </cell>
          <cell r="F61">
            <v>6</v>
          </cell>
          <cell r="G61">
            <v>3</v>
          </cell>
          <cell r="H61">
            <v>2</v>
          </cell>
          <cell r="I61">
            <v>7</v>
          </cell>
          <cell r="J61" t="str">
            <v>Pass, Regeneration, Sure Hands</v>
          </cell>
        </row>
        <row r="62">
          <cell r="A62" t="str">
            <v>Khemri</v>
          </cell>
          <cell r="B62" t="str">
            <v>Blitz-Ra</v>
          </cell>
          <cell r="C62" t="str">
            <v>KhemriBlitz-Ra</v>
          </cell>
          <cell r="D62">
            <v>2</v>
          </cell>
          <cell r="E62">
            <v>90000</v>
          </cell>
          <cell r="F62">
            <v>6</v>
          </cell>
          <cell r="G62">
            <v>3</v>
          </cell>
          <cell r="H62">
            <v>2</v>
          </cell>
          <cell r="I62">
            <v>8</v>
          </cell>
          <cell r="J62" t="str">
            <v>Block, Regeneration</v>
          </cell>
        </row>
        <row r="63">
          <cell r="A63" t="str">
            <v>Khemri</v>
          </cell>
          <cell r="B63" t="str">
            <v>Tomb Guardian</v>
          </cell>
          <cell r="C63" t="str">
            <v>KhemriTomb Guardian</v>
          </cell>
          <cell r="D63">
            <v>4</v>
          </cell>
          <cell r="E63">
            <v>100000</v>
          </cell>
          <cell r="F63">
            <v>4</v>
          </cell>
          <cell r="G63">
            <v>5</v>
          </cell>
          <cell r="H63">
            <v>1</v>
          </cell>
          <cell r="I63">
            <v>9</v>
          </cell>
          <cell r="J63" t="str">
            <v>Decay, Regeneration</v>
          </cell>
        </row>
        <row r="64">
          <cell r="A64" t="str">
            <v>Lizardman</v>
          </cell>
          <cell r="B64" t="str">
            <v>Skink</v>
          </cell>
          <cell r="C64" t="str">
            <v>LizardmanSkink</v>
          </cell>
          <cell r="D64">
            <v>16</v>
          </cell>
          <cell r="E64">
            <v>60000</v>
          </cell>
          <cell r="F64">
            <v>8</v>
          </cell>
          <cell r="G64">
            <v>2</v>
          </cell>
          <cell r="H64">
            <v>3</v>
          </cell>
          <cell r="I64">
            <v>7</v>
          </cell>
          <cell r="J64" t="str">
            <v>Dodge, Stunty</v>
          </cell>
        </row>
        <row r="65">
          <cell r="A65" t="str">
            <v>Lizardman</v>
          </cell>
          <cell r="B65" t="str">
            <v>Saurus</v>
          </cell>
          <cell r="C65" t="str">
            <v>LizardmanSaurus</v>
          </cell>
          <cell r="D65">
            <v>6</v>
          </cell>
          <cell r="E65">
            <v>80000</v>
          </cell>
          <cell r="F65">
            <v>6</v>
          </cell>
          <cell r="G65">
            <v>4</v>
          </cell>
          <cell r="H65">
            <v>1</v>
          </cell>
          <cell r="I65">
            <v>9</v>
          </cell>
        </row>
        <row r="66">
          <cell r="A66" t="str">
            <v>Lizardman</v>
          </cell>
          <cell r="B66" t="str">
            <v>Kroxigor</v>
          </cell>
          <cell r="C66" t="str">
            <v>LizardmanKroxigor</v>
          </cell>
          <cell r="D66">
            <v>1</v>
          </cell>
          <cell r="E66">
            <v>140000</v>
          </cell>
          <cell r="F66">
            <v>6</v>
          </cell>
          <cell r="G66">
            <v>5</v>
          </cell>
          <cell r="H66">
            <v>1</v>
          </cell>
          <cell r="I66">
            <v>9</v>
          </cell>
          <cell r="J66" t="str">
            <v>Loner, Bone-Head, Mighty Blow, Prehensile Tail, Thick Skull</v>
          </cell>
        </row>
        <row r="67">
          <cell r="A67" t="str">
            <v>Necromantic</v>
          </cell>
          <cell r="B67" t="str">
            <v>Zombie</v>
          </cell>
          <cell r="C67" t="str">
            <v>NecromanticZombie</v>
          </cell>
          <cell r="D67">
            <v>16</v>
          </cell>
          <cell r="E67">
            <v>40000</v>
          </cell>
          <cell r="F67">
            <v>4</v>
          </cell>
          <cell r="G67">
            <v>3</v>
          </cell>
          <cell r="H67">
            <v>2</v>
          </cell>
          <cell r="I67">
            <v>8</v>
          </cell>
          <cell r="J67" t="str">
            <v>Regeneration</v>
          </cell>
        </row>
        <row r="68">
          <cell r="A68" t="str">
            <v>Necromantic</v>
          </cell>
          <cell r="B68" t="str">
            <v>Ghoul</v>
          </cell>
          <cell r="C68" t="str">
            <v>NecromanticGhoul</v>
          </cell>
          <cell r="D68">
            <v>2</v>
          </cell>
          <cell r="E68">
            <v>70000</v>
          </cell>
          <cell r="F68">
            <v>7</v>
          </cell>
          <cell r="G68">
            <v>3</v>
          </cell>
          <cell r="H68">
            <v>3</v>
          </cell>
          <cell r="I68">
            <v>7</v>
          </cell>
          <cell r="J68" t="str">
            <v>Dodge</v>
          </cell>
        </row>
        <row r="69">
          <cell r="A69" t="str">
            <v>Necromantic</v>
          </cell>
          <cell r="B69" t="str">
            <v>Wight</v>
          </cell>
          <cell r="C69" t="str">
            <v>NecromanticWight</v>
          </cell>
          <cell r="D69">
            <v>2</v>
          </cell>
          <cell r="E69">
            <v>90000</v>
          </cell>
          <cell r="F69">
            <v>6</v>
          </cell>
          <cell r="G69">
            <v>3</v>
          </cell>
          <cell r="H69">
            <v>3</v>
          </cell>
          <cell r="I69">
            <v>8</v>
          </cell>
          <cell r="J69" t="str">
            <v>Block, Regeneration</v>
          </cell>
        </row>
        <row r="70">
          <cell r="A70" t="str">
            <v>Necromantic</v>
          </cell>
          <cell r="B70" t="str">
            <v>Flesh Golem</v>
          </cell>
          <cell r="C70" t="str">
            <v>NecromanticFlesh Golem</v>
          </cell>
          <cell r="D70">
            <v>2</v>
          </cell>
          <cell r="E70">
            <v>110000</v>
          </cell>
          <cell r="F70">
            <v>4</v>
          </cell>
          <cell r="G70">
            <v>4</v>
          </cell>
          <cell r="H70">
            <v>2</v>
          </cell>
          <cell r="I70">
            <v>9</v>
          </cell>
          <cell r="J70" t="str">
            <v>Stand Firm, Thick Skull, Regeneration</v>
          </cell>
        </row>
        <row r="71">
          <cell r="A71" t="str">
            <v>Necromantic</v>
          </cell>
          <cell r="B71" t="str">
            <v>Werewolf</v>
          </cell>
          <cell r="C71" t="str">
            <v>NecromanticWerewolf</v>
          </cell>
          <cell r="D71">
            <v>2</v>
          </cell>
          <cell r="E71">
            <v>120000</v>
          </cell>
          <cell r="F71">
            <v>8</v>
          </cell>
          <cell r="G71">
            <v>3</v>
          </cell>
          <cell r="H71">
            <v>3</v>
          </cell>
          <cell r="I71">
            <v>8</v>
          </cell>
          <cell r="J71" t="str">
            <v>Claws, Frenzy, Regeneration</v>
          </cell>
        </row>
        <row r="72">
          <cell r="A72" t="str">
            <v>Norse</v>
          </cell>
          <cell r="B72" t="str">
            <v>Lineman</v>
          </cell>
          <cell r="C72" t="str">
            <v>NorseLineman</v>
          </cell>
          <cell r="D72">
            <v>16</v>
          </cell>
          <cell r="E72">
            <v>50000</v>
          </cell>
          <cell r="F72">
            <v>6</v>
          </cell>
          <cell r="G72">
            <v>3</v>
          </cell>
          <cell r="H72">
            <v>3</v>
          </cell>
          <cell r="I72">
            <v>7</v>
          </cell>
          <cell r="J72" t="str">
            <v>Block</v>
          </cell>
        </row>
        <row r="73">
          <cell r="A73" t="str">
            <v>Norse</v>
          </cell>
          <cell r="B73" t="str">
            <v>Thrower</v>
          </cell>
          <cell r="C73" t="str">
            <v>NorseThrower</v>
          </cell>
          <cell r="D73">
            <v>2</v>
          </cell>
          <cell r="E73">
            <v>70000</v>
          </cell>
          <cell r="F73">
            <v>6</v>
          </cell>
          <cell r="G73">
            <v>3</v>
          </cell>
          <cell r="H73">
            <v>3</v>
          </cell>
          <cell r="I73">
            <v>7</v>
          </cell>
          <cell r="J73" t="str">
            <v>Block, Pass</v>
          </cell>
        </row>
        <row r="74">
          <cell r="A74" t="str">
            <v>Norse</v>
          </cell>
          <cell r="B74" t="str">
            <v>Catcher</v>
          </cell>
          <cell r="C74" t="str">
            <v>NorseCatcher</v>
          </cell>
          <cell r="D74">
            <v>2</v>
          </cell>
          <cell r="E74">
            <v>90000</v>
          </cell>
          <cell r="F74">
            <v>7</v>
          </cell>
          <cell r="G74">
            <v>3</v>
          </cell>
          <cell r="H74">
            <v>3</v>
          </cell>
          <cell r="I74">
            <v>7</v>
          </cell>
          <cell r="J74" t="str">
            <v>Block, Dauntless</v>
          </cell>
        </row>
        <row r="75">
          <cell r="A75" t="str">
            <v>Norse</v>
          </cell>
          <cell r="B75" t="str">
            <v>Blitzer</v>
          </cell>
          <cell r="C75" t="str">
            <v>NorseBlitzer</v>
          </cell>
          <cell r="D75">
            <v>2</v>
          </cell>
          <cell r="E75">
            <v>90000</v>
          </cell>
          <cell r="F75">
            <v>6</v>
          </cell>
          <cell r="G75">
            <v>3</v>
          </cell>
          <cell r="H75">
            <v>3</v>
          </cell>
          <cell r="I75">
            <v>7</v>
          </cell>
          <cell r="J75" t="str">
            <v>Block, Frenzy, Jump Up</v>
          </cell>
        </row>
        <row r="76">
          <cell r="A76" t="str">
            <v>Norse</v>
          </cell>
          <cell r="B76" t="str">
            <v>Werewolf</v>
          </cell>
          <cell r="C76" t="str">
            <v>NorseWerewolf</v>
          </cell>
          <cell r="D76">
            <v>2</v>
          </cell>
          <cell r="E76">
            <v>110000</v>
          </cell>
          <cell r="F76">
            <v>6</v>
          </cell>
          <cell r="G76">
            <v>4</v>
          </cell>
          <cell r="H76">
            <v>2</v>
          </cell>
          <cell r="I76">
            <v>8</v>
          </cell>
          <cell r="J76" t="str">
            <v>Frenzy</v>
          </cell>
        </row>
        <row r="77">
          <cell r="A77" t="str">
            <v>Norse</v>
          </cell>
          <cell r="B77" t="str">
            <v>Yhetee</v>
          </cell>
          <cell r="C77" t="str">
            <v>NorseYhetee</v>
          </cell>
          <cell r="D77">
            <v>1</v>
          </cell>
          <cell r="E77">
            <v>140000</v>
          </cell>
          <cell r="F77">
            <v>5</v>
          </cell>
          <cell r="G77">
            <v>5</v>
          </cell>
          <cell r="H77">
            <v>1</v>
          </cell>
          <cell r="I77">
            <v>8</v>
          </cell>
          <cell r="J77" t="str">
            <v>Loner, Claws, Disturbing Presence, Frenzy, Wild Animal</v>
          </cell>
        </row>
        <row r="78">
          <cell r="A78" t="str">
            <v>Nurgle</v>
          </cell>
          <cell r="B78" t="str">
            <v>Rotter</v>
          </cell>
          <cell r="C78" t="str">
            <v>NurgleRotter</v>
          </cell>
          <cell r="D78">
            <v>16</v>
          </cell>
          <cell r="E78">
            <v>40000</v>
          </cell>
          <cell r="F78">
            <v>5</v>
          </cell>
          <cell r="G78">
            <v>3</v>
          </cell>
          <cell r="H78">
            <v>3</v>
          </cell>
          <cell r="I78">
            <v>8</v>
          </cell>
          <cell r="J78" t="str">
            <v>Decay, Nurgle's Rot</v>
          </cell>
        </row>
        <row r="79">
          <cell r="A79" t="str">
            <v>Nurgle</v>
          </cell>
          <cell r="B79" t="str">
            <v>Pestigor</v>
          </cell>
          <cell r="C79" t="str">
            <v>NurglePestigor</v>
          </cell>
          <cell r="D79">
            <v>4</v>
          </cell>
          <cell r="E79">
            <v>80000</v>
          </cell>
          <cell r="F79">
            <v>6</v>
          </cell>
          <cell r="G79">
            <v>3</v>
          </cell>
          <cell r="H79">
            <v>3</v>
          </cell>
          <cell r="I79">
            <v>8</v>
          </cell>
          <cell r="J79" t="str">
            <v>Horns, Nurgle's Rot, Regeneration</v>
          </cell>
        </row>
        <row r="80">
          <cell r="A80" t="str">
            <v>Nurgle</v>
          </cell>
          <cell r="B80" t="str">
            <v>Warrior</v>
          </cell>
          <cell r="C80" t="str">
            <v>NurgleWarrior</v>
          </cell>
          <cell r="D80">
            <v>4</v>
          </cell>
          <cell r="E80">
            <v>110000</v>
          </cell>
          <cell r="F80">
            <v>4</v>
          </cell>
          <cell r="G80">
            <v>4</v>
          </cell>
          <cell r="H80">
            <v>2</v>
          </cell>
          <cell r="I80">
            <v>9</v>
          </cell>
          <cell r="J80" t="str">
            <v>Disturbing Presence, Foul Appearance, Nurgle's Rot, Regeneration</v>
          </cell>
        </row>
        <row r="81">
          <cell r="A81" t="str">
            <v>Nurgle</v>
          </cell>
          <cell r="B81" t="str">
            <v>Beast</v>
          </cell>
          <cell r="C81" t="str">
            <v>NurgleBeast</v>
          </cell>
          <cell r="D81">
            <v>1</v>
          </cell>
          <cell r="E81">
            <v>140000</v>
          </cell>
          <cell r="F81">
            <v>4</v>
          </cell>
          <cell r="G81">
            <v>5</v>
          </cell>
          <cell r="H81">
            <v>1</v>
          </cell>
          <cell r="I81">
            <v>9</v>
          </cell>
          <cell r="J81" t="str">
            <v>Loner, Distrubing Presence, Foul Appearance, Mighty Blow, Nurgle's Rot, Really Stupid, Regeneration, Tentacles</v>
          </cell>
        </row>
        <row r="82">
          <cell r="A82" t="str">
            <v>Ogre</v>
          </cell>
          <cell r="B82" t="str">
            <v>Snotling</v>
          </cell>
          <cell r="C82" t="str">
            <v>OgreSnotling</v>
          </cell>
          <cell r="D82">
            <v>16</v>
          </cell>
          <cell r="E82">
            <v>20000</v>
          </cell>
          <cell r="F82">
            <v>5</v>
          </cell>
          <cell r="G82">
            <v>1</v>
          </cell>
          <cell r="H82">
            <v>3</v>
          </cell>
          <cell r="I82">
            <v>5</v>
          </cell>
          <cell r="J82" t="str">
            <v>Dodge, Right Stuff, Stunty, Side Step, Titchy</v>
          </cell>
        </row>
        <row r="83">
          <cell r="A83" t="str">
            <v>Ogre</v>
          </cell>
          <cell r="B83" t="str">
            <v>Ogre</v>
          </cell>
          <cell r="C83" t="str">
            <v>OgreOgre</v>
          </cell>
          <cell r="D83">
            <v>6</v>
          </cell>
          <cell r="E83">
            <v>140000</v>
          </cell>
          <cell r="F83">
            <v>5</v>
          </cell>
          <cell r="G83">
            <v>5</v>
          </cell>
          <cell r="H83">
            <v>2</v>
          </cell>
          <cell r="I83">
            <v>9</v>
          </cell>
          <cell r="J83" t="str">
            <v>Bone-Head, Mighty Blow, Thick Skull, Throw Team-mate</v>
          </cell>
        </row>
        <row r="84">
          <cell r="A84" t="str">
            <v>Orc</v>
          </cell>
          <cell r="B84" t="str">
            <v>Lineman</v>
          </cell>
          <cell r="C84" t="str">
            <v>OrcLineman</v>
          </cell>
          <cell r="D84">
            <v>16</v>
          </cell>
          <cell r="E84">
            <v>50000</v>
          </cell>
          <cell r="F84">
            <v>5</v>
          </cell>
          <cell r="G84">
            <v>3</v>
          </cell>
          <cell r="H84">
            <v>3</v>
          </cell>
          <cell r="I84">
            <v>9</v>
          </cell>
        </row>
        <row r="85">
          <cell r="A85" t="str">
            <v>Orc</v>
          </cell>
          <cell r="B85" t="str">
            <v>Goblin</v>
          </cell>
          <cell r="C85" t="str">
            <v>OrcGoblin</v>
          </cell>
          <cell r="D85">
            <v>4</v>
          </cell>
          <cell r="E85">
            <v>40000</v>
          </cell>
          <cell r="F85">
            <v>6</v>
          </cell>
          <cell r="G85">
            <v>2</v>
          </cell>
          <cell r="H85">
            <v>3</v>
          </cell>
          <cell r="I85">
            <v>7</v>
          </cell>
          <cell r="J85" t="str">
            <v>Right Stuff, Dodge, Stunty</v>
          </cell>
        </row>
        <row r="86">
          <cell r="A86" t="str">
            <v>Orc</v>
          </cell>
          <cell r="B86" t="str">
            <v>Thrower</v>
          </cell>
          <cell r="C86" t="str">
            <v>OrcThrower</v>
          </cell>
          <cell r="D86">
            <v>2</v>
          </cell>
          <cell r="E86">
            <v>70000</v>
          </cell>
          <cell r="F86">
            <v>5</v>
          </cell>
          <cell r="G86">
            <v>3</v>
          </cell>
          <cell r="H86">
            <v>3</v>
          </cell>
          <cell r="I86">
            <v>8</v>
          </cell>
          <cell r="J86" t="str">
            <v>Sure Hands, Pass</v>
          </cell>
        </row>
        <row r="87">
          <cell r="A87" t="str">
            <v>Orc</v>
          </cell>
          <cell r="B87" t="str">
            <v>Black Orc Blocker</v>
          </cell>
          <cell r="C87" t="str">
            <v>OrcBlack Orc Blocker</v>
          </cell>
          <cell r="D87">
            <v>4</v>
          </cell>
          <cell r="E87">
            <v>80000</v>
          </cell>
          <cell r="F87">
            <v>4</v>
          </cell>
          <cell r="G87">
            <v>4</v>
          </cell>
          <cell r="H87">
            <v>2</v>
          </cell>
          <cell r="I87">
            <v>9</v>
          </cell>
        </row>
        <row r="88">
          <cell r="A88" t="str">
            <v>Orc</v>
          </cell>
          <cell r="B88" t="str">
            <v>Blitzer</v>
          </cell>
          <cell r="C88" t="str">
            <v>OrcBlitzer</v>
          </cell>
          <cell r="D88">
            <v>4</v>
          </cell>
          <cell r="E88">
            <v>80000</v>
          </cell>
          <cell r="F88">
            <v>6</v>
          </cell>
          <cell r="G88">
            <v>3</v>
          </cell>
          <cell r="H88">
            <v>3</v>
          </cell>
          <cell r="I88">
            <v>9</v>
          </cell>
          <cell r="J88" t="str">
            <v>Block</v>
          </cell>
        </row>
        <row r="89">
          <cell r="A89" t="str">
            <v>Orc</v>
          </cell>
          <cell r="B89" t="str">
            <v>Troll</v>
          </cell>
          <cell r="C89" t="str">
            <v>OrcTroll</v>
          </cell>
          <cell r="D89">
            <v>1</v>
          </cell>
          <cell r="E89">
            <v>110000</v>
          </cell>
          <cell r="F89">
            <v>4</v>
          </cell>
          <cell r="G89">
            <v>5</v>
          </cell>
          <cell r="H89">
            <v>1</v>
          </cell>
          <cell r="I89">
            <v>9</v>
          </cell>
          <cell r="J89" t="str">
            <v>Loner, Always Hungry, Mighty Blow, Really Stupid, Regeneration, Throw Team-mate</v>
          </cell>
        </row>
        <row r="90">
          <cell r="A90" t="str">
            <v>Simyin</v>
          </cell>
          <cell r="B90" t="str">
            <v>Bonobo</v>
          </cell>
          <cell r="C90" t="str">
            <v>SimyinBonobo</v>
          </cell>
          <cell r="D90">
            <v>12</v>
          </cell>
          <cell r="E90">
            <v>50000</v>
          </cell>
          <cell r="F90">
            <v>6</v>
          </cell>
          <cell r="G90">
            <v>3</v>
          </cell>
          <cell r="H90">
            <v>3</v>
          </cell>
          <cell r="I90">
            <v>7</v>
          </cell>
          <cell r="J90" t="str">
            <v>Extra Arms</v>
          </cell>
        </row>
        <row r="91">
          <cell r="A91" t="str">
            <v>Simyin</v>
          </cell>
          <cell r="B91" t="str">
            <v>Orangutan</v>
          </cell>
          <cell r="C91" t="str">
            <v>SimyinOrangutan</v>
          </cell>
          <cell r="D91">
            <v>2</v>
          </cell>
          <cell r="E91">
            <v>70000</v>
          </cell>
          <cell r="F91">
            <v>5</v>
          </cell>
          <cell r="G91">
            <v>3</v>
          </cell>
          <cell r="H91">
            <v>3</v>
          </cell>
          <cell r="I91">
            <v>8</v>
          </cell>
          <cell r="J91" t="str">
            <v>Extra Arms, Strong Arm</v>
          </cell>
        </row>
        <row r="92">
          <cell r="A92" t="str">
            <v>Simyin</v>
          </cell>
          <cell r="B92" t="str">
            <v>Chimpanzee</v>
          </cell>
          <cell r="C92" t="str">
            <v>SimyinChimpanzee</v>
          </cell>
          <cell r="D92">
            <v>2</v>
          </cell>
          <cell r="E92">
            <v>80000</v>
          </cell>
          <cell r="F92">
            <v>7</v>
          </cell>
          <cell r="G92">
            <v>3</v>
          </cell>
          <cell r="H92">
            <v>3</v>
          </cell>
          <cell r="I92">
            <v>7</v>
          </cell>
          <cell r="J92" t="str">
            <v>Extra Arms, Wrestle</v>
          </cell>
        </row>
        <row r="93">
          <cell r="A93" t="str">
            <v>Simyin</v>
          </cell>
          <cell r="B93" t="str">
            <v>Gorilla</v>
          </cell>
          <cell r="C93" t="str">
            <v>SimyinGorilla</v>
          </cell>
          <cell r="D93">
            <v>4</v>
          </cell>
          <cell r="E93">
            <v>100000</v>
          </cell>
          <cell r="F93">
            <v>5</v>
          </cell>
          <cell r="G93">
            <v>4</v>
          </cell>
          <cell r="H93">
            <v>2</v>
          </cell>
          <cell r="I93">
            <v>8</v>
          </cell>
          <cell r="J93" t="str">
            <v>Extra Arms, Grab</v>
          </cell>
        </row>
        <row r="94">
          <cell r="A94" t="str">
            <v>Simyin</v>
          </cell>
          <cell r="B94" t="str">
            <v>Silverback</v>
          </cell>
          <cell r="C94" t="str">
            <v>SimyinSilverback</v>
          </cell>
          <cell r="D94">
            <v>1</v>
          </cell>
          <cell r="E94">
            <v>140000</v>
          </cell>
          <cell r="F94">
            <v>5</v>
          </cell>
          <cell r="G94">
            <v>5</v>
          </cell>
          <cell r="H94">
            <v>1</v>
          </cell>
          <cell r="I94">
            <v>9</v>
          </cell>
          <cell r="J94" t="str">
            <v>Loner, Wild Animal, Extra Arms, Grab, Mighty Blow</v>
          </cell>
        </row>
        <row r="95">
          <cell r="A95" t="str">
            <v>Skaven</v>
          </cell>
          <cell r="B95" t="str">
            <v>Lineman</v>
          </cell>
          <cell r="C95" t="str">
            <v>SkavenLineman</v>
          </cell>
          <cell r="D95">
            <v>16</v>
          </cell>
          <cell r="E95">
            <v>50000</v>
          </cell>
          <cell r="F95">
            <v>7</v>
          </cell>
          <cell r="G95">
            <v>3</v>
          </cell>
          <cell r="H95">
            <v>3</v>
          </cell>
          <cell r="I95">
            <v>7</v>
          </cell>
        </row>
        <row r="96">
          <cell r="A96" t="str">
            <v>Skaven</v>
          </cell>
          <cell r="B96" t="str">
            <v>Thrower</v>
          </cell>
          <cell r="C96" t="str">
            <v>SkavenThrower</v>
          </cell>
          <cell r="D96">
            <v>2</v>
          </cell>
          <cell r="E96">
            <v>70000</v>
          </cell>
          <cell r="F96">
            <v>7</v>
          </cell>
          <cell r="G96">
            <v>3</v>
          </cell>
          <cell r="H96">
            <v>3</v>
          </cell>
          <cell r="I96">
            <v>7</v>
          </cell>
          <cell r="J96" t="str">
            <v>Pass, Sure Hands</v>
          </cell>
        </row>
        <row r="97">
          <cell r="A97" t="str">
            <v>Skaven</v>
          </cell>
          <cell r="B97" t="str">
            <v>Gutter Runner</v>
          </cell>
          <cell r="C97" t="str">
            <v>SkavenGutter Runner</v>
          </cell>
          <cell r="D97">
            <v>4</v>
          </cell>
          <cell r="E97">
            <v>80000</v>
          </cell>
          <cell r="F97">
            <v>9</v>
          </cell>
          <cell r="G97">
            <v>2</v>
          </cell>
          <cell r="H97">
            <v>4</v>
          </cell>
          <cell r="I97">
            <v>7</v>
          </cell>
          <cell r="J97" t="str">
            <v>Dodge, Weeping Dagger</v>
          </cell>
        </row>
        <row r="98">
          <cell r="A98" t="str">
            <v>Skaven</v>
          </cell>
          <cell r="B98" t="str">
            <v>Blitzer</v>
          </cell>
          <cell r="C98" t="str">
            <v>SkavenBlitzer</v>
          </cell>
          <cell r="D98">
            <v>2</v>
          </cell>
          <cell r="E98">
            <v>90000</v>
          </cell>
          <cell r="F98">
            <v>7</v>
          </cell>
          <cell r="G98">
            <v>3</v>
          </cell>
          <cell r="H98">
            <v>3</v>
          </cell>
          <cell r="I98">
            <v>8</v>
          </cell>
          <cell r="J98" t="str">
            <v>Block</v>
          </cell>
        </row>
        <row r="99">
          <cell r="A99" t="str">
            <v>Skaven</v>
          </cell>
          <cell r="B99" t="str">
            <v>Rat Ogre</v>
          </cell>
          <cell r="C99" t="str">
            <v>SkavenRat Ogre</v>
          </cell>
          <cell r="D99">
            <v>1</v>
          </cell>
          <cell r="E99">
            <v>150000</v>
          </cell>
          <cell r="F99">
            <v>6</v>
          </cell>
          <cell r="G99">
            <v>5</v>
          </cell>
          <cell r="H99">
            <v>2</v>
          </cell>
          <cell r="I99">
            <v>8</v>
          </cell>
          <cell r="J99" t="str">
            <v>Loner, Frenzy, Mighty Blow, Prehensal Tail, Wild Animal</v>
          </cell>
        </row>
        <row r="100">
          <cell r="A100" t="str">
            <v>Slann</v>
          </cell>
          <cell r="B100" t="str">
            <v>Lineman</v>
          </cell>
          <cell r="C100" t="str">
            <v>SlannLineman</v>
          </cell>
          <cell r="D100">
            <v>16</v>
          </cell>
          <cell r="E100">
            <v>60000</v>
          </cell>
          <cell r="F100">
            <v>6</v>
          </cell>
          <cell r="G100">
            <v>3</v>
          </cell>
          <cell r="H100">
            <v>3</v>
          </cell>
          <cell r="I100">
            <v>8</v>
          </cell>
          <cell r="J100" t="str">
            <v>Leap, Very Long Legs</v>
          </cell>
        </row>
        <row r="101">
          <cell r="A101" t="str">
            <v>Slann</v>
          </cell>
          <cell r="B101" t="str">
            <v>Catcher</v>
          </cell>
          <cell r="C101" t="str">
            <v>SlannCatcher</v>
          </cell>
          <cell r="D101">
            <v>4</v>
          </cell>
          <cell r="E101">
            <v>80000</v>
          </cell>
          <cell r="F101">
            <v>7</v>
          </cell>
          <cell r="G101">
            <v>2</v>
          </cell>
          <cell r="H101">
            <v>4</v>
          </cell>
          <cell r="I101">
            <v>7</v>
          </cell>
          <cell r="J101" t="str">
            <v>Diving Catch, Leap, Very Long Legs</v>
          </cell>
        </row>
        <row r="102">
          <cell r="A102" t="str">
            <v>Slann</v>
          </cell>
          <cell r="B102" t="str">
            <v>Blitzer</v>
          </cell>
          <cell r="C102" t="str">
            <v>SlannBlitzer</v>
          </cell>
          <cell r="D102">
            <v>4</v>
          </cell>
          <cell r="E102">
            <v>110000</v>
          </cell>
          <cell r="F102">
            <v>7</v>
          </cell>
          <cell r="G102">
            <v>3</v>
          </cell>
          <cell r="H102">
            <v>3</v>
          </cell>
          <cell r="I102">
            <v>8</v>
          </cell>
          <cell r="J102" t="str">
            <v>Diving Tackle, Jump Up, Leap, Very Long Legs</v>
          </cell>
        </row>
        <row r="103">
          <cell r="A103" t="str">
            <v>Slann</v>
          </cell>
          <cell r="B103" t="str">
            <v>Kroxigor</v>
          </cell>
          <cell r="C103" t="str">
            <v>SlannKroxigor</v>
          </cell>
          <cell r="D103">
            <v>1</v>
          </cell>
          <cell r="E103">
            <v>140000</v>
          </cell>
          <cell r="F103">
            <v>6</v>
          </cell>
          <cell r="G103">
            <v>5</v>
          </cell>
          <cell r="H103">
            <v>1</v>
          </cell>
          <cell r="I103">
            <v>9</v>
          </cell>
          <cell r="J103" t="str">
            <v>Loner, Bone-head, Mighty Blow, Prehensile Tail, Thick Skull</v>
          </cell>
        </row>
        <row r="104">
          <cell r="A104" t="str">
            <v>Undead</v>
          </cell>
          <cell r="B104" t="str">
            <v>Skeleton</v>
          </cell>
          <cell r="C104" t="str">
            <v>UndeadSkeleton</v>
          </cell>
          <cell r="D104">
            <v>16</v>
          </cell>
          <cell r="E104">
            <v>40000</v>
          </cell>
          <cell r="F104">
            <v>5</v>
          </cell>
          <cell r="G104">
            <v>3</v>
          </cell>
          <cell r="H104">
            <v>2</v>
          </cell>
          <cell r="I104">
            <v>7</v>
          </cell>
          <cell r="J104" t="str">
            <v>Regeneration, Thick Skull</v>
          </cell>
        </row>
        <row r="105">
          <cell r="A105" t="str">
            <v>Undead</v>
          </cell>
          <cell r="B105" t="str">
            <v>Zombie</v>
          </cell>
          <cell r="C105" t="str">
            <v>UndeadZombie</v>
          </cell>
          <cell r="D105">
            <v>16</v>
          </cell>
          <cell r="E105">
            <v>40000</v>
          </cell>
          <cell r="F105">
            <v>4</v>
          </cell>
          <cell r="G105">
            <v>3</v>
          </cell>
          <cell r="H105">
            <v>2</v>
          </cell>
          <cell r="I105">
            <v>8</v>
          </cell>
          <cell r="J105" t="str">
            <v>Regeneration</v>
          </cell>
        </row>
        <row r="106">
          <cell r="A106" t="str">
            <v>Undead</v>
          </cell>
          <cell r="B106" t="str">
            <v>Ghoul</v>
          </cell>
          <cell r="C106" t="str">
            <v>UndeadGhoul</v>
          </cell>
          <cell r="D106">
            <v>4</v>
          </cell>
          <cell r="E106">
            <v>70000</v>
          </cell>
          <cell r="F106">
            <v>7</v>
          </cell>
          <cell r="G106">
            <v>3</v>
          </cell>
          <cell r="H106">
            <v>3</v>
          </cell>
          <cell r="I106">
            <v>7</v>
          </cell>
          <cell r="J106" t="str">
            <v>Dodge</v>
          </cell>
        </row>
        <row r="107">
          <cell r="A107" t="str">
            <v>Undead</v>
          </cell>
          <cell r="B107" t="str">
            <v>Wight</v>
          </cell>
          <cell r="C107" t="str">
            <v>UndeadWight</v>
          </cell>
          <cell r="D107">
            <v>2</v>
          </cell>
          <cell r="E107">
            <v>90000</v>
          </cell>
          <cell r="F107">
            <v>6</v>
          </cell>
          <cell r="G107">
            <v>3</v>
          </cell>
          <cell r="H107">
            <v>3</v>
          </cell>
          <cell r="I107">
            <v>8</v>
          </cell>
          <cell r="J107" t="str">
            <v>Block, Regeneration</v>
          </cell>
        </row>
        <row r="108">
          <cell r="A108" t="str">
            <v>Undead</v>
          </cell>
          <cell r="B108" t="str">
            <v>Mummy</v>
          </cell>
          <cell r="C108" t="str">
            <v>UndeadMummy</v>
          </cell>
          <cell r="D108">
            <v>2</v>
          </cell>
          <cell r="E108">
            <v>120000</v>
          </cell>
          <cell r="F108">
            <v>3</v>
          </cell>
          <cell r="G108">
            <v>5</v>
          </cell>
          <cell r="H108">
            <v>1</v>
          </cell>
          <cell r="I108">
            <v>9</v>
          </cell>
          <cell r="J108" t="str">
            <v>Mighty Blow, Regeneration</v>
          </cell>
        </row>
        <row r="109">
          <cell r="A109" t="str">
            <v>Underworld</v>
          </cell>
          <cell r="B109" t="str">
            <v>Goblin</v>
          </cell>
          <cell r="C109" t="str">
            <v>UnderworldGoblin</v>
          </cell>
          <cell r="D109">
            <v>12</v>
          </cell>
          <cell r="E109">
            <v>40000</v>
          </cell>
          <cell r="F109">
            <v>6</v>
          </cell>
          <cell r="G109">
            <v>2</v>
          </cell>
          <cell r="H109">
            <v>3</v>
          </cell>
          <cell r="I109">
            <v>7</v>
          </cell>
          <cell r="J109" t="str">
            <v>Right Stuff, Dodge, Stunty</v>
          </cell>
        </row>
        <row r="110">
          <cell r="A110" t="str">
            <v>Underworld</v>
          </cell>
          <cell r="B110" t="str">
            <v>Skaven Lineman</v>
          </cell>
          <cell r="C110" t="str">
            <v>UnderworldSkaven Lineman</v>
          </cell>
          <cell r="D110">
            <v>2</v>
          </cell>
          <cell r="E110">
            <v>50000</v>
          </cell>
          <cell r="F110">
            <v>7</v>
          </cell>
          <cell r="G110">
            <v>3</v>
          </cell>
          <cell r="H110">
            <v>3</v>
          </cell>
          <cell r="I110">
            <v>7</v>
          </cell>
          <cell r="J110" t="str">
            <v>Animosity</v>
          </cell>
        </row>
        <row r="111">
          <cell r="A111" t="str">
            <v>Underworld</v>
          </cell>
          <cell r="B111" t="str">
            <v>Skaven Thrower</v>
          </cell>
          <cell r="C111" t="str">
            <v>UnderworldSkaven Thrower</v>
          </cell>
          <cell r="D111">
            <v>2</v>
          </cell>
          <cell r="E111">
            <v>70000</v>
          </cell>
          <cell r="F111">
            <v>7</v>
          </cell>
          <cell r="G111">
            <v>3</v>
          </cell>
          <cell r="H111">
            <v>3</v>
          </cell>
          <cell r="I111">
            <v>7</v>
          </cell>
          <cell r="J111" t="str">
            <v>Animosity, Pass, Sure Hands</v>
          </cell>
        </row>
        <row r="112">
          <cell r="A112" t="str">
            <v>Underworld</v>
          </cell>
          <cell r="B112" t="str">
            <v>Skaven Blitzer</v>
          </cell>
          <cell r="C112" t="str">
            <v>UnderworldSkaven Blitzer</v>
          </cell>
          <cell r="D112">
            <v>2</v>
          </cell>
          <cell r="E112">
            <v>90000</v>
          </cell>
          <cell r="F112">
            <v>7</v>
          </cell>
          <cell r="G112">
            <v>3</v>
          </cell>
          <cell r="H112">
            <v>3</v>
          </cell>
          <cell r="I112">
            <v>8</v>
          </cell>
          <cell r="J112" t="str">
            <v>Animosity, Block</v>
          </cell>
        </row>
        <row r="113">
          <cell r="A113" t="str">
            <v>Underworld</v>
          </cell>
          <cell r="B113" t="str">
            <v>Troll</v>
          </cell>
          <cell r="C113" t="str">
            <v>UnderworldTroll</v>
          </cell>
          <cell r="D113">
            <v>1</v>
          </cell>
          <cell r="E113">
            <v>110000</v>
          </cell>
          <cell r="F113">
            <v>4</v>
          </cell>
          <cell r="G113">
            <v>5</v>
          </cell>
          <cell r="H113">
            <v>1</v>
          </cell>
          <cell r="I113">
            <v>9</v>
          </cell>
          <cell r="J113" t="str">
            <v>Loner, Always Hungry, Mighty Blow, Really Stupid, Regeneration, Throw Team-mate</v>
          </cell>
        </row>
        <row r="114">
          <cell r="A114" t="str">
            <v>Vampire</v>
          </cell>
          <cell r="B114" t="str">
            <v>Thrall</v>
          </cell>
          <cell r="C114" t="str">
            <v>VampireThrall</v>
          </cell>
          <cell r="D114">
            <v>16</v>
          </cell>
          <cell r="E114">
            <v>40000</v>
          </cell>
          <cell r="F114">
            <v>6</v>
          </cell>
          <cell r="G114">
            <v>3</v>
          </cell>
          <cell r="H114">
            <v>3</v>
          </cell>
          <cell r="I114">
            <v>7</v>
          </cell>
        </row>
        <row r="115">
          <cell r="A115" t="str">
            <v>Vampire</v>
          </cell>
          <cell r="B115" t="str">
            <v>Vampire</v>
          </cell>
          <cell r="C115" t="str">
            <v>VampireVampire</v>
          </cell>
          <cell r="D115">
            <v>6</v>
          </cell>
          <cell r="E115">
            <v>110000</v>
          </cell>
          <cell r="F115">
            <v>6</v>
          </cell>
          <cell r="G115">
            <v>4</v>
          </cell>
          <cell r="H115">
            <v>4</v>
          </cell>
          <cell r="I115">
            <v>8</v>
          </cell>
          <cell r="J115" t="str">
            <v>Blood Lust, Hypnotic Gaze, Regeneration</v>
          </cell>
        </row>
        <row r="116">
          <cell r="A116" t="str">
            <v>Wood Elf</v>
          </cell>
          <cell r="B116" t="str">
            <v>Lineman</v>
          </cell>
          <cell r="C116" t="str">
            <v>Wood ElfLineman</v>
          </cell>
          <cell r="D116">
            <v>16</v>
          </cell>
          <cell r="E116">
            <v>70000</v>
          </cell>
          <cell r="F116">
            <v>7</v>
          </cell>
          <cell r="G116">
            <v>3</v>
          </cell>
          <cell r="H116">
            <v>4</v>
          </cell>
          <cell r="I116">
            <v>7</v>
          </cell>
        </row>
        <row r="117">
          <cell r="A117" t="str">
            <v>Wood Elf</v>
          </cell>
          <cell r="B117" t="str">
            <v>Catcher</v>
          </cell>
          <cell r="C117" t="str">
            <v>Wood ElfCatcher</v>
          </cell>
          <cell r="D117">
            <v>4</v>
          </cell>
          <cell r="E117">
            <v>90000</v>
          </cell>
          <cell r="F117">
            <v>8</v>
          </cell>
          <cell r="G117">
            <v>2</v>
          </cell>
          <cell r="H117">
            <v>4</v>
          </cell>
          <cell r="I117">
            <v>7</v>
          </cell>
          <cell r="J117" t="str">
            <v>Catch, Dodge, Sprint</v>
          </cell>
        </row>
        <row r="118">
          <cell r="A118" t="str">
            <v>Wood Elf</v>
          </cell>
          <cell r="B118" t="str">
            <v>Thrower</v>
          </cell>
          <cell r="C118" t="str">
            <v>Wood ElfThrower</v>
          </cell>
          <cell r="D118">
            <v>2</v>
          </cell>
          <cell r="E118">
            <v>90000</v>
          </cell>
          <cell r="F118">
            <v>7</v>
          </cell>
          <cell r="G118">
            <v>3</v>
          </cell>
          <cell r="H118">
            <v>4</v>
          </cell>
          <cell r="I118">
            <v>7</v>
          </cell>
          <cell r="J118" t="str">
            <v>Pass</v>
          </cell>
        </row>
        <row r="119">
          <cell r="A119" t="str">
            <v>Wood Elf</v>
          </cell>
          <cell r="B119" t="str">
            <v>Wardancer</v>
          </cell>
          <cell r="C119" t="str">
            <v>Wood ElfWardancer</v>
          </cell>
          <cell r="D119">
            <v>2</v>
          </cell>
          <cell r="E119">
            <v>120000</v>
          </cell>
          <cell r="F119">
            <v>8</v>
          </cell>
          <cell r="G119">
            <v>3</v>
          </cell>
          <cell r="H119">
            <v>4</v>
          </cell>
          <cell r="I119">
            <v>7</v>
          </cell>
          <cell r="J119" t="str">
            <v>Block, Dodge, Leap</v>
          </cell>
        </row>
        <row r="120">
          <cell r="A120" t="str">
            <v>Wood Elf</v>
          </cell>
          <cell r="B120" t="str">
            <v>Treeman</v>
          </cell>
          <cell r="C120" t="str">
            <v>Wood ElfTreeman</v>
          </cell>
          <cell r="D120">
            <v>1</v>
          </cell>
          <cell r="E120">
            <v>120000</v>
          </cell>
          <cell r="F120">
            <v>2</v>
          </cell>
          <cell r="G120">
            <v>6</v>
          </cell>
          <cell r="H120">
            <v>1</v>
          </cell>
          <cell r="I120">
            <v>10</v>
          </cell>
          <cell r="J120" t="str">
            <v>Loner, Mighty Blow, Stand Firm, Strong Arm, Take Root, Thick Skull, Throw Team-mate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I25" sqref="I25:K25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</row>
    <row r="4" spans="1:49" ht="12.75">
      <c r="A4" s="2"/>
      <c r="B4" s="40">
        <v>1</v>
      </c>
      <c r="C4" s="41" t="s">
        <v>67</v>
      </c>
      <c r="D4" s="42" t="s">
        <v>68</v>
      </c>
      <c r="E4" s="43">
        <f>IFERROR(VLOOKUP($I$24&amp;$D4,'Database-Hidden'!$C$2:$J$120,4,FALSE)-P4+AG4,"")</f>
        <v>6</v>
      </c>
      <c r="F4" s="44">
        <f>IFERROR(VLOOKUP($I$24&amp;$D4,'Database-Hidden'!$C$2:$J$120,5,FALSE)-Q4+AH4,"")</f>
        <v>3</v>
      </c>
      <c r="G4" s="44">
        <f>IFERROR(VLOOKUP($I$24&amp;$D4,'Database-Hidden'!$C$2:$J$120,6,FALSE)-R4+AI4,"")</f>
        <v>4</v>
      </c>
      <c r="H4" s="45">
        <f>IFERROR(VLOOKUP($I$24&amp;$D4,'Database-Hidden'!$C$2:$J$120,7,FALSE)-S4+AJ4,"")</f>
        <v>8</v>
      </c>
      <c r="I4" s="46">
        <f>IFERROR(VLOOKUP($I$24&amp;$D4,'Database-Hidden'!$C$2:$J$120,8,FALSE),"")</f>
        <v>0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6" si="2">IF(L4=1,0,AD4+(20000*O4)+(20000*AE4)+(30000*AF4)+(30000*AG4)+(50000*AH4)+(40000*AI4)+(50000*AJ4)+AK4)</f>
        <v>70000</v>
      </c>
      <c r="AC4" s="4"/>
      <c r="AD4" s="59">
        <f>IFERROR(VLOOKUP($I$24&amp;D4,'Database-Hidden'!$C$2:$E$120,3,FALSE),"")</f>
        <v>70000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</row>
    <row r="5" spans="1:49" ht="12.75">
      <c r="A5" s="2"/>
      <c r="B5" s="70">
        <v>2</v>
      </c>
      <c r="C5" s="71" t="s">
        <v>71</v>
      </c>
      <c r="D5" s="72" t="s">
        <v>68</v>
      </c>
      <c r="E5" s="73">
        <f>IFERROR(VLOOKUP($I$24&amp;$D5,'Database-Hidden'!$C$2:$J$120,4,FALSE)-P5+AG5,"")</f>
        <v>6</v>
      </c>
      <c r="F5" s="74">
        <f>IFERROR(VLOOKUP($I$24&amp;$D5,'Database-Hidden'!$C$2:$J$120,5,FALSE)-Q5+AH5,"")</f>
        <v>3</v>
      </c>
      <c r="G5" s="74">
        <f>IFERROR(VLOOKUP($I$24&amp;$D5,'Database-Hidden'!$C$2:$J$120,6,FALSE)-R5+AI5,"")</f>
        <v>4</v>
      </c>
      <c r="H5" s="75">
        <f>IFERROR(VLOOKUP($I$24&amp;$D5,'Database-Hidden'!$C$2:$J$120,7,FALSE)-S5+AJ5,"")</f>
        <v>8</v>
      </c>
      <c r="I5" s="76">
        <f>IFERROR(VLOOKUP($I$24&amp;$D5,'Database-Hidden'!$C$2:$J$120,8,FALSE),"")</f>
        <v>0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70000</v>
      </c>
      <c r="AC5" s="4"/>
      <c r="AD5" s="90">
        <f>IFERROR(VLOOKUP($I$24&amp;D5,'Database-Hidden'!$C$2:$E$120,3,FALSE),"")</f>
        <v>70000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</row>
    <row r="6" spans="1:49" ht="12.75">
      <c r="A6" s="2"/>
      <c r="B6" s="70">
        <v>3</v>
      </c>
      <c r="C6" s="71" t="s">
        <v>81</v>
      </c>
      <c r="D6" s="72" t="s">
        <v>68</v>
      </c>
      <c r="E6" s="73">
        <f>IFERROR(VLOOKUP($I$24&amp;$D6,'Database-Hidden'!$C$2:$J$120,4,FALSE)-P6+AG6,"")</f>
        <v>6</v>
      </c>
      <c r="F6" s="74">
        <f>IFERROR(VLOOKUP($I$24&amp;$D6,'Database-Hidden'!$C$2:$J$120,5,FALSE)-Q6+AH6,"")</f>
        <v>3</v>
      </c>
      <c r="G6" s="74">
        <f>IFERROR(VLOOKUP($I$24&amp;$D6,'Database-Hidden'!$C$2:$J$120,6,FALSE)-R6+AI6,"")</f>
        <v>4</v>
      </c>
      <c r="H6" s="75">
        <f>IFERROR(VLOOKUP($I$24&amp;$D6,'Database-Hidden'!$C$2:$J$120,7,FALSE)-S6+AJ6,"")</f>
        <v>8</v>
      </c>
      <c r="I6" s="76">
        <f>IFERROR(VLOOKUP($I$24&amp;$D6,'Database-Hidden'!$C$2:$J$120,8,FALSE),"")</f>
        <v>0</v>
      </c>
      <c r="J6" s="77" t="s">
        <v>82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7"/>
      <c r="V6" s="87">
        <v>2</v>
      </c>
      <c r="W6" s="86"/>
      <c r="X6" s="83"/>
      <c r="Y6" s="83"/>
      <c r="Z6" s="88"/>
      <c r="AA6" s="89">
        <f t="shared" si="1"/>
        <v>6</v>
      </c>
      <c r="AB6" s="58">
        <f t="shared" si="2"/>
        <v>100000</v>
      </c>
      <c r="AC6" s="4"/>
      <c r="AD6" s="90">
        <f>IFERROR(VLOOKUP($I$24&amp;D6,'Database-Hidden'!$C$2:$E$120,3,FALSE),"")</f>
        <v>70000</v>
      </c>
      <c r="AE6" s="91"/>
      <c r="AF6" s="92">
        <v>1</v>
      </c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60000</v>
      </c>
      <c r="AP6" s="106"/>
      <c r="AQ6" s="107"/>
      <c r="AR6" s="109" t="s">
        <v>15</v>
      </c>
      <c r="AS6" s="110" t="s">
        <v>84</v>
      </c>
      <c r="AT6" s="112">
        <v>2</v>
      </c>
      <c r="AU6" s="113">
        <v>1</v>
      </c>
      <c r="AV6" s="114">
        <f t="shared" ref="AV6:AV7" si="3">1</f>
        <v>1</v>
      </c>
      <c r="AW6" s="115"/>
    </row>
    <row r="7" spans="1:49" ht="12.75">
      <c r="A7" s="2"/>
      <c r="B7" s="70">
        <v>4</v>
      </c>
      <c r="C7" s="71" t="s">
        <v>85</v>
      </c>
      <c r="D7" s="72" t="s">
        <v>68</v>
      </c>
      <c r="E7" s="73">
        <f>IFERROR(VLOOKUP($I$24&amp;$D7,'Database-Hidden'!$C$2:$J$120,4,FALSE)-P7+AG7,"")</f>
        <v>6</v>
      </c>
      <c r="F7" s="74">
        <f>IFERROR(VLOOKUP($I$24&amp;$D7,'Database-Hidden'!$C$2:$J$120,5,FALSE)-Q7+AH7,"")</f>
        <v>3</v>
      </c>
      <c r="G7" s="74">
        <f>IFERROR(VLOOKUP($I$24&amp;$D7,'Database-Hidden'!$C$2:$J$120,6,FALSE)-R7+AI7,"")</f>
        <v>4</v>
      </c>
      <c r="H7" s="75">
        <f>IFERROR(VLOOKUP($I$24&amp;$D7,'Database-Hidden'!$C$2:$J$120,7,FALSE)-S7+AJ7,"")</f>
        <v>8</v>
      </c>
      <c r="I7" s="76">
        <f>IFERROR(VLOOKUP($I$24&amp;$D7,'Database-Hidden'!$C$2:$J$120,8,FALSE),"")</f>
        <v>0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7"/>
      <c r="V7" s="87">
        <v>1</v>
      </c>
      <c r="W7" s="87"/>
      <c r="X7" s="83"/>
      <c r="Y7" s="83"/>
      <c r="Z7" s="88"/>
      <c r="AA7" s="89">
        <f t="shared" si="1"/>
        <v>3</v>
      </c>
      <c r="AB7" s="58">
        <f t="shared" si="2"/>
        <v>70000</v>
      </c>
      <c r="AC7" s="4"/>
      <c r="AD7" s="116">
        <f>IFERROR(VLOOKUP($I$24&amp;D7,'Database-Hidden'!$C$2:$E$120,3,FALSE),"")</f>
        <v>70000</v>
      </c>
      <c r="AE7" s="91"/>
      <c r="AF7" s="92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60000</v>
      </c>
      <c r="AP7" s="121">
        <v>50000</v>
      </c>
      <c r="AQ7" s="122"/>
      <c r="AR7" s="124" t="s">
        <v>26</v>
      </c>
      <c r="AS7" s="126" t="s">
        <v>87</v>
      </c>
      <c r="AT7" s="128">
        <v>2</v>
      </c>
      <c r="AU7" s="130">
        <v>0</v>
      </c>
      <c r="AV7" s="131">
        <f t="shared" si="3"/>
        <v>1</v>
      </c>
      <c r="AW7" s="132"/>
    </row>
    <row r="8" spans="1:49" ht="12.75">
      <c r="A8" s="2"/>
      <c r="B8" s="70">
        <v>5</v>
      </c>
      <c r="C8" s="71" t="s">
        <v>88</v>
      </c>
      <c r="D8" s="72" t="s">
        <v>68</v>
      </c>
      <c r="E8" s="73">
        <f>IFERROR(VLOOKUP($I$24&amp;$D8,'Database-Hidden'!$C$2:$J$120,4,FALSE)-P8+AG8,"")</f>
        <v>6</v>
      </c>
      <c r="F8" s="74">
        <f>IFERROR(VLOOKUP($I$24&amp;$D8,'Database-Hidden'!$C$2:$J$120,5,FALSE)-Q8+AH8,"")</f>
        <v>3</v>
      </c>
      <c r="G8" s="74">
        <f>IFERROR(VLOOKUP($I$24&amp;$D8,'Database-Hidden'!$C$2:$J$120,6,FALSE)-R8+AI8,"")</f>
        <v>4</v>
      </c>
      <c r="H8" s="75">
        <f>IFERROR(VLOOKUP($I$24&amp;$D8,'Database-Hidden'!$C$2:$J$120,7,FALSE)-S8+AJ8,"")</f>
        <v>8</v>
      </c>
      <c r="I8" s="76">
        <f>IFERROR(VLOOKUP($I$24&amp;$D8,'Database-Hidden'!$C$2:$J$120,8,FALSE),"")</f>
        <v>0</v>
      </c>
      <c r="J8" s="77" t="s">
        <v>89</v>
      </c>
      <c r="K8" s="78">
        <f t="shared" si="0"/>
        <v>1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7">
        <v>1</v>
      </c>
      <c r="X8" s="83"/>
      <c r="Y8" s="83"/>
      <c r="Z8" s="88">
        <v>1</v>
      </c>
      <c r="AA8" s="89">
        <f t="shared" si="1"/>
        <v>7</v>
      </c>
      <c r="AB8" s="58">
        <f t="shared" si="2"/>
        <v>90000</v>
      </c>
      <c r="AC8" s="4"/>
      <c r="AD8" s="116">
        <f>IFERROR(VLOOKUP($I$24&amp;D8,'Database-Hidden'!$C$2:$E$120,3,FALSE),"")</f>
        <v>70000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70000</v>
      </c>
      <c r="AP8" s="121">
        <v>90000</v>
      </c>
      <c r="AQ8" s="122"/>
      <c r="AR8" s="134" t="s">
        <v>91</v>
      </c>
      <c r="AS8" s="126" t="s">
        <v>87</v>
      </c>
      <c r="AT8" s="128">
        <v>1</v>
      </c>
      <c r="AU8" s="130">
        <v>0</v>
      </c>
      <c r="AV8" s="135">
        <v>1</v>
      </c>
      <c r="AW8" s="132"/>
    </row>
    <row r="9" spans="1:49" ht="12.75">
      <c r="A9" s="2"/>
      <c r="B9" s="70">
        <v>6</v>
      </c>
      <c r="C9" s="71" t="s">
        <v>92</v>
      </c>
      <c r="D9" s="72" t="s">
        <v>68</v>
      </c>
      <c r="E9" s="73">
        <f>IFERROR(VLOOKUP($I$24&amp;$D9,'Database-Hidden'!$C$2:$J$120,4,FALSE)-P9+AG9,"")</f>
        <v>6</v>
      </c>
      <c r="F9" s="74">
        <f>IFERROR(VLOOKUP($I$24&amp;$D9,'Database-Hidden'!$C$2:$J$120,5,FALSE)-Q9+AH9,"")</f>
        <v>3</v>
      </c>
      <c r="G9" s="74">
        <f>IFERROR(VLOOKUP($I$24&amp;$D9,'Database-Hidden'!$C$2:$J$120,6,FALSE)-R9+AI9,"")</f>
        <v>4</v>
      </c>
      <c r="H9" s="75">
        <f>IFERROR(VLOOKUP($I$24&amp;$D9,'Database-Hidden'!$C$2:$J$120,7,FALSE)-S9+AJ9,"")</f>
        <v>8</v>
      </c>
      <c r="I9" s="76">
        <f>IFERROR(VLOOKUP($I$24&amp;$D9,'Database-Hidden'!$C$2:$J$120,8,FALSE),"")</f>
        <v>0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70000</v>
      </c>
      <c r="AC9" s="4"/>
      <c r="AD9" s="116">
        <f>IFERROR(VLOOKUP($I$24&amp;D9,'Database-Hidden'!$C$2:$E$120,3,FALSE),"")</f>
        <v>70000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</row>
    <row r="10" spans="1:49" ht="12.75">
      <c r="A10" s="2"/>
      <c r="B10" s="70">
        <v>7</v>
      </c>
      <c r="C10" s="71" t="s">
        <v>95</v>
      </c>
      <c r="D10" s="72" t="s">
        <v>68</v>
      </c>
      <c r="E10" s="73">
        <f>IFERROR(VLOOKUP($I$24&amp;$D10,'Database-Hidden'!$C$2:$J$120,4,FALSE)-P10+AG10,"")</f>
        <v>6</v>
      </c>
      <c r="F10" s="74">
        <f>IFERROR(VLOOKUP($I$24&amp;$D10,'Database-Hidden'!$C$2:$J$120,5,FALSE)-Q10+AH10,"")</f>
        <v>3</v>
      </c>
      <c r="G10" s="74">
        <f>IFERROR(VLOOKUP($I$24&amp;$D10,'Database-Hidden'!$C$2:$J$120,6,FALSE)-R10+AI10,"")</f>
        <v>4</v>
      </c>
      <c r="H10" s="75">
        <f>IFERROR(VLOOKUP($I$24&amp;$D10,'Database-Hidden'!$C$2:$J$120,7,FALSE)-S10+AJ10,"")</f>
        <v>8</v>
      </c>
      <c r="I10" s="76">
        <f>IFERROR(VLOOKUP($I$24&amp;$D10,'Database-Hidden'!$C$2:$J$120,8,FALSE),"")</f>
        <v>0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70000</v>
      </c>
      <c r="AC10" s="4"/>
      <c r="AD10" s="116">
        <f>IFERROR(VLOOKUP($I$24&amp;D10,'Database-Hidden'!$C$2:$E$120,3,FALSE),"")</f>
        <v>70000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</row>
    <row r="11" spans="1:49" ht="12.75">
      <c r="A11" s="2"/>
      <c r="B11" s="70">
        <v>8</v>
      </c>
      <c r="C11" s="71" t="s">
        <v>98</v>
      </c>
      <c r="D11" s="72" t="s">
        <v>68</v>
      </c>
      <c r="E11" s="73">
        <f>IFERROR(VLOOKUP($I$24&amp;$D11,'Database-Hidden'!$C$2:$J$120,4,FALSE)-P11+AG11,"")</f>
        <v>6</v>
      </c>
      <c r="F11" s="74">
        <f>IFERROR(VLOOKUP($I$24&amp;$D11,'Database-Hidden'!$C$2:$J$120,5,FALSE)-Q11+AH11,"")</f>
        <v>3</v>
      </c>
      <c r="G11" s="74">
        <f>IFERROR(VLOOKUP($I$24&amp;$D11,'Database-Hidden'!$C$2:$J$120,6,FALSE)-R11+AI11,"")</f>
        <v>4</v>
      </c>
      <c r="H11" s="75">
        <f>IFERROR(VLOOKUP($I$24&amp;$D11,'Database-Hidden'!$C$2:$J$120,7,FALSE)-S11+AJ11,"")</f>
        <v>8</v>
      </c>
      <c r="I11" s="76">
        <f>IFERROR(VLOOKUP($I$24&amp;$D11,'Database-Hidden'!$C$2:$J$120,8,FALSE),"")</f>
        <v>0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70000</v>
      </c>
      <c r="AC11" s="4"/>
      <c r="AD11" s="116">
        <f>IFERROR(VLOOKUP($I$24&amp;D11,'Database-Hidden'!$C$2:$E$120,3,FALSE),"")</f>
        <v>70000</v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</row>
    <row r="12" spans="1:49" ht="12.75">
      <c r="A12" s="2"/>
      <c r="B12" s="70">
        <v>9</v>
      </c>
      <c r="C12" s="71" t="s">
        <v>100</v>
      </c>
      <c r="D12" s="72" t="s">
        <v>101</v>
      </c>
      <c r="E12" s="73">
        <f>IFERROR(VLOOKUP($I$24&amp;$D12,'Database-Hidden'!$C$2:$J$120,4,FALSE)-P12+AG12,"")</f>
        <v>7</v>
      </c>
      <c r="F12" s="74">
        <f>IFERROR(VLOOKUP($I$24&amp;$D12,'Database-Hidden'!$C$2:$J$120,5,FALSE)-Q12+AH12,"")</f>
        <v>3</v>
      </c>
      <c r="G12" s="74">
        <f>IFERROR(VLOOKUP($I$24&amp;$D12,'Database-Hidden'!$C$2:$J$120,6,FALSE)-R12+AI12,"")</f>
        <v>4</v>
      </c>
      <c r="H12" s="75">
        <f>IFERROR(VLOOKUP($I$24&amp;$D12,'Database-Hidden'!$C$2:$J$120,7,FALSE)-S12+AJ12,"")</f>
        <v>8</v>
      </c>
      <c r="I12" s="76" t="str">
        <f>IFERROR(VLOOKUP($I$24&amp;$D12,'Database-Hidden'!$C$2:$J$120,8,FALSE),"")</f>
        <v>Block</v>
      </c>
      <c r="J12" s="77" t="s">
        <v>103</v>
      </c>
      <c r="K12" s="78">
        <f t="shared" si="0"/>
        <v>1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7">
        <v>1</v>
      </c>
      <c r="W12" s="87"/>
      <c r="X12" s="83"/>
      <c r="Y12" s="83"/>
      <c r="Z12" s="88">
        <v>1</v>
      </c>
      <c r="AA12" s="89">
        <f t="shared" si="1"/>
        <v>8</v>
      </c>
      <c r="AB12" s="58">
        <f t="shared" si="2"/>
        <v>120000</v>
      </c>
      <c r="AC12" s="4"/>
      <c r="AD12" s="116">
        <f>IFERROR(VLOOKUP($I$24&amp;D12,'Database-Hidden'!$C$2:$E$120,3,FALSE),"")</f>
        <v>100000</v>
      </c>
      <c r="AE12" s="91">
        <v>1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</row>
    <row r="13" spans="1:49" ht="12.75">
      <c r="A13" s="2"/>
      <c r="B13" s="70">
        <v>10</v>
      </c>
      <c r="C13" s="71" t="s">
        <v>104</v>
      </c>
      <c r="D13" s="72" t="s">
        <v>101</v>
      </c>
      <c r="E13" s="73">
        <f>IFERROR(VLOOKUP($I$24&amp;$D13,'Database-Hidden'!$C$2:$J$120,4,FALSE)-P13+AG13,"")</f>
        <v>7</v>
      </c>
      <c r="F13" s="74">
        <f>IFERROR(VLOOKUP($I$24&amp;$D13,'Database-Hidden'!$C$2:$J$120,5,FALSE)-Q13+AH13,"")</f>
        <v>3</v>
      </c>
      <c r="G13" s="74">
        <f>IFERROR(VLOOKUP($I$24&amp;$D13,'Database-Hidden'!$C$2:$J$120,6,FALSE)-R13+AI13,"")</f>
        <v>4</v>
      </c>
      <c r="H13" s="75">
        <f>IFERROR(VLOOKUP($I$24&amp;$D13,'Database-Hidden'!$C$2:$J$120,7,FALSE)-S13+AJ13,"")</f>
        <v>8</v>
      </c>
      <c r="I13" s="76" t="str">
        <f>IFERROR(VLOOKUP($I$24&amp;$D13,'Database-Hidden'!$C$2:$J$120,8,FALSE),"")</f>
        <v>Block</v>
      </c>
      <c r="J13" s="77"/>
      <c r="K13" s="78">
        <f t="shared" si="0"/>
        <v>0</v>
      </c>
      <c r="L13" s="80">
        <v>1</v>
      </c>
      <c r="M13" s="79"/>
      <c r="N13" s="80"/>
      <c r="O13" s="81"/>
      <c r="P13" s="82"/>
      <c r="Q13" s="83"/>
      <c r="R13" s="83"/>
      <c r="S13" s="84"/>
      <c r="T13" s="85"/>
      <c r="U13" s="87">
        <v>1</v>
      </c>
      <c r="V13" s="87"/>
      <c r="W13" s="87"/>
      <c r="X13" s="83"/>
      <c r="Y13" s="83"/>
      <c r="Z13" s="88"/>
      <c r="AA13" s="89">
        <f t="shared" si="1"/>
        <v>1</v>
      </c>
      <c r="AB13" s="58">
        <f t="shared" si="2"/>
        <v>0</v>
      </c>
      <c r="AC13" s="4"/>
      <c r="AD13" s="116">
        <f>IFERROR(VLOOKUP($I$24&amp;D13,'Database-Hidden'!$C$2:$E$120,3,FALSE),"")</f>
        <v>100000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</row>
    <row r="14" spans="1:49" ht="12.75">
      <c r="A14" s="2"/>
      <c r="B14" s="70">
        <v>11</v>
      </c>
      <c r="C14" s="71" t="s">
        <v>107</v>
      </c>
      <c r="D14" s="72" t="s">
        <v>108</v>
      </c>
      <c r="E14" s="73">
        <f>IFERROR(VLOOKUP($I$24&amp;$D14,'Database-Hidden'!$C$2:$J$120,4,FALSE)-P14+AG14,"")</f>
        <v>6</v>
      </c>
      <c r="F14" s="74">
        <f>IFERROR(VLOOKUP($I$24&amp;$D14,'Database-Hidden'!$C$2:$J$120,5,FALSE)-Q14+AH14,"")</f>
        <v>3</v>
      </c>
      <c r="G14" s="74">
        <f>IFERROR(VLOOKUP($I$24&amp;$D14,'Database-Hidden'!$C$2:$J$120,6,FALSE)-R14+AI14,"")</f>
        <v>4</v>
      </c>
      <c r="H14" s="75">
        <f>IFERROR(VLOOKUP($I$24&amp;$D14,'Database-Hidden'!$C$2:$J$120,7,FALSE)-S14+AJ14,"")</f>
        <v>8</v>
      </c>
      <c r="I14" s="76" t="str">
        <f>IFERROR(VLOOKUP($I$24&amp;$D14,'Database-Hidden'!$C$2:$J$120,8,FALSE),"")</f>
        <v>Pass, Safe Throw</v>
      </c>
      <c r="J14" s="77" t="s">
        <v>103</v>
      </c>
      <c r="K14" s="78">
        <f t="shared" si="0"/>
        <v>1</v>
      </c>
      <c r="L14" s="79"/>
      <c r="M14" s="79"/>
      <c r="N14" s="80"/>
      <c r="O14" s="81"/>
      <c r="P14" s="82"/>
      <c r="Q14" s="83"/>
      <c r="R14" s="83"/>
      <c r="S14" s="84"/>
      <c r="T14" s="85"/>
      <c r="U14" s="87">
        <v>6</v>
      </c>
      <c r="V14" s="86"/>
      <c r="W14" s="87"/>
      <c r="X14" s="83"/>
      <c r="Y14" s="83"/>
      <c r="Z14" s="88">
        <v>1</v>
      </c>
      <c r="AA14" s="89">
        <f t="shared" si="1"/>
        <v>11</v>
      </c>
      <c r="AB14" s="58">
        <f t="shared" si="2"/>
        <v>110000</v>
      </c>
      <c r="AC14" s="4"/>
      <c r="AD14" s="116">
        <f>IFERROR(VLOOKUP($I$24&amp;D14,'Database-Hidden'!$C$2:$E$120,3,FALSE),"")</f>
        <v>90000</v>
      </c>
      <c r="AE14" s="91">
        <v>1</v>
      </c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</row>
    <row r="15" spans="1:49" ht="12.75">
      <c r="A15" s="2"/>
      <c r="B15" s="70">
        <v>12</v>
      </c>
      <c r="C15" s="71"/>
      <c r="D15" s="72"/>
      <c r="E15" s="73"/>
      <c r="F15" s="74"/>
      <c r="G15" s="74"/>
      <c r="H15" s="75"/>
      <c r="I15" s="76"/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6" t="str">
        <f>IFERROR(VLOOKUP($I$24&amp;D15,'Database-Hidden'!$C$2:$E$120,3,FALSE),"")</f>
        <v/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</row>
    <row r="16" spans="1:49" ht="12.75">
      <c r="A16" s="2"/>
      <c r="B16" s="70">
        <v>13</v>
      </c>
      <c r="C16" s="71" t="s">
        <v>112</v>
      </c>
      <c r="D16" s="72" t="s">
        <v>113</v>
      </c>
      <c r="E16" s="73">
        <f>IFERROR(VLOOKUP($I$24&amp;$D16,'Database-Hidden'!$C$2:$J$120,4,FALSE)-P16+AG16,"")</f>
        <v>8</v>
      </c>
      <c r="F16" s="74">
        <f>IFERROR(VLOOKUP($I$24&amp;$D16,'Database-Hidden'!$C$2:$J$120,5,FALSE)-Q16+AH16,"")</f>
        <v>3</v>
      </c>
      <c r="G16" s="74">
        <f>IFERROR(VLOOKUP($I$24&amp;$D16,'Database-Hidden'!$C$2:$J$120,6,FALSE)-R16+AI16,"")</f>
        <v>4</v>
      </c>
      <c r="H16" s="75">
        <f>IFERROR(VLOOKUP($I$24&amp;$D16,'Database-Hidden'!$C$2:$J$120,7,FALSE)-S16+AJ16,"")</f>
        <v>7</v>
      </c>
      <c r="I16" s="76" t="str">
        <f>IFERROR(VLOOKUP($I$24&amp;$D16,'Database-Hidden'!$C$2:$J$120,8,FALSE),"")</f>
        <v>Catch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90000</v>
      </c>
      <c r="AC16" s="4"/>
      <c r="AD16" s="116">
        <f>IFERROR(VLOOKUP($I$24&amp;D16,'Database-Hidden'!$C$2:$E$120,3,FALSE),"")</f>
        <v>90000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</row>
    <row r="17" spans="1:49" ht="12.75">
      <c r="A17" s="2"/>
      <c r="B17" s="70">
        <v>14</v>
      </c>
      <c r="C17" s="71"/>
      <c r="D17" s="72"/>
      <c r="E17" s="73" t="str">
        <f>IFERROR(VLOOKUP($I$24&amp;$D17,'Database-Hidden'!$C$2:$J$120,4,FALSE)-P17+AG17,"")</f>
        <v/>
      </c>
      <c r="F17" s="74" t="str">
        <f>IFERROR(VLOOKUP($I$24&amp;$D17,'Database-Hidden'!$C$2:$J$120,5,FALSE)-Q17+AH17,"")</f>
        <v/>
      </c>
      <c r="G17" s="74" t="str">
        <f>IFERROR(VLOOKUP($I$24&amp;$D17,'Database-Hidden'!$C$2:$J$120,6,FALSE)-R17+AI17,"")</f>
        <v/>
      </c>
      <c r="H17" s="75" t="str">
        <f>IFERROR(VLOOKUP($I$24&amp;$D17,'Database-Hidden'!$C$2:$J$120,7,FALSE)-S17+AJ17,"")</f>
        <v/>
      </c>
      <c r="I17" s="76" t="str">
        <f>IFERROR(VLOOKUP($I$24&amp;$D17,'Database-Hidden'!$C$2:$J$120,8,FALSE),"")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IFERROR(VLOOKUP($I$24&amp;D17,'Database-Hidden'!$C$2:$E$120,3,FALSE),"")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</row>
    <row r="18" spans="1:49" ht="12.75">
      <c r="A18" s="2"/>
      <c r="B18" s="70">
        <v>15</v>
      </c>
      <c r="C18" s="71"/>
      <c r="D18" s="72"/>
      <c r="E18" s="73" t="str">
        <f>IFERROR(VLOOKUP($I$24&amp;$D18,'Database-Hidden'!$C$2:$J$120,4,FALSE)-P18+AG18,"")</f>
        <v/>
      </c>
      <c r="F18" s="74" t="str">
        <f>IFERROR(VLOOKUP($I$24&amp;$D18,'Database-Hidden'!$C$2:$J$120,5,FALSE)-Q18+AH18,"")</f>
        <v/>
      </c>
      <c r="G18" s="74" t="str">
        <f>IFERROR(VLOOKUP($I$24&amp;$D18,'Database-Hidden'!$C$2:$J$120,6,FALSE)-R18+AI18,"")</f>
        <v/>
      </c>
      <c r="H18" s="75" t="str">
        <f>IFERROR(VLOOKUP($I$24&amp;$D18,'Database-Hidden'!$C$2:$J$120,7,FALSE)-S18+AJ18,"")</f>
        <v/>
      </c>
      <c r="I18" s="76" t="str">
        <f>IFERROR(VLOOKUP($I$24&amp;$D18,'Database-Hidden'!$C$2:$J$120,8,FALSE),"")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IFERROR(VLOOKUP($I$24&amp;D18,'Database-Hidden'!$C$2:$E$120,3,FALSE),"")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50000</v>
      </c>
      <c r="AP18" s="4"/>
      <c r="AQ18" s="4"/>
      <c r="AR18" s="67"/>
      <c r="AS18" s="148" t="s">
        <v>42</v>
      </c>
      <c r="AT18" s="150">
        <f t="shared" ref="AT18:AU18" si="4">SUM(AT6:AT17)</f>
        <v>5</v>
      </c>
      <c r="AU18" s="151">
        <f t="shared" si="4"/>
        <v>1</v>
      </c>
      <c r="AV18" s="152">
        <f>AV4+SUM(AV6:AV17)</f>
        <v>3</v>
      </c>
      <c r="AW18" s="5"/>
    </row>
    <row r="19" spans="1:49" ht="12.75">
      <c r="A19" s="2"/>
      <c r="B19" s="153">
        <v>16</v>
      </c>
      <c r="C19" s="154"/>
      <c r="D19" s="155"/>
      <c r="E19" s="156" t="str">
        <f>IFERROR(VLOOKUP($I$24&amp;$D19,'Database-Hidden'!$C$2:$J$120,4,FALSE)-P19+AG19,"")</f>
        <v/>
      </c>
      <c r="F19" s="157" t="str">
        <f>IFERROR(VLOOKUP($I$24&amp;$D19,'Database-Hidden'!$C$2:$J$120,5,FALSE)-Q19+AH19,"")</f>
        <v/>
      </c>
      <c r="G19" s="157" t="str">
        <f>IFERROR(VLOOKUP($I$24&amp;$D19,'Database-Hidden'!$C$2:$J$120,6,FALSE)-R19+AI19,"")</f>
        <v/>
      </c>
      <c r="H19" s="159" t="str">
        <f>IFERROR(VLOOKUP($I$24&amp;$D19,'Database-Hidden'!$C$2:$J$120,7,FALSE)-S19+AJ19,"")</f>
        <v/>
      </c>
      <c r="I19" s="160" t="str">
        <f>IFERROR(VLOOKUP($I$24&amp;$D19,'Database-Hidden'!$C$2:$J$120,8,FALSE),"")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IFERROR(VLOOKUP($I$24&amp;D19,'Database-Hidden'!$C$2:$E$120,3,FALSE),"")</f>
        <v/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  <c r="AV19" s="179"/>
    </row>
    <row r="20" spans="1:49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930000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</row>
    <row r="21" spans="1:49" ht="12.75">
      <c r="A21" s="2"/>
      <c r="B21" s="531"/>
      <c r="C21" s="507"/>
      <c r="D21" s="532"/>
      <c r="E21" s="538" t="s">
        <v>117</v>
      </c>
      <c r="F21" s="507"/>
      <c r="G21" s="507"/>
      <c r="H21" s="539"/>
      <c r="I21" s="536" t="s">
        <v>118</v>
      </c>
      <c r="J21" s="507"/>
      <c r="K21" s="53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IFERROR(VLOOKUP(I24,'Database-Hidden'!N2:O28,2,FALSE),"")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5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531"/>
      <c r="C22" s="507"/>
      <c r="D22" s="532"/>
      <c r="E22" s="507"/>
      <c r="F22" s="507"/>
      <c r="G22" s="507"/>
      <c r="H22" s="539"/>
      <c r="I22" s="531"/>
      <c r="J22" s="507"/>
      <c r="K22" s="532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3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5"/>
        <v>30000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50000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531"/>
      <c r="C23" s="507"/>
      <c r="D23" s="532"/>
      <c r="E23" s="525"/>
      <c r="F23" s="525"/>
      <c r="G23" s="525"/>
      <c r="H23" s="540"/>
      <c r="I23" s="537"/>
      <c r="J23" s="525"/>
      <c r="K23" s="528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5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30000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531"/>
      <c r="C24" s="507"/>
      <c r="D24" s="532"/>
      <c r="E24" s="529" t="s">
        <v>126</v>
      </c>
      <c r="F24" s="509"/>
      <c r="G24" s="509"/>
      <c r="H24" s="512"/>
      <c r="I24" s="543" t="s">
        <v>127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5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25000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531"/>
      <c r="C25" s="507"/>
      <c r="D25" s="532"/>
      <c r="E25" s="529" t="str">
        <f>IFERROR(IF(VLOOKUP(I24,'Database-Hidden'!X2:Y28,2,FALSE)="Yes","NECROMANCER","HEAD COACH"),"HEAD COACH")</f>
        <v>HEAD COACH</v>
      </c>
      <c r="F25" s="509"/>
      <c r="G25" s="509"/>
      <c r="H25" s="512"/>
      <c r="I25" s="543" t="s">
        <v>129</v>
      </c>
      <c r="J25" s="509"/>
      <c r="K25" s="510"/>
      <c r="L25" s="511" t="str">
        <f>IFERROR(IF(VLOOKUP(I24,'Database-Hidden'!X2:Y28,1,FALSE)&lt;&gt;"","",""),"APOTHECARY")</f>
        <v>APOTHECARY</v>
      </c>
      <c r="M25" s="509"/>
      <c r="N25" s="509"/>
      <c r="O25" s="509"/>
      <c r="P25" s="509"/>
      <c r="Q25" s="509"/>
      <c r="R25" s="509"/>
      <c r="S25" s="512"/>
      <c r="T25" s="190">
        <v>1</v>
      </c>
      <c r="U25" s="186" t="str">
        <f>IF(L25&lt;&gt;"","x","")</f>
        <v>x</v>
      </c>
      <c r="V25" s="508">
        <f>IF(L25&lt;&gt;"",50000,"")</f>
        <v>50000</v>
      </c>
      <c r="W25" s="509"/>
      <c r="X25" s="509"/>
      <c r="Y25" s="509"/>
      <c r="Z25" s="509"/>
      <c r="AA25" s="510"/>
      <c r="AB25" s="187">
        <f t="shared" si="5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531"/>
      <c r="C26" s="507"/>
      <c r="D26" s="532"/>
      <c r="E26" s="529" t="s">
        <v>131</v>
      </c>
      <c r="F26" s="509"/>
      <c r="G26" s="509"/>
      <c r="H26" s="509"/>
      <c r="I26" s="548">
        <f>AB20+AB28</f>
        <v>1160000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0</v>
      </c>
      <c r="U26" s="186" t="s">
        <v>47</v>
      </c>
      <c r="V26" s="508">
        <f>IF(I24="Halfling",200000,600000)</f>
        <v>600000</v>
      </c>
      <c r="W26" s="509"/>
      <c r="X26" s="509"/>
      <c r="Y26" s="509"/>
      <c r="Z26" s="509"/>
      <c r="AA26" s="510"/>
      <c r="AB26" s="187">
        <f t="shared" ref="AB26:AB27" si="6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110000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531"/>
      <c r="C27" s="507"/>
      <c r="D27" s="532"/>
      <c r="E27" s="541" t="s">
        <v>133</v>
      </c>
      <c r="F27" s="542"/>
      <c r="G27" s="542"/>
      <c r="H27" s="542"/>
      <c r="I27" s="549">
        <f>AO18</f>
        <v>50000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0</v>
      </c>
      <c r="U27" s="199" t="s">
        <v>47</v>
      </c>
      <c r="V27" s="546">
        <f>IF(I24="Goblin",100000,200000)</f>
        <v>200000</v>
      </c>
      <c r="W27" s="542"/>
      <c r="X27" s="542"/>
      <c r="Y27" s="542"/>
      <c r="Z27" s="542"/>
      <c r="AA27" s="547"/>
      <c r="AB27" s="187">
        <f t="shared" si="6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533"/>
      <c r="C28" s="534"/>
      <c r="D28" s="535"/>
      <c r="E28" s="522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SUM(AB21:AB25)</f>
        <v>230000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09">
        <f>MATCH(I24,'Database-Hidden'!A2:A120,0)</f>
        <v>50</v>
      </c>
      <c r="D30" s="209" t="str">
        <f t="shared" ref="D30:D39" si="7">I30&amp;IF(COUNTIF(D$4:D$19,I30)&gt;E30," (Too Many)","")</f>
        <v>Lineman</v>
      </c>
      <c r="E30" s="210">
        <f t="array" ref="E30">IFERROR(IF(INDEX('Database-Hidden'!$A$2:$B$120,$C30,1)=$I$24,INDEX('Database-Hidden'!$A$2:$D$120,$C30,4),""),"")</f>
        <v>16</v>
      </c>
      <c r="I30" s="209" t="str">
        <f t="array" ref="I30">IFERROR(IF(INDEX('Database-Hidden'!$A$2:$B$120,$C30,1)=$I$24,INDEX('Database-Hidden'!$A$2:$B$120,$C30,2),""),"")</f>
        <v>Lineman</v>
      </c>
      <c r="AV30" s="179"/>
    </row>
    <row r="31" spans="1:49" ht="17.25" hidden="1" customHeight="1">
      <c r="C31" s="209">
        <f t="shared" ref="C31:C39" si="8">C30+1</f>
        <v>51</v>
      </c>
      <c r="D31" s="209" t="str">
        <f t="shared" si="7"/>
        <v>Thrower</v>
      </c>
      <c r="E31" s="210">
        <f t="array" ref="E31">IFERROR(IF(INDEX('Database-Hidden'!$A$2:$B$120,$C31,1)=$I$24,INDEX('Database-Hidden'!$A$2:$D$120,$C31,4),""),"")</f>
        <v>2</v>
      </c>
      <c r="I31" s="209" t="str">
        <f t="array" ref="I31">IFERROR(IF(INDEX('Database-Hidden'!$A$2:$B$120,$C31,1)=$I$24,INDEX('Database-Hidden'!$A$2:$B$120,$C31,2),""),"")</f>
        <v>Thrower</v>
      </c>
      <c r="AV31" s="179"/>
    </row>
    <row r="32" spans="1:49" ht="17.25" hidden="1" customHeight="1">
      <c r="C32" s="209">
        <f t="shared" si="8"/>
        <v>52</v>
      </c>
      <c r="D32" s="209" t="str">
        <f t="shared" si="7"/>
        <v>Catcher</v>
      </c>
      <c r="E32" s="210">
        <f t="array" ref="E32">IFERROR(IF(INDEX('Database-Hidden'!$A$2:$B$120,$C32,1)=$I$24,INDEX('Database-Hidden'!$A$2:$D$120,$C32,4),""),"")</f>
        <v>4</v>
      </c>
      <c r="I32" s="209" t="str">
        <f t="array" ref="I32">IFERROR(IF(INDEX('Database-Hidden'!$A$2:$B$120,$C32,1)=$I$24,INDEX('Database-Hidden'!$A$2:$B$120,$C32,2),""),"")</f>
        <v>Catcher</v>
      </c>
      <c r="AV32" s="179"/>
    </row>
    <row r="33" spans="3:48" ht="17.25" hidden="1" customHeight="1">
      <c r="C33" s="209">
        <f t="shared" si="8"/>
        <v>53</v>
      </c>
      <c r="D33" s="209" t="str">
        <f t="shared" si="7"/>
        <v>Blitzer</v>
      </c>
      <c r="E33" s="210">
        <f t="array" ref="E33">IFERROR(IF(INDEX('Database-Hidden'!$A$2:$B$120,$C33,1)=$I$24,INDEX('Database-Hidden'!$A$2:$D$120,$C33,4),""),"")</f>
        <v>2</v>
      </c>
      <c r="I33" s="209" t="str">
        <f t="array" ref="I33">IFERROR(IF(INDEX('Database-Hidden'!$A$2:$B$120,$C33,1)=$I$24,INDEX('Database-Hidden'!$A$2:$B$120,$C33,2),""),"")</f>
        <v>Blitzer</v>
      </c>
      <c r="AV33" s="179"/>
    </row>
    <row r="34" spans="3:48" ht="17.25" hidden="1" customHeight="1">
      <c r="C34" s="209">
        <f t="shared" si="8"/>
        <v>54</v>
      </c>
      <c r="D34" s="209" t="str">
        <f t="shared" si="7"/>
        <v/>
      </c>
      <c r="E34" s="210" t="str">
        <f t="array" ref="E34">IFERROR(IF(INDEX('Database-Hidden'!$A$2:$B$120,$C34,1)=$I$24,INDEX('Database-Hidden'!$A$2:$D$120,$C34,4),""),"")</f>
        <v/>
      </c>
      <c r="I34" s="209" t="str">
        <f t="array" ref="I34">IFERROR(IF(INDEX('Database-Hidden'!$A$2:$B$120,$C34,1)=$I$24,INDEX('Database-Hidden'!$A$2:$B$120,$C34,2),""),"")</f>
        <v/>
      </c>
      <c r="AV34" s="179"/>
    </row>
    <row r="35" spans="3:48" ht="17.25" hidden="1" customHeight="1">
      <c r="C35" s="209">
        <f t="shared" si="8"/>
        <v>55</v>
      </c>
      <c r="D35" s="209" t="str">
        <f t="shared" si="7"/>
        <v/>
      </c>
      <c r="E35" s="210" t="str">
        <f t="array" ref="E35">IFERROR(IF(INDEX('Database-Hidden'!$A$2:$B$120,$C35,1)=$I$24,INDEX('Database-Hidden'!$A$2:$D$120,$C35,4),""),"")</f>
        <v/>
      </c>
      <c r="I35" s="209" t="str">
        <f t="array" ref="I35">IFERROR(IF(INDEX('Database-Hidden'!$A$2:$B$120,$C35,1)=$I$24,INDEX('Database-Hidden'!$A$2:$B$120,$C35,2),""),"")</f>
        <v/>
      </c>
      <c r="AV35" s="179"/>
    </row>
    <row r="36" spans="3:48" ht="17.25" hidden="1" customHeight="1">
      <c r="C36" s="209">
        <f t="shared" si="8"/>
        <v>56</v>
      </c>
      <c r="D36" s="209" t="str">
        <f t="shared" si="7"/>
        <v/>
      </c>
      <c r="E36" s="210" t="str">
        <f t="array" ref="E36">IFERROR(IF(INDEX('Database-Hidden'!$A$2:$B$120,$C36,1)=$I$24,INDEX('Database-Hidden'!$A$2:$D$120,$C36,4),""),"")</f>
        <v/>
      </c>
      <c r="I36" s="209" t="str">
        <f t="array" ref="I36">IFERROR(IF(INDEX('Database-Hidden'!$A$2:$B$120,$C36,1)=$I$24,INDEX('Database-Hidden'!$A$2:$B$120,$C36,2),""),"")</f>
        <v/>
      </c>
      <c r="AV36" s="179"/>
    </row>
    <row r="37" spans="3:48" ht="17.25" hidden="1" customHeight="1">
      <c r="C37" s="209">
        <f t="shared" si="8"/>
        <v>57</v>
      </c>
      <c r="D37" s="209" t="str">
        <f t="shared" si="7"/>
        <v/>
      </c>
      <c r="E37" s="210" t="str">
        <f t="array" ref="E37">IFERROR(IF(INDEX('Database-Hidden'!$A$2:$B$120,$C37,1)=$I$24,INDEX('Database-Hidden'!$A$2:$D$120,$C37,4),""),"")</f>
        <v/>
      </c>
      <c r="I37" s="209" t="str">
        <f t="array" ref="I37">IFERROR(IF(INDEX('Database-Hidden'!$A$2:$B$120,$C37,1)=$I$24,INDEX('Database-Hidden'!$A$2:$B$120,$C37,2),""),"")</f>
        <v/>
      </c>
      <c r="AV37" s="179"/>
    </row>
    <row r="38" spans="3:48" ht="17.25" hidden="1" customHeight="1">
      <c r="C38" s="209">
        <f t="shared" si="8"/>
        <v>58</v>
      </c>
      <c r="D38" s="209" t="str">
        <f t="shared" si="7"/>
        <v/>
      </c>
      <c r="E38" s="210" t="str">
        <f t="array" ref="E38">IFERROR(IF(INDEX('Database-Hidden'!$A$2:$B$120,$C38,1)=$I$24,INDEX('Database-Hidden'!$A$2:$D$120,$C38,4),""),"")</f>
        <v/>
      </c>
      <c r="I38" s="209" t="str">
        <f t="array" ref="I38">IFERROR(IF(INDEX('Database-Hidden'!$A$2:$B$120,$C38,1)=$I$24,INDEX('Database-Hidden'!$A$2:$B$120,$C38,2),""),"")</f>
        <v/>
      </c>
      <c r="AV38" s="179"/>
    </row>
    <row r="39" spans="3:48" ht="17.25" hidden="1" customHeight="1">
      <c r="C39" s="209">
        <f t="shared" si="8"/>
        <v>59</v>
      </c>
      <c r="D39" s="209" t="str">
        <f t="shared" si="7"/>
        <v/>
      </c>
      <c r="E39" s="210" t="str">
        <f t="array" ref="E39">IFERROR(IF(INDEX('Database-Hidden'!$A$2:$B$120,$C39,1)=$I$24,INDEX('Database-Hidden'!$A$2:$D$120,$C39,4),""),"")</f>
        <v/>
      </c>
      <c r="I39" s="209" t="str">
        <f t="array" ref="I39">IFERROR(IF(INDEX('Database-Hidden'!$A$2:$B$120,$C39,1)=$I$24,INDEX('Database-Hidden'!$A$2:$B$120,$C39,2),""),"")</f>
        <v/>
      </c>
      <c r="AV39" s="179"/>
    </row>
    <row r="40" spans="3:48" ht="17.25" hidden="1" customHeight="1">
      <c r="C40" s="211">
        <f>MATCH(I24,'Star Players-Hidden'!D2:AD2,0)</f>
        <v>11</v>
      </c>
      <c r="D40" s="211" t="str">
        <f t="shared" ref="D40:D51" ca="1" si="9">I40&amp;IF(COUNTIF(D$4:D$19,I40)&gt;1," (Too Many)","")</f>
        <v>Star: Bo Gallante</v>
      </c>
      <c r="E40" s="212"/>
      <c r="F40" s="212"/>
      <c r="G40" s="212"/>
      <c r="H40" s="212"/>
      <c r="I40" s="211" t="str">
        <f ca="1">IFERROR(__xludf.DUMMYFUNCTION("FILTER({""Star: ""&amp;'Star Players-Hidden'!A3:A87},INDEX('Star Players-Hidden'!D3:AD87,0,C40)&lt;&gt;"""",{'Star Players-Hidden'!C3:C87=""""}+{'Star Players-Hidden'!C3:C87=I21})"),"Star: Bo Gallante")</f>
        <v>Star: Bo Gallante</v>
      </c>
      <c r="AV40" s="179"/>
    </row>
    <row r="41" spans="3:48" ht="17.25" hidden="1" customHeight="1">
      <c r="C41" s="209"/>
      <c r="D41" s="209" t="str">
        <f t="shared" si="9"/>
        <v>Star: Dolfar Longstride</v>
      </c>
      <c r="I41" s="213" t="s">
        <v>139</v>
      </c>
      <c r="AV41" s="179"/>
    </row>
    <row r="42" spans="3:48" ht="17.25" hidden="1" customHeight="1">
      <c r="C42" s="209"/>
      <c r="D42" s="209" t="str">
        <f t="shared" si="9"/>
        <v>Star: Eldril Sidewinder</v>
      </c>
      <c r="I42" s="209" t="s">
        <v>142</v>
      </c>
      <c r="AV42" s="179"/>
    </row>
    <row r="43" spans="3:48" ht="17.25" hidden="1" customHeight="1">
      <c r="C43" s="209"/>
      <c r="D43" s="209" t="str">
        <f t="shared" si="9"/>
        <v>Star: Lucien the Swift</v>
      </c>
      <c r="I43" s="209" t="s">
        <v>143</v>
      </c>
      <c r="AV43" s="179"/>
    </row>
    <row r="44" spans="3:48" ht="17.25" hidden="1" customHeight="1">
      <c r="C44" s="209"/>
      <c r="D44" s="209" t="str">
        <f t="shared" si="9"/>
        <v>Star: Morg'n'Thorg</v>
      </c>
      <c r="I44" s="209" t="s">
        <v>144</v>
      </c>
      <c r="AV44" s="179"/>
    </row>
    <row r="45" spans="3:48" ht="17.25" hidden="1" customHeight="1">
      <c r="C45" s="209"/>
      <c r="D45" s="209" t="str">
        <f t="shared" si="9"/>
        <v>Star: Prince Moranion</v>
      </c>
      <c r="I45" s="209" t="s">
        <v>145</v>
      </c>
      <c r="AV45" s="179"/>
    </row>
    <row r="46" spans="3:48" ht="17.25" hidden="1" customHeight="1">
      <c r="C46" s="209"/>
      <c r="D46" s="209" t="str">
        <f t="shared" si="9"/>
        <v>Star: Soaren Hightower</v>
      </c>
      <c r="I46" s="209" t="s">
        <v>146</v>
      </c>
      <c r="AV46" s="179"/>
    </row>
    <row r="47" spans="3:48" ht="17.25" hidden="1" customHeight="1">
      <c r="C47" s="209"/>
      <c r="D47" s="209" t="str">
        <f t="shared" si="9"/>
        <v>Star: Valen the Swift</v>
      </c>
      <c r="I47" s="209" t="s">
        <v>147</v>
      </c>
      <c r="AV47" s="179"/>
    </row>
    <row r="48" spans="3:48" ht="17.25" hidden="1" customHeight="1">
      <c r="C48" s="209"/>
      <c r="D48" s="209" t="str">
        <f t="shared" si="9"/>
        <v>Star: Zara the Slayer</v>
      </c>
      <c r="I48" s="209" t="s">
        <v>148</v>
      </c>
      <c r="AV48" s="179"/>
    </row>
    <row r="49" spans="3:48" ht="17.25" hidden="1" customHeight="1">
      <c r="C49" s="209"/>
      <c r="D49" s="209" t="str">
        <f t="shared" si="9"/>
        <v/>
      </c>
      <c r="I49" s="209"/>
      <c r="AV49" s="179"/>
    </row>
    <row r="50" spans="3:48" ht="17.25" hidden="1" customHeight="1">
      <c r="C50" s="209"/>
      <c r="D50" s="209" t="str">
        <f t="shared" si="9"/>
        <v/>
      </c>
      <c r="I50" s="209"/>
      <c r="AV50" s="179"/>
    </row>
    <row r="51" spans="3:48" ht="17.25" hidden="1" customHeight="1">
      <c r="C51" s="209"/>
      <c r="D51" s="209" t="str">
        <f t="shared" si="9"/>
        <v/>
      </c>
      <c r="I51" s="209"/>
      <c r="AV51" s="179"/>
    </row>
  </sheetData>
  <mergeCells count="31">
    <mergeCell ref="E24:H24"/>
    <mergeCell ref="B20:D28"/>
    <mergeCell ref="I21:K23"/>
    <mergeCell ref="E21:H23"/>
    <mergeCell ref="E26:H26"/>
    <mergeCell ref="E27:H27"/>
    <mergeCell ref="E25:H25"/>
    <mergeCell ref="I25:K25"/>
    <mergeCell ref="E28:AA28"/>
    <mergeCell ref="L26:S26"/>
    <mergeCell ref="L27:S27"/>
    <mergeCell ref="V26:AA26"/>
    <mergeCell ref="V27:AA27"/>
    <mergeCell ref="I24:K24"/>
    <mergeCell ref="I26:K26"/>
    <mergeCell ref="I27:K27"/>
    <mergeCell ref="P2:S2"/>
    <mergeCell ref="AN21:AO21"/>
    <mergeCell ref="V22:AA22"/>
    <mergeCell ref="E20:AA20"/>
    <mergeCell ref="L22:S22"/>
    <mergeCell ref="L21:S21"/>
    <mergeCell ref="V21:AA21"/>
    <mergeCell ref="AR3:AV3"/>
    <mergeCell ref="V23:AA23"/>
    <mergeCell ref="L25:S25"/>
    <mergeCell ref="L23:S23"/>
    <mergeCell ref="L24:S24"/>
    <mergeCell ref="V25:AA25"/>
    <mergeCell ref="V24:AA24"/>
    <mergeCell ref="AN3:AQ3"/>
  </mergeCells>
  <conditionalFormatting sqref="J4">
    <cfRule type="expression" dxfId="798" priority="1">
      <formula>K4&lt;&gt;SUM(AE4:AJ4)</formula>
    </cfRule>
  </conditionalFormatting>
  <conditionalFormatting sqref="K4:K19">
    <cfRule type="cellIs" dxfId="797" priority="2" operator="equal">
      <formula>0</formula>
    </cfRule>
  </conditionalFormatting>
  <conditionalFormatting sqref="AB4:AB19">
    <cfRule type="cellIs" dxfId="796" priority="3" operator="equal">
      <formula>0</formula>
    </cfRule>
  </conditionalFormatting>
  <conditionalFormatting sqref="E4:H19">
    <cfRule type="expression" dxfId="795" priority="4">
      <formula>AG4&gt;0</formula>
    </cfRule>
  </conditionalFormatting>
  <conditionalFormatting sqref="E4:H19">
    <cfRule type="expression" dxfId="794" priority="5">
      <formula>P4&gt;0</formula>
    </cfRule>
  </conditionalFormatting>
  <conditionalFormatting sqref="T4:T19 U4:U19 V4:W19 Z4:Z19 U29">
    <cfRule type="cellIs" dxfId="793" priority="6" stopIfTrue="1" operator="equal">
      <formula>0</formula>
    </cfRule>
  </conditionalFormatting>
  <conditionalFormatting sqref="K4:K19">
    <cfRule type="cellIs" dxfId="792" priority="7" stopIfTrue="1" operator="equal">
      <formula>"n/a"</formula>
    </cfRule>
  </conditionalFormatting>
  <conditionalFormatting sqref="P4:S19">
    <cfRule type="cellIs" dxfId="791" priority="8" stopIfTrue="1" operator="lessThanOrEqual">
      <formula>-1</formula>
    </cfRule>
  </conditionalFormatting>
  <conditionalFormatting sqref="V25:W27">
    <cfRule type="cellIs" dxfId="790" priority="9" stopIfTrue="1" operator="equal">
      <formula>-500</formula>
    </cfRule>
  </conditionalFormatting>
  <conditionalFormatting sqref="T25:T27">
    <cfRule type="cellIs" dxfId="789" priority="10" stopIfTrue="1" operator="greaterThan">
      <formula>$V$25</formula>
    </cfRule>
  </conditionalFormatting>
  <conditionalFormatting sqref="AA4:AA19">
    <cfRule type="cellIs" dxfId="788" priority="11" stopIfTrue="1" operator="equal">
      <formula>"Star"</formula>
    </cfRule>
  </conditionalFormatting>
  <conditionalFormatting sqref="AA4:AA19">
    <cfRule type="cellIs" dxfId="787" priority="12" stopIfTrue="1" operator="equal">
      <formula>AB4</formula>
    </cfRule>
  </conditionalFormatting>
  <conditionalFormatting sqref="I4:I19">
    <cfRule type="cellIs" dxfId="786" priority="13" stopIfTrue="1" operator="equal">
      <formula>0</formula>
    </cfRule>
  </conditionalFormatting>
  <conditionalFormatting sqref="I4:I19">
    <cfRule type="cellIs" dxfId="785" priority="14" stopIfTrue="1" operator="equal">
      <formula>"Player type quantity surpassed"</formula>
    </cfRule>
  </conditionalFormatting>
  <conditionalFormatting sqref="J5">
    <cfRule type="expression" dxfId="784" priority="15">
      <formula>K5&lt;&gt;SUM(AE5:AJ5)</formula>
    </cfRule>
  </conditionalFormatting>
  <conditionalFormatting sqref="J6">
    <cfRule type="expression" dxfId="783" priority="16">
      <formula>K6&lt;&gt;SUM(AE6:AJ6)</formula>
    </cfRule>
  </conditionalFormatting>
  <conditionalFormatting sqref="J7">
    <cfRule type="expression" dxfId="782" priority="17">
      <formula>K7&lt;&gt;SUM(AE7:AJ7)</formula>
    </cfRule>
  </conditionalFormatting>
  <conditionalFormatting sqref="J8">
    <cfRule type="expression" dxfId="781" priority="18">
      <formula>K8&lt;&gt;SUM(AE8:AJ8)</formula>
    </cfRule>
  </conditionalFormatting>
  <conditionalFormatting sqref="J9">
    <cfRule type="expression" dxfId="780" priority="19">
      <formula>K9&lt;&gt;SUM(AE9:AJ9)</formula>
    </cfRule>
  </conditionalFormatting>
  <conditionalFormatting sqref="J10">
    <cfRule type="expression" dxfId="779" priority="20">
      <formula>K10&lt;&gt;SUM(AE10:AJ10)</formula>
    </cfRule>
  </conditionalFormatting>
  <conditionalFormatting sqref="J11">
    <cfRule type="expression" dxfId="778" priority="21">
      <formula>K11&lt;&gt;SUM(AE11:AJ11)</formula>
    </cfRule>
  </conditionalFormatting>
  <conditionalFormatting sqref="J12">
    <cfRule type="expression" dxfId="777" priority="22">
      <formula>K12&lt;&gt;SUM(AE12:AJ12)</formula>
    </cfRule>
  </conditionalFormatting>
  <conditionalFormatting sqref="J13">
    <cfRule type="expression" dxfId="776" priority="23">
      <formula>K13&lt;&gt;SUM(AE13:AJ13)</formula>
    </cfRule>
  </conditionalFormatting>
  <conditionalFormatting sqref="J14">
    <cfRule type="expression" dxfId="775" priority="24">
      <formula>K14&lt;&gt;SUM(AE14:AJ14)</formula>
    </cfRule>
  </conditionalFormatting>
  <conditionalFormatting sqref="J15">
    <cfRule type="expression" dxfId="774" priority="25">
      <formula>K15&lt;&gt;SUM(AE15:AJ15)</formula>
    </cfRule>
  </conditionalFormatting>
  <conditionalFormatting sqref="J16">
    <cfRule type="expression" dxfId="773" priority="26">
      <formula>K16&lt;&gt;SUM(AE16:AJ16)</formula>
    </cfRule>
  </conditionalFormatting>
  <conditionalFormatting sqref="J17">
    <cfRule type="expression" dxfId="772" priority="27">
      <formula>K17&lt;&gt;SUM(AE17:AJ17)</formula>
    </cfRule>
  </conditionalFormatting>
  <conditionalFormatting sqref="J18">
    <cfRule type="expression" dxfId="771" priority="28">
      <formula>K18&lt;&gt;SUM(AE18:AJ18)</formula>
    </cfRule>
  </conditionalFormatting>
  <conditionalFormatting sqref="J19">
    <cfRule type="expression" dxfId="770" priority="29">
      <formula>K19&lt;&gt;SUM(AE19:AJ19)</formula>
    </cfRule>
  </conditionalFormatting>
  <dataValidations count="3"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'AM1'!$D$28:$D$49</formula1>
    </dataValidation>
  </dataValidations>
  <printOptions horizontalCentered="1" gridLines="1"/>
  <pageMargins left="0.25" right="0.25" top="0.75" bottom="0.75" header="0" footer="0"/>
  <pageSetup fitToHeight="0" pageOrder="overThenDown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</row>
    <row r="4" spans="1:49" ht="12.75">
      <c r="A4" s="2"/>
      <c r="B4" s="40">
        <v>1</v>
      </c>
      <c r="C4" s="41"/>
      <c r="D4" s="42" t="s">
        <v>79</v>
      </c>
      <c r="E4" s="43">
        <f>IFERROR(VLOOKUP($I$24&amp;$D4,'Database-Hidden'!$C$2:$J$120,4,FALSE)-P4+AG4,"")</f>
        <v>4</v>
      </c>
      <c r="F4" s="44">
        <f>IFERROR(VLOOKUP($I$24&amp;$D4,'Database-Hidden'!$C$2:$J$120,5,FALSE)-Q4+AH4,"")</f>
        <v>3</v>
      </c>
      <c r="G4" s="44">
        <f>IFERROR(VLOOKUP($I$24&amp;$D4,'Database-Hidden'!$C$2:$J$120,6,FALSE)-R4+AI4,"")</f>
        <v>2</v>
      </c>
      <c r="H4" s="45">
        <f>IFERROR(VLOOKUP($I$24&amp;$D4,'Database-Hidden'!$C$2:$J$120,7,FALSE)-S4+AJ4,"")</f>
        <v>8</v>
      </c>
      <c r="I4" s="46" t="str">
        <f>IFERROR(VLOOKUP($I$24&amp;$D4,'Database-Hidden'!$C$2:$J$120,8,FALSE),"")</f>
        <v>Regeneration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4" si="2">IF(L4=1,0,AD4+(20000*O4)+(20000*AE4)+(30000*AF4)+(30000*AG4)+(50000*AH4)+(40000*AI4)+(50000*AJ4)+AK4)</f>
        <v>40000</v>
      </c>
      <c r="AC4" s="4"/>
      <c r="AD4" s="59">
        <f>IFERROR(VLOOKUP($I$24&amp;D4,'Database-Hidden'!$C$2:$E$120,3,FALSE),"")</f>
        <v>40000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/>
      <c r="AP4" s="4"/>
      <c r="AQ4" s="4"/>
      <c r="AR4" s="66"/>
      <c r="AS4" s="67"/>
      <c r="AT4" s="67"/>
      <c r="AU4" s="64" t="s">
        <v>70</v>
      </c>
      <c r="AV4" s="68"/>
      <c r="AW4" s="69"/>
    </row>
    <row r="5" spans="1:49" ht="12.75">
      <c r="A5" s="2"/>
      <c r="B5" s="70">
        <v>2</v>
      </c>
      <c r="C5" s="71"/>
      <c r="D5" s="72" t="s">
        <v>79</v>
      </c>
      <c r="E5" s="73">
        <f>IFERROR(VLOOKUP($I$24&amp;$D5,'Database-Hidden'!$C$2:$J$120,4,FALSE)-P5+AG5,"")</f>
        <v>4</v>
      </c>
      <c r="F5" s="74">
        <f>IFERROR(VLOOKUP($I$24&amp;$D5,'Database-Hidden'!$C$2:$J$120,5,FALSE)-Q5+AH5,"")</f>
        <v>3</v>
      </c>
      <c r="G5" s="74">
        <f>IFERROR(VLOOKUP($I$24&amp;$D5,'Database-Hidden'!$C$2:$J$120,6,FALSE)-R5+AI5,"")</f>
        <v>2</v>
      </c>
      <c r="H5" s="75">
        <f>IFERROR(VLOOKUP($I$24&amp;$D5,'Database-Hidden'!$C$2:$J$120,7,FALSE)-S5+AJ5,"")</f>
        <v>8</v>
      </c>
      <c r="I5" s="76" t="str">
        <f>IFERROR(VLOOKUP($I$24&amp;$D5,'Database-Hidden'!$C$2:$J$120,8,FALSE),"")</f>
        <v>Regeneration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40000</v>
      </c>
      <c r="AC5" s="4"/>
      <c r="AD5" s="90">
        <f>IFERROR(VLOOKUP($I$24&amp;D5,'Database-Hidden'!$C$2:$E$120,3,FALSE),"")</f>
        <v>40000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</row>
    <row r="6" spans="1:49" ht="12.75">
      <c r="A6" s="2"/>
      <c r="B6" s="70">
        <v>3</v>
      </c>
      <c r="C6" s="101"/>
      <c r="D6" s="72" t="s">
        <v>79</v>
      </c>
      <c r="E6" s="73">
        <f>IFERROR(VLOOKUP($I$24&amp;$D6,'Database-Hidden'!$C$2:$J$120,4,FALSE)-P6+AG6,"")</f>
        <v>4</v>
      </c>
      <c r="F6" s="74">
        <f>IFERROR(VLOOKUP($I$24&amp;$D6,'Database-Hidden'!$C$2:$J$120,5,FALSE)-Q6+AH6,"")</f>
        <v>3</v>
      </c>
      <c r="G6" s="74">
        <f>IFERROR(VLOOKUP($I$24&amp;$D6,'Database-Hidden'!$C$2:$J$120,6,FALSE)-R6+AI6,"")</f>
        <v>2</v>
      </c>
      <c r="H6" s="75">
        <f>IFERROR(VLOOKUP($I$24&amp;$D6,'Database-Hidden'!$C$2:$J$120,7,FALSE)-S6+AJ6,"")</f>
        <v>8</v>
      </c>
      <c r="I6" s="76" t="str">
        <f>IFERROR(VLOOKUP($I$24&amp;$D6,'Database-Hidden'!$C$2:$J$120,8,FALSE),"")</f>
        <v>Regeneration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40000</v>
      </c>
      <c r="AC6" s="4"/>
      <c r="AD6" s="90">
        <f>IFERROR(VLOOKUP($I$24&amp;D6,'Database-Hidden'!$C$2:$E$120,3,FALSE),"")</f>
        <v>40000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/>
      <c r="AP6" s="106"/>
      <c r="AQ6" s="107"/>
      <c r="AR6" s="108"/>
      <c r="AS6" s="110"/>
      <c r="AT6" s="111"/>
      <c r="AU6" s="113"/>
      <c r="AV6" s="136"/>
      <c r="AW6" s="115"/>
    </row>
    <row r="7" spans="1:49" ht="12.75">
      <c r="A7" s="2"/>
      <c r="B7" s="70">
        <v>4</v>
      </c>
      <c r="C7" s="71"/>
      <c r="D7" s="72" t="s">
        <v>93</v>
      </c>
      <c r="E7" s="73">
        <f>IFERROR(VLOOKUP($I$24&amp;$D7,'Database-Hidden'!$C$2:$J$120,4,FALSE)-P7+AG7,"")</f>
        <v>5</v>
      </c>
      <c r="F7" s="74">
        <f>IFERROR(VLOOKUP($I$24&amp;$D7,'Database-Hidden'!$C$2:$J$120,5,FALSE)-Q7+AH7,"")</f>
        <v>3</v>
      </c>
      <c r="G7" s="74">
        <f>IFERROR(VLOOKUP($I$24&amp;$D7,'Database-Hidden'!$C$2:$J$120,6,FALSE)-R7+AI7,"")</f>
        <v>2</v>
      </c>
      <c r="H7" s="75">
        <f>IFERROR(VLOOKUP($I$24&amp;$D7,'Database-Hidden'!$C$2:$J$120,7,FALSE)-S7+AJ7,"")</f>
        <v>7</v>
      </c>
      <c r="I7" s="76" t="str">
        <f>IFERROR(VLOOKUP($I$24&amp;$D7,'Database-Hidden'!$C$2:$J$120,8,FALSE),"")</f>
        <v>Regeneration, Thick Skull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6">
        <f>IFERROR(VLOOKUP($I$24&amp;D7,'Database-Hidden'!$C$2:$E$120,3,FALSE),"")</f>
        <v>40000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7"/>
      <c r="AW7" s="132"/>
    </row>
    <row r="8" spans="1:49" ht="12.75">
      <c r="A8" s="2"/>
      <c r="B8" s="70">
        <v>5</v>
      </c>
      <c r="C8" s="101"/>
      <c r="D8" s="72" t="s">
        <v>97</v>
      </c>
      <c r="E8" s="73">
        <f>IFERROR(VLOOKUP($I$24&amp;$D8,'Database-Hidden'!$C$2:$J$120,4,FALSE)-P8+AG8,"")</f>
        <v>7</v>
      </c>
      <c r="F8" s="74">
        <f>IFERROR(VLOOKUP($I$24&amp;$D8,'Database-Hidden'!$C$2:$J$120,5,FALSE)-Q8+AH8,"")</f>
        <v>3</v>
      </c>
      <c r="G8" s="74">
        <f>IFERROR(VLOOKUP($I$24&amp;$D8,'Database-Hidden'!$C$2:$J$120,6,FALSE)-R8+AI8,"")</f>
        <v>3</v>
      </c>
      <c r="H8" s="75">
        <f>IFERROR(VLOOKUP($I$24&amp;$D8,'Database-Hidden'!$C$2:$J$120,7,FALSE)-S8+AJ8,"")</f>
        <v>7</v>
      </c>
      <c r="I8" s="76" t="str">
        <f>IFERROR(VLOOKUP($I$24&amp;$D8,'Database-Hidden'!$C$2:$J$120,8,FALSE),"")</f>
        <v>Dodge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70000</v>
      </c>
      <c r="AC8" s="4"/>
      <c r="AD8" s="116">
        <f>IFERROR(VLOOKUP($I$24&amp;D8,'Database-Hidden'!$C$2:$E$120,3,FALSE),"")</f>
        <v>70000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7"/>
      <c r="AW8" s="132"/>
    </row>
    <row r="9" spans="1:49" ht="12.75">
      <c r="A9" s="2"/>
      <c r="B9" s="70">
        <v>6</v>
      </c>
      <c r="C9" s="101"/>
      <c r="D9" s="72" t="s">
        <v>97</v>
      </c>
      <c r="E9" s="73">
        <f>IFERROR(VLOOKUP($I$24&amp;$D9,'Database-Hidden'!$C$2:$J$120,4,FALSE)-P9+AG9,"")</f>
        <v>7</v>
      </c>
      <c r="F9" s="74">
        <f>IFERROR(VLOOKUP($I$24&amp;$D9,'Database-Hidden'!$C$2:$J$120,5,FALSE)-Q9+AH9,"")</f>
        <v>3</v>
      </c>
      <c r="G9" s="74">
        <f>IFERROR(VLOOKUP($I$24&amp;$D9,'Database-Hidden'!$C$2:$J$120,6,FALSE)-R9+AI9,"")</f>
        <v>3</v>
      </c>
      <c r="H9" s="75">
        <f>IFERROR(VLOOKUP($I$24&amp;$D9,'Database-Hidden'!$C$2:$J$120,7,FALSE)-S9+AJ9,"")</f>
        <v>7</v>
      </c>
      <c r="I9" s="76" t="str">
        <f>IFERROR(VLOOKUP($I$24&amp;$D9,'Database-Hidden'!$C$2:$J$120,8,FALSE),"")</f>
        <v>Dodge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70000</v>
      </c>
      <c r="AC9" s="4"/>
      <c r="AD9" s="116">
        <f>IFERROR(VLOOKUP($I$24&amp;D9,'Database-Hidden'!$C$2:$E$120,3,FALSE),"")</f>
        <v>70000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7"/>
      <c r="AW9" s="132"/>
    </row>
    <row r="10" spans="1:49" ht="12.75">
      <c r="A10" s="2"/>
      <c r="B10" s="70">
        <v>7</v>
      </c>
      <c r="C10" s="71"/>
      <c r="D10" s="72" t="s">
        <v>97</v>
      </c>
      <c r="E10" s="73">
        <f>IFERROR(VLOOKUP($I$24&amp;$D10,'Database-Hidden'!$C$2:$J$120,4,FALSE)-P10+AG10,"")</f>
        <v>7</v>
      </c>
      <c r="F10" s="74">
        <f>IFERROR(VLOOKUP($I$24&amp;$D10,'Database-Hidden'!$C$2:$J$120,5,FALSE)-Q10+AH10,"")</f>
        <v>3</v>
      </c>
      <c r="G10" s="74">
        <f>IFERROR(VLOOKUP($I$24&amp;$D10,'Database-Hidden'!$C$2:$J$120,6,FALSE)-R10+AI10,"")</f>
        <v>3</v>
      </c>
      <c r="H10" s="75">
        <f>IFERROR(VLOOKUP($I$24&amp;$D10,'Database-Hidden'!$C$2:$J$120,7,FALSE)-S10+AJ10,"")</f>
        <v>7</v>
      </c>
      <c r="I10" s="76" t="str">
        <f>IFERROR(VLOOKUP($I$24&amp;$D10,'Database-Hidden'!$C$2:$J$120,8,FALSE),"")</f>
        <v>Dodge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70000</v>
      </c>
      <c r="AC10" s="4"/>
      <c r="AD10" s="116">
        <f>IFERROR(VLOOKUP($I$24&amp;D10,'Database-Hidden'!$C$2:$E$120,3,FALSE),"")</f>
        <v>70000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7"/>
      <c r="AW10" s="132"/>
    </row>
    <row r="11" spans="1:49" ht="12.75">
      <c r="A11" s="2"/>
      <c r="B11" s="70">
        <v>8</v>
      </c>
      <c r="C11" s="101"/>
      <c r="D11" s="72" t="s">
        <v>106</v>
      </c>
      <c r="E11" s="73">
        <f>IFERROR(VLOOKUP($I$24&amp;$D11,'Database-Hidden'!$C$2:$J$120,4,FALSE)-P11+AG11,"")</f>
        <v>6</v>
      </c>
      <c r="F11" s="74">
        <f>IFERROR(VLOOKUP($I$24&amp;$D11,'Database-Hidden'!$C$2:$J$120,5,FALSE)-Q11+AH11,"")</f>
        <v>3</v>
      </c>
      <c r="G11" s="74">
        <f>IFERROR(VLOOKUP($I$24&amp;$D11,'Database-Hidden'!$C$2:$J$120,6,FALSE)-R11+AI11,"")</f>
        <v>3</v>
      </c>
      <c r="H11" s="75">
        <f>IFERROR(VLOOKUP($I$24&amp;$D11,'Database-Hidden'!$C$2:$J$120,7,FALSE)-S11+AJ11,"")</f>
        <v>8</v>
      </c>
      <c r="I11" s="76" t="str">
        <f>IFERROR(VLOOKUP($I$24&amp;$D11,'Database-Hidden'!$C$2:$J$120,8,FALSE),"")</f>
        <v>Block, Regeneration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90000</v>
      </c>
      <c r="AC11" s="4"/>
      <c r="AD11" s="116">
        <f>IFERROR(VLOOKUP($I$24&amp;D11,'Database-Hidden'!$C$2:$E$120,3,FALSE),"")</f>
        <v>90000</v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7"/>
      <c r="AW11" s="132"/>
    </row>
    <row r="12" spans="1:49" ht="12.75">
      <c r="A12" s="2"/>
      <c r="B12" s="70">
        <v>9</v>
      </c>
      <c r="C12" s="71"/>
      <c r="D12" s="72" t="s">
        <v>106</v>
      </c>
      <c r="E12" s="73">
        <f>IFERROR(VLOOKUP($I$24&amp;$D12,'Database-Hidden'!$C$2:$J$120,4,FALSE)-P12+AG12,"")</f>
        <v>6</v>
      </c>
      <c r="F12" s="74">
        <f>IFERROR(VLOOKUP($I$24&amp;$D12,'Database-Hidden'!$C$2:$J$120,5,FALSE)-Q12+AH12,"")</f>
        <v>3</v>
      </c>
      <c r="G12" s="74">
        <f>IFERROR(VLOOKUP($I$24&amp;$D12,'Database-Hidden'!$C$2:$J$120,6,FALSE)-R12+AI12,"")</f>
        <v>3</v>
      </c>
      <c r="H12" s="75">
        <f>IFERROR(VLOOKUP($I$24&amp;$D12,'Database-Hidden'!$C$2:$J$120,7,FALSE)-S12+AJ12,"")</f>
        <v>8</v>
      </c>
      <c r="I12" s="76" t="str">
        <f>IFERROR(VLOOKUP($I$24&amp;$D12,'Database-Hidden'!$C$2:$J$120,8,FALSE),"")</f>
        <v>Block, Regeneration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90000</v>
      </c>
      <c r="AC12" s="4"/>
      <c r="AD12" s="116">
        <f>IFERROR(VLOOKUP($I$24&amp;D12,'Database-Hidden'!$C$2:$E$120,3,FALSE),"")</f>
        <v>90000</v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7"/>
      <c r="AW12" s="132"/>
    </row>
    <row r="13" spans="1:49" ht="12.75">
      <c r="A13" s="2"/>
      <c r="B13" s="70">
        <v>10</v>
      </c>
      <c r="C13" s="71"/>
      <c r="D13" s="72" t="s">
        <v>111</v>
      </c>
      <c r="E13" s="73">
        <f>IFERROR(VLOOKUP($I$24&amp;$D13,'Database-Hidden'!$C$2:$J$120,4,FALSE)-P13+AG13,"")</f>
        <v>3</v>
      </c>
      <c r="F13" s="74">
        <f>IFERROR(VLOOKUP($I$24&amp;$D13,'Database-Hidden'!$C$2:$J$120,5,FALSE)-Q13+AH13,"")</f>
        <v>5</v>
      </c>
      <c r="G13" s="74">
        <f>IFERROR(VLOOKUP($I$24&amp;$D13,'Database-Hidden'!$C$2:$J$120,6,FALSE)-R13+AI13,"")</f>
        <v>1</v>
      </c>
      <c r="H13" s="75">
        <f>IFERROR(VLOOKUP($I$24&amp;$D13,'Database-Hidden'!$C$2:$J$120,7,FALSE)-S13+AJ13,"")</f>
        <v>9</v>
      </c>
      <c r="I13" s="76" t="str">
        <f>IFERROR(VLOOKUP($I$24&amp;$D13,'Database-Hidden'!$C$2:$J$120,8,FALSE),"")</f>
        <v>Mighty Blow, Regeneration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120000</v>
      </c>
      <c r="AC13" s="4"/>
      <c r="AD13" s="116">
        <f>IFERROR(VLOOKUP($I$24&amp;D13,'Database-Hidden'!$C$2:$E$120,3,FALSE),"")</f>
        <v>120000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</row>
    <row r="14" spans="1:49" ht="12.75">
      <c r="A14" s="2"/>
      <c r="B14" s="70">
        <v>11</v>
      </c>
      <c r="C14" s="71"/>
      <c r="D14" s="72" t="s">
        <v>111</v>
      </c>
      <c r="E14" s="73">
        <f>IFERROR(VLOOKUP($I$24&amp;$D14,'Database-Hidden'!$C$2:$J$120,4,FALSE)-P14+AG14,"")</f>
        <v>3</v>
      </c>
      <c r="F14" s="74">
        <f>IFERROR(VLOOKUP($I$24&amp;$D14,'Database-Hidden'!$C$2:$J$120,5,FALSE)-Q14+AH14,"")</f>
        <v>5</v>
      </c>
      <c r="G14" s="74">
        <f>IFERROR(VLOOKUP($I$24&amp;$D14,'Database-Hidden'!$C$2:$J$120,6,FALSE)-R14+AI14,"")</f>
        <v>1</v>
      </c>
      <c r="H14" s="75">
        <f>IFERROR(VLOOKUP($I$24&amp;$D14,'Database-Hidden'!$C$2:$J$120,7,FALSE)-S14+AJ14,"")</f>
        <v>9</v>
      </c>
      <c r="I14" s="76" t="str">
        <f>IFERROR(VLOOKUP($I$24&amp;$D14,'Database-Hidden'!$C$2:$J$120,8,FALSE),"")</f>
        <v>Mighty Blow, Regeneration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120000</v>
      </c>
      <c r="AC14" s="4"/>
      <c r="AD14" s="116">
        <f>IFERROR(VLOOKUP($I$24&amp;D14,'Database-Hidden'!$C$2:$E$120,3,FALSE),"")</f>
        <v>120000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</row>
    <row r="15" spans="1:49" ht="12.75">
      <c r="A15" s="2"/>
      <c r="B15" s="70">
        <v>12</v>
      </c>
      <c r="C15" s="71"/>
      <c r="D15" s="72"/>
      <c r="E15" s="73" t="str">
        <f>IFERROR(VLOOKUP($I$24&amp;$D15,'Database-Hidden'!$C$2:$J$120,4,FALSE)-P15+AG15,"")</f>
        <v/>
      </c>
      <c r="F15" s="74" t="str">
        <f>IFERROR(VLOOKUP($I$24&amp;$D15,'Database-Hidden'!$C$2:$J$120,5,FALSE)-Q15+AH15,"")</f>
        <v/>
      </c>
      <c r="G15" s="74" t="str">
        <f>IFERROR(VLOOKUP($I$24&amp;$D15,'Database-Hidden'!$C$2:$J$120,6,FALSE)-R15+AI15,"")</f>
        <v/>
      </c>
      <c r="H15" s="75" t="str">
        <f>IFERROR(VLOOKUP($I$24&amp;$D15,'Database-Hidden'!$C$2:$J$120,7,FALSE)-S15+AJ15,"")</f>
        <v/>
      </c>
      <c r="I15" s="76" t="str">
        <f>IFERROR(VLOOKUP($I$24&amp;$D15,'Database-Hidden'!$C$2:$J$120,8,FALSE),"")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6" t="str">
        <f>IFERROR(VLOOKUP($I$24&amp;D15,'Database-Hidden'!$C$2:$E$120,3,FALSE),"")</f>
        <v/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</row>
    <row r="16" spans="1:49" ht="12.75">
      <c r="A16" s="2"/>
      <c r="B16" s="70">
        <v>13</v>
      </c>
      <c r="C16" s="71"/>
      <c r="D16" s="72"/>
      <c r="E16" s="73" t="str">
        <f>IFERROR(VLOOKUP($I$24&amp;$D16,'Database-Hidden'!$C$2:$J$120,4,FALSE)-P16+AG16,"")</f>
        <v/>
      </c>
      <c r="F16" s="74" t="str">
        <f>IFERROR(VLOOKUP($I$24&amp;$D16,'Database-Hidden'!$C$2:$J$120,5,FALSE)-Q16+AH16,"")</f>
        <v/>
      </c>
      <c r="G16" s="74" t="str">
        <f>IFERROR(VLOOKUP($I$24&amp;$D16,'Database-Hidden'!$C$2:$J$120,6,FALSE)-R16+AI16,"")</f>
        <v/>
      </c>
      <c r="H16" s="75" t="str">
        <f>IFERROR(VLOOKUP($I$24&amp;$D16,'Database-Hidden'!$C$2:$J$120,7,FALSE)-S16+AJ16,"")</f>
        <v/>
      </c>
      <c r="I16" s="76" t="str">
        <f>IFERROR(VLOOKUP($I$24&amp;$D16,'Database-Hidden'!$C$2:$J$120,8,FALSE),"")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6" t="str">
        <f>IFERROR(VLOOKUP($I$24&amp;D16,'Database-Hidden'!$C$2:$E$120,3,FALSE),"")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</row>
    <row r="17" spans="1:49" ht="12.75">
      <c r="A17" s="2"/>
      <c r="B17" s="70">
        <v>14</v>
      </c>
      <c r="C17" s="71"/>
      <c r="D17" s="72"/>
      <c r="E17" s="73" t="str">
        <f>IFERROR(VLOOKUP($I$24&amp;$D17,'Database-Hidden'!$C$2:$J$120,4,FALSE)-P17+AG17,"")</f>
        <v/>
      </c>
      <c r="F17" s="74" t="str">
        <f>IFERROR(VLOOKUP($I$24&amp;$D17,'Database-Hidden'!$C$2:$J$120,5,FALSE)-Q17+AH17,"")</f>
        <v/>
      </c>
      <c r="G17" s="74" t="str">
        <f>IFERROR(VLOOKUP($I$24&amp;$D17,'Database-Hidden'!$C$2:$J$120,6,FALSE)-R17+AI17,"")</f>
        <v/>
      </c>
      <c r="H17" s="75" t="str">
        <f>IFERROR(VLOOKUP($I$24&amp;$D17,'Database-Hidden'!$C$2:$J$120,7,FALSE)-S17+AJ17,"")</f>
        <v/>
      </c>
      <c r="I17" s="76" t="str">
        <f>IFERROR(VLOOKUP($I$24&amp;$D17,'Database-Hidden'!$C$2:$J$120,8,FALSE),"")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IFERROR(VLOOKUP($I$24&amp;D17,'Database-Hidden'!$C$2:$E$120,3,FALSE),"")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</row>
    <row r="18" spans="1:49" ht="12.75">
      <c r="A18" s="2"/>
      <c r="B18" s="70">
        <v>15</v>
      </c>
      <c r="C18" s="71"/>
      <c r="D18" s="72"/>
      <c r="E18" s="73" t="str">
        <f>IFERROR(VLOOKUP($I$24&amp;$D18,'Database-Hidden'!$C$2:$J$120,4,FALSE)-P18+AG18,"")</f>
        <v/>
      </c>
      <c r="F18" s="74" t="str">
        <f>IFERROR(VLOOKUP($I$24&amp;$D18,'Database-Hidden'!$C$2:$J$120,5,FALSE)-Q18+AH18,"")</f>
        <v/>
      </c>
      <c r="G18" s="74" t="str">
        <f>IFERROR(VLOOKUP($I$24&amp;$D18,'Database-Hidden'!$C$2:$J$120,6,FALSE)-R18+AI18,"")</f>
        <v/>
      </c>
      <c r="H18" s="75" t="str">
        <f>IFERROR(VLOOKUP($I$24&amp;$D18,'Database-Hidden'!$C$2:$J$120,7,FALSE)-S18+AJ18,"")</f>
        <v/>
      </c>
      <c r="I18" s="76" t="str">
        <f>IFERROR(VLOOKUP($I$24&amp;$D18,'Database-Hidden'!$C$2:$J$120,8,FALSE),"")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IFERROR(VLOOKUP($I$24&amp;D18,'Database-Hidden'!$C$2:$E$120,3,FALSE),"")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0</v>
      </c>
      <c r="AP18" s="4"/>
      <c r="AQ18" s="4"/>
      <c r="AR18" s="67"/>
      <c r="AS18" s="148" t="s">
        <v>42</v>
      </c>
      <c r="AT18" s="150">
        <f t="shared" ref="AT18:AU18" si="3">SUM(AT6:AT17)</f>
        <v>0</v>
      </c>
      <c r="AU18" s="151">
        <f t="shared" si="3"/>
        <v>0</v>
      </c>
      <c r="AV18" s="152">
        <f>AV4+SUM(AV6:AV17)</f>
        <v>0</v>
      </c>
      <c r="AW18" s="5"/>
    </row>
    <row r="19" spans="1:49" ht="12.75">
      <c r="A19" s="2"/>
      <c r="B19" s="153">
        <v>16</v>
      </c>
      <c r="C19" s="154"/>
      <c r="D19" s="155"/>
      <c r="E19" s="156" t="str">
        <f>IFERROR(VLOOKUP($I$24&amp;$D19,'Database-Hidden'!$C$2:$J$120,4,FALSE)-P19+AG19,"")</f>
        <v/>
      </c>
      <c r="F19" s="157" t="str">
        <f>IFERROR(VLOOKUP($I$24&amp;$D19,'Database-Hidden'!$C$2:$J$120,5,FALSE)-Q19+AH19,"")</f>
        <v/>
      </c>
      <c r="G19" s="157" t="str">
        <f>IFERROR(VLOOKUP($I$24&amp;$D19,'Database-Hidden'!$C$2:$J$120,6,FALSE)-R19+AI19,"")</f>
        <v/>
      </c>
      <c r="H19" s="159" t="str">
        <f>IFERROR(VLOOKUP($I$24&amp;$D19,'Database-Hidden'!$C$2:$J$120,7,FALSE)-S19+AJ19,"")</f>
        <v/>
      </c>
      <c r="I19" s="160" t="str">
        <f>IFERROR(VLOOKUP($I$24&amp;$D19,'Database-Hidden'!$C$2:$J$120,8,FALSE),"")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IFERROR(VLOOKUP($I$24&amp;D19,'Database-Hidden'!$C$2:$E$120,3,FALSE),"")</f>
        <v/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</row>
    <row r="20" spans="1:49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790000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</row>
    <row r="21" spans="1:49" ht="12.75">
      <c r="A21" s="2"/>
      <c r="B21" s="531"/>
      <c r="C21" s="507"/>
      <c r="D21" s="532"/>
      <c r="E21" s="538" t="s">
        <v>117</v>
      </c>
      <c r="F21" s="507"/>
      <c r="G21" s="507"/>
      <c r="H21" s="539"/>
      <c r="I21" s="536" t="s">
        <v>120</v>
      </c>
      <c r="J21" s="507"/>
      <c r="K21" s="53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IFERROR(VLOOKUP(I24,'Database-Hidden'!N2:O28,2,FALSE),"")</f>
        <v>70000</v>
      </c>
      <c r="W21" s="525"/>
      <c r="X21" s="525"/>
      <c r="Y21" s="525"/>
      <c r="Z21" s="525"/>
      <c r="AA21" s="528"/>
      <c r="AB21" s="184">
        <f t="shared" ref="AB21:AB24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</row>
    <row r="22" spans="1:49" ht="12.75">
      <c r="A22" s="2"/>
      <c r="B22" s="531"/>
      <c r="C22" s="507"/>
      <c r="D22" s="532"/>
      <c r="E22" s="507"/>
      <c r="F22" s="507"/>
      <c r="G22" s="507"/>
      <c r="H22" s="539"/>
      <c r="I22" s="531"/>
      <c r="J22" s="507"/>
      <c r="K22" s="532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0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0</v>
      </c>
      <c r="AP22" s="4"/>
      <c r="AQ22" s="4"/>
      <c r="AR22" s="4"/>
      <c r="AS22" s="4"/>
      <c r="AT22" s="4"/>
      <c r="AU22" s="4"/>
      <c r="AV22" s="4"/>
      <c r="AW22" s="4"/>
    </row>
    <row r="23" spans="1:49" ht="12.75">
      <c r="A23" s="2"/>
      <c r="B23" s="531"/>
      <c r="C23" s="507"/>
      <c r="D23" s="532"/>
      <c r="E23" s="525"/>
      <c r="F23" s="525"/>
      <c r="G23" s="525"/>
      <c r="H23" s="540"/>
      <c r="I23" s="537"/>
      <c r="J23" s="525"/>
      <c r="K23" s="528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</row>
    <row r="24" spans="1:49" ht="12.75">
      <c r="A24" s="2"/>
      <c r="B24" s="531"/>
      <c r="C24" s="507"/>
      <c r="D24" s="532"/>
      <c r="E24" s="529" t="s">
        <v>126</v>
      </c>
      <c r="F24" s="509"/>
      <c r="G24" s="509"/>
      <c r="H24" s="512"/>
      <c r="I24" s="543" t="s">
        <v>32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0</v>
      </c>
      <c r="AP24" s="4"/>
      <c r="AQ24" s="4"/>
      <c r="AR24" s="4"/>
      <c r="AS24" s="4"/>
      <c r="AT24" s="4"/>
      <c r="AU24" s="4"/>
      <c r="AV24" s="4"/>
      <c r="AW24" s="4"/>
    </row>
    <row r="25" spans="1:49" ht="12.75">
      <c r="A25" s="2"/>
      <c r="B25" s="531"/>
      <c r="C25" s="507"/>
      <c r="D25" s="532"/>
      <c r="E25" s="529" t="str">
        <f>IFERROR(IF(VLOOKUP(I24,'Database-Hidden'!X2:Y28,2,FALSE)="Yes","NECROMANCER","HEAD COACH"),"HEAD COACH")</f>
        <v>NECROMANCER</v>
      </c>
      <c r="F25" s="509"/>
      <c r="G25" s="509"/>
      <c r="H25" s="512"/>
      <c r="I25" s="543" t="s">
        <v>129</v>
      </c>
      <c r="J25" s="509"/>
      <c r="K25" s="510"/>
      <c r="L25" s="511" t="str">
        <f>IFERROR(IF(VLOOKUP(I24,'Database-Hidden'!X2:Y28,1,FALSE)&lt;&gt;"","",""),"APOTHECARY")</f>
        <v/>
      </c>
      <c r="M25" s="509"/>
      <c r="N25" s="509"/>
      <c r="O25" s="509"/>
      <c r="P25" s="509"/>
      <c r="Q25" s="509"/>
      <c r="R25" s="509"/>
      <c r="S25" s="512"/>
      <c r="T25" s="190">
        <v>0</v>
      </c>
      <c r="U25" s="186" t="str">
        <f>IF(L25&lt;&gt;"","x","")</f>
        <v/>
      </c>
      <c r="V25" s="508" t="str">
        <f>IF(L25&lt;&gt;"",50000,"")</f>
        <v/>
      </c>
      <c r="W25" s="509"/>
      <c r="X25" s="509"/>
      <c r="Y25" s="509"/>
      <c r="Z25" s="509"/>
      <c r="AA25" s="510"/>
      <c r="AB25" s="187"/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0</v>
      </c>
      <c r="AP25" s="4"/>
      <c r="AQ25" s="4"/>
      <c r="AR25" s="4"/>
      <c r="AS25" s="4"/>
      <c r="AT25" s="4"/>
      <c r="AU25" s="4"/>
      <c r="AV25" s="4"/>
      <c r="AW25" s="4"/>
    </row>
    <row r="26" spans="1:49" ht="12.75">
      <c r="A26" s="2"/>
      <c r="B26" s="531"/>
      <c r="C26" s="507"/>
      <c r="D26" s="532"/>
      <c r="E26" s="529" t="s">
        <v>131</v>
      </c>
      <c r="F26" s="509"/>
      <c r="G26" s="509"/>
      <c r="H26" s="509"/>
      <c r="I26" s="548">
        <f>AB20+AB28</f>
        <v>1000000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0</v>
      </c>
      <c r="U26" s="186" t="s">
        <v>47</v>
      </c>
      <c r="V26" s="508">
        <f>IF(I24="Halfling",200000,600000)</f>
        <v>600000</v>
      </c>
      <c r="W26" s="509"/>
      <c r="X26" s="509"/>
      <c r="Y26" s="509"/>
      <c r="Z26" s="509"/>
      <c r="AA26" s="510"/>
      <c r="AB26" s="187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0</v>
      </c>
      <c r="AP26" s="4"/>
      <c r="AQ26" s="4"/>
      <c r="AR26" s="4"/>
      <c r="AS26" s="4"/>
      <c r="AT26" s="4"/>
      <c r="AU26" s="4"/>
      <c r="AV26" s="4"/>
      <c r="AW26" s="4"/>
    </row>
    <row r="27" spans="1:49" ht="12.75">
      <c r="A27" s="2"/>
      <c r="B27" s="531"/>
      <c r="C27" s="507"/>
      <c r="D27" s="532"/>
      <c r="E27" s="541" t="s">
        <v>133</v>
      </c>
      <c r="F27" s="542"/>
      <c r="G27" s="542"/>
      <c r="H27" s="542"/>
      <c r="I27" s="549">
        <f>AO18</f>
        <v>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0</v>
      </c>
      <c r="U27" s="199" t="s">
        <v>47</v>
      </c>
      <c r="V27" s="546">
        <f>IF(I24="Goblin",100000,200000)</f>
        <v>200000</v>
      </c>
      <c r="W27" s="542"/>
      <c r="X27" s="542"/>
      <c r="Y27" s="542"/>
      <c r="Z27" s="542"/>
      <c r="AA27" s="547"/>
      <c r="AB27" s="187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4"/>
      <c r="AW27" s="4"/>
    </row>
    <row r="28" spans="1:49" ht="12.75">
      <c r="A28" s="2"/>
      <c r="B28" s="533"/>
      <c r="C28" s="534"/>
      <c r="D28" s="535"/>
      <c r="E28" s="522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SUM(AB21:AB25)</f>
        <v>210000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4"/>
      <c r="AW28" s="4"/>
    </row>
    <row r="29" spans="1:49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7.25" hidden="1" customHeight="1">
      <c r="C30" s="209">
        <f>MATCH(I24,'Database-Hidden'!A2:A120,0)</f>
        <v>103</v>
      </c>
      <c r="D30" s="209" t="str">
        <f t="shared" ref="D30:D39" si="6">I30&amp;IF(COUNTIF(D$4:D$19,I30)&gt;E30," (Too Many)","")</f>
        <v>Skeleton</v>
      </c>
      <c r="E30" s="210">
        <f t="array" ref="E30">IFERROR(IF(INDEX('Database-Hidden'!$A$2:$B$120,$C30,1)=$I$24,INDEX('Database-Hidden'!$A$2:$D$120,$C30,4),""),"")</f>
        <v>16</v>
      </c>
      <c r="I30" s="209" t="str">
        <f t="array" ref="I30">IFERROR(IF(INDEX('Database-Hidden'!$A$2:$B$120,$C30,1)=$I$24,INDEX('Database-Hidden'!$A$2:$B$120,$C30,2),""),"")</f>
        <v>Skeleton</v>
      </c>
    </row>
    <row r="31" spans="1:49" ht="17.25" hidden="1" customHeight="1">
      <c r="C31" s="209">
        <f t="shared" ref="C31:C39" si="7">C30+1</f>
        <v>104</v>
      </c>
      <c r="D31" s="209" t="str">
        <f t="shared" si="6"/>
        <v>Zombie</v>
      </c>
      <c r="E31" s="210">
        <f t="array" ref="E31">IFERROR(IF(INDEX('Database-Hidden'!$A$2:$B$120,$C31,1)=$I$24,INDEX('Database-Hidden'!$A$2:$D$120,$C31,4),""),"")</f>
        <v>16</v>
      </c>
      <c r="I31" s="209" t="str">
        <f t="array" ref="I31">IFERROR(IF(INDEX('Database-Hidden'!$A$2:$B$120,$C31,1)=$I$24,INDEX('Database-Hidden'!$A$2:$B$120,$C31,2),""),"")</f>
        <v>Zombie</v>
      </c>
    </row>
    <row r="32" spans="1:49" ht="17.25" hidden="1" customHeight="1">
      <c r="C32" s="209">
        <f t="shared" si="7"/>
        <v>105</v>
      </c>
      <c r="D32" s="209" t="str">
        <f t="shared" si="6"/>
        <v>Ghoul</v>
      </c>
      <c r="E32" s="210">
        <f t="array" ref="E32">IFERROR(IF(INDEX('Database-Hidden'!$A$2:$B$120,$C32,1)=$I$24,INDEX('Database-Hidden'!$A$2:$D$120,$C32,4),""),"")</f>
        <v>4</v>
      </c>
      <c r="I32" s="209" t="str">
        <f t="array" ref="I32">IFERROR(IF(INDEX('Database-Hidden'!$A$2:$B$120,$C32,1)=$I$24,INDEX('Database-Hidden'!$A$2:$B$120,$C32,2),""),"")</f>
        <v>Ghoul</v>
      </c>
    </row>
    <row r="33" spans="3:9" ht="17.25" hidden="1" customHeight="1">
      <c r="C33" s="209">
        <f t="shared" si="7"/>
        <v>106</v>
      </c>
      <c r="D33" s="209" t="str">
        <f t="shared" si="6"/>
        <v>Wight</v>
      </c>
      <c r="E33" s="210">
        <f t="array" ref="E33">IFERROR(IF(INDEX('Database-Hidden'!$A$2:$B$120,$C33,1)=$I$24,INDEX('Database-Hidden'!$A$2:$D$120,$C33,4),""),"")</f>
        <v>2</v>
      </c>
      <c r="I33" s="209" t="str">
        <f t="array" ref="I33">IFERROR(IF(INDEX('Database-Hidden'!$A$2:$B$120,$C33,1)=$I$24,INDEX('Database-Hidden'!$A$2:$B$120,$C33,2),""),"")</f>
        <v>Wight</v>
      </c>
    </row>
    <row r="34" spans="3:9" ht="17.25" hidden="1" customHeight="1">
      <c r="C34" s="209">
        <f t="shared" si="7"/>
        <v>107</v>
      </c>
      <c r="D34" s="209" t="str">
        <f t="shared" si="6"/>
        <v>Mummy</v>
      </c>
      <c r="E34" s="210">
        <f t="array" ref="E34">IFERROR(IF(INDEX('Database-Hidden'!$A$2:$B$120,$C34,1)=$I$24,INDEX('Database-Hidden'!$A$2:$D$120,$C34,4),""),"")</f>
        <v>2</v>
      </c>
      <c r="I34" s="209" t="str">
        <f t="array" ref="I34">IFERROR(IF(INDEX('Database-Hidden'!$A$2:$B$120,$C34,1)=$I$24,INDEX('Database-Hidden'!$A$2:$B$120,$C34,2),""),"")</f>
        <v>Mummy</v>
      </c>
    </row>
    <row r="35" spans="3:9" ht="17.25" hidden="1" customHeight="1">
      <c r="C35" s="209">
        <f t="shared" si="7"/>
        <v>108</v>
      </c>
      <c r="D35" s="209" t="str">
        <f t="shared" si="6"/>
        <v/>
      </c>
      <c r="E35" s="210" t="str">
        <f t="array" ref="E35">IFERROR(IF(INDEX('Database-Hidden'!$A$2:$B$120,$C35,1)=$I$24,INDEX('Database-Hidden'!$A$2:$D$120,$C35,4),""),"")</f>
        <v/>
      </c>
      <c r="I35" s="209" t="str">
        <f t="array" ref="I35">IFERROR(IF(INDEX('Database-Hidden'!$A$2:$B$120,$C35,1)=$I$24,INDEX('Database-Hidden'!$A$2:$B$120,$C35,2),""),"")</f>
        <v/>
      </c>
    </row>
    <row r="36" spans="3:9" ht="17.25" hidden="1" customHeight="1">
      <c r="C36" s="209">
        <f t="shared" si="7"/>
        <v>109</v>
      </c>
      <c r="D36" s="209" t="str">
        <f t="shared" si="6"/>
        <v/>
      </c>
      <c r="E36" s="210" t="str">
        <f t="array" ref="E36">IFERROR(IF(INDEX('Database-Hidden'!$A$2:$B$120,$C36,1)=$I$24,INDEX('Database-Hidden'!$A$2:$D$120,$C36,4),""),"")</f>
        <v/>
      </c>
      <c r="I36" s="209" t="str">
        <f t="array" ref="I36">IFERROR(IF(INDEX('Database-Hidden'!$A$2:$B$120,$C36,1)=$I$24,INDEX('Database-Hidden'!$A$2:$B$120,$C36,2),""),"")</f>
        <v/>
      </c>
    </row>
    <row r="37" spans="3:9" ht="17.25" hidden="1" customHeight="1">
      <c r="C37" s="209">
        <f t="shared" si="7"/>
        <v>110</v>
      </c>
      <c r="D37" s="209" t="str">
        <f t="shared" si="6"/>
        <v/>
      </c>
      <c r="E37" s="210" t="str">
        <f t="array" ref="E37">IFERROR(IF(INDEX('Database-Hidden'!$A$2:$B$120,$C37,1)=$I$24,INDEX('Database-Hidden'!$A$2:$D$120,$C37,4),""),"")</f>
        <v/>
      </c>
      <c r="I37" s="209" t="str">
        <f t="array" ref="I37">IFERROR(IF(INDEX('Database-Hidden'!$A$2:$B$120,$C37,1)=$I$24,INDEX('Database-Hidden'!$A$2:$B$120,$C37,2),""),"")</f>
        <v/>
      </c>
    </row>
    <row r="38" spans="3:9" ht="17.25" hidden="1" customHeight="1">
      <c r="C38" s="209">
        <f t="shared" si="7"/>
        <v>111</v>
      </c>
      <c r="D38" s="209" t="str">
        <f t="shared" si="6"/>
        <v/>
      </c>
      <c r="E38" s="210" t="str">
        <f t="array" ref="E38">IFERROR(IF(INDEX('Database-Hidden'!$A$2:$B$120,$C38,1)=$I$24,INDEX('Database-Hidden'!$A$2:$D$120,$C38,4),""),"")</f>
        <v/>
      </c>
      <c r="I38" s="209" t="str">
        <f t="array" ref="I38">IFERROR(IF(INDEX('Database-Hidden'!$A$2:$B$120,$C38,1)=$I$24,INDEX('Database-Hidden'!$A$2:$B$120,$C38,2),""),"")</f>
        <v/>
      </c>
    </row>
    <row r="39" spans="3:9" ht="17.25" hidden="1" customHeight="1">
      <c r="C39" s="209">
        <f t="shared" si="7"/>
        <v>112</v>
      </c>
      <c r="D39" s="209" t="str">
        <f t="shared" si="6"/>
        <v/>
      </c>
      <c r="E39" s="210" t="str">
        <f t="array" ref="E39">IFERROR(IF(INDEX('Database-Hidden'!$A$2:$B$120,$C39,1)=$I$24,INDEX('Database-Hidden'!$A$2:$D$120,$C39,4),""),"")</f>
        <v/>
      </c>
      <c r="I39" s="209" t="str">
        <f t="array" ref="I39">IFERROR(IF(INDEX('Database-Hidden'!$A$2:$B$120,$C39,1)=$I$24,INDEX('Database-Hidden'!$A$2:$B$120,$C39,2),""),"")</f>
        <v/>
      </c>
    </row>
    <row r="40" spans="3:9" ht="17.25" hidden="1" customHeight="1">
      <c r="C40" s="211">
        <f>MATCH(I24,'Star Players-Hidden'!D2:AD2,0)</f>
        <v>24</v>
      </c>
      <c r="D40" s="211" t="str">
        <f t="shared" ref="D40:D51" ca="1" si="8">I40&amp;IF(COUNTIF(D$4:D$19,I40)&gt;1," (Too Many)","")</f>
        <v>Star: Count Luther Von Drakenborg</v>
      </c>
      <c r="E40" s="212"/>
      <c r="F40" s="212"/>
      <c r="G40" s="212"/>
      <c r="H40" s="212"/>
      <c r="I40" s="211" t="str">
        <f ca="1">IFERROR(__xludf.DUMMYFUNCTION("FILTER({""Star: ""&amp;'Star Players-Hidden'!A3:A87},INDEX('Star Players-Hidden'!D3:AD87,0,C40)&lt;&gt;"""",{'Star Players-Hidden'!C3:C87=""""}+{'Star Players-Hidden'!C3:C87=I21})"),"Star: Count Luther Von Drakenborg")</f>
        <v>Star: Count Luther Von Drakenborg</v>
      </c>
    </row>
    <row r="41" spans="3:9" ht="17.25" hidden="1" customHeight="1">
      <c r="C41" s="209"/>
      <c r="D41" s="209" t="str">
        <f t="shared" si="8"/>
        <v>Star: Hack Enslash</v>
      </c>
      <c r="I41" s="213" t="s">
        <v>136</v>
      </c>
    </row>
    <row r="42" spans="3:9" ht="17.25" hidden="1" customHeight="1">
      <c r="C42" s="209"/>
      <c r="D42" s="209" t="str">
        <f t="shared" si="8"/>
        <v>Star: J Earlice</v>
      </c>
      <c r="I42" s="209" t="s">
        <v>137</v>
      </c>
    </row>
    <row r="43" spans="3:9" ht="17.25" hidden="1" customHeight="1">
      <c r="C43" s="209"/>
      <c r="D43" s="209" t="str">
        <f t="shared" si="8"/>
        <v>Star: Ramtut III</v>
      </c>
      <c r="I43" s="209" t="s">
        <v>138</v>
      </c>
    </row>
    <row r="44" spans="3:9" ht="17.25" hidden="1" customHeight="1">
      <c r="C44" s="209"/>
      <c r="D44" s="209" t="str">
        <f t="shared" si="8"/>
        <v>Star: Setekh</v>
      </c>
      <c r="I44" s="209" t="s">
        <v>140</v>
      </c>
    </row>
    <row r="45" spans="3:9" ht="17.25" hidden="1" customHeight="1">
      <c r="C45" s="209"/>
      <c r="D45" s="209" t="str">
        <f t="shared" si="8"/>
        <v>Star: Sinnedbad</v>
      </c>
      <c r="I45" s="209" t="s">
        <v>141</v>
      </c>
    </row>
    <row r="46" spans="3:9" ht="17.25" hidden="1" customHeight="1">
      <c r="C46" s="209"/>
      <c r="D46" s="209" t="str">
        <f t="shared" si="8"/>
        <v/>
      </c>
      <c r="I46" s="209"/>
    </row>
    <row r="47" spans="3:9" ht="17.25" hidden="1" customHeight="1">
      <c r="C47" s="209"/>
      <c r="D47" s="209" t="str">
        <f t="shared" si="8"/>
        <v/>
      </c>
      <c r="I47" s="209"/>
    </row>
    <row r="48" spans="3:9" ht="17.25" hidden="1" customHeight="1">
      <c r="C48" s="209"/>
      <c r="D48" s="209" t="str">
        <f t="shared" si="8"/>
        <v/>
      </c>
      <c r="I48" s="209"/>
    </row>
    <row r="49" spans="3:9" ht="17.25" hidden="1" customHeight="1">
      <c r="C49" s="209"/>
      <c r="D49" s="209" t="str">
        <f t="shared" si="8"/>
        <v/>
      </c>
      <c r="I49" s="209"/>
    </row>
    <row r="50" spans="3:9" ht="17.25" hidden="1" customHeight="1">
      <c r="C50" s="209"/>
      <c r="D50" s="209" t="str">
        <f t="shared" si="8"/>
        <v/>
      </c>
      <c r="I50" s="209"/>
    </row>
    <row r="51" spans="3:9" ht="17.25" hidden="1" customHeight="1">
      <c r="C51" s="209"/>
      <c r="D51" s="209" t="str">
        <f t="shared" si="8"/>
        <v/>
      </c>
      <c r="I51" s="209"/>
    </row>
  </sheetData>
  <mergeCells count="31">
    <mergeCell ref="E24:H24"/>
    <mergeCell ref="B20:D28"/>
    <mergeCell ref="I21:K23"/>
    <mergeCell ref="E21:H23"/>
    <mergeCell ref="E26:H26"/>
    <mergeCell ref="E27:H27"/>
    <mergeCell ref="E25:H25"/>
    <mergeCell ref="I25:K25"/>
    <mergeCell ref="E28:AA28"/>
    <mergeCell ref="L26:S26"/>
    <mergeCell ref="L27:S27"/>
    <mergeCell ref="V26:AA26"/>
    <mergeCell ref="V27:AA27"/>
    <mergeCell ref="I24:K24"/>
    <mergeCell ref="I26:K26"/>
    <mergeCell ref="I27:K27"/>
    <mergeCell ref="P2:S2"/>
    <mergeCell ref="AN21:AO21"/>
    <mergeCell ref="V22:AA22"/>
    <mergeCell ref="E20:AA20"/>
    <mergeCell ref="L22:S22"/>
    <mergeCell ref="L21:S21"/>
    <mergeCell ref="V21:AA21"/>
    <mergeCell ref="AR3:AV3"/>
    <mergeCell ref="V23:AA23"/>
    <mergeCell ref="L25:S25"/>
    <mergeCell ref="L23:S23"/>
    <mergeCell ref="L24:S24"/>
    <mergeCell ref="V25:AA25"/>
    <mergeCell ref="V24:AA24"/>
    <mergeCell ref="AN3:AQ3"/>
  </mergeCells>
  <conditionalFormatting sqref="J4">
    <cfRule type="expression" dxfId="769" priority="1">
      <formula>K4&lt;&gt;SUM(AE4:AJ4)</formula>
    </cfRule>
  </conditionalFormatting>
  <conditionalFormatting sqref="K4:K19">
    <cfRule type="cellIs" dxfId="768" priority="2" operator="equal">
      <formula>0</formula>
    </cfRule>
  </conditionalFormatting>
  <conditionalFormatting sqref="AB4:AB19">
    <cfRule type="cellIs" dxfId="767" priority="3" operator="equal">
      <formula>0</formula>
    </cfRule>
  </conditionalFormatting>
  <conditionalFormatting sqref="E4:H19">
    <cfRule type="expression" dxfId="766" priority="4">
      <formula>AG4&gt;0</formula>
    </cfRule>
  </conditionalFormatting>
  <conditionalFormatting sqref="E4:H19">
    <cfRule type="expression" dxfId="765" priority="5">
      <formula>P4&gt;0</formula>
    </cfRule>
  </conditionalFormatting>
  <conditionalFormatting sqref="T4:T19 U4:U19 V4:W19 Z4:Z19 U29">
    <cfRule type="cellIs" dxfId="764" priority="6" stopIfTrue="1" operator="equal">
      <formula>0</formula>
    </cfRule>
  </conditionalFormatting>
  <conditionalFormatting sqref="K4:K19">
    <cfRule type="cellIs" dxfId="763" priority="7" stopIfTrue="1" operator="equal">
      <formula>"n/a"</formula>
    </cfRule>
  </conditionalFormatting>
  <conditionalFormatting sqref="P4:S19">
    <cfRule type="cellIs" dxfId="762" priority="8" stopIfTrue="1" operator="lessThanOrEqual">
      <formula>-1</formula>
    </cfRule>
  </conditionalFormatting>
  <conditionalFormatting sqref="V25:W27">
    <cfRule type="cellIs" dxfId="761" priority="9" stopIfTrue="1" operator="equal">
      <formula>-500</formula>
    </cfRule>
  </conditionalFormatting>
  <conditionalFormatting sqref="T25:T27">
    <cfRule type="cellIs" dxfId="760" priority="10" stopIfTrue="1" operator="greaterThan">
      <formula>$V$25</formula>
    </cfRule>
  </conditionalFormatting>
  <conditionalFormatting sqref="AA4:AA19">
    <cfRule type="cellIs" dxfId="759" priority="11" stopIfTrue="1" operator="equal">
      <formula>"Star"</formula>
    </cfRule>
  </conditionalFormatting>
  <conditionalFormatting sqref="AA4:AA19">
    <cfRule type="cellIs" dxfId="758" priority="12" stopIfTrue="1" operator="equal">
      <formula>AB4</formula>
    </cfRule>
  </conditionalFormatting>
  <conditionalFormatting sqref="I4:I19">
    <cfRule type="cellIs" dxfId="757" priority="13" stopIfTrue="1" operator="equal">
      <formula>0</formula>
    </cfRule>
  </conditionalFormatting>
  <conditionalFormatting sqref="I4:I19">
    <cfRule type="cellIs" dxfId="756" priority="14" stopIfTrue="1" operator="equal">
      <formula>"Player type quantity surpassed"</formula>
    </cfRule>
  </conditionalFormatting>
  <conditionalFormatting sqref="J5">
    <cfRule type="expression" dxfId="755" priority="15">
      <formula>K5&lt;&gt;SUM(AE5:AJ5)</formula>
    </cfRule>
  </conditionalFormatting>
  <conditionalFormatting sqref="J6">
    <cfRule type="expression" dxfId="754" priority="16">
      <formula>K6&lt;&gt;SUM(AE6:AJ6)</formula>
    </cfRule>
  </conditionalFormatting>
  <conditionalFormatting sqref="J7">
    <cfRule type="expression" dxfId="753" priority="17">
      <formula>K7&lt;&gt;SUM(AE7:AJ7)</formula>
    </cfRule>
  </conditionalFormatting>
  <conditionalFormatting sqref="J8">
    <cfRule type="expression" dxfId="752" priority="18">
      <formula>K8&lt;&gt;SUM(AE8:AJ8)</formula>
    </cfRule>
  </conditionalFormatting>
  <conditionalFormatting sqref="J9">
    <cfRule type="expression" dxfId="751" priority="19">
      <formula>K9&lt;&gt;SUM(AE9:AJ9)</formula>
    </cfRule>
  </conditionalFormatting>
  <conditionalFormatting sqref="J10">
    <cfRule type="expression" dxfId="750" priority="20">
      <formula>K10&lt;&gt;SUM(AE10:AJ10)</formula>
    </cfRule>
  </conditionalFormatting>
  <conditionalFormatting sqref="J11">
    <cfRule type="expression" dxfId="749" priority="21">
      <formula>K11&lt;&gt;SUM(AE11:AJ11)</formula>
    </cfRule>
  </conditionalFormatting>
  <conditionalFormatting sqref="J12">
    <cfRule type="expression" dxfId="748" priority="22">
      <formula>K12&lt;&gt;SUM(AE12:AJ12)</formula>
    </cfRule>
  </conditionalFormatting>
  <conditionalFormatting sqref="J13">
    <cfRule type="expression" dxfId="747" priority="23">
      <formula>K13&lt;&gt;SUM(AE13:AJ13)</formula>
    </cfRule>
  </conditionalFormatting>
  <conditionalFormatting sqref="J14">
    <cfRule type="expression" dxfId="746" priority="24">
      <formula>K14&lt;&gt;SUM(AE14:AJ14)</formula>
    </cfRule>
  </conditionalFormatting>
  <conditionalFormatting sqref="J15">
    <cfRule type="expression" dxfId="745" priority="25">
      <formula>K15&lt;&gt;SUM(AE15:AJ15)</formula>
    </cfRule>
  </conditionalFormatting>
  <conditionalFormatting sqref="J16">
    <cfRule type="expression" dxfId="744" priority="26">
      <formula>K16&lt;&gt;SUM(AE16:AJ16)</formula>
    </cfRule>
  </conditionalFormatting>
  <conditionalFormatting sqref="J17">
    <cfRule type="expression" dxfId="743" priority="27">
      <formula>K17&lt;&gt;SUM(AE17:AJ17)</formula>
    </cfRule>
  </conditionalFormatting>
  <conditionalFormatting sqref="J18">
    <cfRule type="expression" dxfId="742" priority="28">
      <formula>K18&lt;&gt;SUM(AE18:AJ18)</formula>
    </cfRule>
  </conditionalFormatting>
  <conditionalFormatting sqref="J19">
    <cfRule type="expression" dxfId="741" priority="29">
      <formula>K19&lt;&gt;SUM(AE19:AJ19)</formula>
    </cfRule>
  </conditionalFormatting>
  <dataValidations count="3">
    <dataValidation type="list" allowBlank="1" showErrorMessage="1" sqref="D4:D19">
      <formula1>'AM2'!$D$28:$D$49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L26" sqref="L26:S26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</row>
    <row r="4" spans="1:49" ht="12.75">
      <c r="A4" s="2"/>
      <c r="B4" s="40">
        <v>1</v>
      </c>
      <c r="C4" s="41" t="s">
        <v>149</v>
      </c>
      <c r="D4" s="42" t="s">
        <v>150</v>
      </c>
      <c r="E4" s="43">
        <f>IFERROR(VLOOKUP($I$24&amp;$D4,'Database-Hidden'!$C$2:$J$120,4,FALSE)-P4+AG4,"")</f>
        <v>6</v>
      </c>
      <c r="F4" s="44">
        <f>IFERROR(VLOOKUP($I$24&amp;$D4,'Database-Hidden'!$C$2:$J$120,5,FALSE)-Q4+AH4,"")</f>
        <v>2</v>
      </c>
      <c r="G4" s="44">
        <f>IFERROR(VLOOKUP($I$24&amp;$D4,'Database-Hidden'!$C$2:$J$120,6,FALSE)-R4+AI4,"")</f>
        <v>3</v>
      </c>
      <c r="H4" s="45">
        <f>IFERROR(VLOOKUP($I$24&amp;$D4,'Database-Hidden'!$C$2:$J$120,7,FALSE)-S4+AJ4,"")</f>
        <v>7</v>
      </c>
      <c r="I4" s="46" t="str">
        <f>IFERROR(VLOOKUP($I$24&amp;$D4,'Database-Hidden'!$C$2:$J$120,8,FALSE),"")</f>
        <v>Dodge, Right Stuff, Stunty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9" si="2">IF(L4=1,0,AD4+(20000*O4)+(20000*AE4)+(30000*AF4)+(30000*AG4)+(50000*AH4)+(40000*AI4)+(50000*AJ4)+AK4)</f>
        <v>40000</v>
      </c>
      <c r="AC4" s="4"/>
      <c r="AD4" s="59">
        <f>IFERROR(VLOOKUP($I$24&amp;D4,'Database-Hidden'!$C$2:$E$120,3,FALSE),"")</f>
        <v>40000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</row>
    <row r="5" spans="1:49" ht="12.75">
      <c r="A5" s="2"/>
      <c r="B5" s="70">
        <v>2</v>
      </c>
      <c r="C5" s="71" t="s">
        <v>156</v>
      </c>
      <c r="D5" s="72" t="s">
        <v>150</v>
      </c>
      <c r="E5" s="73">
        <f>IFERROR(VLOOKUP($I$24&amp;$D5,'Database-Hidden'!$C$2:$J$120,4,FALSE)-P5+AG5,"")</f>
        <v>6</v>
      </c>
      <c r="F5" s="74">
        <f>IFERROR(VLOOKUP($I$24&amp;$D5,'Database-Hidden'!$C$2:$J$120,5,FALSE)-Q5+AH5,"")</f>
        <v>2</v>
      </c>
      <c r="G5" s="74">
        <f>IFERROR(VLOOKUP($I$24&amp;$D5,'Database-Hidden'!$C$2:$J$120,6,FALSE)-R5+AI5,"")</f>
        <v>3</v>
      </c>
      <c r="H5" s="75">
        <f>IFERROR(VLOOKUP($I$24&amp;$D5,'Database-Hidden'!$C$2:$J$120,7,FALSE)-S5+AJ5,"")</f>
        <v>7</v>
      </c>
      <c r="I5" s="76" t="str">
        <f>IFERROR(VLOOKUP($I$24&amp;$D5,'Database-Hidden'!$C$2:$J$120,8,FALSE),"")</f>
        <v>Dodge, Right Stuff, Stunty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40000</v>
      </c>
      <c r="AC5" s="4"/>
      <c r="AD5" s="90">
        <f>IFERROR(VLOOKUP($I$24&amp;D5,'Database-Hidden'!$C$2:$E$120,3,FALSE),"")</f>
        <v>40000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</row>
    <row r="6" spans="1:49" ht="12.75">
      <c r="A6" s="2"/>
      <c r="B6" s="70">
        <v>3</v>
      </c>
      <c r="C6" s="71" t="s">
        <v>161</v>
      </c>
      <c r="D6" s="72" t="s">
        <v>150</v>
      </c>
      <c r="E6" s="73">
        <f>IFERROR(VLOOKUP($I$24&amp;$D6,'Database-Hidden'!$C$2:$J$120,4,FALSE)-P6+AG6,"")</f>
        <v>6</v>
      </c>
      <c r="F6" s="74">
        <f>IFERROR(VLOOKUP($I$24&amp;$D6,'Database-Hidden'!$C$2:$J$120,5,FALSE)-Q6+AH6,"")</f>
        <v>2</v>
      </c>
      <c r="G6" s="74">
        <f>IFERROR(VLOOKUP($I$24&amp;$D6,'Database-Hidden'!$C$2:$J$120,6,FALSE)-R6+AI6,"")</f>
        <v>3</v>
      </c>
      <c r="H6" s="75">
        <f>IFERROR(VLOOKUP($I$24&amp;$D6,'Database-Hidden'!$C$2:$J$120,7,FALSE)-S6+AJ6,"")</f>
        <v>7</v>
      </c>
      <c r="I6" s="76" t="str">
        <f>IFERROR(VLOOKUP($I$24&amp;$D6,'Database-Hidden'!$C$2:$J$120,8,FALSE),"")</f>
        <v>Dodge, Right Stuff, Stunty</v>
      </c>
      <c r="J6" s="77" t="s">
        <v>163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7">
        <v>1</v>
      </c>
      <c r="W6" s="86"/>
      <c r="X6" s="83"/>
      <c r="Y6" s="83"/>
      <c r="Z6" s="88">
        <v>1</v>
      </c>
      <c r="AA6" s="89">
        <f t="shared" si="1"/>
        <v>8</v>
      </c>
      <c r="AB6" s="58">
        <f t="shared" si="2"/>
        <v>60000</v>
      </c>
      <c r="AC6" s="4"/>
      <c r="AD6" s="90">
        <f>IFERROR(VLOOKUP($I$24&amp;D6,'Database-Hidden'!$C$2:$E$120,3,FALSE),"")</f>
        <v>40000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50000</v>
      </c>
      <c r="AP6" s="106"/>
      <c r="AQ6" s="107"/>
      <c r="AR6" s="134" t="s">
        <v>21</v>
      </c>
      <c r="AS6" s="110" t="s">
        <v>166</v>
      </c>
      <c r="AT6" s="112">
        <v>0</v>
      </c>
      <c r="AU6" s="113">
        <v>4</v>
      </c>
      <c r="AV6" s="273">
        <v>0</v>
      </c>
      <c r="AW6" s="115"/>
    </row>
    <row r="7" spans="1:49" ht="12.75">
      <c r="A7" s="2"/>
      <c r="B7" s="70">
        <v>4</v>
      </c>
      <c r="C7" s="71" t="s">
        <v>167</v>
      </c>
      <c r="D7" s="72" t="s">
        <v>150</v>
      </c>
      <c r="E7" s="73">
        <f>IFERROR(VLOOKUP($I$24&amp;$D7,'Database-Hidden'!$C$2:$J$120,4,FALSE)-P7+AG7,"")</f>
        <v>6</v>
      </c>
      <c r="F7" s="74">
        <f>IFERROR(VLOOKUP($I$24&amp;$D7,'Database-Hidden'!$C$2:$J$120,5,FALSE)-Q7+AH7,"")</f>
        <v>2</v>
      </c>
      <c r="G7" s="74">
        <f>IFERROR(VLOOKUP($I$24&amp;$D7,'Database-Hidden'!$C$2:$J$120,6,FALSE)-R7+AI7,"")</f>
        <v>3</v>
      </c>
      <c r="H7" s="75">
        <f>IFERROR(VLOOKUP($I$24&amp;$D7,'Database-Hidden'!$C$2:$J$120,7,FALSE)-S7+AJ7,"")</f>
        <v>7</v>
      </c>
      <c r="I7" s="76" t="str">
        <f>IFERROR(VLOOKUP($I$24&amp;$D7,'Database-Hidden'!$C$2:$J$120,8,FALSE),"")</f>
        <v>Dodge, Right Stuff, Stunty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6">
        <f>IFERROR(VLOOKUP($I$24&amp;D7,'Database-Hidden'!$C$2:$E$120,3,FALSE),"")</f>
        <v>40000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60000</v>
      </c>
      <c r="AP7" s="121">
        <v>110000</v>
      </c>
      <c r="AQ7" s="122"/>
      <c r="AR7" s="134" t="s">
        <v>173</v>
      </c>
      <c r="AS7" s="126" t="s">
        <v>166</v>
      </c>
      <c r="AT7" s="128">
        <v>1</v>
      </c>
      <c r="AU7" s="130">
        <v>0</v>
      </c>
      <c r="AV7" s="282">
        <v>0</v>
      </c>
      <c r="AW7" s="132"/>
    </row>
    <row r="8" spans="1:49" ht="12.75">
      <c r="A8" s="2"/>
      <c r="B8" s="70">
        <v>5</v>
      </c>
      <c r="C8" s="71" t="s">
        <v>174</v>
      </c>
      <c r="D8" s="72" t="s">
        <v>150</v>
      </c>
      <c r="E8" s="73">
        <f>IFERROR(VLOOKUP($I$24&amp;$D8,'Database-Hidden'!$C$2:$J$120,4,FALSE)-P8+AG8,"")</f>
        <v>6</v>
      </c>
      <c r="F8" s="74">
        <f>IFERROR(VLOOKUP($I$24&amp;$D8,'Database-Hidden'!$C$2:$J$120,5,FALSE)-Q8+AH8,"")</f>
        <v>2</v>
      </c>
      <c r="G8" s="74">
        <f>IFERROR(VLOOKUP($I$24&amp;$D8,'Database-Hidden'!$C$2:$J$120,6,FALSE)-R8+AI8,"")</f>
        <v>3</v>
      </c>
      <c r="H8" s="75">
        <f>IFERROR(VLOOKUP($I$24&amp;$D8,'Database-Hidden'!$C$2:$J$120,7,FALSE)-S8+AJ8,"")</f>
        <v>7</v>
      </c>
      <c r="I8" s="76" t="str">
        <f>IFERROR(VLOOKUP($I$24&amp;$D8,'Database-Hidden'!$C$2:$J$120,8,FALSE),"")</f>
        <v>Dodge, Right Stuff, Stunty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7">
        <v>1</v>
      </c>
      <c r="W8" s="87">
        <v>1</v>
      </c>
      <c r="X8" s="83"/>
      <c r="Y8" s="83"/>
      <c r="Z8" s="88"/>
      <c r="AA8" s="89">
        <f t="shared" si="1"/>
        <v>5</v>
      </c>
      <c r="AB8" s="58">
        <f t="shared" si="2"/>
        <v>40000</v>
      </c>
      <c r="AC8" s="4"/>
      <c r="AD8" s="116">
        <f>IFERROR(VLOOKUP($I$24&amp;D8,'Database-Hidden'!$C$2:$E$120,3,FALSE),"")</f>
        <v>40000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40000</v>
      </c>
      <c r="AP8" s="121">
        <v>40000</v>
      </c>
      <c r="AQ8" s="122"/>
      <c r="AR8" s="134" t="s">
        <v>26</v>
      </c>
      <c r="AS8" s="126" t="s">
        <v>87</v>
      </c>
      <c r="AT8" s="128">
        <v>2</v>
      </c>
      <c r="AU8" s="130">
        <v>4</v>
      </c>
      <c r="AV8" s="282">
        <v>1</v>
      </c>
      <c r="AW8" s="132"/>
    </row>
    <row r="9" spans="1:49" ht="12.75">
      <c r="A9" s="2"/>
      <c r="B9" s="70">
        <v>6</v>
      </c>
      <c r="C9" s="71" t="s">
        <v>177</v>
      </c>
      <c r="D9" s="72" t="s">
        <v>150</v>
      </c>
      <c r="E9" s="73">
        <f>IFERROR(VLOOKUP($I$24&amp;$D9,'Database-Hidden'!$C$2:$J$120,4,FALSE)-P9+AG9,"")</f>
        <v>6</v>
      </c>
      <c r="F9" s="74">
        <f>IFERROR(VLOOKUP($I$24&amp;$D9,'Database-Hidden'!$C$2:$J$120,5,FALSE)-Q9+AH9,"")</f>
        <v>2</v>
      </c>
      <c r="G9" s="74">
        <f>IFERROR(VLOOKUP($I$24&amp;$D9,'Database-Hidden'!$C$2:$J$120,6,FALSE)-R9+AI9,"")</f>
        <v>3</v>
      </c>
      <c r="H9" s="75">
        <f>IFERROR(VLOOKUP($I$24&amp;$D9,'Database-Hidden'!$C$2:$J$120,7,FALSE)-S9+AJ9,"")</f>
        <v>7</v>
      </c>
      <c r="I9" s="76" t="str">
        <f>IFERROR(VLOOKUP($I$24&amp;$D9,'Database-Hidden'!$C$2:$J$120,8,FALSE),"")</f>
        <v>Dodge, Right Stuff, Stunty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40000</v>
      </c>
      <c r="AC9" s="4"/>
      <c r="AD9" s="116">
        <f>IFERROR(VLOOKUP($I$24&amp;D9,'Database-Hidden'!$C$2:$E$120,3,FALSE),"")</f>
        <v>40000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9">
        <v>30000</v>
      </c>
      <c r="AP9" s="120"/>
      <c r="AQ9" s="122"/>
      <c r="AR9" s="134" t="s">
        <v>39</v>
      </c>
      <c r="AS9" s="126" t="s">
        <v>166</v>
      </c>
      <c r="AT9" s="128">
        <v>1</v>
      </c>
      <c r="AU9" s="130">
        <v>0</v>
      </c>
      <c r="AV9" s="282">
        <v>0</v>
      </c>
      <c r="AW9" s="132"/>
    </row>
    <row r="10" spans="1:49" ht="12.75">
      <c r="A10" s="2"/>
      <c r="B10" s="70">
        <v>7</v>
      </c>
      <c r="C10" s="71"/>
      <c r="D10" s="72"/>
      <c r="E10" s="73" t="str">
        <f>IFERROR(VLOOKUP($I$24&amp;$D10,'Database-Hidden'!$C$2:$J$120,4,FALSE)-P10+AG10,"")</f>
        <v/>
      </c>
      <c r="F10" s="74" t="str">
        <f>IFERROR(VLOOKUP($I$24&amp;$D10,'Database-Hidden'!$C$2:$J$120,5,FALSE)-Q10+AH10,"")</f>
        <v/>
      </c>
      <c r="G10" s="74" t="str">
        <f>IFERROR(VLOOKUP($I$24&amp;$D10,'Database-Hidden'!$C$2:$J$120,6,FALSE)-R10+AI10,"")</f>
        <v/>
      </c>
      <c r="H10" s="75" t="str">
        <f>IFERROR(VLOOKUP($I$24&amp;$D10,'Database-Hidden'!$C$2:$J$120,7,FALSE)-S10+AJ10,"")</f>
        <v/>
      </c>
      <c r="I10" s="76" t="str">
        <f>IFERROR(VLOOKUP($I$24&amp;$D10,'Database-Hidden'!$C$2:$J$120,8,FALSE),"")</f>
        <v/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/>
      <c r="AC10" s="4"/>
      <c r="AD10" s="116" t="str">
        <f>IFERROR(VLOOKUP($I$24&amp;D10,'Database-Hidden'!$C$2:$E$120,3,FALSE),"")</f>
        <v/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7"/>
      <c r="AW10" s="132"/>
    </row>
    <row r="11" spans="1:49" ht="12.75">
      <c r="A11" s="2"/>
      <c r="B11" s="70">
        <v>8</v>
      </c>
      <c r="C11" s="101"/>
      <c r="D11" s="133"/>
      <c r="E11" s="73" t="str">
        <f>IFERROR(VLOOKUP($I$24&amp;$D11,'Database-Hidden'!$C$2:$J$120,4,FALSE)-P11+AG11,"")</f>
        <v/>
      </c>
      <c r="F11" s="74" t="str">
        <f>IFERROR(VLOOKUP($I$24&amp;$D11,'Database-Hidden'!$C$2:$J$120,5,FALSE)-Q11+AH11,"")</f>
        <v/>
      </c>
      <c r="G11" s="74" t="str">
        <f>IFERROR(VLOOKUP($I$24&amp;$D11,'Database-Hidden'!$C$2:$J$120,6,FALSE)-R11+AI11,"")</f>
        <v/>
      </c>
      <c r="H11" s="75" t="str">
        <f>IFERROR(VLOOKUP($I$24&amp;$D11,'Database-Hidden'!$C$2:$J$120,7,FALSE)-S11+AJ11,"")</f>
        <v/>
      </c>
      <c r="I11" s="76" t="str">
        <f>IFERROR(VLOOKUP($I$24&amp;$D11,'Database-Hidden'!$C$2:$J$120,8,FALSE),"")</f>
        <v/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/>
      <c r="AC11" s="4"/>
      <c r="AD11" s="116" t="str">
        <f>IFERROR(VLOOKUP($I$24&amp;D11,'Database-Hidden'!$C$2:$E$120,3,FALSE),"")</f>
        <v/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7"/>
      <c r="AW11" s="132"/>
    </row>
    <row r="12" spans="1:49" ht="12.75">
      <c r="A12" s="2"/>
      <c r="B12" s="70">
        <v>9</v>
      </c>
      <c r="C12" s="71"/>
      <c r="D12" s="72"/>
      <c r="E12" s="73" t="str">
        <f>IFERROR(VLOOKUP($I$24&amp;$D12,'Database-Hidden'!$C$2:$J$120,4,FALSE)-P12+AG12,"")</f>
        <v/>
      </c>
      <c r="F12" s="74" t="str">
        <f>IFERROR(VLOOKUP($I$24&amp;$D12,'Database-Hidden'!$C$2:$J$120,5,FALSE)-Q12+AH12,"")</f>
        <v/>
      </c>
      <c r="G12" s="74" t="str">
        <f>IFERROR(VLOOKUP($I$24&amp;$D12,'Database-Hidden'!$C$2:$J$120,6,FALSE)-R12+AI12,"")</f>
        <v/>
      </c>
      <c r="H12" s="75" t="str">
        <f>IFERROR(VLOOKUP($I$24&amp;$D12,'Database-Hidden'!$C$2:$J$120,7,FALSE)-S12+AJ12,"")</f>
        <v/>
      </c>
      <c r="I12" s="76" t="str">
        <f>IFERROR(VLOOKUP($I$24&amp;$D12,'Database-Hidden'!$C$2:$J$120,8,FALSE),"")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/>
      <c r="AC12" s="4"/>
      <c r="AD12" s="116" t="str">
        <f>IFERROR(VLOOKUP($I$24&amp;D12,'Database-Hidden'!$C$2:$E$120,3,FALSE),"")</f>
        <v/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7"/>
      <c r="AW12" s="132"/>
    </row>
    <row r="13" spans="1:49" ht="12.75">
      <c r="A13" s="2"/>
      <c r="B13" s="70">
        <v>10</v>
      </c>
      <c r="C13" s="71" t="s">
        <v>189</v>
      </c>
      <c r="D13" s="72" t="s">
        <v>190</v>
      </c>
      <c r="E13" s="73">
        <f>IFERROR(VLOOKUP($I$24&amp;$D13,'Database-Hidden'!$C$2:$J$120,4,FALSE)-P13+AG13,"")</f>
        <v>6</v>
      </c>
      <c r="F13" s="74">
        <f>IFERROR(VLOOKUP($I$24&amp;$D13,'Database-Hidden'!$C$2:$J$120,5,FALSE)-Q13+AH13,"")</f>
        <v>2</v>
      </c>
      <c r="G13" s="74">
        <f>IFERROR(VLOOKUP($I$24&amp;$D13,'Database-Hidden'!$C$2:$J$120,6,FALSE)-R13+AI13,"")</f>
        <v>3</v>
      </c>
      <c r="H13" s="75">
        <f>IFERROR(VLOOKUP($I$24&amp;$D13,'Database-Hidden'!$C$2:$J$120,7,FALSE)-S13+AJ13,"")</f>
        <v>7</v>
      </c>
      <c r="I13" s="76" t="str">
        <f>IFERROR(VLOOKUP($I$24&amp;$D13,'Database-Hidden'!$C$2:$J$120,8,FALSE),"")</f>
        <v>Right Stuff, Stunty, Swoop</v>
      </c>
      <c r="J13" s="77"/>
      <c r="K13" s="78">
        <f t="shared" si="0"/>
        <v>1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>
        <v>2</v>
      </c>
      <c r="W13" s="87"/>
      <c r="X13" s="83"/>
      <c r="Y13" s="83"/>
      <c r="Z13" s="88"/>
      <c r="AA13" s="89">
        <f t="shared" si="1"/>
        <v>6</v>
      </c>
      <c r="AB13" s="58">
        <f t="shared" si="2"/>
        <v>60000</v>
      </c>
      <c r="AC13" s="4"/>
      <c r="AD13" s="116">
        <f>IFERROR(VLOOKUP($I$24&amp;D13,'Database-Hidden'!$C$2:$E$120,3,FALSE),"")</f>
        <v>60000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</row>
    <row r="14" spans="1:49" ht="12.75">
      <c r="A14" s="2"/>
      <c r="B14" s="70">
        <v>11</v>
      </c>
      <c r="C14" s="71" t="s">
        <v>193</v>
      </c>
      <c r="D14" s="72" t="s">
        <v>194</v>
      </c>
      <c r="E14" s="73">
        <f>IFERROR(VLOOKUP($I$24&amp;$D14,'Database-Hidden'!$C$2:$J$120,4,FALSE)-P14+AG14,"")</f>
        <v>7</v>
      </c>
      <c r="F14" s="74">
        <f>IFERROR(VLOOKUP($I$24&amp;$D14,'Database-Hidden'!$C$2:$J$120,5,FALSE)-Q14+AH14,"")</f>
        <v>2</v>
      </c>
      <c r="G14" s="74">
        <f>IFERROR(VLOOKUP($I$24&amp;$D14,'Database-Hidden'!$C$2:$J$120,6,FALSE)-R14+AI14,"")</f>
        <v>3</v>
      </c>
      <c r="H14" s="75">
        <f>IFERROR(VLOOKUP($I$24&amp;$D14,'Database-Hidden'!$C$2:$J$120,7,FALSE)-S14+AJ14,"")</f>
        <v>7</v>
      </c>
      <c r="I14" s="76" t="str">
        <f>IFERROR(VLOOKUP($I$24&amp;$D14,'Database-Hidden'!$C$2:$J$120,8,FALSE),"")</f>
        <v>Dodge, Leap, Stunty, Very Long Legs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70000</v>
      </c>
      <c r="AC14" s="4"/>
      <c r="AD14" s="116">
        <f>IFERROR(VLOOKUP($I$24&amp;D14,'Database-Hidden'!$C$2:$E$120,3,FALSE),"")</f>
        <v>70000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</row>
    <row r="15" spans="1:49" ht="12.75">
      <c r="A15" s="2"/>
      <c r="B15" s="70">
        <v>12</v>
      </c>
      <c r="C15" s="71" t="s">
        <v>197</v>
      </c>
      <c r="D15" s="72" t="s">
        <v>198</v>
      </c>
      <c r="E15" s="73">
        <f>IFERROR(VLOOKUP($I$24&amp;$D15,'Database-Hidden'!$C$2:$J$120,4,FALSE)-P15+AG15,"")</f>
        <v>6</v>
      </c>
      <c r="F15" s="74">
        <f>IFERROR(VLOOKUP($I$24&amp;$D15,'Database-Hidden'!$C$2:$J$120,5,FALSE)-Q15+AH15,"")</f>
        <v>2</v>
      </c>
      <c r="G15" s="74">
        <f>IFERROR(VLOOKUP($I$24&amp;$D15,'Database-Hidden'!$C$2:$J$120,6,FALSE)-R15+AI15,"")</f>
        <v>3</v>
      </c>
      <c r="H15" s="75">
        <f>IFERROR(VLOOKUP($I$24&amp;$D15,'Database-Hidden'!$C$2:$J$120,7,FALSE)-S15+AJ15,"")</f>
        <v>7</v>
      </c>
      <c r="I15" s="76" t="str">
        <f>IFERROR(VLOOKUP($I$24&amp;$D15,'Database-Hidden'!$C$2:$J$120,8,FALSE),"")</f>
        <v>Chainsaw, Secret Weapon, Stunty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303">
        <v>1</v>
      </c>
      <c r="Y15" s="303">
        <v>1</v>
      </c>
      <c r="Z15" s="88"/>
      <c r="AA15" s="89">
        <f t="shared" si="1"/>
        <v>0</v>
      </c>
      <c r="AB15" s="58">
        <f t="shared" si="2"/>
        <v>40000</v>
      </c>
      <c r="AC15" s="4"/>
      <c r="AD15" s="116">
        <f>IFERROR(VLOOKUP($I$24&amp;D15,'Database-Hidden'!$C$2:$E$120,3,FALSE),"")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</row>
    <row r="16" spans="1:49" ht="22.5">
      <c r="A16" s="2"/>
      <c r="B16" s="70">
        <v>13</v>
      </c>
      <c r="C16" s="71" t="s">
        <v>204</v>
      </c>
      <c r="D16" s="72" t="s">
        <v>205</v>
      </c>
      <c r="E16" s="73">
        <f>IFERROR(VLOOKUP($I$24&amp;$D16,'Database-Hidden'!$C$2:$J$120,4,FALSE)-P16+AG16,"")</f>
        <v>3</v>
      </c>
      <c r="F16" s="74">
        <f>IFERROR(VLOOKUP($I$24&amp;$D16,'Database-Hidden'!$C$2:$J$120,5,FALSE)-Q16+AH16,"")</f>
        <v>7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7</v>
      </c>
      <c r="I16" s="76" t="str">
        <f>IFERROR(VLOOKUP($I$24&amp;$D16,'Database-Hidden'!$C$2:$J$120,8,FALSE),"")</f>
        <v>Ball &amp; Chain, No Hands, Secret Weapon,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70000</v>
      </c>
      <c r="AC16" s="4"/>
      <c r="AD16" s="116">
        <f>IFERROR(VLOOKUP($I$24&amp;D16,'Database-Hidden'!$C$2:$E$120,3,FALSE),"")</f>
        <v>70000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</row>
    <row r="17" spans="1:49" ht="22.5">
      <c r="A17" s="2"/>
      <c r="B17" s="70">
        <v>14</v>
      </c>
      <c r="C17" s="154" t="s">
        <v>208</v>
      </c>
      <c r="D17" s="72" t="s">
        <v>209</v>
      </c>
      <c r="E17" s="73">
        <f>IFERROR(VLOOKUP($I$24&amp;$D17,'Database-Hidden'!$C$2:$J$120,4,FALSE)-P17+AG17,"")</f>
        <v>6</v>
      </c>
      <c r="F17" s="74">
        <f>IFERROR(VLOOKUP($I$24&amp;$D17,'Database-Hidden'!$C$2:$J$120,5,FALSE)-Q17+AH17,"")</f>
        <v>2</v>
      </c>
      <c r="G17" s="74">
        <f>IFERROR(VLOOKUP($I$24&amp;$D17,'Database-Hidden'!$C$2:$J$120,6,FALSE)-R17+AI17,"")</f>
        <v>3</v>
      </c>
      <c r="H17" s="75">
        <f>IFERROR(VLOOKUP($I$24&amp;$D17,'Database-Hidden'!$C$2:$J$120,7,FALSE)-S17+AJ17,"")</f>
        <v>7</v>
      </c>
      <c r="I17" s="76" t="str">
        <f>IFERROR(VLOOKUP($I$24&amp;$D17,'Database-Hidden'!$C$2:$J$120,8,FALSE),"")</f>
        <v>Bombardier, Dodge, Secret Weapon, Stunty</v>
      </c>
      <c r="J17" s="77"/>
      <c r="K17" s="78">
        <f t="shared" si="0"/>
        <v>0</v>
      </c>
      <c r="L17" s="80"/>
      <c r="M17" s="79"/>
      <c r="N17" s="80"/>
      <c r="O17" s="81"/>
      <c r="P17" s="26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40000</v>
      </c>
      <c r="AC17" s="4"/>
      <c r="AD17" s="116">
        <f>IFERROR(VLOOKUP($I$24&amp;D17,'Database-Hidden'!$C$2:$E$120,3,FALSE),"")</f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</row>
    <row r="18" spans="1:49" ht="33.75">
      <c r="A18" s="2"/>
      <c r="B18" s="70">
        <v>15</v>
      </c>
      <c r="C18" s="71" t="s">
        <v>211</v>
      </c>
      <c r="D18" s="72" t="s">
        <v>212</v>
      </c>
      <c r="E18" s="73">
        <f>IFERROR(VLOOKUP($I$24&amp;$D18,'Database-Hidden'!$C$2:$J$120,4,FALSE)-P18+AG18,"")</f>
        <v>4</v>
      </c>
      <c r="F18" s="74">
        <f>IFERROR(VLOOKUP($I$24&amp;$D18,'Database-Hidden'!$C$2:$J$120,5,FALSE)-Q18+AH18,"")</f>
        <v>5</v>
      </c>
      <c r="G18" s="74">
        <f>IFERROR(VLOOKUP($I$24&amp;$D18,'Database-Hidden'!$C$2:$J$120,6,FALSE)-R18+AI18,"")</f>
        <v>1</v>
      </c>
      <c r="H18" s="75">
        <f>IFERROR(VLOOKUP($I$24&amp;$D18,'Database-Hidden'!$C$2:$J$120,7,FALSE)-S18+AJ18,"")</f>
        <v>9</v>
      </c>
      <c r="I18" s="76" t="str">
        <f>IFERROR(VLOOKUP($I$24&amp;$D18,'Database-Hidden'!$C$2:$J$120,8,FALSE),"")</f>
        <v>Loner, Always Hungry, Mighty Blow, Really Stupid, Regeneration, Throw Team-mate</v>
      </c>
      <c r="J18" s="77" t="s">
        <v>213</v>
      </c>
      <c r="K18" s="78">
        <f t="shared" si="0"/>
        <v>2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>
        <v>3</v>
      </c>
      <c r="X18" s="83"/>
      <c r="Y18" s="83"/>
      <c r="Z18" s="88">
        <v>2</v>
      </c>
      <c r="AA18" s="89">
        <f t="shared" si="1"/>
        <v>16</v>
      </c>
      <c r="AB18" s="58">
        <f t="shared" si="2"/>
        <v>150000</v>
      </c>
      <c r="AC18" s="4"/>
      <c r="AD18" s="116">
        <f>IFERROR(VLOOKUP($I$24&amp;D18,'Database-Hidden'!$C$2:$E$120,3,FALSE),"")</f>
        <v>110000</v>
      </c>
      <c r="AE18" s="91">
        <v>2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30000</v>
      </c>
      <c r="AP18" s="4"/>
      <c r="AQ18" s="4"/>
      <c r="AR18" s="67"/>
      <c r="AS18" s="148" t="s">
        <v>42</v>
      </c>
      <c r="AT18" s="150">
        <f t="shared" ref="AT18:AU18" si="3">SUM(AT6:AT17)</f>
        <v>4</v>
      </c>
      <c r="AU18" s="151">
        <f t="shared" si="3"/>
        <v>8</v>
      </c>
      <c r="AV18" s="152">
        <f>AV4+SUM(AV6:AV17)</f>
        <v>1</v>
      </c>
      <c r="AW18" s="5"/>
    </row>
    <row r="19" spans="1:49" ht="33.75">
      <c r="A19" s="2"/>
      <c r="B19" s="153">
        <v>16</v>
      </c>
      <c r="C19" s="154" t="s">
        <v>215</v>
      </c>
      <c r="D19" s="155" t="s">
        <v>212</v>
      </c>
      <c r="E19" s="156">
        <f>IFERROR(VLOOKUP($I$24&amp;$D19,'Database-Hidden'!$C$2:$J$120,4,FALSE)-P19+AG19,"")</f>
        <v>4</v>
      </c>
      <c r="F19" s="157">
        <f>IFERROR(VLOOKUP($I$24&amp;$D19,'Database-Hidden'!$C$2:$J$120,5,FALSE)-Q19+AH19,"")</f>
        <v>5</v>
      </c>
      <c r="G19" s="157">
        <f>IFERROR(VLOOKUP($I$24&amp;$D19,'Database-Hidden'!$C$2:$J$120,6,FALSE)-R19+AI19,"")</f>
        <v>1</v>
      </c>
      <c r="H19" s="159">
        <f>IFERROR(VLOOKUP($I$24&amp;$D19,'Database-Hidden'!$C$2:$J$120,7,FALSE)-S19+AJ19,"")</f>
        <v>9</v>
      </c>
      <c r="I19" s="160" t="str">
        <f>IFERROR(VLOOKUP($I$24&amp;$D19,'Database-Hidden'!$C$2:$J$120,8,FALSE),"")</f>
        <v>Loner, Always Hungry, Mighty Blow, Really Stupid, Regeneration, Throw Team-mate</v>
      </c>
      <c r="J19" s="161" t="s">
        <v>216</v>
      </c>
      <c r="K19" s="162">
        <f t="shared" si="0"/>
        <v>1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>
        <v>2</v>
      </c>
      <c r="X19" s="167"/>
      <c r="Y19" s="167"/>
      <c r="Z19" s="172">
        <v>1</v>
      </c>
      <c r="AA19" s="173">
        <f t="shared" si="1"/>
        <v>9</v>
      </c>
      <c r="AB19" s="58">
        <f t="shared" si="2"/>
        <v>140000</v>
      </c>
      <c r="AC19" s="4"/>
      <c r="AD19" s="174">
        <f>IFERROR(VLOOKUP($I$24&amp;D19,'Database-Hidden'!$C$2:$E$120,3,FALSE),"")</f>
        <v>110000</v>
      </c>
      <c r="AE19" s="175"/>
      <c r="AF19" s="305">
        <v>1</v>
      </c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</row>
    <row r="20" spans="1:49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830000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</row>
    <row r="21" spans="1:49" ht="12.75">
      <c r="A21" s="2"/>
      <c r="B21" s="531"/>
      <c r="C21" s="507"/>
      <c r="D21" s="532"/>
      <c r="E21" s="538" t="s">
        <v>117</v>
      </c>
      <c r="F21" s="507"/>
      <c r="G21" s="507"/>
      <c r="H21" s="539"/>
      <c r="I21" s="550" t="s">
        <v>933</v>
      </c>
      <c r="J21" s="551"/>
      <c r="K21" s="55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2</v>
      </c>
      <c r="U21" s="183" t="s">
        <v>47</v>
      </c>
      <c r="V21" s="527">
        <f>IFERROR(VLOOKUP(I24,'Database-Hidden'!N2:O28,2,FALSE),"")</f>
        <v>60000</v>
      </c>
      <c r="W21" s="525"/>
      <c r="X21" s="525"/>
      <c r="Y21" s="525"/>
      <c r="Z21" s="525"/>
      <c r="AA21" s="528"/>
      <c r="AB21" s="184">
        <f t="shared" ref="AB21:AB25" si="4">T21*V21</f>
        <v>120000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</row>
    <row r="22" spans="1:49" ht="12.75">
      <c r="A22" s="2"/>
      <c r="B22" s="531"/>
      <c r="C22" s="507"/>
      <c r="D22" s="532"/>
      <c r="E22" s="507"/>
      <c r="F22" s="507"/>
      <c r="G22" s="507"/>
      <c r="H22" s="539"/>
      <c r="I22" s="553"/>
      <c r="J22" s="551"/>
      <c r="K22" s="552"/>
      <c r="L22" s="515" t="s">
        <v>122</v>
      </c>
      <c r="M22" s="509"/>
      <c r="N22" s="509"/>
      <c r="O22" s="509"/>
      <c r="P22" s="509"/>
      <c r="Q22" s="509"/>
      <c r="R22" s="509"/>
      <c r="S22" s="514"/>
      <c r="T22" s="314">
        <v>1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10000</v>
      </c>
      <c r="AC22" s="4"/>
      <c r="AD22" s="1" t="s">
        <v>218</v>
      </c>
      <c r="AE22" s="4"/>
      <c r="AF22" s="4"/>
      <c r="AG22" s="4"/>
      <c r="AH22" s="1">
        <v>2</v>
      </c>
      <c r="AI22" s="4"/>
      <c r="AJ22" s="4"/>
      <c r="AK22" s="1" t="s">
        <v>219</v>
      </c>
      <c r="AL22" s="4"/>
      <c r="AM22" s="4"/>
      <c r="AN22" s="188" t="s">
        <v>123</v>
      </c>
      <c r="AO22" s="189">
        <f>AO18</f>
        <v>30000</v>
      </c>
      <c r="AP22" s="4"/>
      <c r="AQ22" s="4"/>
      <c r="AR22" s="4"/>
      <c r="AS22" s="4"/>
      <c r="AT22" s="4"/>
      <c r="AU22" s="4"/>
      <c r="AV22" s="4"/>
      <c r="AW22" s="4"/>
    </row>
    <row r="23" spans="1:49" ht="12.75">
      <c r="A23" s="2"/>
      <c r="B23" s="531"/>
      <c r="C23" s="507"/>
      <c r="D23" s="532"/>
      <c r="E23" s="525"/>
      <c r="F23" s="525"/>
      <c r="G23" s="525"/>
      <c r="H23" s="540"/>
      <c r="I23" s="554"/>
      <c r="J23" s="555"/>
      <c r="K23" s="556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40000</v>
      </c>
      <c r="AP23" s="4"/>
      <c r="AQ23" s="4"/>
      <c r="AR23" s="4"/>
      <c r="AS23" s="4"/>
      <c r="AT23" s="4"/>
      <c r="AU23" s="4"/>
      <c r="AV23" s="4"/>
      <c r="AW23" s="4"/>
    </row>
    <row r="24" spans="1:49" ht="12.75">
      <c r="A24" s="2"/>
      <c r="B24" s="531"/>
      <c r="C24" s="507"/>
      <c r="D24" s="532"/>
      <c r="E24" s="529" t="s">
        <v>126</v>
      </c>
      <c r="F24" s="509"/>
      <c r="G24" s="509"/>
      <c r="H24" s="512"/>
      <c r="I24" s="543" t="s">
        <v>150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20000</v>
      </c>
      <c r="AP24" s="4"/>
      <c r="AQ24" s="4"/>
      <c r="AR24" s="4"/>
      <c r="AS24" s="4"/>
      <c r="AT24" s="4"/>
      <c r="AU24" s="4"/>
      <c r="AV24" s="4"/>
      <c r="AW24" s="4"/>
    </row>
    <row r="25" spans="1:49" ht="12.75">
      <c r="A25" s="2"/>
      <c r="B25" s="531"/>
      <c r="C25" s="507"/>
      <c r="D25" s="532"/>
      <c r="E25" s="529" t="str">
        <f>IFERROR(IF(VLOOKUP(I24,'Database-Hidden'!X2:Y28,2,FALSE)="Yes","NECROMANCER","HEAD COACH"),"HEAD COACH")</f>
        <v>HEAD COACH</v>
      </c>
      <c r="F25" s="509"/>
      <c r="G25" s="509"/>
      <c r="H25" s="512"/>
      <c r="I25" s="543" t="s">
        <v>220</v>
      </c>
      <c r="J25" s="509"/>
      <c r="K25" s="510"/>
      <c r="L25" s="511" t="str">
        <f>IFERROR(IF(VLOOKUP(I24,'Database-Hidden'!X2:Y28,1,FALSE)&lt;&gt;"","",""),"APOTHECARY")</f>
        <v>APOTHECARY</v>
      </c>
      <c r="M25" s="509"/>
      <c r="N25" s="509"/>
      <c r="O25" s="509"/>
      <c r="P25" s="509"/>
      <c r="Q25" s="509"/>
      <c r="R25" s="509"/>
      <c r="S25" s="512"/>
      <c r="T25" s="190">
        <v>1</v>
      </c>
      <c r="U25" s="186" t="str">
        <f>IF(L25&lt;&gt;"","x","")</f>
        <v>x</v>
      </c>
      <c r="V25" s="508">
        <f>IF(L25&lt;&gt;"",50000,"")</f>
        <v>50000</v>
      </c>
      <c r="W25" s="509"/>
      <c r="X25" s="509"/>
      <c r="Y25" s="509"/>
      <c r="Z25" s="509"/>
      <c r="AA25" s="510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40000</v>
      </c>
      <c r="AP25" s="4"/>
      <c r="AQ25" s="4"/>
      <c r="AR25" s="4"/>
      <c r="AS25" s="4"/>
      <c r="AT25" s="4"/>
      <c r="AU25" s="4"/>
      <c r="AV25" s="4"/>
      <c r="AW25" s="4"/>
    </row>
    <row r="26" spans="1:49" ht="12.75">
      <c r="A26" s="2"/>
      <c r="B26" s="531"/>
      <c r="C26" s="507"/>
      <c r="D26" s="532"/>
      <c r="E26" s="529" t="s">
        <v>131</v>
      </c>
      <c r="F26" s="509"/>
      <c r="G26" s="509"/>
      <c r="H26" s="509"/>
      <c r="I26" s="548">
        <f>AB20+AB28</f>
        <v>1110000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0</v>
      </c>
      <c r="U26" s="186" t="s">
        <v>47</v>
      </c>
      <c r="V26" s="508">
        <f>IF(I24="Halfling",200000,600000)</f>
        <v>600000</v>
      </c>
      <c r="W26" s="509"/>
      <c r="X26" s="509"/>
      <c r="Y26" s="509"/>
      <c r="Z26" s="509"/>
      <c r="AA26" s="510"/>
      <c r="AB26" s="187">
        <f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130000</v>
      </c>
      <c r="AP26" s="4"/>
      <c r="AQ26" s="4"/>
      <c r="AR26" s="4"/>
      <c r="AS26" s="4"/>
      <c r="AT26" s="4"/>
      <c r="AU26" s="4"/>
      <c r="AV26" s="4"/>
      <c r="AW26" s="4"/>
    </row>
    <row r="27" spans="1:49" ht="12.75">
      <c r="A27" s="2"/>
      <c r="B27" s="531"/>
      <c r="C27" s="507"/>
      <c r="D27" s="532"/>
      <c r="E27" s="541" t="s">
        <v>133</v>
      </c>
      <c r="F27" s="542"/>
      <c r="G27" s="542"/>
      <c r="H27" s="542"/>
      <c r="I27" s="549">
        <f>AO18</f>
        <v>30000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2</v>
      </c>
      <c r="U27" s="199" t="s">
        <v>47</v>
      </c>
      <c r="V27" s="546">
        <f>IF(I24="Goblin",100000,200000)</f>
        <v>100000</v>
      </c>
      <c r="W27" s="542"/>
      <c r="X27" s="542"/>
      <c r="Y27" s="542"/>
      <c r="Z27" s="542"/>
      <c r="AA27" s="547"/>
      <c r="AB27" s="187">
        <f>T27*V27/2</f>
        <v>100000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4"/>
      <c r="AW27" s="4"/>
    </row>
    <row r="28" spans="1:49" ht="12.75">
      <c r="A28" s="2"/>
      <c r="B28" s="533"/>
      <c r="C28" s="534"/>
      <c r="D28" s="535"/>
      <c r="E28" s="522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SUM(AB21:AB27)</f>
        <v>280000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4"/>
      <c r="AW28" s="4"/>
    </row>
    <row r="29" spans="1:49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7.25" hidden="1" customHeight="1">
      <c r="C30" s="209">
        <f>MATCH(I24,'Database-Hidden'!A2:A120,0)</f>
        <v>40</v>
      </c>
      <c r="D30" s="209" t="str">
        <f t="shared" ref="D30:D39" si="5">I30&amp;IF(COUNTIF(D$4:D$19,I30)&gt;E30," (Too Many)","")</f>
        <v>Doom Diver</v>
      </c>
      <c r="E30" s="210">
        <f t="array" ref="E30">IFERROR(IF(INDEX('Database-Hidden'!$A$2:$B$120,$C30,1)=$I$24,INDEX('Database-Hidden'!$A$2:$D$120,$C30,4),""),"")</f>
        <v>1</v>
      </c>
      <c r="I30" s="209" t="str">
        <f t="array" ref="I30">IFERROR(IF(INDEX('Database-Hidden'!$A$2:$B$120,$C30,1)=$I$24,INDEX('Database-Hidden'!$A$2:$B$120,$C30,2),""),"")</f>
        <v>Doom Diver</v>
      </c>
    </row>
    <row r="31" spans="1:49" ht="17.25" hidden="1" customHeight="1">
      <c r="C31" s="209">
        <f t="shared" ref="C31:C39" si="6">C30+1</f>
        <v>41</v>
      </c>
      <c r="D31" s="209" t="str">
        <f t="shared" si="5"/>
        <v>Goblin</v>
      </c>
      <c r="E31" s="210">
        <f t="array" ref="E31">IFERROR(IF(INDEX('Database-Hidden'!$A$2:$B$120,$C31,1)=$I$24,INDEX('Database-Hidden'!$A$2:$D$120,$C31,4),""),"")</f>
        <v>16</v>
      </c>
      <c r="I31" s="209" t="str">
        <f t="array" ref="I31">IFERROR(IF(INDEX('Database-Hidden'!$A$2:$B$120,$C31,1)=$I$24,INDEX('Database-Hidden'!$A$2:$B$120,$C31,2),""),"")</f>
        <v>Goblin</v>
      </c>
    </row>
    <row r="32" spans="1:49" ht="17.25" hidden="1" customHeight="1">
      <c r="C32" s="209">
        <f t="shared" si="6"/>
        <v>42</v>
      </c>
      <c r="D32" s="209" t="str">
        <f t="shared" si="5"/>
        <v>Bomma</v>
      </c>
      <c r="E32" s="210">
        <f t="array" ref="E32">IFERROR(IF(INDEX('Database-Hidden'!$A$2:$B$120,$C32,1)=$I$24,INDEX('Database-Hidden'!$A$2:$D$120,$C32,4),""),"")</f>
        <v>1</v>
      </c>
      <c r="I32" s="209" t="str">
        <f t="array" ref="I32">IFERROR(IF(INDEX('Database-Hidden'!$A$2:$B$120,$C32,1)=$I$24,INDEX('Database-Hidden'!$A$2:$B$120,$C32,2),""),"")</f>
        <v>Bomma</v>
      </c>
    </row>
    <row r="33" spans="3:9" ht="17.25" hidden="1" customHeight="1">
      <c r="C33" s="209">
        <f t="shared" si="6"/>
        <v>43</v>
      </c>
      <c r="D33" s="209" t="str">
        <f t="shared" si="5"/>
        <v>Looney</v>
      </c>
      <c r="E33" s="210">
        <f t="array" ref="E33">IFERROR(IF(INDEX('Database-Hidden'!$A$2:$B$120,$C33,1)=$I$24,INDEX('Database-Hidden'!$A$2:$D$120,$C33,4),""),"")</f>
        <v>1</v>
      </c>
      <c r="I33" s="209" t="str">
        <f t="array" ref="I33">IFERROR(IF(INDEX('Database-Hidden'!$A$2:$B$120,$C33,1)=$I$24,INDEX('Database-Hidden'!$A$2:$B$120,$C33,2),""),"")</f>
        <v>Looney</v>
      </c>
    </row>
    <row r="34" spans="3:9" ht="17.25" hidden="1" customHeight="1">
      <c r="C34" s="209">
        <f t="shared" si="6"/>
        <v>44</v>
      </c>
      <c r="D34" s="209" t="str">
        <f t="shared" si="5"/>
        <v>Fanatic</v>
      </c>
      <c r="E34" s="210">
        <f t="array" ref="E34">IFERROR(IF(INDEX('Database-Hidden'!$A$2:$B$120,$C34,1)=$I$24,INDEX('Database-Hidden'!$A$2:$D$120,$C34,4),""),"")</f>
        <v>1</v>
      </c>
      <c r="I34" s="209" t="str">
        <f t="array" ref="I34">IFERROR(IF(INDEX('Database-Hidden'!$A$2:$B$120,$C34,1)=$I$24,INDEX('Database-Hidden'!$A$2:$B$120,$C34,2),""),"")</f>
        <v>Fanatic</v>
      </c>
    </row>
    <row r="35" spans="3:9" ht="17.25" hidden="1" customHeight="1">
      <c r="C35" s="209">
        <f t="shared" si="6"/>
        <v>45</v>
      </c>
      <c r="D35" s="209" t="str">
        <f t="shared" si="5"/>
        <v>Ooligan</v>
      </c>
      <c r="E35" s="210">
        <f t="array" ref="E35">IFERROR(IF(INDEX('Database-Hidden'!$A$2:$B$120,$C35,1)=$I$24,INDEX('Database-Hidden'!$A$2:$D$120,$C35,4),""),"")</f>
        <v>1</v>
      </c>
      <c r="I35" s="209" t="str">
        <f t="array" ref="I35">IFERROR(IF(INDEX('Database-Hidden'!$A$2:$B$120,$C35,1)=$I$24,INDEX('Database-Hidden'!$A$2:$B$120,$C35,2),""),"")</f>
        <v>Ooligan</v>
      </c>
    </row>
    <row r="36" spans="3:9" ht="17.25" hidden="1" customHeight="1">
      <c r="C36" s="209">
        <f t="shared" si="6"/>
        <v>46</v>
      </c>
      <c r="D36" s="209" t="str">
        <f t="shared" si="5"/>
        <v>Pogoer</v>
      </c>
      <c r="E36" s="210">
        <f t="array" ref="E36">IFERROR(IF(INDEX('Database-Hidden'!$A$2:$B$120,$C36,1)=$I$24,INDEX('Database-Hidden'!$A$2:$D$120,$C36,4),""),"")</f>
        <v>1</v>
      </c>
      <c r="I36" s="209" t="str">
        <f t="array" ref="I36">IFERROR(IF(INDEX('Database-Hidden'!$A$2:$B$120,$C36,1)=$I$24,INDEX('Database-Hidden'!$A$2:$B$120,$C36,2),""),"")</f>
        <v>Pogoer</v>
      </c>
    </row>
    <row r="37" spans="3:9" ht="17.25" hidden="1" customHeight="1">
      <c r="C37" s="209">
        <f t="shared" si="6"/>
        <v>47</v>
      </c>
      <c r="D37" s="209" t="str">
        <f t="shared" si="5"/>
        <v>Troll</v>
      </c>
      <c r="E37" s="210">
        <f t="array" ref="E37">IFERROR(IF(INDEX('Database-Hidden'!$A$2:$B$120,$C37,1)=$I$24,INDEX('Database-Hidden'!$A$2:$D$120,$C37,4),""),"")</f>
        <v>2</v>
      </c>
      <c r="I37" s="209" t="str">
        <f t="array" ref="I37">IFERROR(IF(INDEX('Database-Hidden'!$A$2:$B$120,$C37,1)=$I$24,INDEX('Database-Hidden'!$A$2:$B$120,$C37,2),""),"")</f>
        <v>Troll</v>
      </c>
    </row>
    <row r="38" spans="3:9" ht="17.25" hidden="1" customHeight="1">
      <c r="C38" s="209">
        <f t="shared" si="6"/>
        <v>48</v>
      </c>
      <c r="D38" s="209" t="str">
        <f t="shared" si="5"/>
        <v/>
      </c>
      <c r="E38" s="210" t="str">
        <f t="array" ref="E38">IFERROR(IF(INDEX('Database-Hidden'!$A$2:$B$120,$C38,1)=$I$24,INDEX('Database-Hidden'!$A$2:$D$120,$C38,4),""),"")</f>
        <v/>
      </c>
      <c r="I38" s="209" t="str">
        <f t="array" ref="I38">IFERROR(IF(INDEX('Database-Hidden'!$A$2:$B$120,$C38,1)=$I$24,INDEX('Database-Hidden'!$A$2:$B$120,$C38,2),""),"")</f>
        <v/>
      </c>
    </row>
    <row r="39" spans="3:9" ht="17.25" hidden="1" customHeight="1">
      <c r="C39" s="209">
        <f t="shared" si="6"/>
        <v>49</v>
      </c>
      <c r="D39" s="209" t="str">
        <f t="shared" si="5"/>
        <v/>
      </c>
      <c r="E39" s="210" t="str">
        <f t="array" ref="E39">IFERROR(IF(INDEX('Database-Hidden'!$A$2:$B$120,$C39,1)=$I$24,INDEX('Database-Hidden'!$A$2:$D$120,$C39,4),""),"")</f>
        <v/>
      </c>
      <c r="I39" s="209" t="str">
        <f t="array" ref="I39">IFERROR(IF(INDEX('Database-Hidden'!$A$2:$B$120,$C39,1)=$I$24,INDEX('Database-Hidden'!$A$2:$B$120,$C39,2),""),"")</f>
        <v/>
      </c>
    </row>
    <row r="40" spans="3:9" ht="17.25" hidden="1" customHeight="1">
      <c r="C40" s="211">
        <f>MATCH(I24,'Star Players-Hidden'!D2:AD2,0)</f>
        <v>9</v>
      </c>
      <c r="D40" s="211" t="str">
        <f t="shared" ref="D40:D51" ca="1" si="7">I40&amp;IF(COUNTIF(D$4:D$19,I40)&gt;1," (Too Many)","")</f>
        <v>Star: Bomber Dribblesnot</v>
      </c>
      <c r="E40" s="212"/>
      <c r="F40" s="212"/>
      <c r="G40" s="212"/>
      <c r="H40" s="212"/>
      <c r="I40" s="211" t="str">
        <f ca="1">IFERROR(__xludf.DUMMYFUNCTION("FILTER({""Star: ""&amp;'Star Players-Hidden'!A3:A87},INDEX('Star Players-Hidden'!D3:AD87,0,C40)&lt;&gt;"""",{'Star Players-Hidden'!C3:C87=""""}+{'Star Players-Hidden'!C3:C87=I21})"),"Star: Bomber Dribblesnot")</f>
        <v>Star: Bomber Dribblesnot</v>
      </c>
    </row>
    <row r="41" spans="3:9" ht="17.25" hidden="1" customHeight="1">
      <c r="C41" s="209"/>
      <c r="D41" s="209" t="str">
        <f t="shared" si="7"/>
        <v>Star: Fungus the Loon</v>
      </c>
      <c r="I41" s="213" t="s">
        <v>228</v>
      </c>
    </row>
    <row r="42" spans="3:9" ht="17.25" hidden="1" customHeight="1">
      <c r="C42" s="209"/>
      <c r="D42" s="209" t="str">
        <f t="shared" si="7"/>
        <v>Star: Madcap Miggz</v>
      </c>
      <c r="I42" s="209" t="s">
        <v>229</v>
      </c>
    </row>
    <row r="43" spans="3:9" ht="17.25" hidden="1" customHeight="1">
      <c r="C43" s="209"/>
      <c r="D43" s="209" t="str">
        <f t="shared" si="7"/>
        <v>Star: Morg'n'Thorg</v>
      </c>
      <c r="I43" s="209" t="s">
        <v>144</v>
      </c>
    </row>
    <row r="44" spans="3:9" ht="17.25" hidden="1" customHeight="1">
      <c r="C44" s="209"/>
      <c r="D44" s="209" t="str">
        <f t="shared" si="7"/>
        <v>Star: Nobbla Blackwart</v>
      </c>
      <c r="I44" s="209" t="s">
        <v>230</v>
      </c>
    </row>
    <row r="45" spans="3:9" ht="17.25" hidden="1" customHeight="1">
      <c r="C45" s="209"/>
      <c r="D45" s="209" t="str">
        <f t="shared" si="7"/>
        <v>Star: Scrappa Sorehead</v>
      </c>
      <c r="I45" s="209" t="s">
        <v>231</v>
      </c>
    </row>
    <row r="46" spans="3:9" ht="17.25" hidden="1" customHeight="1">
      <c r="C46" s="209"/>
      <c r="D46" s="209" t="str">
        <f t="shared" si="7"/>
        <v/>
      </c>
      <c r="I46" s="209"/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  <row r="50" spans="3:9" ht="17.25" hidden="1" customHeight="1">
      <c r="C50" s="209"/>
      <c r="D50" s="209" t="str">
        <f t="shared" si="7"/>
        <v/>
      </c>
      <c r="I50" s="209"/>
    </row>
    <row r="51" spans="3:9" ht="17.25" hidden="1" customHeight="1">
      <c r="C51" s="209"/>
      <c r="D51" s="209" t="str">
        <f t="shared" si="7"/>
        <v/>
      </c>
      <c r="I51" s="209"/>
    </row>
  </sheetData>
  <mergeCells count="31">
    <mergeCell ref="V21:AA21"/>
    <mergeCell ref="AN21:AO21"/>
    <mergeCell ref="AN3:AQ3"/>
    <mergeCell ref="AR3:AV3"/>
    <mergeCell ref="P2:S2"/>
    <mergeCell ref="V25:AA25"/>
    <mergeCell ref="V24:AA24"/>
    <mergeCell ref="L25:S25"/>
    <mergeCell ref="E25:H25"/>
    <mergeCell ref="E24:H24"/>
    <mergeCell ref="B20:D28"/>
    <mergeCell ref="I24:K24"/>
    <mergeCell ref="I21:K23"/>
    <mergeCell ref="I25:K25"/>
    <mergeCell ref="V22:AA22"/>
    <mergeCell ref="L21:S21"/>
    <mergeCell ref="L23:S23"/>
    <mergeCell ref="L24:S24"/>
    <mergeCell ref="L22:S22"/>
    <mergeCell ref="E20:AA20"/>
    <mergeCell ref="V23:AA23"/>
    <mergeCell ref="E21:H23"/>
    <mergeCell ref="L27:S27"/>
    <mergeCell ref="E28:AA28"/>
    <mergeCell ref="V26:AA26"/>
    <mergeCell ref="E26:H26"/>
    <mergeCell ref="L26:S26"/>
    <mergeCell ref="V27:AA27"/>
    <mergeCell ref="I26:K26"/>
    <mergeCell ref="I27:K27"/>
    <mergeCell ref="E27:H27"/>
  </mergeCells>
  <conditionalFormatting sqref="J4">
    <cfRule type="expression" dxfId="740" priority="1">
      <formula>K4&lt;&gt;SUM(AE4:AJ4)</formula>
    </cfRule>
  </conditionalFormatting>
  <conditionalFormatting sqref="K4:K19">
    <cfRule type="cellIs" dxfId="739" priority="2" operator="equal">
      <formula>0</formula>
    </cfRule>
  </conditionalFormatting>
  <conditionalFormatting sqref="AB4:AB19">
    <cfRule type="cellIs" dxfId="738" priority="3" operator="equal">
      <formula>0</formula>
    </cfRule>
  </conditionalFormatting>
  <conditionalFormatting sqref="E4:H19">
    <cfRule type="expression" dxfId="737" priority="4">
      <formula>AG4&gt;0</formula>
    </cfRule>
  </conditionalFormatting>
  <conditionalFormatting sqref="E4:H19">
    <cfRule type="expression" dxfId="736" priority="5">
      <formula>P4&gt;0</formula>
    </cfRule>
  </conditionalFormatting>
  <conditionalFormatting sqref="T4:T19 U4:U19 V4:W19 Z4:Z19 U29">
    <cfRule type="cellIs" dxfId="735" priority="6" stopIfTrue="1" operator="equal">
      <formula>0</formula>
    </cfRule>
  </conditionalFormatting>
  <conditionalFormatting sqref="K4:K19">
    <cfRule type="cellIs" dxfId="734" priority="7" stopIfTrue="1" operator="equal">
      <formula>"n/a"</formula>
    </cfRule>
  </conditionalFormatting>
  <conditionalFormatting sqref="P4:S19">
    <cfRule type="cellIs" dxfId="733" priority="8" stopIfTrue="1" operator="lessThanOrEqual">
      <formula>-1</formula>
    </cfRule>
  </conditionalFormatting>
  <conditionalFormatting sqref="V25:W27">
    <cfRule type="cellIs" dxfId="732" priority="9" stopIfTrue="1" operator="equal">
      <formula>-500</formula>
    </cfRule>
  </conditionalFormatting>
  <conditionalFormatting sqref="T25:T27">
    <cfRule type="cellIs" dxfId="731" priority="10" stopIfTrue="1" operator="greaterThan">
      <formula>$V$25</formula>
    </cfRule>
  </conditionalFormatting>
  <conditionalFormatting sqref="AA4:AA19">
    <cfRule type="cellIs" dxfId="730" priority="11" stopIfTrue="1" operator="equal">
      <formula>"Star"</formula>
    </cfRule>
  </conditionalFormatting>
  <conditionalFormatting sqref="AA4:AA19">
    <cfRule type="cellIs" dxfId="729" priority="12" stopIfTrue="1" operator="equal">
      <formula>AB4</formula>
    </cfRule>
  </conditionalFormatting>
  <conditionalFormatting sqref="I4:I19">
    <cfRule type="cellIs" dxfId="728" priority="13" stopIfTrue="1" operator="equal">
      <formula>0</formula>
    </cfRule>
  </conditionalFormatting>
  <conditionalFormatting sqref="I4:I19">
    <cfRule type="cellIs" dxfId="727" priority="14" stopIfTrue="1" operator="equal">
      <formula>"Player type quantity surpassed"</formula>
    </cfRule>
  </conditionalFormatting>
  <conditionalFormatting sqref="J5">
    <cfRule type="expression" dxfId="726" priority="15">
      <formula>K5&lt;&gt;SUM(AE5:AJ5)</formula>
    </cfRule>
  </conditionalFormatting>
  <conditionalFormatting sqref="J6">
    <cfRule type="expression" dxfId="725" priority="16">
      <formula>K6&lt;&gt;SUM(AE6:AJ6)</formula>
    </cfRule>
  </conditionalFormatting>
  <conditionalFormatting sqref="J7">
    <cfRule type="expression" dxfId="724" priority="17">
      <formula>K7&lt;&gt;SUM(AE7:AJ7)</formula>
    </cfRule>
  </conditionalFormatting>
  <conditionalFormatting sqref="J8">
    <cfRule type="expression" dxfId="723" priority="18">
      <formula>K8&lt;&gt;SUM(AE8:AJ8)</formula>
    </cfRule>
  </conditionalFormatting>
  <conditionalFormatting sqref="J9">
    <cfRule type="expression" dxfId="722" priority="19">
      <formula>K9&lt;&gt;SUM(AE9:AJ9)</formula>
    </cfRule>
  </conditionalFormatting>
  <conditionalFormatting sqref="J10">
    <cfRule type="expression" dxfId="721" priority="20">
      <formula>K10&lt;&gt;SUM(AE10:AJ10)</formula>
    </cfRule>
  </conditionalFormatting>
  <conditionalFormatting sqref="J11">
    <cfRule type="expression" dxfId="720" priority="21">
      <formula>K11&lt;&gt;SUM(AE11:AJ11)</formula>
    </cfRule>
  </conditionalFormatting>
  <conditionalFormatting sqref="J12">
    <cfRule type="expression" dxfId="719" priority="22">
      <formula>K12&lt;&gt;SUM(AE12:AJ12)</formula>
    </cfRule>
  </conditionalFormatting>
  <conditionalFormatting sqref="J13">
    <cfRule type="expression" dxfId="718" priority="23">
      <formula>K13&lt;&gt;SUM(AE13:AJ13)</formula>
    </cfRule>
  </conditionalFormatting>
  <conditionalFormatting sqref="J14">
    <cfRule type="expression" dxfId="717" priority="24">
      <formula>K14&lt;&gt;SUM(AE14:AJ14)</formula>
    </cfRule>
  </conditionalFormatting>
  <conditionalFormatting sqref="J15">
    <cfRule type="expression" dxfId="716" priority="25">
      <formula>K15&lt;&gt;SUM(AE15:AJ15)</formula>
    </cfRule>
  </conditionalFormatting>
  <conditionalFormatting sqref="J16">
    <cfRule type="expression" dxfId="715" priority="26">
      <formula>K16&lt;&gt;SUM(AE16:AJ16)</formula>
    </cfRule>
  </conditionalFormatting>
  <conditionalFormatting sqref="J17">
    <cfRule type="expression" dxfId="714" priority="27">
      <formula>K17&lt;&gt;SUM(AE17:AJ17)</formula>
    </cfRule>
  </conditionalFormatting>
  <conditionalFormatting sqref="J18">
    <cfRule type="expression" dxfId="713" priority="28">
      <formula>K18&lt;&gt;SUM(AE18:AJ18)</formula>
    </cfRule>
  </conditionalFormatting>
  <conditionalFormatting sqref="J19">
    <cfRule type="expression" dxfId="712" priority="29">
      <formula>K19&lt;&gt;SUM(AE19:AJ19)</formula>
    </cfRule>
  </conditionalFormatting>
  <dataValidations count="3">
    <dataValidation type="list" allowBlank="1" showErrorMessage="1" sqref="D4:D19">
      <formula1>'CT3'!$D$30:$D$51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Y49"/>
  <sheetViews>
    <sheetView showGridLines="0" workbookViewId="0">
      <selection activeCell="AB18" sqref="AB18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6" width="2.140625" customWidth="1"/>
    <col min="17" max="17" width="2" customWidth="1"/>
    <col min="18" max="18" width="1.85546875" customWidth="1"/>
    <col min="19" max="19" width="2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" customWidth="1"/>
    <col min="29" max="29" width="5.5703125" customWidth="1"/>
    <col min="30" max="30" width="8.7109375" customWidth="1"/>
    <col min="31" max="31" width="5.42578125" customWidth="1"/>
    <col min="32" max="33" width="5.28515625" customWidth="1"/>
    <col min="34" max="34" width="5.7109375" customWidth="1"/>
    <col min="35" max="35" width="5.85546875" customWidth="1"/>
    <col min="36" max="36" width="12.28515625" customWidth="1"/>
    <col min="37" max="37" width="6.42578125" customWidth="1"/>
    <col min="38" max="40" width="14.42578125" customWidth="1"/>
    <col min="41" max="41" width="11.42578125" customWidth="1"/>
    <col min="42" max="43" width="10.7109375" customWidth="1"/>
    <col min="44" max="44" width="5.140625" customWidth="1"/>
    <col min="45" max="45" width="8.140625" customWidth="1"/>
    <col min="46" max="46" width="26.140625" customWidth="1"/>
    <col min="47" max="50" width="10.7109375" customWidth="1"/>
    <col min="51" max="51" width="2.140625" customWidth="1"/>
  </cols>
  <sheetData>
    <row r="1" spans="1:51" ht="8.25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214"/>
      <c r="AP1" s="4"/>
      <c r="AQ1" s="4"/>
      <c r="AR1" s="4"/>
      <c r="AS1" s="4"/>
      <c r="AT1" s="4"/>
      <c r="AU1" s="4"/>
      <c r="AV1" s="4"/>
      <c r="AW1" s="4"/>
      <c r="AX1" s="5"/>
      <c r="AY1" s="215"/>
    </row>
    <row r="2" spans="1:51" ht="15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4"/>
      <c r="AO2" s="216"/>
      <c r="AP2" s="12"/>
      <c r="AQ2" s="12"/>
      <c r="AR2" s="12"/>
      <c r="AS2" s="12"/>
      <c r="AT2" s="12"/>
      <c r="AU2" s="12"/>
      <c r="AV2" s="12"/>
      <c r="AW2" s="12"/>
      <c r="AX2" s="12"/>
      <c r="AY2" s="4"/>
    </row>
    <row r="3" spans="1:51" ht="17.25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7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218" t="s">
        <v>13</v>
      </c>
      <c r="AB3" s="220" t="s">
        <v>38</v>
      </c>
      <c r="AC3" s="222"/>
      <c r="AD3" s="223" t="s">
        <v>43</v>
      </c>
      <c r="AE3" s="224" t="s">
        <v>23</v>
      </c>
      <c r="AF3" s="226" t="s">
        <v>45</v>
      </c>
      <c r="AG3" s="229" t="str">
        <f>"+MA"</f>
        <v>+MA</v>
      </c>
      <c r="AH3" s="232" t="str">
        <f>"+ST"</f>
        <v>+ST</v>
      </c>
      <c r="AI3" s="232" t="str">
        <f>"+AG"</f>
        <v>+AG</v>
      </c>
      <c r="AJ3" s="232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S3" s="516" t="s">
        <v>54</v>
      </c>
      <c r="AT3" s="507"/>
      <c r="AU3" s="507"/>
      <c r="AV3" s="507"/>
      <c r="AW3" s="507"/>
      <c r="AX3" s="507"/>
      <c r="AY3" s="4"/>
    </row>
    <row r="4" spans="1:51" ht="12.75">
      <c r="A4" s="236"/>
      <c r="B4" s="237">
        <v>1</v>
      </c>
      <c r="C4" s="238" t="s">
        <v>151</v>
      </c>
      <c r="D4" s="42" t="s">
        <v>152</v>
      </c>
      <c r="E4" s="73">
        <f>IF(LEFT($D4,6)&lt;&gt;"Star: ",IFERROR(VLOOKUP($I$22&amp;$D4,'Database-Hidden'!$C$2:$J$120,4,FALSE)-P4+AG4,""),VLOOKUP(RIGHT($D4,LEN($D4)-6),'Star Players-Hidden'!$A$3:$AK$87,33,FALSE))</f>
        <v>9</v>
      </c>
      <c r="F4" s="73">
        <f>IF(LEFT($D4,6)&lt;&gt;"Star: ",IFERROR(VLOOKUP($I$22&amp;$D4,'Database-Hidden'!$C$2:$J$120,5,FALSE)-Q4+AH4,""),VLOOKUP(RIGHT($D4,LEN($D4)-6),'Star Players-Hidden'!$A$3:$AK$87,34,FALSE))</f>
        <v>2</v>
      </c>
      <c r="G4" s="73">
        <f>IF(LEFT($D4,6)&lt;&gt;"Star: ",IFERROR(VLOOKUP($I$22&amp;$D4,'Database-Hidden'!$C$2:$J$120,6,FALSE)-R4+AI4,""),VLOOKUP(RIGHT($D4,LEN($D4)-6),'Star Players-Hidden'!$A$3:$AK$87,35,FALSE))</f>
        <v>4</v>
      </c>
      <c r="H4" s="75">
        <f>IF(LEFT($D4,6)&lt;&gt;"Star: ",IFERROR(VLOOKUP($I$22&amp;$D4,'Database-Hidden'!$C$2:$J$120,7,FALSE)-S4+AJ4,""),VLOOKUP(RIGHT($D4,LEN($D4)-6),'Star Players-Hidden'!$A$3:$AK$87,36,FALSE))</f>
        <v>7</v>
      </c>
      <c r="I4" s="76" t="str">
        <f>IF(LEFT($D4,6)&lt;&gt;"Star: ",IFERROR(VLOOKUP($I$22&amp;$D4,'Database-Hidden'!$C$2:$J$120,8,FALSE),""),VLOOKUP(RIGHT($D4,LEN($D4)-6),'Star Players-Hidden'!$A$3:$AK$87,31,FALSE))</f>
        <v>Dodge, Weeping Dagger</v>
      </c>
      <c r="J4" s="47"/>
      <c r="K4" s="240">
        <f t="shared" ref="K4:K8" si="0">IF(AA4&gt;175,6,IF(AA4&gt;75,5,IF(AA4&gt;50,4,IF(AA4&gt;30,3,IF(AA4&gt;15,2,IF(AA4&gt;5,1,0))))))</f>
        <v>0</v>
      </c>
      <c r="L4" s="241"/>
      <c r="M4" s="242"/>
      <c r="N4" s="241"/>
      <c r="O4" s="242"/>
      <c r="P4" s="243"/>
      <c r="Q4" s="244"/>
      <c r="R4" s="245"/>
      <c r="S4" s="246"/>
      <c r="T4" s="247"/>
      <c r="U4" s="248"/>
      <c r="V4" s="249"/>
      <c r="W4" s="248"/>
      <c r="X4" s="250"/>
      <c r="Y4" s="52"/>
      <c r="Z4" s="251"/>
      <c r="AA4" s="252">
        <f t="shared" ref="AA4:AA17" si="1">2*T4+U4+3*V4+2*W4+5*Z4</f>
        <v>0</v>
      </c>
      <c r="AB4" s="58">
        <f t="shared" ref="AB4:AB17" si="2">IF(L4=1,0,AD4+(20000*O4)+(20000*AE4)+(30000*AF4)+(30000*AG4)+(50000*AH4)+(40000*AI4)+(50000*AJ4)+AK4)</f>
        <v>80000</v>
      </c>
      <c r="AC4" s="4"/>
      <c r="AD4" s="59">
        <f>IF(LEFT($D4,6)&lt;&gt;"Star: ",IFERROR(VLOOKUP($I$22&amp;D4,'Database-Hidden'!$C$2:$E$120,3,FALSE),""),VLOOKUP(RIGHT($D4,LEN($D4)-6),'Star Players-Hidden'!$A$3:$AJ$87,32,FALSE))</f>
        <v>80000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215"/>
      <c r="AN4" s="255" t="s">
        <v>69</v>
      </c>
      <c r="AO4" s="256">
        <v>10000</v>
      </c>
      <c r="AP4" s="215"/>
      <c r="AQ4" s="215"/>
      <c r="AR4" s="215"/>
      <c r="AW4" s="257" t="s">
        <v>159</v>
      </c>
      <c r="AX4" s="258">
        <v>7</v>
      </c>
    </row>
    <row r="5" spans="1:51" ht="22.5">
      <c r="A5" s="236"/>
      <c r="B5" s="259">
        <v>2</v>
      </c>
      <c r="C5" s="260" t="s">
        <v>160</v>
      </c>
      <c r="D5" s="72" t="s">
        <v>152</v>
      </c>
      <c r="E5" s="73">
        <f>IF(LEFT($D5,6)&lt;&gt;"Star: ",IFERROR(VLOOKUP($I$22&amp;$D5,'Database-Hidden'!$C$2:$J$120,4,FALSE)-P5+AG5,""),VLOOKUP(RIGHT($D5,LEN($D5)-6),'Star Players-Hidden'!$A$3:$AK$87,33,FALSE))</f>
        <v>10</v>
      </c>
      <c r="F5" s="73">
        <f>IF(LEFT($D5,6)&lt;&gt;"Star: ",IFERROR(VLOOKUP($I$22&amp;$D5,'Database-Hidden'!$C$2:$J$120,5,FALSE)-Q5+AH5,""),VLOOKUP(RIGHT($D5,LEN($D5)-6),'Star Players-Hidden'!$A$3:$AK$87,34,FALSE))</f>
        <v>2</v>
      </c>
      <c r="G5" s="73">
        <f>IF(LEFT($D5,6)&lt;&gt;"Star: ",IFERROR(VLOOKUP($I$22&amp;$D5,'Database-Hidden'!$C$2:$J$120,6,FALSE)-R5+AI5,""),VLOOKUP(RIGHT($D5,LEN($D5)-6),'Star Players-Hidden'!$A$3:$AK$87,35,FALSE))</f>
        <v>4</v>
      </c>
      <c r="H5" s="75">
        <f>IF(LEFT($D5,6)&lt;&gt;"Star: ",IFERROR(VLOOKUP($I$22&amp;$D5,'Database-Hidden'!$C$2:$J$120,7,FALSE)-S5+AJ5,""),VLOOKUP(RIGHT($D5,LEN($D5)-6),'Star Players-Hidden'!$A$3:$AK$87,36,FALSE))</f>
        <v>7</v>
      </c>
      <c r="I5" s="76" t="str">
        <f>IF(LEFT($D5,6)&lt;&gt;"Star: ",IFERROR(VLOOKUP($I$22&amp;$D5,'Database-Hidden'!$C$2:$J$120,8,FALSE),""),VLOOKUP(RIGHT($D5,LEN($D5)-6),'Star Players-Hidden'!$A$3:$AK$87,31,FALSE))</f>
        <v>Dodge, Weeping Dagger</v>
      </c>
      <c r="J5" s="77" t="s">
        <v>164</v>
      </c>
      <c r="K5" s="263">
        <f t="shared" si="0"/>
        <v>4</v>
      </c>
      <c r="L5" s="264"/>
      <c r="M5" s="264"/>
      <c r="N5" s="265">
        <v>2</v>
      </c>
      <c r="O5" s="264"/>
      <c r="P5" s="266"/>
      <c r="Q5" s="267"/>
      <c r="R5" s="268"/>
      <c r="S5" s="269"/>
      <c r="T5" s="270"/>
      <c r="U5" s="190">
        <v>2</v>
      </c>
      <c r="V5" s="271">
        <v>17</v>
      </c>
      <c r="W5" s="272"/>
      <c r="X5" s="274"/>
      <c r="Y5" s="83"/>
      <c r="Z5" s="275">
        <v>3</v>
      </c>
      <c r="AA5" s="276">
        <f t="shared" si="1"/>
        <v>68</v>
      </c>
      <c r="AB5" s="58">
        <f t="shared" si="2"/>
        <v>170000</v>
      </c>
      <c r="AC5" s="4"/>
      <c r="AD5" s="90">
        <f>IF(LEFT($D5,6)&lt;&gt;"Star: ",IFERROR(VLOOKUP($I$22&amp;D5,'Database-Hidden'!$C$2:$E$120,3,FALSE),""),VLOOKUP(RIGHT($D5,LEN($D5)-6),'Star Players-Hidden'!$A$3:$AJ$87,32,FALSE))</f>
        <v>80000</v>
      </c>
      <c r="AE5" s="91">
        <v>3</v>
      </c>
      <c r="AF5" s="92"/>
      <c r="AG5" s="92">
        <v>1</v>
      </c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215"/>
      <c r="AN5" s="93" t="s">
        <v>72</v>
      </c>
      <c r="AO5" s="277" t="s">
        <v>73</v>
      </c>
      <c r="AP5" s="93" t="s">
        <v>74</v>
      </c>
      <c r="AQ5" s="278" t="s">
        <v>168</v>
      </c>
      <c r="AR5" s="279"/>
      <c r="AS5" s="93" t="s">
        <v>72</v>
      </c>
      <c r="AT5" s="93" t="s">
        <v>76</v>
      </c>
      <c r="AU5" s="93" t="s">
        <v>77</v>
      </c>
      <c r="AV5" s="278" t="s">
        <v>169</v>
      </c>
      <c r="AW5" s="278" t="s">
        <v>80</v>
      </c>
      <c r="AX5" s="280" t="s">
        <v>170</v>
      </c>
    </row>
    <row r="6" spans="1:51" ht="12.75">
      <c r="A6" s="236"/>
      <c r="B6" s="259">
        <v>3</v>
      </c>
      <c r="C6" s="260" t="s">
        <v>171</v>
      </c>
      <c r="D6" s="72" t="s">
        <v>152</v>
      </c>
      <c r="E6" s="73">
        <f>IF(LEFT($D6,6)&lt;&gt;"Star: ",IFERROR(VLOOKUP($I$22&amp;$D6,'Database-Hidden'!$C$2:$J$120,4,FALSE)-P6+AG6,""),VLOOKUP(RIGHT($D6,LEN($D6)-6),'Star Players-Hidden'!$A$3:$AK$87,33,FALSE))</f>
        <v>9</v>
      </c>
      <c r="F6" s="73">
        <f>IF(LEFT($D6,6)&lt;&gt;"Star: ",IFERROR(VLOOKUP($I$22&amp;$D6,'Database-Hidden'!$C$2:$J$120,5,FALSE)-Q6+AH6,""),VLOOKUP(RIGHT($D6,LEN($D6)-6),'Star Players-Hidden'!$A$3:$AK$87,34,FALSE))</f>
        <v>2</v>
      </c>
      <c r="G6" s="73">
        <f>IF(LEFT($D6,6)&lt;&gt;"Star: ",IFERROR(VLOOKUP($I$22&amp;$D6,'Database-Hidden'!$C$2:$J$120,6,FALSE)-R6+AI6,""),VLOOKUP(RIGHT($D6,LEN($D6)-6),'Star Players-Hidden'!$A$3:$AK$87,35,FALSE))</f>
        <v>4</v>
      </c>
      <c r="H6" s="75">
        <f>IF(LEFT($D6,6)&lt;&gt;"Star: ",IFERROR(VLOOKUP($I$22&amp;$D6,'Database-Hidden'!$C$2:$J$120,7,FALSE)-S6+AJ6,""),VLOOKUP(RIGHT($D6,LEN($D6)-6),'Star Players-Hidden'!$A$3:$AK$87,36,FALSE))</f>
        <v>7</v>
      </c>
      <c r="I6" s="76" t="str">
        <f>IF(LEFT($D6,6)&lt;&gt;"Star: ",IFERROR(VLOOKUP($I$22&amp;$D6,'Database-Hidden'!$C$2:$J$120,8,FALSE),""),VLOOKUP(RIGHT($D6,LEN($D6)-6),'Star Players-Hidden'!$A$3:$AK$87,31,FALSE))</f>
        <v>Dodge, Weeping Dagger</v>
      </c>
      <c r="J6" s="77"/>
      <c r="K6" s="263">
        <f t="shared" si="0"/>
        <v>0</v>
      </c>
      <c r="L6" s="264"/>
      <c r="M6" s="264"/>
      <c r="N6" s="265"/>
      <c r="O6" s="264"/>
      <c r="P6" s="266"/>
      <c r="Q6" s="267"/>
      <c r="R6" s="268"/>
      <c r="S6" s="269"/>
      <c r="T6" s="270"/>
      <c r="U6" s="190"/>
      <c r="V6" s="271"/>
      <c r="W6" s="190"/>
      <c r="X6" s="274"/>
      <c r="Y6" s="83"/>
      <c r="Z6" s="275"/>
      <c r="AA6" s="276">
        <f t="shared" si="1"/>
        <v>0</v>
      </c>
      <c r="AB6" s="58">
        <f t="shared" si="2"/>
        <v>80000</v>
      </c>
      <c r="AC6" s="4"/>
      <c r="AD6" s="90">
        <f>IF(LEFT($D6,6)&lt;&gt;"Star: ",IFERROR(VLOOKUP($I$22&amp;D6,'Database-Hidden'!$C$2:$E$120,3,FALSE),""),VLOOKUP(RIGHT($D6,LEN($D6)-6),'Star Players-Hidden'!$A$3:$AJ$87,32,FALSE))</f>
        <v>80000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215"/>
      <c r="AN6" s="283" t="s">
        <v>83</v>
      </c>
      <c r="AO6" s="65"/>
      <c r="AP6" s="284"/>
      <c r="AQ6" s="285"/>
      <c r="AR6" s="215"/>
      <c r="AS6" s="283" t="s">
        <v>83</v>
      </c>
      <c r="AT6" s="284"/>
      <c r="AU6" s="284"/>
      <c r="AV6" s="286"/>
      <c r="AW6" s="285"/>
      <c r="AX6" s="287"/>
      <c r="AY6" s="288"/>
    </row>
    <row r="7" spans="1:51" ht="12.75">
      <c r="A7" s="236"/>
      <c r="B7" s="259">
        <v>4</v>
      </c>
      <c r="C7" s="260" t="s">
        <v>176</v>
      </c>
      <c r="D7" s="72" t="s">
        <v>101</v>
      </c>
      <c r="E7" s="73">
        <f>IF(LEFT($D7,6)&lt;&gt;"Star: ",IFERROR(VLOOKUP($I$22&amp;$D7,'Database-Hidden'!$C$2:$J$120,4,FALSE)-P7+AG7,""),VLOOKUP(RIGHT($D7,LEN($D7)-6),'Star Players-Hidden'!$A$3:$AK$87,33,FALSE))</f>
        <v>7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8</v>
      </c>
      <c r="I7" s="76" t="str">
        <f>IF(LEFT($D7,6)&lt;&gt;"Star: ",IFERROR(VLOOKUP($I$22&amp;$D7,'Database-Hidden'!$C$2:$J$120,8,FALSE),""),VLOOKUP(RIGHT($D7,LEN($D7)-6),'Star Players-Hidden'!$A$3:$AK$87,31,FALSE))</f>
        <v>Block</v>
      </c>
      <c r="J7" s="77"/>
      <c r="K7" s="263">
        <f t="shared" si="0"/>
        <v>0</v>
      </c>
      <c r="L7" s="265"/>
      <c r="M7" s="264"/>
      <c r="N7" s="265"/>
      <c r="O7" s="264"/>
      <c r="P7" s="266"/>
      <c r="Q7" s="267"/>
      <c r="R7" s="268"/>
      <c r="S7" s="269"/>
      <c r="T7" s="270"/>
      <c r="U7" s="272"/>
      <c r="V7" s="271"/>
      <c r="W7" s="190"/>
      <c r="X7" s="274"/>
      <c r="Y7" s="83"/>
      <c r="Z7" s="275"/>
      <c r="AA7" s="276">
        <f t="shared" si="1"/>
        <v>0</v>
      </c>
      <c r="AB7" s="58">
        <f t="shared" si="2"/>
        <v>90000</v>
      </c>
      <c r="AC7" s="4"/>
      <c r="AD7" s="116">
        <f>IF(LEFT($D7,6)&lt;&gt;"Star: ",IFERROR(VLOOKUP($I$22&amp;D7,'Database-Hidden'!$C$2:$E$120,3,FALSE),""),VLOOKUP(RIGHT($D7,LEN($D7)-6),'Star Players-Hidden'!$A$3:$AJ$87,32,FALSE))</f>
        <v>90000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215"/>
      <c r="AN7" s="283" t="s">
        <v>86</v>
      </c>
      <c r="AO7" s="65"/>
      <c r="AP7" s="284"/>
      <c r="AQ7" s="285"/>
      <c r="AR7" s="215"/>
      <c r="AS7" s="283" t="s">
        <v>86</v>
      </c>
      <c r="AT7" s="284"/>
      <c r="AU7" s="284"/>
      <c r="AV7" s="286"/>
      <c r="AW7" s="285"/>
      <c r="AX7" s="287"/>
      <c r="AY7" s="290"/>
    </row>
    <row r="8" spans="1:51" ht="12.75">
      <c r="A8" s="236"/>
      <c r="B8" s="259">
        <v>5</v>
      </c>
      <c r="C8" s="260" t="s">
        <v>179</v>
      </c>
      <c r="D8" s="72" t="s">
        <v>101</v>
      </c>
      <c r="E8" s="73">
        <f>IF(LEFT($D8,6)&lt;&gt;"Star: ",IFERROR(VLOOKUP($I$22&amp;$D8,'Database-Hidden'!$C$2:$J$120,4,FALSE)-P8+AG8,""),VLOOKUP(RIGHT($D8,LEN($D8)-6),'Star Players-Hidden'!$A$3:$AK$87,33,FALSE))</f>
        <v>7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3</v>
      </c>
      <c r="H8" s="75">
        <f>IF(LEFT($D8,6)&lt;&gt;"Star: ",IFERROR(VLOOKUP($I$22&amp;$D8,'Database-Hidden'!$C$2:$J$120,7,FALSE)-S8+AJ8,""),VLOOKUP(RIGHT($D8,LEN($D8)-6),'Star Players-Hidden'!$A$3:$AK$87,36,FALSE))</f>
        <v>8</v>
      </c>
      <c r="I8" s="76" t="str">
        <f>IF(LEFT($D8,6)&lt;&gt;"Star: ",IFERROR(VLOOKUP($I$22&amp;$D8,'Database-Hidden'!$C$2:$J$120,8,FALSE),""),VLOOKUP(RIGHT($D8,LEN($D8)-6),'Star Players-Hidden'!$A$3:$AK$87,31,FALSE))</f>
        <v>Block</v>
      </c>
      <c r="J8" s="102"/>
      <c r="K8" s="263">
        <f t="shared" si="0"/>
        <v>0</v>
      </c>
      <c r="L8" s="264"/>
      <c r="M8" s="264"/>
      <c r="N8" s="265"/>
      <c r="O8" s="264"/>
      <c r="P8" s="266"/>
      <c r="Q8" s="267"/>
      <c r="R8" s="268"/>
      <c r="S8" s="269"/>
      <c r="T8" s="270"/>
      <c r="U8" s="190"/>
      <c r="V8" s="270"/>
      <c r="W8" s="190"/>
      <c r="X8" s="274"/>
      <c r="Y8" s="83"/>
      <c r="Z8" s="275"/>
      <c r="AA8" s="276">
        <f t="shared" si="1"/>
        <v>0</v>
      </c>
      <c r="AB8" s="58">
        <f t="shared" si="2"/>
        <v>90000</v>
      </c>
      <c r="AC8" s="4"/>
      <c r="AD8" s="116">
        <f>IF(LEFT($D8,6)&lt;&gt;"Star: ",IFERROR(VLOOKUP($I$22&amp;D8,'Database-Hidden'!$C$2:$E$120,3,FALSE),""),VLOOKUP(RIGHT($D8,LEN($D8)-6),'Star Players-Hidden'!$A$3:$AJ$87,32,FALSE))</f>
        <v>90000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215"/>
      <c r="AN8" s="283" t="s">
        <v>90</v>
      </c>
      <c r="AO8" s="65"/>
      <c r="AP8" s="284"/>
      <c r="AQ8" s="285"/>
      <c r="AR8" s="215"/>
      <c r="AS8" s="283" t="s">
        <v>90</v>
      </c>
      <c r="AT8" s="284"/>
      <c r="AU8" s="284"/>
      <c r="AV8" s="286"/>
      <c r="AW8" s="285"/>
      <c r="AX8" s="287"/>
      <c r="AY8" s="291"/>
    </row>
    <row r="9" spans="1:51" ht="22.5">
      <c r="A9" s="236"/>
      <c r="B9" s="259">
        <v>6</v>
      </c>
      <c r="C9" s="260" t="s">
        <v>183</v>
      </c>
      <c r="D9" s="72" t="s">
        <v>184</v>
      </c>
      <c r="E9" s="73">
        <f>IF(LEFT($D9,6)&lt;&gt;"Star: ",IFERROR(VLOOKUP($I$22&amp;$D9,'Database-Hidden'!$C$2:$J$120,4,FALSE)-P9+AG9,""),VLOOKUP(RIGHT($D9,LEN($D9)-6),'Star Players-Hidden'!$A$3:$AK$87,33,FALSE))</f>
        <v>6</v>
      </c>
      <c r="F9" s="73">
        <f>IF(LEFT($D9,6)&lt;&gt;"Star: ",IFERROR(VLOOKUP($I$22&amp;$D9,'Database-Hidden'!$C$2:$J$120,5,FALSE)-Q9+AH9,""),VLOOKUP(RIGHT($D9,LEN($D9)-6),'Star Players-Hidden'!$A$3:$AK$87,34,FALSE))</f>
        <v>5</v>
      </c>
      <c r="G9" s="73">
        <f>IF(LEFT($D9,6)&lt;&gt;"Star: ",IFERROR(VLOOKUP($I$22&amp;$D9,'Database-Hidden'!$C$2:$J$120,6,FALSE)-R9+AI9,""),VLOOKUP(RIGHT($D9,LEN($D9)-6),'Star Players-Hidden'!$A$3:$AK$87,35,FALSE))</f>
        <v>2</v>
      </c>
      <c r="H9" s="75">
        <f>IF(LEFT($D9,6)&lt;&gt;"Star: ",IFERROR(VLOOKUP($I$22&amp;$D9,'Database-Hidden'!$C$2:$J$120,7,FALSE)-S9+AJ9,""),VLOOKUP(RIGHT($D9,LEN($D9)-6),'Star Players-Hidden'!$A$3:$AK$87,36,FALSE))</f>
        <v>8</v>
      </c>
      <c r="I9" s="76" t="str">
        <f>IF(LEFT($D9,6)&lt;&gt;"Star: ",IFERROR(VLOOKUP($I$22&amp;$D9,'Database-Hidden'!$C$2:$J$120,8,FALSE),""),VLOOKUP(RIGHT($D9,LEN($D9)-6),'Star Players-Hidden'!$A$3:$AK$87,31,FALSE))</f>
        <v>Loner, Frenzy, Mighty Blow, Prehensal Tail, Wild Animal</v>
      </c>
      <c r="J9" s="77"/>
      <c r="K9" s="263"/>
      <c r="L9" s="264"/>
      <c r="M9" s="264"/>
      <c r="N9" s="265"/>
      <c r="O9" s="264"/>
      <c r="P9" s="266"/>
      <c r="Q9" s="267"/>
      <c r="R9" s="268"/>
      <c r="S9" s="269"/>
      <c r="T9" s="270"/>
      <c r="U9" s="272"/>
      <c r="V9" s="270"/>
      <c r="W9" s="190"/>
      <c r="X9" s="292"/>
      <c r="Y9" s="83"/>
      <c r="Z9" s="275"/>
      <c r="AA9" s="276">
        <f t="shared" si="1"/>
        <v>0</v>
      </c>
      <c r="AB9" s="58">
        <f t="shared" si="2"/>
        <v>150000</v>
      </c>
      <c r="AC9" s="4"/>
      <c r="AD9" s="116">
        <f>IF(LEFT($D9,6)&lt;&gt;"Star: ",IFERROR(VLOOKUP($I$22&amp;D9,'Database-Hidden'!$C$2:$E$120,3,FALSE),""),VLOOKUP(RIGHT($D9,LEN($D9)-6),'Star Players-Hidden'!$A$3:$AJ$87,32,FALSE))</f>
        <v>150000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215"/>
      <c r="AN9" s="283" t="s">
        <v>94</v>
      </c>
      <c r="AO9" s="65"/>
      <c r="AP9" s="284"/>
      <c r="AQ9" s="285"/>
      <c r="AR9" s="215"/>
      <c r="AS9" s="283" t="s">
        <v>94</v>
      </c>
      <c r="AT9" s="284"/>
      <c r="AU9" s="284"/>
      <c r="AV9" s="286"/>
      <c r="AW9" s="285"/>
      <c r="AX9" s="287"/>
      <c r="AY9" s="291"/>
    </row>
    <row r="10" spans="1:51" ht="12.75">
      <c r="A10" s="236"/>
      <c r="B10" s="259">
        <v>7</v>
      </c>
      <c r="C10" s="260" t="s">
        <v>187</v>
      </c>
      <c r="D10" s="72" t="s">
        <v>68</v>
      </c>
      <c r="E10" s="73">
        <f>IF(LEFT($D10,6)&lt;&gt;"Star: ",IFERROR(VLOOKUP($I$22&amp;$D10,'Database-Hidden'!$C$2:$J$120,4,FALSE)-P10+AG10,""),VLOOKUP(RIGHT($D10,LEN($D10)-6),'Star Players-Hidden'!$A$3:$AK$87,33,FALSE))</f>
        <v>7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7</v>
      </c>
      <c r="I10" s="76">
        <f>IF(LEFT($D10,6)&lt;&gt;"Star: ",IFERROR(VLOOKUP($I$22&amp;$D10,'Database-Hidden'!$C$2:$J$120,8,FALSE),""),VLOOKUP(RIGHT($D10,LEN($D10)-6),'Star Players-Hidden'!$A$3:$AK$87,31,FALSE))</f>
        <v>0</v>
      </c>
      <c r="J10" s="77"/>
      <c r="K10" s="263">
        <f t="shared" ref="K10:K19" si="3">IF(AA10&gt;175,6,IF(AA10&gt;75,5,IF(AA10&gt;50,4,IF(AA10&gt;30,3,IF(AA10&gt;15,2,IF(AA10&gt;5,1,0))))))</f>
        <v>0</v>
      </c>
      <c r="L10" s="264"/>
      <c r="M10" s="264"/>
      <c r="N10" s="265"/>
      <c r="O10" s="264"/>
      <c r="P10" s="266"/>
      <c r="Q10" s="267"/>
      <c r="R10" s="268"/>
      <c r="S10" s="269"/>
      <c r="T10" s="270"/>
      <c r="U10" s="272"/>
      <c r="V10" s="271"/>
      <c r="W10" s="190"/>
      <c r="X10" s="274"/>
      <c r="Y10" s="83"/>
      <c r="Z10" s="275"/>
      <c r="AA10" s="276">
        <f t="shared" si="1"/>
        <v>0</v>
      </c>
      <c r="AB10" s="58">
        <f t="shared" si="2"/>
        <v>50000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50000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215"/>
      <c r="AN10" s="283" t="s">
        <v>96</v>
      </c>
      <c r="AO10" s="65"/>
      <c r="AP10" s="284"/>
      <c r="AQ10" s="285"/>
      <c r="AR10" s="215"/>
      <c r="AS10" s="283" t="s">
        <v>96</v>
      </c>
      <c r="AT10" s="284"/>
      <c r="AU10" s="284"/>
      <c r="AV10" s="286"/>
      <c r="AW10" s="285"/>
      <c r="AX10" s="287"/>
      <c r="AY10" s="291"/>
    </row>
    <row r="11" spans="1:51" ht="12.75">
      <c r="A11" s="294"/>
      <c r="B11" s="295">
        <v>8</v>
      </c>
      <c r="C11" s="260"/>
      <c r="D11" s="72"/>
      <c r="E11" s="73" t="str">
        <f>IF(LEFT($D11,6)&lt;&gt;"Star: ",IFERROR(VLOOKUP($I$22&amp;$D11,'Database-Hidden'!$C$2:$J$120,4,FALSE)-P11+AG11,""),VLOOKUP(RIGHT($D11,LEN($D11)-6),'Star Players-Hidden'!$A$3:$AK$87,33,FALSE))</f>
        <v/>
      </c>
      <c r="F11" s="73" t="str">
        <f>IF(LEFT($D11,6)&lt;&gt;"Star: ",IFERROR(VLOOKUP($I$22&amp;$D11,'Database-Hidden'!$C$2:$J$120,5,FALSE)-Q11+AH11,""),VLOOKUP(RIGHT($D11,LEN($D11)-6),'Star Players-Hidden'!$A$3:$AK$87,34,FALSE))</f>
        <v/>
      </c>
      <c r="G11" s="73" t="str">
        <f>IF(LEFT($D11,6)&lt;&gt;"Star: ",IFERROR(VLOOKUP($I$22&amp;$D11,'Database-Hidden'!$C$2:$J$120,6,FALSE)-R11+AI11,""),VLOOKUP(RIGHT($D11,LEN($D11)-6),'Star Players-Hidden'!$A$3:$AK$87,35,FALSE))</f>
        <v/>
      </c>
      <c r="H11" s="75" t="str">
        <f>IF(LEFT($D11,6)&lt;&gt;"Star: ",IFERROR(VLOOKUP($I$22&amp;$D11,'Database-Hidden'!$C$2:$J$120,7,FALSE)-S11+AJ11,""),VLOOKUP(RIGHT($D11,LEN($D11)-6),'Star Players-Hidden'!$A$3:$AK$87,36,FALSE))</f>
        <v/>
      </c>
      <c r="I11" s="76" t="str">
        <f>IF(LEFT($D11,6)&lt;&gt;"Star: ",IFERROR(VLOOKUP($I$22&amp;$D11,'Database-Hidden'!$C$2:$J$120,8,FALSE),""),VLOOKUP(RIGHT($D11,LEN($D11)-6),'Star Players-Hidden'!$A$3:$AK$87,31,FALSE))</f>
        <v/>
      </c>
      <c r="J11" s="102"/>
      <c r="K11" s="263">
        <f t="shared" si="3"/>
        <v>0</v>
      </c>
      <c r="L11" s="265"/>
      <c r="M11" s="265"/>
      <c r="N11" s="265"/>
      <c r="O11" s="264"/>
      <c r="P11" s="266"/>
      <c r="Q11" s="267"/>
      <c r="R11" s="268"/>
      <c r="S11" s="269"/>
      <c r="T11" s="270"/>
      <c r="U11" s="272"/>
      <c r="V11" s="271"/>
      <c r="W11" s="190"/>
      <c r="X11" s="274"/>
      <c r="Y11" s="83"/>
      <c r="Z11" s="275"/>
      <c r="AA11" s="276">
        <f t="shared" si="1"/>
        <v>0</v>
      </c>
      <c r="AB11" s="58"/>
      <c r="AC11" s="296"/>
      <c r="AD11" s="116" t="str">
        <f>IF(LEFT($D11,6)&lt;&gt;"Star: ",IFERROR(VLOOKUP($I$22&amp;D11,'Database-Hidden'!$C$2:$E$120,3,FALSE),""),VLOOKUP(RIGHT($D11,LEN($D11)-6),'Star Players-Hidden'!$A$3:$AJ$87,32,FALSE))</f>
        <v/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215"/>
      <c r="AN11" s="283" t="s">
        <v>99</v>
      </c>
      <c r="AO11" s="297"/>
      <c r="AP11" s="298"/>
      <c r="AQ11" s="299"/>
      <c r="AR11" s="215"/>
      <c r="AS11" s="283" t="s">
        <v>99</v>
      </c>
      <c r="AT11" s="284"/>
      <c r="AU11" s="298"/>
      <c r="AV11" s="300"/>
      <c r="AW11" s="299"/>
      <c r="AX11" s="301"/>
      <c r="AY11" s="302"/>
    </row>
    <row r="12" spans="1:51" ht="12.75">
      <c r="A12" s="236"/>
      <c r="B12" s="259">
        <v>9</v>
      </c>
      <c r="C12" s="260" t="s">
        <v>196</v>
      </c>
      <c r="D12" s="72" t="s">
        <v>68</v>
      </c>
      <c r="E12" s="73">
        <f>IF(LEFT($D12,6)&lt;&gt;"Star: ",IFERROR(VLOOKUP($I$22&amp;$D12,'Database-Hidden'!$C$2:$J$120,4,FALSE)-P12+AG12,""),VLOOKUP(RIGHT($D12,LEN($D12)-6),'Star Players-Hidden'!$A$3:$AK$87,33,FALSE))</f>
        <v>7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7</v>
      </c>
      <c r="I12" s="76">
        <f>IF(LEFT($D12,6)&lt;&gt;"Star: ",IFERROR(VLOOKUP($I$22&amp;$D12,'Database-Hidden'!$C$2:$J$120,8,FALSE),""),VLOOKUP(RIGHT($D12,LEN($D12)-6),'Star Players-Hidden'!$A$3:$AK$87,31,FALSE))</f>
        <v>0</v>
      </c>
      <c r="J12" s="77" t="s">
        <v>199</v>
      </c>
      <c r="K12" s="263">
        <f t="shared" si="3"/>
        <v>1</v>
      </c>
      <c r="L12" s="264"/>
      <c r="M12" s="264"/>
      <c r="N12" s="265">
        <v>1</v>
      </c>
      <c r="O12" s="264"/>
      <c r="P12" s="266"/>
      <c r="Q12" s="267"/>
      <c r="R12" s="268"/>
      <c r="S12" s="269"/>
      <c r="T12" s="270"/>
      <c r="U12" s="272"/>
      <c r="V12" s="270"/>
      <c r="W12" s="190">
        <v>2</v>
      </c>
      <c r="X12" s="274"/>
      <c r="Y12" s="83"/>
      <c r="Z12" s="275">
        <v>1</v>
      </c>
      <c r="AA12" s="276">
        <f t="shared" si="1"/>
        <v>9</v>
      </c>
      <c r="AB12" s="58">
        <f t="shared" si="2"/>
        <v>70000</v>
      </c>
      <c r="AC12" s="4"/>
      <c r="AD12" s="116">
        <f>IF(LEFT($D12,6)&lt;&gt;"Star: ",IFERROR(VLOOKUP($I$22&amp;D12,'Database-Hidden'!$C$2:$E$120,3,FALSE),""),VLOOKUP(RIGHT($D12,LEN($D12)-6),'Star Players-Hidden'!$A$3:$AJ$87,32,FALSE))</f>
        <v>50000</v>
      </c>
      <c r="AE12" s="138">
        <v>1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215"/>
      <c r="AN12" s="283" t="s">
        <v>102</v>
      </c>
      <c r="AO12" s="297"/>
      <c r="AP12" s="298"/>
      <c r="AQ12" s="299"/>
      <c r="AR12" s="215"/>
      <c r="AS12" s="283" t="s">
        <v>102</v>
      </c>
      <c r="AT12" s="298"/>
      <c r="AU12" s="298"/>
      <c r="AV12" s="300"/>
      <c r="AW12" s="299"/>
      <c r="AX12" s="301"/>
      <c r="AY12" s="291"/>
    </row>
    <row r="13" spans="1:51" ht="12.75">
      <c r="A13" s="236"/>
      <c r="B13" s="259">
        <v>10</v>
      </c>
      <c r="C13" s="260" t="s">
        <v>201</v>
      </c>
      <c r="D13" s="72" t="s">
        <v>68</v>
      </c>
      <c r="E13" s="73">
        <f>IF(LEFT($D13,6)&lt;&gt;"Star: ",IFERROR(VLOOKUP($I$22&amp;$D13,'Database-Hidden'!$C$2:$J$120,4,FALSE)-P13+AG13,""),VLOOKUP(RIGHT($D13,LEN($D13)-6),'Star Players-Hidden'!$A$3:$AK$87,33,FALSE))</f>
        <v>7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3</v>
      </c>
      <c r="H13" s="75">
        <f>IF(LEFT($D13,6)&lt;&gt;"Star: ",IFERROR(VLOOKUP($I$22&amp;$D13,'Database-Hidden'!$C$2:$J$120,7,FALSE)-S13+AJ13,""),VLOOKUP(RIGHT($D13,LEN($D13)-6),'Star Players-Hidden'!$A$3:$AK$87,36,FALSE))</f>
        <v>7</v>
      </c>
      <c r="I13" s="76">
        <f>IF(LEFT($D13,6)&lt;&gt;"Star: ",IFERROR(VLOOKUP($I$22&amp;$D13,'Database-Hidden'!$C$2:$J$120,8,FALSE),""),VLOOKUP(RIGHT($D13,LEN($D13)-6),'Star Players-Hidden'!$A$3:$AK$87,31,FALSE))</f>
        <v>0</v>
      </c>
      <c r="J13" s="77"/>
      <c r="K13" s="263">
        <f t="shared" si="3"/>
        <v>0</v>
      </c>
      <c r="L13" s="265"/>
      <c r="M13" s="264"/>
      <c r="N13" s="265">
        <v>1</v>
      </c>
      <c r="O13" s="264"/>
      <c r="P13" s="266"/>
      <c r="Q13" s="267"/>
      <c r="R13" s="268"/>
      <c r="S13" s="269"/>
      <c r="T13" s="270"/>
      <c r="U13" s="190">
        <v>1</v>
      </c>
      <c r="V13" s="270"/>
      <c r="W13" s="272"/>
      <c r="X13" s="274"/>
      <c r="Y13" s="83"/>
      <c r="Z13" s="275"/>
      <c r="AA13" s="276">
        <f t="shared" si="1"/>
        <v>1</v>
      </c>
      <c r="AB13" s="58">
        <f t="shared" si="2"/>
        <v>50000</v>
      </c>
      <c r="AC13" s="4"/>
      <c r="AD13" s="116">
        <f>IF(LEFT($D13,6)&lt;&gt;"Star: ",IFERROR(VLOOKUP($I$22&amp;D13,'Database-Hidden'!$C$2:$E$120,3,FALSE),""),VLOOKUP(RIGHT($D13,LEN($D13)-6),'Star Players-Hidden'!$A$3:$AJ$87,32,FALSE))</f>
        <v>50000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215"/>
      <c r="AN13" s="283" t="s">
        <v>105</v>
      </c>
      <c r="AO13" s="297"/>
      <c r="AP13" s="298"/>
      <c r="AQ13" s="299"/>
      <c r="AR13" s="215"/>
      <c r="AS13" s="283" t="s">
        <v>105</v>
      </c>
      <c r="AT13" s="298"/>
      <c r="AU13" s="298"/>
      <c r="AV13" s="300"/>
      <c r="AW13" s="299"/>
      <c r="AX13" s="301"/>
      <c r="AY13" s="291"/>
    </row>
    <row r="14" spans="1:51" ht="12.75">
      <c r="A14" s="236"/>
      <c r="B14" s="259">
        <v>11</v>
      </c>
      <c r="C14" s="260" t="s">
        <v>206</v>
      </c>
      <c r="D14" s="72" t="s">
        <v>68</v>
      </c>
      <c r="E14" s="73">
        <f>IF(LEFT($D14,6)&lt;&gt;"Star: ",IFERROR(VLOOKUP($I$22&amp;$D14,'Database-Hidden'!$C$2:$J$120,4,FALSE)-P14+AG14,""),VLOOKUP(RIGHT($D14,LEN($D14)-6),'Star Players-Hidden'!$A$3:$AK$87,33,FALSE))</f>
        <v>7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7</v>
      </c>
      <c r="I14" s="76">
        <f>IF(LEFT($D14,6)&lt;&gt;"Star: ",IFERROR(VLOOKUP($I$22&amp;$D14,'Database-Hidden'!$C$2:$J$120,8,FALSE),""),VLOOKUP(RIGHT($D14,LEN($D14)-6),'Star Players-Hidden'!$A$3:$AK$87,31,FALSE))</f>
        <v>0</v>
      </c>
      <c r="J14" s="77"/>
      <c r="K14" s="263">
        <f t="shared" si="3"/>
        <v>0</v>
      </c>
      <c r="L14" s="265"/>
      <c r="M14" s="264"/>
      <c r="N14" s="264"/>
      <c r="O14" s="264"/>
      <c r="P14" s="266"/>
      <c r="Q14" s="304"/>
      <c r="R14" s="268"/>
      <c r="S14" s="269"/>
      <c r="T14" s="270"/>
      <c r="U14" s="272"/>
      <c r="V14" s="270"/>
      <c r="W14" s="190"/>
      <c r="X14" s="274"/>
      <c r="Y14" s="83"/>
      <c r="Z14" s="275"/>
      <c r="AA14" s="276">
        <f t="shared" si="1"/>
        <v>0</v>
      </c>
      <c r="AB14" s="58">
        <f t="shared" si="2"/>
        <v>50000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50000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215"/>
      <c r="AN14" s="283" t="s">
        <v>109</v>
      </c>
      <c r="AO14" s="297"/>
      <c r="AP14" s="298"/>
      <c r="AQ14" s="299"/>
      <c r="AR14" s="215"/>
      <c r="AS14" s="283" t="s">
        <v>109</v>
      </c>
      <c r="AT14" s="298"/>
      <c r="AU14" s="298"/>
      <c r="AV14" s="300"/>
      <c r="AW14" s="299"/>
      <c r="AX14" s="301"/>
      <c r="AY14" s="291"/>
    </row>
    <row r="15" spans="1:51" ht="12.75">
      <c r="A15" s="236"/>
      <c r="B15" s="259">
        <v>12</v>
      </c>
      <c r="C15" s="260" t="s">
        <v>210</v>
      </c>
      <c r="D15" s="72" t="s">
        <v>68</v>
      </c>
      <c r="E15" s="73">
        <f>IF(LEFT($D15,6)&lt;&gt;"Star: ",IFERROR(VLOOKUP($I$22&amp;$D15,'Database-Hidden'!$C$2:$J$120,4,FALSE)-P15+AG15,""),VLOOKUP(RIGHT($D15,LEN($D15)-6),'Star Players-Hidden'!$A$3:$AK$87,33,FALSE))</f>
        <v>7</v>
      </c>
      <c r="F15" s="73">
        <f>IF(LEFT($D15,6)&lt;&gt;"Star: ",IFERROR(VLOOKUP($I$22&amp;$D15,'Database-Hidden'!$C$2:$J$120,5,FALSE)-Q15+AH15,""),VLOOKUP(RIGHT($D15,LEN($D15)-6),'Star Players-Hidden'!$A$3:$AK$87,34,FALSE))</f>
        <v>3</v>
      </c>
      <c r="G15" s="73">
        <f>IF(LEFT($D15,6)&lt;&gt;"Star: ",IFERROR(VLOOKUP($I$22&amp;$D15,'Database-Hidden'!$C$2:$J$120,6,FALSE)-R15+AI15,""),VLOOKUP(RIGHT($D15,LEN($D15)-6),'Star Players-Hidden'!$A$3:$AK$87,35,FALSE))</f>
        <v>3</v>
      </c>
      <c r="H15" s="75">
        <f>IF(LEFT($D15,6)&lt;&gt;"Star: ",IFERROR(VLOOKUP($I$22&amp;$D15,'Database-Hidden'!$C$2:$J$120,7,FALSE)-S15+AJ15,""),VLOOKUP(RIGHT($D15,LEN($D15)-6),'Star Players-Hidden'!$A$3:$AK$87,36,FALSE))</f>
        <v>7</v>
      </c>
      <c r="I15" s="76">
        <f>IF(LEFT($D15,6)&lt;&gt;"Star: ",IFERROR(VLOOKUP($I$22&amp;$D15,'Database-Hidden'!$C$2:$J$120,8,FALSE),""),VLOOKUP(RIGHT($D15,LEN($D15)-6),'Star Players-Hidden'!$A$3:$AK$87,31,FALSE))</f>
        <v>0</v>
      </c>
      <c r="J15" s="77"/>
      <c r="K15" s="263">
        <f t="shared" si="3"/>
        <v>0</v>
      </c>
      <c r="L15" s="264"/>
      <c r="M15" s="264"/>
      <c r="N15" s="264"/>
      <c r="O15" s="264"/>
      <c r="P15" s="266"/>
      <c r="Q15" s="267"/>
      <c r="R15" s="268"/>
      <c r="S15" s="269"/>
      <c r="T15" s="270"/>
      <c r="U15" s="272"/>
      <c r="V15" s="270"/>
      <c r="W15" s="272"/>
      <c r="X15" s="274"/>
      <c r="Y15" s="83"/>
      <c r="Z15" s="275"/>
      <c r="AA15" s="276">
        <f t="shared" si="1"/>
        <v>0</v>
      </c>
      <c r="AB15" s="58">
        <f t="shared" si="2"/>
        <v>50000</v>
      </c>
      <c r="AC15" s="4"/>
      <c r="AD15" s="116">
        <f>IF(LEFT($D15,6)&lt;&gt;"Star: ",IFERROR(VLOOKUP($I$22&amp;D15,'Database-Hidden'!$C$2:$E$120,3,FALSE),""),VLOOKUP(RIGHT($D15,LEN($D15)-6),'Star Players-Hidden'!$A$3:$AJ$87,32,FALSE))</f>
        <v>50000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215"/>
      <c r="AN15" s="283" t="s">
        <v>110</v>
      </c>
      <c r="AO15" s="297"/>
      <c r="AP15" s="298"/>
      <c r="AQ15" s="299"/>
      <c r="AR15" s="215"/>
      <c r="AS15" s="283" t="s">
        <v>110</v>
      </c>
      <c r="AT15" s="298"/>
      <c r="AU15" s="298"/>
      <c r="AV15" s="300"/>
      <c r="AW15" s="299"/>
      <c r="AX15" s="301"/>
      <c r="AY15" s="291"/>
    </row>
    <row r="16" spans="1:51" ht="12.75">
      <c r="A16" s="236"/>
      <c r="B16" s="259">
        <v>13</v>
      </c>
      <c r="C16" s="260"/>
      <c r="D16" s="72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77"/>
      <c r="K16" s="263">
        <f t="shared" si="3"/>
        <v>0</v>
      </c>
      <c r="L16" s="264"/>
      <c r="M16" s="265"/>
      <c r="N16" s="264"/>
      <c r="O16" s="264"/>
      <c r="P16" s="266"/>
      <c r="Q16" s="267"/>
      <c r="R16" s="268"/>
      <c r="S16" s="269"/>
      <c r="T16" s="270"/>
      <c r="U16" s="272"/>
      <c r="V16" s="270"/>
      <c r="W16" s="272"/>
      <c r="X16" s="274"/>
      <c r="Y16" s="83"/>
      <c r="Z16" s="275"/>
      <c r="AA16" s="276">
        <f t="shared" si="1"/>
        <v>0</v>
      </c>
      <c r="AB16" s="58"/>
      <c r="AC16" s="4"/>
      <c r="AD16" s="116" t="str">
        <f>IF(LEFT($D16,6)&lt;&gt;"Star: ",IFERROR(VLOOKUP($I$22&amp;D16,'Database-Hidden'!$C$2:$E$120,3,FALSE),""),VLOOKUP(RIGHT($D16,LEN($D16)-6),'Star Players-Hidden'!$A$3:$AJ$87,32,FALSE))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215"/>
      <c r="AN16" s="283" t="s">
        <v>114</v>
      </c>
      <c r="AO16" s="297"/>
      <c r="AP16" s="298"/>
      <c r="AQ16" s="299"/>
      <c r="AR16" s="215"/>
      <c r="AS16" s="283" t="s">
        <v>114</v>
      </c>
      <c r="AT16" s="298"/>
      <c r="AU16" s="298"/>
      <c r="AV16" s="300"/>
      <c r="AW16" s="299"/>
      <c r="AX16" s="301"/>
      <c r="AY16" s="291"/>
    </row>
    <row r="17" spans="1:51" ht="12.75">
      <c r="A17" s="236"/>
      <c r="B17" s="259">
        <v>14</v>
      </c>
      <c r="C17" s="260" t="s">
        <v>214</v>
      </c>
      <c r="D17" s="72" t="s">
        <v>152</v>
      </c>
      <c r="E17" s="73">
        <f>IF(LEFT($D17,6)&lt;&gt;"Star: ",IFERROR(VLOOKUP($I$22&amp;$D17,'Database-Hidden'!$C$2:$J$120,4,FALSE)-P17+AG17,""),VLOOKUP(RIGHT($D17,LEN($D17)-6),'Star Players-Hidden'!$A$3:$AK$87,33,FALSE))</f>
        <v>9</v>
      </c>
      <c r="F17" s="73">
        <f>IF(LEFT($D17,6)&lt;&gt;"Star: ",IFERROR(VLOOKUP($I$22&amp;$D17,'Database-Hidden'!$C$2:$J$120,5,FALSE)-Q17+AH17,""),VLOOKUP(RIGHT($D17,LEN($D17)-6),'Star Players-Hidden'!$A$3:$AK$87,34,FALSE))</f>
        <v>2</v>
      </c>
      <c r="G17" s="73">
        <f>IF(LEFT($D17,6)&lt;&gt;"Star: ",IFERROR(VLOOKUP($I$22&amp;$D17,'Database-Hidden'!$C$2:$J$120,6,FALSE)-R17+AI17,""),VLOOKUP(RIGHT($D17,LEN($D17)-6),'Star Players-Hidden'!$A$3:$AK$87,35,FALSE))</f>
        <v>4</v>
      </c>
      <c r="H17" s="75">
        <f>IF(LEFT($D17,6)&lt;&gt;"Star: ",IFERROR(VLOOKUP($I$22&amp;$D17,'Database-Hidden'!$C$2:$J$120,7,FALSE)-S17+AJ17,""),VLOOKUP(RIGHT($D17,LEN($D17)-6),'Star Players-Hidden'!$A$3:$AK$87,36,FALSE))</f>
        <v>7</v>
      </c>
      <c r="I17" s="76" t="str">
        <f>IF(LEFT($D17,6)&lt;&gt;"Star: ",IFERROR(VLOOKUP($I$22&amp;$D17,'Database-Hidden'!$C$2:$J$120,8,FALSE),""),VLOOKUP(RIGHT($D17,LEN($D17)-6),'Star Players-Hidden'!$A$3:$AK$87,31,FALSE))</f>
        <v>Dodge, Weeping Dagger</v>
      </c>
      <c r="J17" s="77" t="s">
        <v>155</v>
      </c>
      <c r="K17" s="263">
        <f t="shared" si="3"/>
        <v>1</v>
      </c>
      <c r="L17" s="264"/>
      <c r="M17" s="264"/>
      <c r="N17" s="265">
        <v>1</v>
      </c>
      <c r="O17" s="264"/>
      <c r="P17" s="266"/>
      <c r="Q17" s="267"/>
      <c r="R17" s="268"/>
      <c r="S17" s="269"/>
      <c r="T17" s="270"/>
      <c r="U17" s="190">
        <v>2</v>
      </c>
      <c r="V17" s="271">
        <v>1</v>
      </c>
      <c r="W17" s="272"/>
      <c r="X17" s="274"/>
      <c r="Y17" s="83"/>
      <c r="Z17" s="275">
        <v>1</v>
      </c>
      <c r="AA17" s="276">
        <f t="shared" si="1"/>
        <v>10</v>
      </c>
      <c r="AB17" s="58">
        <f t="shared" si="2"/>
        <v>100000</v>
      </c>
      <c r="AC17" s="4"/>
      <c r="AD17" s="116">
        <f>IF(LEFT($D17,6)&lt;&gt;"Star: ",IFERROR(VLOOKUP($I$22&amp;D17,'Database-Hidden'!$C$2:$E$120,3,FALSE),""),VLOOKUP(RIGHT($D17,LEN($D17)-6),'Star Players-Hidden'!$A$3:$AJ$87,32,FALSE))</f>
        <v>80000</v>
      </c>
      <c r="AE17" s="91">
        <v>1</v>
      </c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215"/>
      <c r="AN17" s="283" t="s">
        <v>115</v>
      </c>
      <c r="AO17" s="297"/>
      <c r="AP17" s="298"/>
      <c r="AQ17" s="299"/>
      <c r="AR17" s="215"/>
      <c r="AS17" s="283" t="s">
        <v>115</v>
      </c>
      <c r="AT17" s="298"/>
      <c r="AU17" s="298"/>
      <c r="AV17" s="300"/>
      <c r="AW17" s="299"/>
      <c r="AX17" s="301"/>
      <c r="AY17" s="291"/>
    </row>
    <row r="18" spans="1:51" ht="12.75">
      <c r="A18" s="236"/>
      <c r="B18" s="259">
        <v>15</v>
      </c>
      <c r="C18" s="260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30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263">
        <f t="shared" si="3"/>
        <v>0</v>
      </c>
      <c r="L18" s="264"/>
      <c r="M18" s="264"/>
      <c r="N18" s="264"/>
      <c r="O18" s="264"/>
      <c r="P18" s="266"/>
      <c r="Q18" s="267"/>
      <c r="R18" s="268"/>
      <c r="S18" s="269"/>
      <c r="T18" s="270"/>
      <c r="U18" s="272"/>
      <c r="V18" s="270"/>
      <c r="W18" s="272"/>
      <c r="X18" s="274"/>
      <c r="Y18" s="83"/>
      <c r="Z18" s="275"/>
      <c r="AA18" s="276"/>
      <c r="AB18" s="307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215"/>
      <c r="AN18" s="308" t="s">
        <v>42</v>
      </c>
      <c r="AO18" s="297">
        <f>AO4+SUM(AO6:AO17)-SUM(AP6:AP17)-SUM(AQ6:AQ17)</f>
        <v>10000</v>
      </c>
      <c r="AP18" s="215"/>
      <c r="AQ18" s="215"/>
      <c r="AR18" s="215"/>
      <c r="AS18" s="215"/>
      <c r="AT18" s="215"/>
      <c r="AU18" s="308" t="s">
        <v>42</v>
      </c>
      <c r="AV18" s="300">
        <f t="shared" ref="AV18:AW18" si="4">SUM(AV6:AV17)</f>
        <v>0</v>
      </c>
      <c r="AW18" s="309">
        <f t="shared" si="4"/>
        <v>0</v>
      </c>
      <c r="AX18" s="310">
        <f>AX4+SUM(AX6:AX17)</f>
        <v>7</v>
      </c>
      <c r="AY18" s="291"/>
    </row>
    <row r="19" spans="1:51" ht="12.75">
      <c r="A19" s="236"/>
      <c r="B19" s="311">
        <v>16</v>
      </c>
      <c r="C19" s="312"/>
      <c r="D19" s="313"/>
      <c r="E19" s="156" t="str">
        <f>IF(LEFT($D19,6)&lt;&gt;"Star: ",IFERROR(VLOOKUP($I$22&amp;$D19,'Database-Hidden'!$C$2:$J$120,4,FALSE)-P19+AG19,""),VLOOKUP(RIGHT($D19,LEN($D19)-6),'Star Players-Hidden'!$A$3:$AK$87,33,FALSE))</f>
        <v/>
      </c>
      <c r="F19" s="156" t="str">
        <f>IF(LEFT($D19,6)&lt;&gt;"Star: ",IFERROR(VLOOKUP($I$22&amp;$D19,'Database-Hidden'!$C$2:$J$120,5,FALSE)-Q19+AH19,""),VLOOKUP(RIGHT($D19,LEN($D19)-6),'Star Players-Hidden'!$A$3:$AK$87,34,FALSE))</f>
        <v/>
      </c>
      <c r="G19" s="156" t="str">
        <f>IF(LEFT($D19,6)&lt;&gt;"Star: ",IFERROR(VLOOKUP($I$22&amp;$D19,'Database-Hidden'!$C$2:$J$120,6,FALSE)-R19+AI19,""),VLOOKUP(RIGHT($D19,LEN($D19)-6),'Star Players-Hidden'!$A$3:$AK$87,35,FALSE))</f>
        <v/>
      </c>
      <c r="H19" s="159" t="str">
        <f>IF(LEFT($D19,6)&lt;&gt;"Star: ",IFERROR(VLOOKUP($I$22&amp;$D19,'Database-Hidden'!$C$2:$J$120,7,FALSE)-S19+AJ19,""),VLOOKUP(RIGHT($D19,LEN($D19)-6),'Star Players-Hidden'!$A$3:$AK$87,36,FALSE))</f>
        <v/>
      </c>
      <c r="I19" s="160" t="str">
        <f>IF(LEFT($D19,6)&lt;&gt;"Star: ",IFERROR(VLOOKUP($I$22&amp;$D19,'Database-Hidden'!$C$2:$J$120,8,FALSE),""),VLOOKUP(RIGHT($D19,LEN($D19)-6),'Star Players-Hidden'!$A$3:$AK$87,31,FALSE))</f>
        <v/>
      </c>
      <c r="J19" s="316"/>
      <c r="K19" s="317">
        <f t="shared" si="3"/>
        <v>0</v>
      </c>
      <c r="L19" s="318"/>
      <c r="M19" s="318"/>
      <c r="N19" s="318"/>
      <c r="O19" s="318"/>
      <c r="P19" s="319"/>
      <c r="Q19" s="320"/>
      <c r="R19" s="321"/>
      <c r="S19" s="322"/>
      <c r="T19" s="323"/>
      <c r="U19" s="324"/>
      <c r="V19" s="323"/>
      <c r="W19" s="324"/>
      <c r="X19" s="325"/>
      <c r="Y19" s="167"/>
      <c r="Z19" s="326"/>
      <c r="AA19" s="327">
        <f>2*T19+U19+3*V19+2*W19+5*Z19</f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215"/>
      <c r="AO19" s="328"/>
      <c r="AP19" s="215"/>
      <c r="AQ19" s="215"/>
      <c r="AR19" s="215"/>
      <c r="AX19" s="179"/>
      <c r="AY19" s="215"/>
    </row>
    <row r="20" spans="1:51" ht="12.75">
      <c r="A20" s="236"/>
      <c r="B20" s="329"/>
      <c r="C20" s="557"/>
      <c r="D20" s="519"/>
      <c r="E20" s="569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1030000</v>
      </c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520" t="s">
        <v>121</v>
      </c>
      <c r="AO20" s="523"/>
      <c r="AP20" s="215"/>
      <c r="AQ20" s="215"/>
      <c r="AR20" s="215"/>
      <c r="AS20" s="215"/>
      <c r="AT20" s="215"/>
      <c r="AU20" s="215"/>
      <c r="AV20" s="215"/>
      <c r="AW20" s="215"/>
      <c r="AX20" s="330"/>
      <c r="AY20" s="5"/>
    </row>
    <row r="21" spans="1:51" ht="12.75">
      <c r="A21" s="236"/>
      <c r="B21" s="331"/>
      <c r="C21" s="531"/>
      <c r="D21" s="532"/>
      <c r="E21" s="558" t="s">
        <v>117</v>
      </c>
      <c r="F21" s="525"/>
      <c r="G21" s="525"/>
      <c r="H21" s="540"/>
      <c r="I21" s="572" t="s">
        <v>56</v>
      </c>
      <c r="J21" s="562"/>
      <c r="K21" s="573"/>
      <c r="L21" s="561" t="s">
        <v>119</v>
      </c>
      <c r="M21" s="562"/>
      <c r="N21" s="562"/>
      <c r="O21" s="562"/>
      <c r="P21" s="562"/>
      <c r="Q21" s="562"/>
      <c r="R21" s="562"/>
      <c r="S21" s="563"/>
      <c r="T21" s="332">
        <v>3</v>
      </c>
      <c r="U21" s="333" t="s">
        <v>47</v>
      </c>
      <c r="V21" s="570">
        <v>60000</v>
      </c>
      <c r="W21" s="562"/>
      <c r="X21" s="562"/>
      <c r="Y21" s="562"/>
      <c r="Z21" s="571"/>
      <c r="AA21" s="334" t="s">
        <v>222</v>
      </c>
      <c r="AB21" s="184">
        <f t="shared" ref="AB21:AB25" si="5">T21*V21</f>
        <v>180000</v>
      </c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335" t="s">
        <v>123</v>
      </c>
      <c r="AO21" s="336">
        <f>AO18</f>
        <v>10000</v>
      </c>
      <c r="AP21" s="215"/>
      <c r="AQ21" s="215"/>
      <c r="AR21" s="215"/>
      <c r="AS21" s="215"/>
      <c r="AT21" s="215"/>
      <c r="AU21" s="215"/>
      <c r="AV21" s="215"/>
      <c r="AW21" s="215"/>
      <c r="AX21" s="330"/>
      <c r="AY21" s="215"/>
    </row>
    <row r="22" spans="1:51" ht="12.75">
      <c r="A22" s="236"/>
      <c r="B22" s="331"/>
      <c r="C22" s="531"/>
      <c r="D22" s="532"/>
      <c r="E22" s="564" t="s">
        <v>126</v>
      </c>
      <c r="F22" s="509"/>
      <c r="G22" s="509"/>
      <c r="H22" s="512"/>
      <c r="I22" s="568" t="s">
        <v>57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90">
        <f>AX18</f>
        <v>7</v>
      </c>
      <c r="U22" s="337" t="s">
        <v>47</v>
      </c>
      <c r="V22" s="559">
        <v>10000</v>
      </c>
      <c r="W22" s="509"/>
      <c r="X22" s="509"/>
      <c r="Y22" s="509"/>
      <c r="Z22" s="512"/>
      <c r="AA22" s="338" t="s">
        <v>222</v>
      </c>
      <c r="AB22" s="187">
        <f t="shared" si="5"/>
        <v>70000</v>
      </c>
      <c r="AC22" s="215"/>
      <c r="AD22" s="215"/>
      <c r="AE22" s="215"/>
      <c r="AF22" s="279"/>
      <c r="AG22" s="215"/>
      <c r="AH22" s="215"/>
      <c r="AI22" s="215"/>
      <c r="AJ22" s="215"/>
      <c r="AK22" s="215"/>
      <c r="AL22" s="215"/>
      <c r="AM22" s="215"/>
      <c r="AN22" s="192" t="s">
        <v>125</v>
      </c>
      <c r="AO22" s="193">
        <f>COUNTA(AO6:AO17)*10000</f>
        <v>0</v>
      </c>
      <c r="AP22" s="215"/>
      <c r="AQ22" s="215"/>
      <c r="AR22" s="215"/>
      <c r="AS22" s="215"/>
      <c r="AT22" s="215"/>
      <c r="AU22" s="215"/>
      <c r="AV22" s="215"/>
      <c r="AW22" s="215"/>
      <c r="AX22" s="330"/>
      <c r="AY22" s="215"/>
    </row>
    <row r="23" spans="1:51" ht="12.75">
      <c r="A23" s="236"/>
      <c r="B23" s="331"/>
      <c r="C23" s="531"/>
      <c r="D23" s="532"/>
      <c r="E23" s="564" t="s">
        <v>223</v>
      </c>
      <c r="F23" s="509"/>
      <c r="G23" s="509"/>
      <c r="H23" s="512"/>
      <c r="I23" s="574" t="s">
        <v>221</v>
      </c>
      <c r="J23" s="509"/>
      <c r="K23" s="510"/>
      <c r="L23" s="513" t="s">
        <v>224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340" t="s">
        <v>47</v>
      </c>
      <c r="V23" s="559">
        <v>10000</v>
      </c>
      <c r="W23" s="509"/>
      <c r="X23" s="509"/>
      <c r="Y23" s="509"/>
      <c r="Z23" s="512"/>
      <c r="AA23" s="338" t="s">
        <v>222</v>
      </c>
      <c r="AB23" s="187">
        <f t="shared" si="5"/>
        <v>0</v>
      </c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192" t="s">
        <v>78</v>
      </c>
      <c r="AO23" s="193">
        <f>AV18*5000</f>
        <v>0</v>
      </c>
      <c r="AP23" s="215"/>
      <c r="AQ23" s="215"/>
      <c r="AR23" s="215"/>
      <c r="AS23" s="215"/>
      <c r="AT23" s="215"/>
      <c r="AU23" s="215"/>
      <c r="AV23" s="215"/>
      <c r="AW23" s="215"/>
      <c r="AX23" s="330"/>
      <c r="AY23" s="215"/>
    </row>
    <row r="24" spans="1:51" ht="12.75">
      <c r="A24" s="236"/>
      <c r="B24" s="331"/>
      <c r="C24" s="531"/>
      <c r="D24" s="532"/>
      <c r="E24" s="564" t="s">
        <v>131</v>
      </c>
      <c r="F24" s="509"/>
      <c r="G24" s="509"/>
      <c r="H24" s="512"/>
      <c r="I24" s="548">
        <f>AB20+AB26</f>
        <v>1330000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340" t="s">
        <v>47</v>
      </c>
      <c r="V24" s="559">
        <v>10000</v>
      </c>
      <c r="W24" s="509"/>
      <c r="X24" s="509"/>
      <c r="Y24" s="509"/>
      <c r="Z24" s="512"/>
      <c r="AA24" s="338" t="s">
        <v>222</v>
      </c>
      <c r="AB24" s="187">
        <f t="shared" si="5"/>
        <v>0</v>
      </c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194" t="s">
        <v>130</v>
      </c>
      <c r="AO24" s="195">
        <f>AW18*5000</f>
        <v>0</v>
      </c>
      <c r="AP24" s="215"/>
      <c r="AQ24" s="215"/>
      <c r="AR24" s="215"/>
      <c r="AS24" s="215"/>
      <c r="AT24" s="215"/>
      <c r="AU24" s="215"/>
      <c r="AV24" s="215"/>
      <c r="AW24" s="215"/>
      <c r="AX24" s="330"/>
      <c r="AY24" s="215"/>
    </row>
    <row r="25" spans="1:51" ht="12.75">
      <c r="A25" s="236"/>
      <c r="B25" s="331"/>
      <c r="C25" s="531"/>
      <c r="D25" s="532"/>
      <c r="E25" s="575" t="s">
        <v>133</v>
      </c>
      <c r="F25" s="542"/>
      <c r="G25" s="542"/>
      <c r="H25" s="547"/>
      <c r="I25" s="549">
        <f>AO18</f>
        <v>10000</v>
      </c>
      <c r="J25" s="542"/>
      <c r="K25" s="547"/>
      <c r="L25" s="544" t="s">
        <v>225</v>
      </c>
      <c r="M25" s="542"/>
      <c r="N25" s="542"/>
      <c r="O25" s="542"/>
      <c r="P25" s="542"/>
      <c r="Q25" s="542"/>
      <c r="R25" s="542"/>
      <c r="S25" s="545"/>
      <c r="T25" s="198">
        <v>1</v>
      </c>
      <c r="U25" s="337" t="s">
        <v>47</v>
      </c>
      <c r="V25" s="560">
        <v>50000</v>
      </c>
      <c r="W25" s="542"/>
      <c r="X25" s="542"/>
      <c r="Y25" s="542"/>
      <c r="Z25" s="545"/>
      <c r="AA25" s="338" t="s">
        <v>222</v>
      </c>
      <c r="AB25" s="187">
        <f t="shared" si="5"/>
        <v>50000</v>
      </c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196" t="s">
        <v>42</v>
      </c>
      <c r="AO25" s="197">
        <v>10000</v>
      </c>
      <c r="AP25" s="215"/>
      <c r="AQ25" s="215"/>
      <c r="AR25" s="215"/>
      <c r="AS25" s="215"/>
      <c r="AT25" s="215"/>
      <c r="AU25" s="215"/>
      <c r="AV25" s="215"/>
      <c r="AW25" s="215"/>
      <c r="AX25" s="330"/>
      <c r="AY25" s="215"/>
    </row>
    <row r="26" spans="1:51" ht="12.75">
      <c r="A26" s="236"/>
      <c r="B26" s="342"/>
      <c r="C26" s="533"/>
      <c r="D26" s="535"/>
      <c r="E26" s="343" t="s">
        <v>226</v>
      </c>
      <c r="F26" s="344"/>
      <c r="G26" s="344"/>
      <c r="H26" s="344"/>
      <c r="I26" s="345" t="s">
        <v>227</v>
      </c>
      <c r="J26" s="346" t="str">
        <f>HYPERLINK("http://www.arosbb.dk/","www.arosbb.dk")</f>
        <v>www.arosbb.dk</v>
      </c>
      <c r="K26" s="344"/>
      <c r="L26" s="566"/>
      <c r="M26" s="523"/>
      <c r="N26" s="523"/>
      <c r="O26" s="523"/>
      <c r="P26" s="523"/>
      <c r="Q26" s="523"/>
      <c r="R26" s="523"/>
      <c r="S26" s="567"/>
      <c r="T26" s="347"/>
      <c r="U26" s="348"/>
      <c r="V26" s="349"/>
      <c r="W26" s="565" t="s">
        <v>135</v>
      </c>
      <c r="X26" s="523"/>
      <c r="Y26" s="523"/>
      <c r="Z26" s="523"/>
      <c r="AA26" s="521"/>
      <c r="AB26" s="180">
        <f>SUM(AB21:AB25)</f>
        <v>300000</v>
      </c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O26" s="328"/>
      <c r="AX26" s="179"/>
      <c r="AY26" s="215"/>
    </row>
    <row r="27" spans="1:51" ht="6.75" customHeight="1">
      <c r="A27" s="215"/>
      <c r="B27" s="5"/>
      <c r="C27" s="200"/>
      <c r="D27" s="200"/>
      <c r="E27" s="350"/>
      <c r="F27" s="4"/>
      <c r="G27" s="4"/>
      <c r="H27" s="4"/>
      <c r="I27" s="351"/>
      <c r="J27" s="352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O27" s="328"/>
      <c r="AP27" s="215"/>
      <c r="AQ27" s="215"/>
      <c r="AR27" s="215"/>
      <c r="AS27" s="215"/>
      <c r="AT27" s="215"/>
      <c r="AU27" s="215"/>
      <c r="AV27" s="215"/>
      <c r="AW27" s="215"/>
      <c r="AX27" s="330"/>
      <c r="AY27" s="215"/>
    </row>
    <row r="28" spans="1:51" ht="17.25" hidden="1" customHeight="1">
      <c r="C28" s="209">
        <f>MATCH(I22,'Database-Hidden'!A2:A120,0)</f>
        <v>94</v>
      </c>
      <c r="D28" s="209" t="str">
        <f t="shared" ref="D28:D37" si="6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  <c r="AO28" s="328"/>
      <c r="AX28" s="179"/>
      <c r="AY28" s="353"/>
    </row>
    <row r="29" spans="1:51" ht="17.25" hidden="1" customHeight="1">
      <c r="C29" s="209">
        <f t="shared" ref="C29:C37" si="7">C28+1</f>
        <v>95</v>
      </c>
      <c r="D29" s="209" t="str">
        <f t="shared" si="6"/>
        <v>Thrower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Thrower</v>
      </c>
      <c r="AO29" s="328"/>
      <c r="AX29" s="179"/>
      <c r="AY29" s="353"/>
    </row>
    <row r="30" spans="1:51" ht="17.25" hidden="1" customHeight="1">
      <c r="C30" s="209">
        <f t="shared" si="7"/>
        <v>96</v>
      </c>
      <c r="D30" s="209" t="str">
        <f t="shared" si="6"/>
        <v>Gutter Runner</v>
      </c>
      <c r="E30" s="210">
        <f t="array" ref="E30">IFERROR(IF(INDEX('Database-Hidden'!$A$2:$B$120,$C30,1)=$I$22,INDEX('Database-Hidden'!$A$2:$D$120,$C30,4),""),"")</f>
        <v>4</v>
      </c>
      <c r="I30" s="209" t="str">
        <f t="array" ref="I30">IFERROR(IF(INDEX('Database-Hidden'!$A$2:$B$120,$C30,1)=$I$22,INDEX('Database-Hidden'!$A$2:$B$120,$C30,2),""),"")</f>
        <v>Gutter Runner</v>
      </c>
      <c r="AO30" s="328"/>
      <c r="AX30" s="179"/>
      <c r="AY30" s="353"/>
    </row>
    <row r="31" spans="1:51" ht="17.25" hidden="1" customHeight="1">
      <c r="C31" s="209">
        <f t="shared" si="7"/>
        <v>97</v>
      </c>
      <c r="D31" s="209" t="str">
        <f t="shared" si="6"/>
        <v>Blitzer</v>
      </c>
      <c r="E31" s="210">
        <f t="array" ref="E31">IFERROR(IF(INDEX('Database-Hidden'!$A$2:$B$120,$C31,1)=$I$22,INDEX('Database-Hidden'!$A$2:$D$120,$C31,4),""),"")</f>
        <v>2</v>
      </c>
      <c r="I31" s="209" t="str">
        <f t="array" ref="I31">IFERROR(IF(INDEX('Database-Hidden'!$A$2:$B$120,$C31,1)=$I$22,INDEX('Database-Hidden'!$A$2:$B$120,$C31,2),""),"")</f>
        <v>Blitzer</v>
      </c>
      <c r="AO31" s="328"/>
      <c r="AX31" s="179"/>
      <c r="AY31" s="353"/>
    </row>
    <row r="32" spans="1:51" ht="17.25" hidden="1" customHeight="1">
      <c r="C32" s="209">
        <f t="shared" si="7"/>
        <v>98</v>
      </c>
      <c r="D32" s="209" t="str">
        <f t="shared" si="6"/>
        <v>Rat Ogre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Rat Ogre</v>
      </c>
      <c r="AO32" s="328"/>
      <c r="AX32" s="179"/>
      <c r="AY32" s="353"/>
    </row>
    <row r="33" spans="3:51" ht="17.25" hidden="1" customHeight="1">
      <c r="C33" s="209">
        <f t="shared" si="7"/>
        <v>99</v>
      </c>
      <c r="D33" s="209" t="str">
        <f t="shared" si="6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O33" s="328"/>
      <c r="AX33" s="179"/>
      <c r="AY33" s="353"/>
    </row>
    <row r="34" spans="3:51" ht="17.25" hidden="1" customHeight="1">
      <c r="C34" s="209">
        <f t="shared" si="7"/>
        <v>100</v>
      </c>
      <c r="D34" s="209" t="str">
        <f t="shared" si="6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O34" s="328"/>
      <c r="AX34" s="179"/>
      <c r="AY34" s="353"/>
    </row>
    <row r="35" spans="3:51" ht="17.25" hidden="1" customHeight="1">
      <c r="C35" s="209">
        <f t="shared" si="7"/>
        <v>101</v>
      </c>
      <c r="D35" s="209" t="str">
        <f t="shared" si="6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O35" s="328"/>
      <c r="AX35" s="179"/>
      <c r="AY35" s="353"/>
    </row>
    <row r="36" spans="3:51" ht="17.25" hidden="1" customHeight="1">
      <c r="C36" s="209">
        <f t="shared" si="7"/>
        <v>102</v>
      </c>
      <c r="D36" s="209" t="str">
        <f t="shared" si="6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O36" s="328"/>
      <c r="AX36" s="179"/>
      <c r="AY36" s="353"/>
    </row>
    <row r="37" spans="3:51" ht="17.25" hidden="1" customHeight="1">
      <c r="C37" s="209">
        <f t="shared" si="7"/>
        <v>103</v>
      </c>
      <c r="D37" s="209" t="str">
        <f t="shared" si="6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O37" s="328"/>
      <c r="AX37" s="179"/>
      <c r="AY37" s="353"/>
    </row>
    <row r="38" spans="3:51" ht="17.25" hidden="1" customHeight="1">
      <c r="C38" s="211">
        <f>MATCH(I22,'Star Players-Hidden'!D2:AD2,0)</f>
        <v>22</v>
      </c>
      <c r="D38" s="211" t="str">
        <f t="shared" ref="D38:D49" ca="1" si="8">I38&amp;IF(COUNTIF(D$4:D$19,I38)&gt;1," (Too Many)","")</f>
        <v>Star: Fezglitch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Fezglitch")</f>
        <v>Star: Fezglitch</v>
      </c>
      <c r="AO38" s="328"/>
      <c r="AX38" s="179"/>
      <c r="AY38" s="353"/>
    </row>
    <row r="39" spans="3:51" ht="17.25" hidden="1" customHeight="1">
      <c r="C39" s="209"/>
      <c r="D39" s="209" t="str">
        <f t="shared" si="8"/>
        <v>Star: Glart Smashrip Jr.</v>
      </c>
      <c r="I39" s="213" t="s">
        <v>235</v>
      </c>
      <c r="AO39" s="328"/>
      <c r="AX39" s="179"/>
      <c r="AY39" s="353"/>
    </row>
    <row r="40" spans="3:51" ht="17.25" hidden="1" customHeight="1">
      <c r="C40" s="209"/>
      <c r="D40" s="209" t="str">
        <f t="shared" si="8"/>
        <v>Star: Glart Smashrip Sr.</v>
      </c>
      <c r="I40" s="209" t="s">
        <v>236</v>
      </c>
      <c r="AO40" s="328"/>
      <c r="AX40" s="179"/>
      <c r="AY40" s="353"/>
    </row>
    <row r="41" spans="3:51" ht="17.25" hidden="1" customHeight="1">
      <c r="C41" s="209"/>
      <c r="D41" s="209" t="str">
        <f t="shared" si="8"/>
        <v>Star: Hakflem Skuttlespike</v>
      </c>
      <c r="I41" s="209" t="s">
        <v>237</v>
      </c>
      <c r="AO41" s="328"/>
      <c r="AX41" s="179"/>
      <c r="AY41" s="353"/>
    </row>
    <row r="42" spans="3:51" ht="17.25" hidden="1" customHeight="1">
      <c r="C42" s="209"/>
      <c r="D42" s="209" t="str">
        <f t="shared" si="8"/>
        <v>Star: Headsplitter</v>
      </c>
      <c r="I42" s="209" t="s">
        <v>238</v>
      </c>
      <c r="AO42" s="328"/>
      <c r="AX42" s="179"/>
      <c r="AY42" s="353"/>
    </row>
    <row r="43" spans="3:51" ht="17.25" hidden="1" customHeight="1">
      <c r="C43" s="209"/>
      <c r="D43" s="209" t="str">
        <f t="shared" si="8"/>
        <v>Star: Kreek Rustgouger</v>
      </c>
      <c r="I43" s="209" t="s">
        <v>239</v>
      </c>
      <c r="AO43" s="328"/>
      <c r="AX43" s="179"/>
      <c r="AY43" s="353"/>
    </row>
    <row r="44" spans="3:51" ht="17.25" hidden="1" customHeight="1">
      <c r="C44" s="209"/>
      <c r="D44" s="209" t="str">
        <f t="shared" si="8"/>
        <v>Star: Morg'n'Thorg</v>
      </c>
      <c r="I44" s="209" t="s">
        <v>144</v>
      </c>
      <c r="AO44" s="328"/>
      <c r="AX44" s="179"/>
      <c r="AY44" s="353"/>
    </row>
    <row r="45" spans="3:51" ht="17.25" hidden="1" customHeight="1">
      <c r="C45" s="209"/>
      <c r="D45" s="209" t="str">
        <f t="shared" si="8"/>
        <v>Star: Skitter Stab-Stab</v>
      </c>
      <c r="I45" s="209" t="s">
        <v>240</v>
      </c>
      <c r="AO45" s="328"/>
      <c r="AX45" s="179"/>
      <c r="AY45" s="353"/>
    </row>
    <row r="46" spans="3:51" ht="17.25" hidden="1" customHeight="1">
      <c r="C46" s="209"/>
      <c r="D46" s="209" t="str">
        <f t="shared" si="8"/>
        <v/>
      </c>
      <c r="I46" s="209"/>
      <c r="AO46" s="328"/>
      <c r="AX46" s="179"/>
      <c r="AY46" s="353"/>
    </row>
    <row r="47" spans="3:51" ht="17.25" hidden="1" customHeight="1">
      <c r="C47" s="209"/>
      <c r="D47" s="209" t="str">
        <f t="shared" si="8"/>
        <v/>
      </c>
      <c r="I47" s="209"/>
      <c r="AO47" s="328"/>
      <c r="AX47" s="179"/>
      <c r="AY47" s="353"/>
    </row>
    <row r="48" spans="3:51" ht="17.25" hidden="1" customHeight="1">
      <c r="C48" s="209"/>
      <c r="D48" s="209" t="str">
        <f t="shared" si="8"/>
        <v/>
      </c>
      <c r="I48" s="209"/>
      <c r="AO48" s="328"/>
      <c r="AX48" s="179"/>
      <c r="AY48" s="353"/>
    </row>
    <row r="49" spans="3:51" ht="17.25" hidden="1" customHeight="1">
      <c r="C49" s="209"/>
      <c r="D49" s="209" t="str">
        <f t="shared" si="8"/>
        <v/>
      </c>
      <c r="I49" s="209"/>
      <c r="AO49" s="328"/>
      <c r="AX49" s="179"/>
      <c r="AY49" s="353"/>
    </row>
  </sheetData>
  <mergeCells count="28">
    <mergeCell ref="I23:K23"/>
    <mergeCell ref="E23:H23"/>
    <mergeCell ref="E25:H25"/>
    <mergeCell ref="E24:H24"/>
    <mergeCell ref="I25:K25"/>
    <mergeCell ref="I24:K24"/>
    <mergeCell ref="AN20:AO20"/>
    <mergeCell ref="E20:AA20"/>
    <mergeCell ref="AN3:AQ3"/>
    <mergeCell ref="AS3:AX3"/>
    <mergeCell ref="V21:Z21"/>
    <mergeCell ref="I21:K21"/>
    <mergeCell ref="C20:D26"/>
    <mergeCell ref="E21:H21"/>
    <mergeCell ref="V23:Z23"/>
    <mergeCell ref="V24:Z24"/>
    <mergeCell ref="P2:S2"/>
    <mergeCell ref="L25:S25"/>
    <mergeCell ref="V25:Z25"/>
    <mergeCell ref="L23:S23"/>
    <mergeCell ref="L21:S21"/>
    <mergeCell ref="L24:S24"/>
    <mergeCell ref="E22:H22"/>
    <mergeCell ref="V22:Z22"/>
    <mergeCell ref="W26:AA26"/>
    <mergeCell ref="L26:S26"/>
    <mergeCell ref="I22:K22"/>
    <mergeCell ref="L22:S22"/>
  </mergeCells>
  <conditionalFormatting sqref="AB4:AB19">
    <cfRule type="cellIs" dxfId="711" priority="1" operator="equal">
      <formula>0</formula>
    </cfRule>
  </conditionalFormatting>
  <conditionalFormatting sqref="J4">
    <cfRule type="expression" dxfId="710" priority="2">
      <formula>K4&lt;&gt;SUM(AE4:AJ4)</formula>
    </cfRule>
  </conditionalFormatting>
  <conditionalFormatting sqref="I4:I19">
    <cfRule type="cellIs" dxfId="709" priority="3" stopIfTrue="1" operator="equal">
      <formula>"Player type quantity surpassed"</formula>
    </cfRule>
  </conditionalFormatting>
  <conditionalFormatting sqref="J5">
    <cfRule type="expression" dxfId="708" priority="4">
      <formula>K5&lt;&gt;SUM(AE5:AJ5)</formula>
    </cfRule>
  </conditionalFormatting>
  <conditionalFormatting sqref="J6">
    <cfRule type="expression" dxfId="707" priority="5">
      <formula>K6&lt;&gt;SUM(AE6:AJ6)</formula>
    </cfRule>
  </conditionalFormatting>
  <conditionalFormatting sqref="J7">
    <cfRule type="expression" dxfId="706" priority="6">
      <formula>K7&lt;&gt;SUM(AE7:AJ7)</formula>
    </cfRule>
  </conditionalFormatting>
  <conditionalFormatting sqref="J8">
    <cfRule type="expression" dxfId="705" priority="7">
      <formula>K8&lt;&gt;SUM(AE8:AJ8)</formula>
    </cfRule>
  </conditionalFormatting>
  <conditionalFormatting sqref="J9">
    <cfRule type="expression" dxfId="704" priority="8">
      <formula>K9&lt;&gt;SUM(AE9:AJ9)</formula>
    </cfRule>
  </conditionalFormatting>
  <conditionalFormatting sqref="J10">
    <cfRule type="expression" dxfId="703" priority="9">
      <formula>K10&lt;&gt;SUM(AE10:AJ10)</formula>
    </cfRule>
  </conditionalFormatting>
  <conditionalFormatting sqref="J11">
    <cfRule type="expression" dxfId="702" priority="10">
      <formula>K11&lt;&gt;SUM(AE11:AJ11)</formula>
    </cfRule>
  </conditionalFormatting>
  <conditionalFormatting sqref="J12">
    <cfRule type="expression" dxfId="701" priority="11">
      <formula>K12&lt;&gt;SUM(AE12:AJ12)</formula>
    </cfRule>
  </conditionalFormatting>
  <conditionalFormatting sqref="J13">
    <cfRule type="expression" dxfId="700" priority="12">
      <formula>K13&lt;&gt;SUM(AE13:AJ13)</formula>
    </cfRule>
  </conditionalFormatting>
  <conditionalFormatting sqref="J14">
    <cfRule type="expression" dxfId="699" priority="13">
      <formula>K14&lt;&gt;SUM(AE14:AJ14)</formula>
    </cfRule>
  </conditionalFormatting>
  <conditionalFormatting sqref="J15">
    <cfRule type="expression" dxfId="698" priority="14">
      <formula>K15&lt;&gt;SUM(AE15:AJ15)</formula>
    </cfRule>
  </conditionalFormatting>
  <conditionalFormatting sqref="J16">
    <cfRule type="expression" dxfId="697" priority="15">
      <formula>K16&lt;&gt;SUM(AE16:AJ16)</formula>
    </cfRule>
  </conditionalFormatting>
  <conditionalFormatting sqref="J17">
    <cfRule type="expression" dxfId="696" priority="16">
      <formula>K17&lt;&gt;SUM(AE17:AJ17)</formula>
    </cfRule>
  </conditionalFormatting>
  <conditionalFormatting sqref="J18">
    <cfRule type="expression" dxfId="695" priority="17">
      <formula>K18&lt;&gt;SUM(AE18:AJ18)</formula>
    </cfRule>
  </conditionalFormatting>
  <conditionalFormatting sqref="J19">
    <cfRule type="expression" dxfId="694" priority="18">
      <formula>K19&lt;&gt;SUM(AE19:AJ19)</formula>
    </cfRule>
  </conditionalFormatting>
  <conditionalFormatting sqref="E4:I19">
    <cfRule type="expression" dxfId="693" priority="19">
      <formula>AG4&gt;0</formula>
    </cfRule>
  </conditionalFormatting>
  <conditionalFormatting sqref="E4:I19">
    <cfRule type="expression" dxfId="692" priority="20">
      <formula>P4&gt;0</formula>
    </cfRule>
  </conditionalFormatting>
  <conditionalFormatting sqref="I4:I19 T4:T19 U4:U19 V4:W19 Z4:Z19 U26:U27">
    <cfRule type="cellIs" dxfId="691" priority="21" stopIfTrue="1" operator="equal">
      <formula>0</formula>
    </cfRule>
  </conditionalFormatting>
  <conditionalFormatting sqref="Y27:Z27 AB27">
    <cfRule type="cellIs" dxfId="690" priority="22" stopIfTrue="1" operator="equal">
      <formula>"0,0"</formula>
    </cfRule>
  </conditionalFormatting>
  <conditionalFormatting sqref="K4:K19">
    <cfRule type="cellIs" dxfId="689" priority="23" stopIfTrue="1" operator="equal">
      <formula>"n/a"</formula>
    </cfRule>
  </conditionalFormatting>
  <conditionalFormatting sqref="P4:S19">
    <cfRule type="cellIs" dxfId="688" priority="24" stopIfTrue="1" operator="lessThanOrEqual">
      <formula>-1</formula>
    </cfRule>
  </conditionalFormatting>
  <conditionalFormatting sqref="V25:W25">
    <cfRule type="cellIs" dxfId="687" priority="25" stopIfTrue="1" operator="equal">
      <formula>-500</formula>
    </cfRule>
  </conditionalFormatting>
  <conditionalFormatting sqref="T25">
    <cfRule type="cellIs" dxfId="686" priority="26" stopIfTrue="1" operator="greaterThan">
      <formula>$V$25</formula>
    </cfRule>
  </conditionalFormatting>
  <conditionalFormatting sqref="AA4:AA19">
    <cfRule type="cellIs" dxfId="685" priority="27" stopIfTrue="1" operator="equal">
      <formula>"Star"</formula>
    </cfRule>
  </conditionalFormatting>
  <conditionalFormatting sqref="AA4:AA19">
    <cfRule type="cellIs" dxfId="684" priority="28" stopIfTrue="1" operator="equal">
      <formula>AB4</formula>
    </cfRule>
  </conditionalFormatting>
  <dataValidations count="1">
    <dataValidation type="list" allowBlank="1" showErrorMessage="1" sqref="D4:D19">
      <formula1>'DC1'!$D$28:$D$49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V49"/>
  <sheetViews>
    <sheetView showGridLines="0" workbookViewId="0">
      <selection activeCell="I22" sqref="I22:K22"/>
    </sheetView>
  </sheetViews>
  <sheetFormatPr defaultColWidth="14.42578125" defaultRowHeight="15.75" customHeight="1"/>
  <cols>
    <col min="1" max="1" width="1.85546875" style="503" customWidth="1"/>
    <col min="2" max="2" width="3.140625" style="503" customWidth="1"/>
    <col min="3" max="3" width="19.28515625" style="503" customWidth="1"/>
    <col min="4" max="4" width="21.28515625" style="503" customWidth="1"/>
    <col min="5" max="8" width="3" style="503" customWidth="1"/>
    <col min="9" max="9" width="30.85546875" style="503" customWidth="1"/>
    <col min="10" max="10" width="23" style="503" customWidth="1"/>
    <col min="11" max="11" width="1.85546875" style="503" customWidth="1"/>
    <col min="12" max="13" width="2.42578125" style="503" customWidth="1"/>
    <col min="14" max="16" width="2.140625" style="503" customWidth="1"/>
    <col min="17" max="17" width="2" style="503" customWidth="1"/>
    <col min="18" max="18" width="1.85546875" style="503" customWidth="1"/>
    <col min="19" max="19" width="2" style="503" customWidth="1"/>
    <col min="20" max="21" width="3.28515625" style="503" customWidth="1"/>
    <col min="22" max="22" width="2.42578125" style="503" customWidth="1"/>
    <col min="23" max="23" width="3.28515625" style="503" customWidth="1"/>
    <col min="24" max="24" width="2.7109375" style="503" customWidth="1"/>
    <col min="25" max="26" width="3.28515625" style="503" customWidth="1"/>
    <col min="27" max="27" width="4.42578125" style="503" customWidth="1"/>
    <col min="28" max="28" width="10" style="503" customWidth="1"/>
    <col min="29" max="29" width="5.5703125" style="503" customWidth="1"/>
    <col min="30" max="30" width="8.7109375" style="503" customWidth="1"/>
    <col min="31" max="31" width="5.42578125" style="503" customWidth="1"/>
    <col min="32" max="33" width="5.28515625" style="503" customWidth="1"/>
    <col min="34" max="34" width="5.7109375" style="503" customWidth="1"/>
    <col min="35" max="35" width="5.85546875" style="503" customWidth="1"/>
    <col min="36" max="36" width="12.28515625" style="503" customWidth="1"/>
    <col min="37" max="37" width="6.42578125" style="503" customWidth="1"/>
    <col min="38" max="39" width="14.42578125" style="503" customWidth="1"/>
    <col min="40" max="40" width="12.5703125" style="503" customWidth="1"/>
    <col min="41" max="16384" width="14.42578125" style="503"/>
  </cols>
  <sheetData>
    <row r="1" spans="1:48" ht="8.25" customHeight="1" thickBot="1">
      <c r="A1" s="13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291"/>
    </row>
    <row r="2" spans="1:48" ht="15.75" customHeight="1" thickBot="1">
      <c r="A2" s="132"/>
      <c r="B2" s="7"/>
      <c r="C2" s="7"/>
      <c r="D2" s="6"/>
      <c r="E2" s="7"/>
      <c r="F2" s="7"/>
      <c r="G2" s="7"/>
      <c r="H2" s="7"/>
      <c r="I2" s="7"/>
      <c r="J2" s="7"/>
      <c r="K2" s="132"/>
      <c r="L2" s="7"/>
      <c r="M2" s="7"/>
      <c r="N2" s="7"/>
      <c r="O2" s="7"/>
      <c r="P2" s="517" t="s">
        <v>1</v>
      </c>
      <c r="Q2" s="518"/>
      <c r="R2" s="518"/>
      <c r="S2" s="519"/>
      <c r="T2" s="357"/>
      <c r="U2" s="357"/>
      <c r="V2" s="357"/>
      <c r="W2" s="357"/>
      <c r="X2" s="9"/>
      <c r="Y2" s="357"/>
      <c r="Z2" s="357"/>
      <c r="AA2" s="7"/>
      <c r="AB2" s="7"/>
      <c r="AC2" s="132"/>
      <c r="AD2" s="7"/>
      <c r="AE2" s="7"/>
      <c r="AF2" s="7"/>
      <c r="AG2" s="10"/>
      <c r="AH2" s="11"/>
      <c r="AI2" s="11"/>
      <c r="AJ2" s="11"/>
      <c r="AK2" s="11"/>
      <c r="AL2" s="132"/>
      <c r="AM2" s="132"/>
      <c r="AN2" s="132"/>
    </row>
    <row r="3" spans="1:48" ht="18" thickBo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35" t="s">
        <v>8</v>
      </c>
      <c r="G3" s="18" t="s">
        <v>9</v>
      </c>
      <c r="H3" s="19" t="s">
        <v>10</v>
      </c>
      <c r="I3" s="33" t="s">
        <v>16</v>
      </c>
      <c r="J3" s="217" t="s">
        <v>19</v>
      </c>
      <c r="K3" s="22" t="s">
        <v>4</v>
      </c>
      <c r="L3" s="23" t="s">
        <v>20</v>
      </c>
      <c r="M3" s="30" t="s">
        <v>23</v>
      </c>
      <c r="N3" s="30" t="s">
        <v>25</v>
      </c>
      <c r="O3" s="32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32" t="s">
        <v>36</v>
      </c>
      <c r="Z3" s="32" t="s">
        <v>12</v>
      </c>
      <c r="AA3" s="224" t="s">
        <v>13</v>
      </c>
      <c r="AB3" s="220" t="s">
        <v>38</v>
      </c>
      <c r="AC3" s="291"/>
      <c r="AD3" s="223" t="s">
        <v>43</v>
      </c>
      <c r="AE3" s="224" t="s">
        <v>23</v>
      </c>
      <c r="AF3" s="226" t="s">
        <v>45</v>
      </c>
      <c r="AG3" s="229" t="str">
        <f>"+MA"</f>
        <v>+MA</v>
      </c>
      <c r="AH3" s="359" t="str">
        <f>"+ST"</f>
        <v>+ST</v>
      </c>
      <c r="AI3" s="359" t="str">
        <f>"+AG"</f>
        <v>+AG</v>
      </c>
      <c r="AJ3" s="359" t="str">
        <f>"+AV"</f>
        <v>+AV</v>
      </c>
      <c r="AK3" s="359" t="s">
        <v>51</v>
      </c>
      <c r="AL3" s="39" t="s">
        <v>52</v>
      </c>
      <c r="AM3" s="132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</row>
    <row r="4" spans="1:48" ht="23.25" thickBot="1">
      <c r="A4" s="236"/>
      <c r="B4" s="237">
        <v>1</v>
      </c>
      <c r="C4" s="41" t="s">
        <v>153</v>
      </c>
      <c r="D4" s="42" t="s">
        <v>154</v>
      </c>
      <c r="E4" s="73">
        <f>IF(LEFT($D4,6)&lt;&gt;"Star: ",IFERROR(VLOOKUP($I$22&amp;$D4,'Database-Hidden'!$C$2:$J$120,4,FALSE)-P4+AG4,""),VLOOKUP(RIGHT($D4,LEN($D4)-6),'Star Players-Hidden'!$A$3:$AK$87,33,FALSE))</f>
        <v>5</v>
      </c>
      <c r="F4" s="73">
        <f>IF(LEFT($D4,6)&lt;&gt;"Star: ",IFERROR(VLOOKUP($I$22&amp;$D4,'Database-Hidden'!$C$2:$J$120,5,FALSE)-Q4+AH4,""),VLOOKUP(RIGHT($D4,LEN($D4)-6),'Star Players-Hidden'!$A$3:$AK$87,34,FALSE))</f>
        <v>5</v>
      </c>
      <c r="G4" s="73">
        <f>IF(LEFT($D4,6)&lt;&gt;"Star: ",IFERROR(VLOOKUP($I$22&amp;$D4,'Database-Hidden'!$C$2:$J$120,6,FALSE)-R4+AI4,""),VLOOKUP(RIGHT($D4,LEN($D4)-6),'Star Players-Hidden'!$A$3:$AK$87,35,FALSE))</f>
        <v>1</v>
      </c>
      <c r="H4" s="75">
        <f>IF(LEFT($D4,6)&lt;&gt;"Star: ",IFERROR(VLOOKUP($I$22&amp;$D4,'Database-Hidden'!$C$2:$J$120,7,FALSE)-S4+AJ4,""),VLOOKUP(RIGHT($D4,LEN($D4)-6),'Star Players-Hidden'!$A$3:$AK$87,36,FALSE))</f>
        <v>8</v>
      </c>
      <c r="I4" s="76" t="str">
        <f>IF(LEFT($D4,6)&lt;&gt;"Star: ",IFERROR(VLOOKUP($I$22&amp;$D4,'Database-Hidden'!$C$2:$J$120,8,FALSE),""),VLOOKUP(RIGHT($D4,LEN($D4)-6),'Star Players-Hidden'!$A$3:$AK$87,31,FALSE))</f>
        <v>Loner, Claws, Disturbing Presence, Frenzy, Wild Animal</v>
      </c>
      <c r="J4" s="47" t="s">
        <v>155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5</v>
      </c>
      <c r="X4" s="52"/>
      <c r="Y4" s="52"/>
      <c r="Z4" s="56"/>
      <c r="AA4" s="57">
        <f t="shared" ref="AA4:AA19" si="1">2*T4+U4+3*V4+2*W4+5*Z4</f>
        <v>10</v>
      </c>
      <c r="AB4" s="307">
        <v>170000</v>
      </c>
      <c r="AC4" s="132"/>
      <c r="AD4" s="116">
        <v>140000</v>
      </c>
      <c r="AE4" s="60"/>
      <c r="AF4" s="61">
        <v>1</v>
      </c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291"/>
      <c r="AN4" s="64" t="s">
        <v>69</v>
      </c>
      <c r="AO4" s="297">
        <v>20000</v>
      </c>
      <c r="AP4" s="132"/>
      <c r="AQ4" s="132"/>
      <c r="AR4" s="254"/>
      <c r="AS4" s="504"/>
      <c r="AT4" s="504"/>
      <c r="AU4" s="64" t="s">
        <v>70</v>
      </c>
      <c r="AV4" s="68">
        <v>0</v>
      </c>
    </row>
    <row r="5" spans="1:48" ht="13.5" thickBot="1">
      <c r="A5" s="236"/>
      <c r="B5" s="259">
        <v>2</v>
      </c>
      <c r="C5" s="101" t="s">
        <v>157</v>
      </c>
      <c r="D5" s="133" t="s">
        <v>158</v>
      </c>
      <c r="E5" s="73">
        <f>IF(LEFT($D5,6)&lt;&gt;"Star: ",IFERROR(VLOOKUP($I$22&amp;$D5,'Database-Hidden'!$C$2:$J$120,4,FALSE)-P5+AG5,""),VLOOKUP(RIGHT($D5,LEN($D5)-6),'Star Players-Hidden'!$A$3:$AK$87,33,FALSE))</f>
        <v>5</v>
      </c>
      <c r="F5" s="73">
        <f>IF(LEFT($D5,6)&lt;&gt;"Star: ",IFERROR(VLOOKUP($I$22&amp;$D5,'Database-Hidden'!$C$2:$J$120,5,FALSE)-Q5+AH5,""),VLOOKUP(RIGHT($D5,LEN($D5)-6),'Star Players-Hidden'!$A$3:$AK$87,34,FALSE))</f>
        <v>4</v>
      </c>
      <c r="G5" s="73">
        <f>IF(LEFT($D5,6)&lt;&gt;"Star: ",IFERROR(VLOOKUP($I$22&amp;$D5,'Database-Hidden'!$C$2:$J$120,6,FALSE)-R5+AI5,""),VLOOKUP(RIGHT($D5,LEN($D5)-6),'Star Players-Hidden'!$A$3:$AK$87,35,FALSE))</f>
        <v>2</v>
      </c>
      <c r="H5" s="75">
        <f>IF(LEFT($D5,6)&lt;&gt;"Star: ",IFERROR(VLOOKUP($I$22&amp;$D5,'Database-Hidden'!$C$2:$J$120,7,FALSE)-S5+AJ5,""),VLOOKUP(RIGHT($D5,LEN($D5)-6),'Star Players-Hidden'!$A$3:$AK$87,36,FALSE))</f>
        <v>8</v>
      </c>
      <c r="I5" s="76" t="str">
        <f>IF(LEFT($D5,6)&lt;&gt;"Star: ",IFERROR(VLOOKUP($I$22&amp;$D5,'Database-Hidden'!$C$2:$J$120,8,FALSE),""),VLOOKUP(RIGHT($D5,LEN($D5)-6),'Star Players-Hidden'!$A$3:$AK$87,31,FALSE))</f>
        <v>Frenzy</v>
      </c>
      <c r="J5" s="261" t="s">
        <v>162</v>
      </c>
      <c r="K5" s="78">
        <f t="shared" si="0"/>
        <v>0</v>
      </c>
      <c r="L5" s="80"/>
      <c r="M5" s="80"/>
      <c r="N5" s="80"/>
      <c r="O5" s="400"/>
      <c r="P5" s="262">
        <v>1</v>
      </c>
      <c r="Q5" s="303"/>
      <c r="R5" s="303"/>
      <c r="S5" s="368"/>
      <c r="T5" s="369"/>
      <c r="U5" s="87"/>
      <c r="V5" s="87"/>
      <c r="W5" s="87"/>
      <c r="X5" s="303"/>
      <c r="Y5" s="303"/>
      <c r="Z5" s="366"/>
      <c r="AA5" s="402">
        <f t="shared" si="1"/>
        <v>0</v>
      </c>
      <c r="AB5" s="307">
        <v>110000</v>
      </c>
      <c r="AC5" s="132"/>
      <c r="AD5" s="116">
        <v>110000</v>
      </c>
      <c r="AE5" s="138"/>
      <c r="AF5" s="103"/>
      <c r="AG5" s="103"/>
      <c r="AH5" s="103"/>
      <c r="AI5" s="103"/>
      <c r="AJ5" s="103"/>
      <c r="AK5" s="103"/>
      <c r="AL5" s="253" t="str">
        <f>IF(LEFT($D5,6)&lt;&gt;"Star: ","",VLOOKUP(RIGHT($D5,LEN($D5)-6),'Star Players-Hidden'!$A$3:$AK$87,37,FALSE))</f>
        <v/>
      </c>
      <c r="AM5" s="29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</row>
    <row r="6" spans="1:48" ht="12.75">
      <c r="A6" s="236"/>
      <c r="B6" s="259">
        <v>3</v>
      </c>
      <c r="C6" s="101" t="s">
        <v>165</v>
      </c>
      <c r="D6" s="133" t="s">
        <v>158</v>
      </c>
      <c r="E6" s="73">
        <f>IF(LEFT($D6,6)&lt;&gt;"Star: ",IFERROR(VLOOKUP($I$22&amp;$D6,'Database-Hidden'!$C$2:$J$120,4,FALSE)-P6+AG6,""),VLOOKUP(RIGHT($D6,LEN($D6)-6),'Star Players-Hidden'!$A$3:$AK$87,33,FALSE))</f>
        <v>6</v>
      </c>
      <c r="F6" s="73">
        <f>IF(LEFT($D6,6)&lt;&gt;"Star: ",IFERROR(VLOOKUP($I$22&amp;$D6,'Database-Hidden'!$C$2:$J$120,5,FALSE)-Q6+AH6,""),VLOOKUP(RIGHT($D6,LEN($D6)-6),'Star Players-Hidden'!$A$3:$AK$87,34,FALSE))</f>
        <v>4</v>
      </c>
      <c r="G6" s="73">
        <f>IF(LEFT($D6,6)&lt;&gt;"Star: ",IFERROR(VLOOKUP($I$22&amp;$D6,'Database-Hidden'!$C$2:$J$120,6,FALSE)-R6+AI6,""),VLOOKUP(RIGHT($D6,LEN($D6)-6),'Star Players-Hidden'!$A$3:$AK$87,35,FALSE))</f>
        <v>2</v>
      </c>
      <c r="H6" s="75">
        <f>IF(LEFT($D6,6)&lt;&gt;"Star: ",IFERROR(VLOOKUP($I$22&amp;$D6,'Database-Hidden'!$C$2:$J$120,7,FALSE)-S6+AJ6,""),VLOOKUP(RIGHT($D6,LEN($D6)-6),'Star Players-Hidden'!$A$3:$AK$87,36,FALSE))</f>
        <v>8</v>
      </c>
      <c r="I6" s="76" t="str">
        <f>IF(LEFT($D6,6)&lt;&gt;"Star: ",IFERROR(VLOOKUP($I$22&amp;$D6,'Database-Hidden'!$C$2:$J$120,8,FALSE),""),VLOOKUP(RIGHT($D6,LEN($D6)-6),'Star Players-Hidden'!$A$3:$AK$87,31,FALSE))</f>
        <v>Frenzy</v>
      </c>
      <c r="J6" s="102"/>
      <c r="K6" s="78">
        <f t="shared" si="0"/>
        <v>0</v>
      </c>
      <c r="L6" s="80"/>
      <c r="M6" s="80"/>
      <c r="N6" s="80"/>
      <c r="O6" s="400"/>
      <c r="P6" s="262"/>
      <c r="Q6" s="303"/>
      <c r="R6" s="303"/>
      <c r="S6" s="368"/>
      <c r="T6" s="369"/>
      <c r="U6" s="87"/>
      <c r="V6" s="87"/>
      <c r="W6" s="87">
        <v>1</v>
      </c>
      <c r="X6" s="303"/>
      <c r="Y6" s="303"/>
      <c r="Z6" s="366"/>
      <c r="AA6" s="402">
        <f t="shared" si="1"/>
        <v>2</v>
      </c>
      <c r="AB6" s="307">
        <v>110000</v>
      </c>
      <c r="AC6" s="132"/>
      <c r="AD6" s="116">
        <v>110000</v>
      </c>
      <c r="AE6" s="138"/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291"/>
      <c r="AN6" s="104" t="s">
        <v>83</v>
      </c>
      <c r="AO6" s="105">
        <v>60000</v>
      </c>
      <c r="AP6" s="106">
        <v>0</v>
      </c>
      <c r="AQ6" s="107">
        <v>0</v>
      </c>
      <c r="AR6" s="108" t="s">
        <v>37</v>
      </c>
      <c r="AS6" s="110" t="s">
        <v>166</v>
      </c>
      <c r="AT6" s="112">
        <v>0</v>
      </c>
      <c r="AU6" s="113">
        <v>0</v>
      </c>
      <c r="AV6" s="281">
        <v>0</v>
      </c>
    </row>
    <row r="7" spans="1:48" ht="12.75">
      <c r="A7" s="236"/>
      <c r="B7" s="259">
        <v>4</v>
      </c>
      <c r="C7" s="101" t="s">
        <v>172</v>
      </c>
      <c r="D7" s="133" t="s">
        <v>101</v>
      </c>
      <c r="E7" s="73">
        <f>IF(LEFT($D7,6)&lt;&gt;"Star: ",IFERROR(VLOOKUP($I$22&amp;$D7,'Database-Hidden'!$C$2:$J$120,4,FALSE)-P7+AG7,""),VLOOKUP(RIGHT($D7,LEN($D7)-6),'Star Players-Hidden'!$A$3:$AK$87,33,FALSE))</f>
        <v>6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7</v>
      </c>
      <c r="I7" s="76" t="str">
        <f>IF(LEFT($D7,6)&lt;&gt;"Star: ",IFERROR(VLOOKUP($I$22&amp;$D7,'Database-Hidden'!$C$2:$J$120,8,FALSE),""),VLOOKUP(RIGHT($D7,LEN($D7)-6),'Star Players-Hidden'!$A$3:$AK$87,31,FALSE))</f>
        <v>Block, Frenzy, Jump Up</v>
      </c>
      <c r="J7" s="102" t="s">
        <v>175</v>
      </c>
      <c r="K7" s="78">
        <f t="shared" si="0"/>
        <v>1</v>
      </c>
      <c r="L7" s="80"/>
      <c r="M7" s="80"/>
      <c r="N7" s="80"/>
      <c r="O7" s="400"/>
      <c r="P7" s="262"/>
      <c r="Q7" s="303"/>
      <c r="R7" s="303"/>
      <c r="S7" s="368"/>
      <c r="T7" s="369"/>
      <c r="U7" s="87"/>
      <c r="V7" s="87"/>
      <c r="W7" s="87">
        <v>2</v>
      </c>
      <c r="X7" s="303"/>
      <c r="Y7" s="303"/>
      <c r="Z7" s="366">
        <v>1</v>
      </c>
      <c r="AA7" s="402">
        <f t="shared" si="1"/>
        <v>9</v>
      </c>
      <c r="AB7" s="307">
        <v>110000</v>
      </c>
      <c r="AC7" s="132"/>
      <c r="AD7" s="116">
        <v>90000</v>
      </c>
      <c r="AE7" s="138">
        <v>1</v>
      </c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291"/>
      <c r="AN7" s="117" t="s">
        <v>86</v>
      </c>
      <c r="AO7" s="119">
        <v>10000</v>
      </c>
      <c r="AP7" s="121">
        <v>50000</v>
      </c>
      <c r="AQ7" s="289">
        <v>0</v>
      </c>
      <c r="AR7" s="134" t="s">
        <v>2</v>
      </c>
      <c r="AS7" s="126" t="s">
        <v>166</v>
      </c>
      <c r="AT7" s="128">
        <v>1</v>
      </c>
      <c r="AU7" s="130">
        <v>2</v>
      </c>
      <c r="AV7" s="135">
        <v>0</v>
      </c>
    </row>
    <row r="8" spans="1:48" ht="12.75">
      <c r="A8" s="236"/>
      <c r="B8" s="259">
        <v>5</v>
      </c>
      <c r="C8" s="101" t="s">
        <v>178</v>
      </c>
      <c r="D8" s="133" t="s">
        <v>101</v>
      </c>
      <c r="E8" s="73">
        <f>IF(LEFT($D8,6)&lt;&gt;"Star: ",IFERROR(VLOOKUP($I$22&amp;$D8,'Database-Hidden'!$C$2:$J$120,4,FALSE)-P8+AG8,""),VLOOKUP(RIGHT($D8,LEN($D8)-6),'Star Players-Hidden'!$A$3:$AK$87,33,FALSE))</f>
        <v>6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3</v>
      </c>
      <c r="H8" s="75">
        <f>IF(LEFT($D8,6)&lt;&gt;"Star: ",IFERROR(VLOOKUP($I$22&amp;$D8,'Database-Hidden'!$C$2:$J$120,7,FALSE)-S8+AJ8,""),VLOOKUP(RIGHT($D8,LEN($D8)-6),'Star Players-Hidden'!$A$3:$AK$87,36,FALSE))</f>
        <v>7</v>
      </c>
      <c r="I8" s="76" t="str">
        <f>IF(LEFT($D8,6)&lt;&gt;"Star: ",IFERROR(VLOOKUP($I$22&amp;$D8,'Database-Hidden'!$C$2:$J$120,8,FALSE),""),VLOOKUP(RIGHT($D8,LEN($D8)-6),'Star Players-Hidden'!$A$3:$AK$87,31,FALSE))</f>
        <v>Block, Frenzy, Jump Up</v>
      </c>
      <c r="J8" s="102" t="s">
        <v>175</v>
      </c>
      <c r="K8" s="78">
        <f t="shared" si="0"/>
        <v>1</v>
      </c>
      <c r="L8" s="80"/>
      <c r="M8" s="80"/>
      <c r="N8" s="80"/>
      <c r="O8" s="400"/>
      <c r="P8" s="262"/>
      <c r="Q8" s="303"/>
      <c r="R8" s="303"/>
      <c r="S8" s="368"/>
      <c r="T8" s="369"/>
      <c r="U8" s="87">
        <v>1</v>
      </c>
      <c r="V8" s="87"/>
      <c r="W8" s="87">
        <v>2</v>
      </c>
      <c r="X8" s="303"/>
      <c r="Y8" s="303"/>
      <c r="Z8" s="366">
        <v>1</v>
      </c>
      <c r="AA8" s="402">
        <f t="shared" si="1"/>
        <v>10</v>
      </c>
      <c r="AB8" s="307">
        <v>110000</v>
      </c>
      <c r="AC8" s="132"/>
      <c r="AD8" s="116">
        <v>90000</v>
      </c>
      <c r="AE8" s="138">
        <v>1</v>
      </c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291"/>
      <c r="AN8" s="117" t="s">
        <v>90</v>
      </c>
      <c r="AO8" s="119">
        <v>70000</v>
      </c>
      <c r="AP8" s="121">
        <v>110000</v>
      </c>
      <c r="AQ8" s="289">
        <v>0</v>
      </c>
      <c r="AR8" s="134" t="s">
        <v>180</v>
      </c>
      <c r="AS8" s="126" t="s">
        <v>84</v>
      </c>
      <c r="AT8" s="128">
        <v>2</v>
      </c>
      <c r="AU8" s="130">
        <v>1</v>
      </c>
      <c r="AV8" s="135">
        <v>1</v>
      </c>
    </row>
    <row r="9" spans="1:48" ht="12.75">
      <c r="A9" s="236"/>
      <c r="B9" s="259">
        <v>6</v>
      </c>
      <c r="C9" s="101" t="s">
        <v>181</v>
      </c>
      <c r="D9" s="133" t="s">
        <v>113</v>
      </c>
      <c r="E9" s="73">
        <f>IF(LEFT($D9,6)&lt;&gt;"Star: ",IFERROR(VLOOKUP($I$22&amp;$D9,'Database-Hidden'!$C$2:$J$120,4,FALSE)-P9+AG9,""),VLOOKUP(RIGHT($D9,LEN($D9)-6),'Star Players-Hidden'!$A$3:$AK$87,33,FALSE))</f>
        <v>7</v>
      </c>
      <c r="F9" s="73">
        <f>IF(LEFT($D9,6)&lt;&gt;"Star: ",IFERROR(VLOOKUP($I$22&amp;$D9,'Database-Hidden'!$C$2:$J$120,5,FALSE)-Q9+AH9,""),VLOOKUP(RIGHT($D9,LEN($D9)-6),'Star Players-Hidden'!$A$3:$AK$87,34,FALSE))</f>
        <v>4</v>
      </c>
      <c r="G9" s="73">
        <f>IF(LEFT($D9,6)&lt;&gt;"Star: ",IFERROR(VLOOKUP($I$22&amp;$D9,'Database-Hidden'!$C$2:$J$120,6,FALSE)-R9+AI9,""),VLOOKUP(RIGHT($D9,LEN($D9)-6),'Star Players-Hidden'!$A$3:$AK$87,35,FALSE))</f>
        <v>4</v>
      </c>
      <c r="H9" s="75">
        <f>IF(LEFT($D9,6)&lt;&gt;"Star: ",IFERROR(VLOOKUP($I$22&amp;$D9,'Database-Hidden'!$C$2:$J$120,7,FALSE)-S9+AJ9,""),VLOOKUP(RIGHT($D9,LEN($D9)-6),'Star Players-Hidden'!$A$3:$AK$87,36,FALSE))</f>
        <v>7</v>
      </c>
      <c r="I9" s="76" t="str">
        <f>IF(LEFT($D9,6)&lt;&gt;"Star: ",IFERROR(VLOOKUP($I$22&amp;$D9,'Database-Hidden'!$C$2:$J$120,8,FALSE),""),VLOOKUP(RIGHT($D9,LEN($D9)-6),'Star Players-Hidden'!$A$3:$AK$87,31,FALSE))</f>
        <v>Block, Dauntless</v>
      </c>
      <c r="J9" s="102" t="s">
        <v>182</v>
      </c>
      <c r="K9" s="78">
        <f t="shared" si="0"/>
        <v>3</v>
      </c>
      <c r="L9" s="80"/>
      <c r="M9" s="80"/>
      <c r="N9" s="80"/>
      <c r="O9" s="400"/>
      <c r="P9" s="262"/>
      <c r="Q9" s="303"/>
      <c r="R9" s="303"/>
      <c r="S9" s="368"/>
      <c r="T9" s="369"/>
      <c r="U9" s="87">
        <v>1</v>
      </c>
      <c r="V9" s="87">
        <v>7</v>
      </c>
      <c r="W9" s="87"/>
      <c r="X9" s="303"/>
      <c r="Y9" s="303"/>
      <c r="Z9" s="366">
        <v>3</v>
      </c>
      <c r="AA9" s="402">
        <f t="shared" si="1"/>
        <v>37</v>
      </c>
      <c r="AB9" s="307">
        <v>200000</v>
      </c>
      <c r="AC9" s="132"/>
      <c r="AD9" s="116">
        <v>90000</v>
      </c>
      <c r="AE9" s="138">
        <v>1</v>
      </c>
      <c r="AF9" s="103"/>
      <c r="AG9" s="103"/>
      <c r="AH9" s="103">
        <v>1</v>
      </c>
      <c r="AI9" s="103">
        <v>1</v>
      </c>
      <c r="AJ9" s="103"/>
      <c r="AK9" s="103"/>
      <c r="AL9" s="253" t="str">
        <f>IF(LEFT($D9,6)&lt;&gt;"Star: ","",VLOOKUP(RIGHT($D9,LEN($D9)-6),'Star Players-Hidden'!$A$3:$AK$87,37,FALSE))</f>
        <v/>
      </c>
      <c r="AM9" s="291"/>
      <c r="AN9" s="117" t="s">
        <v>94</v>
      </c>
      <c r="AO9" s="119">
        <v>40000</v>
      </c>
      <c r="AP9" s="121">
        <v>0</v>
      </c>
      <c r="AQ9" s="289">
        <v>0</v>
      </c>
      <c r="AR9" s="134" t="s">
        <v>26</v>
      </c>
      <c r="AS9" s="126" t="s">
        <v>87</v>
      </c>
      <c r="AT9" s="128">
        <v>1</v>
      </c>
      <c r="AU9" s="130">
        <v>1</v>
      </c>
      <c r="AV9" s="135">
        <v>1</v>
      </c>
    </row>
    <row r="10" spans="1:48" ht="12.75">
      <c r="A10" s="236"/>
      <c r="B10" s="259">
        <v>7</v>
      </c>
      <c r="C10" s="101" t="s">
        <v>185</v>
      </c>
      <c r="D10" s="133" t="s">
        <v>113</v>
      </c>
      <c r="E10" s="73">
        <f>IF(LEFT($D10,6)&lt;&gt;"Star: ",IFERROR(VLOOKUP($I$22&amp;$D10,'Database-Hidden'!$C$2:$J$120,4,FALSE)-P10+AG10,""),VLOOKUP(RIGHT($D10,LEN($D10)-6),'Star Players-Hidden'!$A$3:$AK$87,33,FALSE))</f>
        <v>7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4</v>
      </c>
      <c r="H10" s="75">
        <f>IF(LEFT($D10,6)&lt;&gt;"Star: ",IFERROR(VLOOKUP($I$22&amp;$D10,'Database-Hidden'!$C$2:$J$120,7,FALSE)-S10+AJ10,""),VLOOKUP(RIGHT($D10,LEN($D10)-6),'Star Players-Hidden'!$A$3:$AK$87,36,FALSE))</f>
        <v>7</v>
      </c>
      <c r="I10" s="76" t="str">
        <f>IF(LEFT($D10,6)&lt;&gt;"Star: ",IFERROR(VLOOKUP($I$22&amp;$D10,'Database-Hidden'!$C$2:$J$120,8,FALSE),""),VLOOKUP(RIGHT($D10,LEN($D10)-6),'Star Players-Hidden'!$A$3:$AK$87,31,FALSE))</f>
        <v>Block, Dauntless</v>
      </c>
      <c r="J10" s="102" t="s">
        <v>186</v>
      </c>
      <c r="K10" s="78">
        <f t="shared" si="0"/>
        <v>2</v>
      </c>
      <c r="L10" s="80"/>
      <c r="M10" s="80"/>
      <c r="N10" s="80"/>
      <c r="O10" s="400"/>
      <c r="P10" s="262"/>
      <c r="Q10" s="303"/>
      <c r="R10" s="303"/>
      <c r="S10" s="368"/>
      <c r="T10" s="369"/>
      <c r="U10" s="87"/>
      <c r="V10" s="87">
        <v>5</v>
      </c>
      <c r="W10" s="87"/>
      <c r="X10" s="303"/>
      <c r="Y10" s="303"/>
      <c r="Z10" s="366">
        <v>1</v>
      </c>
      <c r="AA10" s="402">
        <f t="shared" si="1"/>
        <v>20</v>
      </c>
      <c r="AB10" s="307">
        <v>150000</v>
      </c>
      <c r="AC10" s="132"/>
      <c r="AD10" s="116">
        <v>90000</v>
      </c>
      <c r="AE10" s="138">
        <v>1</v>
      </c>
      <c r="AF10" s="103"/>
      <c r="AG10" s="103"/>
      <c r="AH10" s="103"/>
      <c r="AI10" s="103">
        <v>1</v>
      </c>
      <c r="AJ10" s="103"/>
      <c r="AK10" s="103"/>
      <c r="AL10" s="253" t="str">
        <f>IF(LEFT($D10,6)&lt;&gt;"Star: ","",VLOOKUP(RIGHT($D10,LEN($D10)-6),'Star Players-Hidden'!$A$3:$AK$87,37,FALSE))</f>
        <v/>
      </c>
      <c r="AM10" s="291"/>
      <c r="AN10" s="117" t="s">
        <v>96</v>
      </c>
      <c r="AO10" s="119">
        <v>60000</v>
      </c>
      <c r="AP10" s="121">
        <v>50000</v>
      </c>
      <c r="AQ10" s="289">
        <v>0</v>
      </c>
      <c r="AR10" s="293" t="s">
        <v>18</v>
      </c>
      <c r="AS10" s="126" t="s">
        <v>84</v>
      </c>
      <c r="AT10" s="128">
        <v>3</v>
      </c>
      <c r="AU10" s="130">
        <v>3</v>
      </c>
      <c r="AV10" s="135">
        <v>1</v>
      </c>
    </row>
    <row r="11" spans="1:48" ht="12.75">
      <c r="A11" s="294"/>
      <c r="B11" s="295">
        <v>8</v>
      </c>
      <c r="C11" s="101" t="s">
        <v>188</v>
      </c>
      <c r="D11" s="133" t="s">
        <v>68</v>
      </c>
      <c r="E11" s="73">
        <f>IF(LEFT($D11,6)&lt;&gt;"Star: ",IFERROR(VLOOKUP($I$22&amp;$D11,'Database-Hidden'!$C$2:$J$120,4,FALSE)-P11+AG11,""),VLOOKUP(RIGHT($D11,LEN($D11)-6),'Star Players-Hidden'!$A$3:$AK$87,33,FALSE))</f>
        <v>6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7</v>
      </c>
      <c r="I11" s="76" t="str">
        <f>IF(LEFT($D11,6)&lt;&gt;"Star: ",IFERROR(VLOOKUP($I$22&amp;$D11,'Database-Hidden'!$C$2:$J$120,8,FALSE),""),VLOOKUP(RIGHT($D11,LEN($D11)-6),'Star Players-Hidden'!$A$3:$AK$87,31,FALSE))</f>
        <v>Block</v>
      </c>
      <c r="J11" s="102" t="s">
        <v>191</v>
      </c>
      <c r="K11" s="78">
        <f t="shared" si="0"/>
        <v>1</v>
      </c>
      <c r="L11" s="80"/>
      <c r="M11" s="80"/>
      <c r="N11" s="80"/>
      <c r="O11" s="400"/>
      <c r="P11" s="262"/>
      <c r="Q11" s="303"/>
      <c r="R11" s="303"/>
      <c r="S11" s="368"/>
      <c r="T11" s="369"/>
      <c r="U11" s="87">
        <v>1</v>
      </c>
      <c r="V11" s="87"/>
      <c r="W11" s="87">
        <v>2</v>
      </c>
      <c r="X11" s="303"/>
      <c r="Y11" s="303"/>
      <c r="Z11" s="366">
        <v>1</v>
      </c>
      <c r="AA11" s="402">
        <f t="shared" si="1"/>
        <v>10</v>
      </c>
      <c r="AB11" s="307">
        <v>70000</v>
      </c>
      <c r="AC11" s="132"/>
      <c r="AD11" s="116">
        <v>50000</v>
      </c>
      <c r="AE11" s="138">
        <v>1</v>
      </c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291"/>
      <c r="AN11" s="117" t="s">
        <v>99</v>
      </c>
      <c r="AO11" s="119">
        <v>70000</v>
      </c>
      <c r="AP11" s="121">
        <v>0</v>
      </c>
      <c r="AQ11" s="289">
        <v>30000</v>
      </c>
      <c r="AR11" s="134" t="s">
        <v>48</v>
      </c>
      <c r="AS11" s="126" t="s">
        <v>84</v>
      </c>
      <c r="AT11" s="128">
        <v>2</v>
      </c>
      <c r="AU11" s="130">
        <v>1</v>
      </c>
      <c r="AV11" s="135">
        <v>1</v>
      </c>
    </row>
    <row r="12" spans="1:48" ht="12.75">
      <c r="A12" s="236"/>
      <c r="B12" s="259">
        <v>9</v>
      </c>
      <c r="C12" s="101" t="s">
        <v>192</v>
      </c>
      <c r="D12" s="133" t="s">
        <v>68</v>
      </c>
      <c r="E12" s="73">
        <f>IF(LEFT($D12,6)&lt;&gt;"Star: ",IFERROR(VLOOKUP($I$22&amp;$D12,'Database-Hidden'!$C$2:$J$120,4,FALSE)-P12+AG12,""),VLOOKUP(RIGHT($D12,LEN($D12)-6),'Star Players-Hidden'!$A$3:$AK$87,33,FALSE))</f>
        <v>6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7</v>
      </c>
      <c r="I12" s="76" t="str">
        <f>IF(LEFT($D12,6)&lt;&gt;"Star: ",IFERROR(VLOOKUP($I$22&amp;$D12,'Database-Hidden'!$C$2:$J$120,8,FALSE),""),VLOOKUP(RIGHT($D12,LEN($D12)-6),'Star Players-Hidden'!$A$3:$AK$87,31,FALSE))</f>
        <v>Block</v>
      </c>
      <c r="J12" s="102"/>
      <c r="K12" s="78">
        <f t="shared" si="0"/>
        <v>0</v>
      </c>
      <c r="L12" s="80"/>
      <c r="M12" s="80"/>
      <c r="N12" s="80"/>
      <c r="O12" s="400"/>
      <c r="P12" s="262"/>
      <c r="Q12" s="303"/>
      <c r="R12" s="303"/>
      <c r="S12" s="368"/>
      <c r="T12" s="369"/>
      <c r="U12" s="87"/>
      <c r="V12" s="87"/>
      <c r="W12" s="87"/>
      <c r="X12" s="303"/>
      <c r="Y12" s="303"/>
      <c r="Z12" s="366"/>
      <c r="AA12" s="402">
        <f t="shared" si="1"/>
        <v>0</v>
      </c>
      <c r="AB12" s="307">
        <v>50000</v>
      </c>
      <c r="AC12" s="132"/>
      <c r="AD12" s="116">
        <v>50000</v>
      </c>
      <c r="AE12" s="138"/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291"/>
      <c r="AN12" s="117" t="s">
        <v>102</v>
      </c>
      <c r="AO12" s="119">
        <v>60000</v>
      </c>
      <c r="AP12" s="121">
        <v>0</v>
      </c>
      <c r="AQ12" s="289">
        <v>0</v>
      </c>
      <c r="AR12" s="134" t="s">
        <v>118</v>
      </c>
      <c r="AS12" s="126" t="s">
        <v>166</v>
      </c>
      <c r="AT12" s="128">
        <v>0</v>
      </c>
      <c r="AU12" s="130">
        <v>0</v>
      </c>
      <c r="AV12" s="135">
        <v>0</v>
      </c>
    </row>
    <row r="13" spans="1:48" ht="12.75">
      <c r="A13" s="236"/>
      <c r="B13" s="259">
        <v>10</v>
      </c>
      <c r="C13" s="101" t="s">
        <v>195</v>
      </c>
      <c r="D13" s="133" t="s">
        <v>68</v>
      </c>
      <c r="E13" s="73">
        <f>IF(LEFT($D13,6)&lt;&gt;"Star: ",IFERROR(VLOOKUP($I$22&amp;$D13,'Database-Hidden'!$C$2:$J$120,4,FALSE)-P13+AG13,""),VLOOKUP(RIGHT($D13,LEN($D13)-6),'Star Players-Hidden'!$A$3:$AK$87,33,FALSE))</f>
        <v>6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2</v>
      </c>
      <c r="H13" s="75">
        <f>IF(LEFT($D13,6)&lt;&gt;"Star: ",IFERROR(VLOOKUP($I$22&amp;$D13,'Database-Hidden'!$C$2:$J$120,7,FALSE)-S13+AJ13,""),VLOOKUP(RIGHT($D13,LEN($D13)-6),'Star Players-Hidden'!$A$3:$AK$87,36,FALSE))</f>
        <v>7</v>
      </c>
      <c r="I13" s="76" t="str">
        <f>IF(LEFT($D13,6)&lt;&gt;"Star: ",IFERROR(VLOOKUP($I$22&amp;$D13,'Database-Hidden'!$C$2:$J$120,8,FALSE),""),VLOOKUP(RIGHT($D13,LEN($D13)-6),'Star Players-Hidden'!$A$3:$AK$87,31,FALSE))</f>
        <v>Block</v>
      </c>
      <c r="J13" s="261" t="s">
        <v>200</v>
      </c>
      <c r="K13" s="78">
        <f t="shared" si="0"/>
        <v>0</v>
      </c>
      <c r="L13" s="80"/>
      <c r="M13" s="80"/>
      <c r="N13" s="80"/>
      <c r="O13" s="400"/>
      <c r="P13" s="262"/>
      <c r="Q13" s="303"/>
      <c r="R13" s="303">
        <v>1</v>
      </c>
      <c r="S13" s="368"/>
      <c r="T13" s="369"/>
      <c r="U13" s="87"/>
      <c r="V13" s="87"/>
      <c r="W13" s="87"/>
      <c r="X13" s="303"/>
      <c r="Y13" s="303"/>
      <c r="Z13" s="366"/>
      <c r="AA13" s="402">
        <f t="shared" si="1"/>
        <v>0</v>
      </c>
      <c r="AB13" s="307">
        <v>50000</v>
      </c>
      <c r="AC13" s="132"/>
      <c r="AD13" s="116">
        <v>50000</v>
      </c>
      <c r="AE13" s="138"/>
      <c r="AF13" s="103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291"/>
      <c r="AN13" s="117" t="s">
        <v>105</v>
      </c>
      <c r="AO13" s="119">
        <v>50000</v>
      </c>
      <c r="AP13" s="121">
        <v>0</v>
      </c>
      <c r="AQ13" s="289">
        <v>0</v>
      </c>
      <c r="AR13" s="134" t="s">
        <v>202</v>
      </c>
      <c r="AS13" s="126" t="s">
        <v>84</v>
      </c>
      <c r="AT13" s="128">
        <v>2</v>
      </c>
      <c r="AU13" s="130">
        <v>5</v>
      </c>
      <c r="AV13" s="135">
        <v>1</v>
      </c>
    </row>
    <row r="14" spans="1:48" ht="12.75">
      <c r="A14" s="236"/>
      <c r="B14" s="259">
        <v>11</v>
      </c>
      <c r="C14" s="101" t="s">
        <v>203</v>
      </c>
      <c r="D14" s="133" t="s">
        <v>68</v>
      </c>
      <c r="E14" s="73">
        <f>IF(LEFT($D14,6)&lt;&gt;"Star: ",IFERROR(VLOOKUP($I$22&amp;$D14,'Database-Hidden'!$C$2:$J$120,4,FALSE)-P14+AG14,""),VLOOKUP(RIGHT($D14,LEN($D14)-6),'Star Players-Hidden'!$A$3:$AK$87,33,FALSE))</f>
        <v>6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7</v>
      </c>
      <c r="I14" s="76" t="str">
        <f>IF(LEFT($D14,6)&lt;&gt;"Star: ",IFERROR(VLOOKUP($I$22&amp;$D14,'Database-Hidden'!$C$2:$J$120,8,FALSE),""),VLOOKUP(RIGHT($D14,LEN($D14)-6),'Star Players-Hidden'!$A$3:$AK$87,31,FALSE))</f>
        <v>Block</v>
      </c>
      <c r="J14" s="102"/>
      <c r="K14" s="78">
        <f t="shared" si="0"/>
        <v>1</v>
      </c>
      <c r="L14" s="80"/>
      <c r="M14" s="80"/>
      <c r="N14" s="80"/>
      <c r="O14" s="400"/>
      <c r="P14" s="262"/>
      <c r="Q14" s="303"/>
      <c r="R14" s="303"/>
      <c r="S14" s="368"/>
      <c r="T14" s="369"/>
      <c r="U14" s="87"/>
      <c r="V14" s="87"/>
      <c r="W14" s="87">
        <v>1</v>
      </c>
      <c r="X14" s="303"/>
      <c r="Y14" s="303"/>
      <c r="Z14" s="366">
        <v>1</v>
      </c>
      <c r="AA14" s="402">
        <f t="shared" si="1"/>
        <v>7</v>
      </c>
      <c r="AB14" s="307">
        <v>50000</v>
      </c>
      <c r="AC14" s="132"/>
      <c r="AD14" s="116">
        <v>50000</v>
      </c>
      <c r="AE14" s="138"/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291"/>
      <c r="AN14" s="117" t="s">
        <v>109</v>
      </c>
      <c r="AO14" s="119"/>
      <c r="AP14" s="121"/>
      <c r="AQ14" s="289"/>
      <c r="AR14" s="134"/>
      <c r="AS14" s="126"/>
      <c r="AT14" s="128"/>
      <c r="AU14" s="130"/>
      <c r="AV14" s="135"/>
    </row>
    <row r="15" spans="1:48" ht="12.75">
      <c r="A15" s="236"/>
      <c r="B15" s="259">
        <v>12</v>
      </c>
      <c r="C15" s="101" t="s">
        <v>207</v>
      </c>
      <c r="D15" s="133" t="s">
        <v>68</v>
      </c>
      <c r="E15" s="73">
        <f>IF(LEFT($D15,6)&lt;&gt;"Star: ",IFERROR(VLOOKUP($I$22&amp;$D15,'Database-Hidden'!$C$2:$J$120,4,FALSE)-P15+AG15,""),VLOOKUP(RIGHT($D15,LEN($D15)-6),'Star Players-Hidden'!$A$3:$AK$87,33,FALSE))</f>
        <v>6</v>
      </c>
      <c r="F15" s="73">
        <f>IF(LEFT($D15,6)&lt;&gt;"Star: ",IFERROR(VLOOKUP($I$22&amp;$D15,'Database-Hidden'!$C$2:$J$120,5,FALSE)-Q15+AH15,""),VLOOKUP(RIGHT($D15,LEN($D15)-6),'Star Players-Hidden'!$A$3:$AK$87,34,FALSE))</f>
        <v>3</v>
      </c>
      <c r="G15" s="73">
        <f>IF(LEFT($D15,6)&lt;&gt;"Star: ",IFERROR(VLOOKUP($I$22&amp;$D15,'Database-Hidden'!$C$2:$J$120,6,FALSE)-R15+AI15,""),VLOOKUP(RIGHT($D15,LEN($D15)-6),'Star Players-Hidden'!$A$3:$AK$87,35,FALSE))</f>
        <v>3</v>
      </c>
      <c r="H15" s="75">
        <f>IF(LEFT($D15,6)&lt;&gt;"Star: ",IFERROR(VLOOKUP($I$22&amp;$D15,'Database-Hidden'!$C$2:$J$120,7,FALSE)-S15+AJ15,""),VLOOKUP(RIGHT($D15,LEN($D15)-6),'Star Players-Hidden'!$A$3:$AK$87,36,FALSE))</f>
        <v>7</v>
      </c>
      <c r="I15" s="76" t="str">
        <f>IF(LEFT($D15,6)&lt;&gt;"Star: ",IFERROR(VLOOKUP($I$22&amp;$D15,'Database-Hidden'!$C$2:$J$120,8,FALSE),""),VLOOKUP(RIGHT($D15,LEN($D15)-6),'Star Players-Hidden'!$A$3:$AK$87,31,FALSE))</f>
        <v>Block</v>
      </c>
      <c r="J15" s="102"/>
      <c r="K15" s="78">
        <f t="shared" si="0"/>
        <v>0</v>
      </c>
      <c r="L15" s="80"/>
      <c r="M15" s="80"/>
      <c r="N15" s="80"/>
      <c r="O15" s="400"/>
      <c r="P15" s="262"/>
      <c r="Q15" s="303"/>
      <c r="R15" s="303"/>
      <c r="S15" s="368"/>
      <c r="T15" s="369"/>
      <c r="U15" s="87"/>
      <c r="V15" s="87"/>
      <c r="W15" s="87"/>
      <c r="X15" s="303"/>
      <c r="Y15" s="303"/>
      <c r="Z15" s="366"/>
      <c r="AA15" s="402">
        <f t="shared" si="1"/>
        <v>0</v>
      </c>
      <c r="AB15" s="307">
        <v>50000</v>
      </c>
      <c r="AC15" s="132"/>
      <c r="AD15" s="116">
        <v>50000</v>
      </c>
      <c r="AE15" s="138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291"/>
      <c r="AN15" s="117" t="s">
        <v>110</v>
      </c>
      <c r="AO15" s="119"/>
      <c r="AP15" s="121"/>
      <c r="AQ15" s="289"/>
      <c r="AR15" s="134"/>
      <c r="AS15" s="126"/>
      <c r="AT15" s="128"/>
      <c r="AU15" s="130"/>
      <c r="AV15" s="135"/>
    </row>
    <row r="16" spans="1:48" ht="12.75">
      <c r="A16" s="236"/>
      <c r="B16" s="259">
        <v>13</v>
      </c>
      <c r="C16" s="101"/>
      <c r="D16" s="133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102"/>
      <c r="K16" s="78">
        <f t="shared" si="0"/>
        <v>0</v>
      </c>
      <c r="L16" s="80"/>
      <c r="M16" s="80"/>
      <c r="N16" s="80"/>
      <c r="O16" s="400"/>
      <c r="P16" s="262"/>
      <c r="Q16" s="303"/>
      <c r="R16" s="303"/>
      <c r="S16" s="368"/>
      <c r="T16" s="369"/>
      <c r="U16" s="87"/>
      <c r="V16" s="87"/>
      <c r="W16" s="87"/>
      <c r="X16" s="303"/>
      <c r="Y16" s="303"/>
      <c r="Z16" s="366"/>
      <c r="AA16" s="402">
        <f t="shared" si="1"/>
        <v>0</v>
      </c>
      <c r="AB16" s="307"/>
      <c r="AC16" s="132"/>
      <c r="AD16" s="116" t="str">
        <f>IF(LEFT($D16,6)&lt;&gt;"Star: ",IFERROR(VLOOKUP($I$22&amp;D16,'Database-Hidden'!$C$2:$E$120,3,FALSE),""),VLOOKUP(RIGHT($D16,LEN($D16)-6),'Star Players-Hidden'!$A$3:$AJ$87,32,FALSE))</f>
        <v/>
      </c>
      <c r="AE16" s="138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291"/>
      <c r="AN16" s="117" t="s">
        <v>114</v>
      </c>
      <c r="AO16" s="119"/>
      <c r="AP16" s="121"/>
      <c r="AQ16" s="289"/>
      <c r="AR16" s="134"/>
      <c r="AS16" s="126"/>
      <c r="AT16" s="128"/>
      <c r="AU16" s="130"/>
      <c r="AV16" s="135"/>
    </row>
    <row r="17" spans="1:48" ht="13.5" thickBot="1">
      <c r="A17" s="236"/>
      <c r="B17" s="259">
        <v>14</v>
      </c>
      <c r="C17" s="101"/>
      <c r="D17" s="133"/>
      <c r="E17" s="73" t="str">
        <f>IF(LEFT($D17,6)&lt;&gt;"Star: ",IFERROR(VLOOKUP($I$22&amp;$D17,'Database-Hidden'!$C$2:$J$120,4,FALSE)-P17+AG17,""),VLOOKUP(RIGHT($D17,LEN($D17)-6),'Star Players-Hidden'!$A$3:$AK$87,33,FALSE))</f>
        <v/>
      </c>
      <c r="F17" s="73" t="str">
        <f>IF(LEFT($D17,6)&lt;&gt;"Star: ",IFERROR(VLOOKUP($I$22&amp;$D17,'Database-Hidden'!$C$2:$J$120,5,FALSE)-Q17+AH17,""),VLOOKUP(RIGHT($D17,LEN($D17)-6),'Star Players-Hidden'!$A$3:$AK$87,34,FALSE))</f>
        <v/>
      </c>
      <c r="G17" s="73" t="str">
        <f>IF(LEFT($D17,6)&lt;&gt;"Star: ",IFERROR(VLOOKUP($I$22&amp;$D17,'Database-Hidden'!$C$2:$J$120,6,FALSE)-R17+AI17,""),VLOOKUP(RIGHT($D17,LEN($D17)-6),'Star Players-Hidden'!$A$3:$AK$87,35,FALSE))</f>
        <v/>
      </c>
      <c r="H17" s="75" t="str">
        <f>IF(LEFT($D17,6)&lt;&gt;"Star: ",IFERROR(VLOOKUP($I$22&amp;$D17,'Database-Hidden'!$C$2:$J$120,7,FALSE)-S17+AJ17,""),VLOOKUP(RIGHT($D17,LEN($D17)-6),'Star Players-Hidden'!$A$3:$AK$87,36,FALSE))</f>
        <v/>
      </c>
      <c r="I17" s="76" t="str">
        <f>IF(LEFT($D17,6)&lt;&gt;"Star: ",IFERROR(VLOOKUP($I$22&amp;$D17,'Database-Hidden'!$C$2:$J$120,8,FALSE),""),VLOOKUP(RIGHT($D17,LEN($D17)-6),'Star Players-Hidden'!$A$3:$AK$87,31,FALSE))</f>
        <v/>
      </c>
      <c r="J17" s="102"/>
      <c r="K17" s="78">
        <f t="shared" si="0"/>
        <v>0</v>
      </c>
      <c r="L17" s="80"/>
      <c r="M17" s="80"/>
      <c r="N17" s="80"/>
      <c r="O17" s="400"/>
      <c r="P17" s="262"/>
      <c r="Q17" s="303"/>
      <c r="R17" s="303"/>
      <c r="S17" s="368"/>
      <c r="T17" s="369"/>
      <c r="U17" s="87"/>
      <c r="V17" s="87"/>
      <c r="W17" s="87"/>
      <c r="X17" s="303"/>
      <c r="Y17" s="303"/>
      <c r="Z17" s="366"/>
      <c r="AA17" s="402">
        <f t="shared" si="1"/>
        <v>0</v>
      </c>
      <c r="AB17" s="307"/>
      <c r="AC17" s="132"/>
      <c r="AD17" s="116" t="str">
        <f>IF(LEFT($D17,6)&lt;&gt;"Star: ",IFERROR(VLOOKUP($I$22&amp;D17,'Database-Hidden'!$C$2:$E$120,3,FALSE),""),VLOOKUP(RIGHT($D17,LEN($D17)-6),'Star Players-Hidden'!$A$3:$AJ$87,32,FALSE))</f>
        <v/>
      </c>
      <c r="AE17" s="138"/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291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</row>
    <row r="18" spans="1:48" ht="13.5" thickBot="1">
      <c r="A18" s="236"/>
      <c r="B18" s="259">
        <v>15</v>
      </c>
      <c r="C18" s="101"/>
      <c r="D18" s="133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102"/>
      <c r="K18" s="78">
        <f t="shared" si="0"/>
        <v>0</v>
      </c>
      <c r="L18" s="80"/>
      <c r="M18" s="80"/>
      <c r="N18" s="80"/>
      <c r="O18" s="400"/>
      <c r="P18" s="262"/>
      <c r="Q18" s="303"/>
      <c r="R18" s="303"/>
      <c r="S18" s="368"/>
      <c r="T18" s="369"/>
      <c r="U18" s="87"/>
      <c r="V18" s="87"/>
      <c r="W18" s="87"/>
      <c r="X18" s="303"/>
      <c r="Y18" s="303"/>
      <c r="Z18" s="366"/>
      <c r="AA18" s="402">
        <f t="shared" si="1"/>
        <v>0</v>
      </c>
      <c r="AB18" s="307"/>
      <c r="AC18" s="132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138"/>
      <c r="AF18" s="103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291"/>
      <c r="AN18" s="148" t="s">
        <v>42</v>
      </c>
      <c r="AO18" s="149">
        <f>AO4+SUM(AO6:AO17)-SUM(AP6:AP17)-SUM(AQ6:AQ17)</f>
        <v>200000</v>
      </c>
      <c r="AP18" s="132"/>
      <c r="AQ18" s="132"/>
      <c r="AR18" s="504"/>
      <c r="AS18" s="148" t="s">
        <v>42</v>
      </c>
      <c r="AT18" s="150">
        <f t="shared" ref="AT18:AU18" si="2">SUM(AT6:AT17)</f>
        <v>11</v>
      </c>
      <c r="AU18" s="151">
        <f t="shared" si="2"/>
        <v>13</v>
      </c>
      <c r="AV18" s="152">
        <f>AV4+SUM(AV6:AV17)</f>
        <v>5</v>
      </c>
    </row>
    <row r="19" spans="1:48" ht="13.5" thickBot="1">
      <c r="A19" s="236"/>
      <c r="B19" s="311">
        <v>16</v>
      </c>
      <c r="C19" s="154"/>
      <c r="D19" s="155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162">
        <f t="shared" si="0"/>
        <v>0</v>
      </c>
      <c r="L19" s="164"/>
      <c r="M19" s="164"/>
      <c r="N19" s="164"/>
      <c r="O19" s="165"/>
      <c r="P19" s="166"/>
      <c r="Q19" s="372"/>
      <c r="R19" s="372"/>
      <c r="S19" s="168"/>
      <c r="T19" s="169"/>
      <c r="U19" s="171"/>
      <c r="V19" s="171"/>
      <c r="W19" s="171"/>
      <c r="X19" s="372"/>
      <c r="Y19" s="372"/>
      <c r="Z19" s="172"/>
      <c r="AA19" s="173">
        <f t="shared" si="1"/>
        <v>0</v>
      </c>
      <c r="AB19" s="307"/>
      <c r="AC19" s="132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305"/>
      <c r="AG19" s="305"/>
      <c r="AH19" s="305"/>
      <c r="AI19" s="305"/>
      <c r="AJ19" s="305"/>
      <c r="AK19" s="305"/>
      <c r="AL19" s="315" t="str">
        <f>IF(LEFT($D19,6)&lt;&gt;"Star: ","",VLOOKUP(RIGHT($D19,LEN($D19)-6),'Star Players-Hidden'!$A$3:$AK$87,37,FALSE))</f>
        <v/>
      </c>
      <c r="AM19" s="291"/>
      <c r="AN19" s="504"/>
      <c r="AO19" s="504"/>
      <c r="AP19" s="504"/>
      <c r="AQ19" s="504"/>
      <c r="AR19" s="504"/>
      <c r="AS19" s="504"/>
      <c r="AT19" s="504"/>
      <c r="AU19" s="504"/>
      <c r="AV19" s="181"/>
    </row>
    <row r="20" spans="1:48" ht="13.5" thickBot="1">
      <c r="A20" s="236"/>
      <c r="B20" s="329"/>
      <c r="C20" s="557"/>
      <c r="D20" s="519"/>
      <c r="E20" s="569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1230000</v>
      </c>
      <c r="AC20" s="291"/>
      <c r="AD20" s="291"/>
      <c r="AE20" s="291"/>
      <c r="AF20" s="291"/>
      <c r="AG20" s="291"/>
      <c r="AH20" s="291"/>
      <c r="AI20" s="291"/>
      <c r="AJ20" s="291"/>
      <c r="AK20" s="291"/>
      <c r="AL20" s="291"/>
      <c r="AM20" s="291"/>
      <c r="AN20" s="504"/>
      <c r="AO20" s="504"/>
      <c r="AP20" s="504"/>
      <c r="AQ20" s="504"/>
      <c r="AR20" s="504"/>
      <c r="AS20" s="504"/>
      <c r="AT20" s="504"/>
      <c r="AU20" s="504"/>
      <c r="AV20" s="181"/>
    </row>
    <row r="21" spans="1:48" ht="13.5" thickBot="1">
      <c r="A21" s="236"/>
      <c r="B21" s="331"/>
      <c r="C21" s="531"/>
      <c r="D21" s="532"/>
      <c r="E21" s="558" t="s">
        <v>117</v>
      </c>
      <c r="F21" s="525"/>
      <c r="G21" s="525"/>
      <c r="H21" s="540"/>
      <c r="I21" s="572" t="s">
        <v>265</v>
      </c>
      <c r="J21" s="562"/>
      <c r="K21" s="573"/>
      <c r="L21" s="561" t="s">
        <v>119</v>
      </c>
      <c r="M21" s="562"/>
      <c r="N21" s="562"/>
      <c r="O21" s="562"/>
      <c r="P21" s="562"/>
      <c r="Q21" s="562"/>
      <c r="R21" s="562"/>
      <c r="S21" s="563"/>
      <c r="T21" s="332">
        <v>3</v>
      </c>
      <c r="U21" s="333" t="s">
        <v>47</v>
      </c>
      <c r="V21" s="570">
        <v>60000</v>
      </c>
      <c r="W21" s="562"/>
      <c r="X21" s="562"/>
      <c r="Y21" s="562"/>
      <c r="Z21" s="571"/>
      <c r="AA21" s="334" t="s">
        <v>222</v>
      </c>
      <c r="AB21" s="184">
        <f t="shared" ref="AB21:AB25" si="3">T21*V21</f>
        <v>180000</v>
      </c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  <c r="AN21" s="520" t="s">
        <v>121</v>
      </c>
      <c r="AO21" s="521"/>
      <c r="AP21" s="132"/>
      <c r="AQ21" s="132"/>
      <c r="AR21" s="132"/>
      <c r="AS21" s="132"/>
      <c r="AT21" s="132"/>
      <c r="AU21" s="132"/>
      <c r="AV21" s="7"/>
    </row>
    <row r="22" spans="1:48" ht="12.75">
      <c r="A22" s="236"/>
      <c r="B22" s="331"/>
      <c r="C22" s="531"/>
      <c r="D22" s="532"/>
      <c r="E22" s="564" t="s">
        <v>126</v>
      </c>
      <c r="F22" s="509"/>
      <c r="G22" s="509"/>
      <c r="H22" s="512"/>
      <c r="I22" s="568" t="s">
        <v>17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505">
        <f>AV18</f>
        <v>5</v>
      </c>
      <c r="U22" s="340" t="s">
        <v>47</v>
      </c>
      <c r="V22" s="559">
        <v>10000</v>
      </c>
      <c r="W22" s="509"/>
      <c r="X22" s="509"/>
      <c r="Y22" s="509"/>
      <c r="Z22" s="512"/>
      <c r="AA22" s="338" t="s">
        <v>222</v>
      </c>
      <c r="AB22" s="408">
        <f t="shared" si="3"/>
        <v>50000</v>
      </c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  <c r="AN22" s="188" t="s">
        <v>123</v>
      </c>
      <c r="AO22" s="189">
        <f>AO18</f>
        <v>200000</v>
      </c>
      <c r="AP22" s="132"/>
      <c r="AQ22" s="132"/>
      <c r="AR22" s="132"/>
      <c r="AS22" s="132"/>
      <c r="AT22" s="132"/>
      <c r="AU22" s="132"/>
      <c r="AV22" s="7"/>
    </row>
    <row r="23" spans="1:48" ht="12.75">
      <c r="A23" s="236"/>
      <c r="B23" s="331"/>
      <c r="C23" s="531"/>
      <c r="D23" s="532"/>
      <c r="E23" s="564" t="s">
        <v>223</v>
      </c>
      <c r="F23" s="509"/>
      <c r="G23" s="509"/>
      <c r="H23" s="512"/>
      <c r="I23" s="574" t="s">
        <v>221</v>
      </c>
      <c r="J23" s="509"/>
      <c r="K23" s="510"/>
      <c r="L23" s="513" t="s">
        <v>224</v>
      </c>
      <c r="M23" s="509"/>
      <c r="N23" s="509"/>
      <c r="O23" s="509"/>
      <c r="P23" s="509"/>
      <c r="Q23" s="509"/>
      <c r="R23" s="509"/>
      <c r="S23" s="514"/>
      <c r="T23" s="272">
        <v>0</v>
      </c>
      <c r="U23" s="340" t="s">
        <v>47</v>
      </c>
      <c r="V23" s="559">
        <v>10000</v>
      </c>
      <c r="W23" s="509"/>
      <c r="X23" s="509"/>
      <c r="Y23" s="509"/>
      <c r="Z23" s="512"/>
      <c r="AA23" s="338" t="s">
        <v>222</v>
      </c>
      <c r="AB23" s="408">
        <f t="shared" si="3"/>
        <v>0</v>
      </c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192" t="s">
        <v>125</v>
      </c>
      <c r="AO23" s="193">
        <f>COUNTA(AR6:AR17)*10000</f>
        <v>80000</v>
      </c>
      <c r="AP23" s="132"/>
      <c r="AQ23" s="132"/>
      <c r="AR23" s="132"/>
      <c r="AS23" s="132"/>
      <c r="AT23" s="132"/>
      <c r="AU23" s="132"/>
      <c r="AV23" s="7"/>
    </row>
    <row r="24" spans="1:48" ht="12.75">
      <c r="A24" s="236"/>
      <c r="B24" s="331"/>
      <c r="C24" s="531"/>
      <c r="D24" s="532"/>
      <c r="E24" s="564" t="s">
        <v>131</v>
      </c>
      <c r="F24" s="509"/>
      <c r="G24" s="509"/>
      <c r="H24" s="512"/>
      <c r="I24" s="548">
        <f>AB20+AB26</f>
        <v>1510000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272">
        <v>0</v>
      </c>
      <c r="U24" s="340" t="s">
        <v>47</v>
      </c>
      <c r="V24" s="559">
        <v>10000</v>
      </c>
      <c r="W24" s="509"/>
      <c r="X24" s="509"/>
      <c r="Y24" s="509"/>
      <c r="Z24" s="512"/>
      <c r="AA24" s="338" t="s">
        <v>222</v>
      </c>
      <c r="AB24" s="408">
        <f t="shared" si="3"/>
        <v>0</v>
      </c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  <c r="AM24" s="291"/>
      <c r="AN24" s="192" t="s">
        <v>78</v>
      </c>
      <c r="AO24" s="193">
        <f>AT18*5000</f>
        <v>55000</v>
      </c>
      <c r="AP24" s="132"/>
      <c r="AQ24" s="132"/>
      <c r="AR24" s="132"/>
      <c r="AS24" s="132"/>
      <c r="AT24" s="132"/>
      <c r="AU24" s="132"/>
      <c r="AV24" s="7"/>
    </row>
    <row r="25" spans="1:48" ht="13.5" thickBot="1">
      <c r="A25" s="236"/>
      <c r="B25" s="331"/>
      <c r="C25" s="531"/>
      <c r="D25" s="532"/>
      <c r="E25" s="575" t="s">
        <v>133</v>
      </c>
      <c r="F25" s="542"/>
      <c r="G25" s="542"/>
      <c r="H25" s="547"/>
      <c r="I25" s="549">
        <f>AO18</f>
        <v>200000</v>
      </c>
      <c r="J25" s="542"/>
      <c r="K25" s="547"/>
      <c r="L25" s="544" t="s">
        <v>225</v>
      </c>
      <c r="M25" s="542"/>
      <c r="N25" s="542"/>
      <c r="O25" s="542"/>
      <c r="P25" s="542"/>
      <c r="Q25" s="542"/>
      <c r="R25" s="542"/>
      <c r="S25" s="545"/>
      <c r="T25" s="324">
        <v>1</v>
      </c>
      <c r="U25" s="340" t="s">
        <v>47</v>
      </c>
      <c r="V25" s="560">
        <v>50000</v>
      </c>
      <c r="W25" s="542"/>
      <c r="X25" s="542"/>
      <c r="Y25" s="542"/>
      <c r="Z25" s="545"/>
      <c r="AA25" s="338" t="s">
        <v>222</v>
      </c>
      <c r="AB25" s="408">
        <f t="shared" si="3"/>
        <v>50000</v>
      </c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194" t="s">
        <v>130</v>
      </c>
      <c r="AO25" s="195">
        <f>AU18*5000</f>
        <v>65000</v>
      </c>
      <c r="AP25" s="132"/>
      <c r="AQ25" s="132"/>
      <c r="AR25" s="132"/>
      <c r="AS25" s="132"/>
      <c r="AT25" s="132"/>
      <c r="AU25" s="132"/>
      <c r="AV25" s="7"/>
    </row>
    <row r="26" spans="1:48" ht="13.5" thickBot="1">
      <c r="A26" s="236"/>
      <c r="B26" s="342"/>
      <c r="C26" s="533"/>
      <c r="D26" s="535"/>
      <c r="E26" s="343" t="s">
        <v>226</v>
      </c>
      <c r="F26" s="344"/>
      <c r="G26" s="344"/>
      <c r="H26" s="344"/>
      <c r="I26" s="345" t="s">
        <v>227</v>
      </c>
      <c r="J26" s="346" t="str">
        <f>HYPERLINK("http://www.arosbb.dk/","www.arosbb.dk")</f>
        <v>www.arosbb.dk</v>
      </c>
      <c r="K26" s="344"/>
      <c r="L26" s="566"/>
      <c r="M26" s="523"/>
      <c r="N26" s="523"/>
      <c r="O26" s="523"/>
      <c r="P26" s="523"/>
      <c r="Q26" s="523"/>
      <c r="R26" s="523"/>
      <c r="S26" s="567"/>
      <c r="T26" s="347"/>
      <c r="U26" s="348"/>
      <c r="V26" s="349"/>
      <c r="W26" s="565" t="s">
        <v>135</v>
      </c>
      <c r="X26" s="523"/>
      <c r="Y26" s="523"/>
      <c r="Z26" s="523"/>
      <c r="AA26" s="521"/>
      <c r="AB26" s="180">
        <f>SUM(AB21:AB25)</f>
        <v>280000</v>
      </c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  <c r="AN26" s="196" t="s">
        <v>42</v>
      </c>
      <c r="AO26" s="197">
        <v>400000</v>
      </c>
      <c r="AP26" s="132"/>
      <c r="AQ26" s="132"/>
      <c r="AR26" s="132"/>
      <c r="AS26" s="132"/>
      <c r="AT26" s="132"/>
      <c r="AU26" s="132"/>
      <c r="AV26" s="7"/>
    </row>
    <row r="27" spans="1:48" ht="6.75" customHeight="1">
      <c r="A27" s="291"/>
      <c r="B27" s="7"/>
      <c r="C27" s="200"/>
      <c r="D27" s="200"/>
      <c r="E27" s="350"/>
      <c r="F27" s="132"/>
      <c r="G27" s="132"/>
      <c r="H27" s="132"/>
      <c r="I27" s="351"/>
      <c r="J27" s="352"/>
      <c r="K27" s="132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</row>
    <row r="28" spans="1:48" ht="17.25" hidden="1" customHeight="1">
      <c r="C28" s="213">
        <f>MATCH(I22,'Database-Hidden'!A2:A120,0)</f>
        <v>71</v>
      </c>
      <c r="D28" s="213" t="str">
        <f t="shared" ref="D28:D37" si="4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13" t="str">
        <f t="array" ref="I28">IFERROR(IF(INDEX('Database-Hidden'!$A$2:$B$120,$C28,1)=$I$22,INDEX('Database-Hidden'!$A$2:$B$120,$C28,2),""),"")</f>
        <v>Lineman</v>
      </c>
      <c r="AN28" s="353"/>
    </row>
    <row r="29" spans="1:48" ht="17.25" hidden="1" customHeight="1">
      <c r="C29" s="213">
        <f t="shared" ref="C29:C37" si="5">C28+1</f>
        <v>72</v>
      </c>
      <c r="D29" s="213" t="str">
        <f t="shared" si="4"/>
        <v>Thrower</v>
      </c>
      <c r="E29" s="210">
        <f t="array" ref="E29">IFERROR(IF(INDEX('Database-Hidden'!$A$2:$B$120,$C29,1)=$I$22,INDEX('Database-Hidden'!$A$2:$D$120,$C29,4),""),"")</f>
        <v>2</v>
      </c>
      <c r="I29" s="213" t="str">
        <f t="array" ref="I29">IFERROR(IF(INDEX('Database-Hidden'!$A$2:$B$120,$C29,1)=$I$22,INDEX('Database-Hidden'!$A$2:$B$120,$C29,2),""),"")</f>
        <v>Thrower</v>
      </c>
      <c r="AN29" s="353"/>
    </row>
    <row r="30" spans="1:48" ht="17.25" hidden="1" customHeight="1">
      <c r="C30" s="213">
        <f t="shared" si="5"/>
        <v>73</v>
      </c>
      <c r="D30" s="213" t="str">
        <f t="shared" si="4"/>
        <v>Catcher</v>
      </c>
      <c r="E30" s="210">
        <f t="array" ref="E30">IFERROR(IF(INDEX('Database-Hidden'!$A$2:$B$120,$C30,1)=$I$22,INDEX('Database-Hidden'!$A$2:$D$120,$C30,4),""),"")</f>
        <v>2</v>
      </c>
      <c r="I30" s="213" t="str">
        <f t="array" ref="I30">IFERROR(IF(INDEX('Database-Hidden'!$A$2:$B$120,$C30,1)=$I$22,INDEX('Database-Hidden'!$A$2:$B$120,$C30,2),""),"")</f>
        <v>Catcher</v>
      </c>
      <c r="AN30" s="353"/>
    </row>
    <row r="31" spans="1:48" ht="17.25" hidden="1" customHeight="1">
      <c r="C31" s="213">
        <f t="shared" si="5"/>
        <v>74</v>
      </c>
      <c r="D31" s="213" t="str">
        <f t="shared" si="4"/>
        <v>Blitzer</v>
      </c>
      <c r="E31" s="210">
        <f t="array" ref="E31">IFERROR(IF(INDEX('Database-Hidden'!$A$2:$B$120,$C31,1)=$I$22,INDEX('Database-Hidden'!$A$2:$D$120,$C31,4),""),"")</f>
        <v>2</v>
      </c>
      <c r="I31" s="213" t="str">
        <f t="array" ref="I31">IFERROR(IF(INDEX('Database-Hidden'!$A$2:$B$120,$C31,1)=$I$22,INDEX('Database-Hidden'!$A$2:$B$120,$C31,2),""),"")</f>
        <v>Blitzer</v>
      </c>
      <c r="AN31" s="353"/>
    </row>
    <row r="32" spans="1:48" ht="17.25" hidden="1" customHeight="1">
      <c r="C32" s="213">
        <f t="shared" si="5"/>
        <v>75</v>
      </c>
      <c r="D32" s="213" t="str">
        <f t="shared" si="4"/>
        <v>Werewolf</v>
      </c>
      <c r="E32" s="210">
        <f t="array" ref="E32">IFERROR(IF(INDEX('Database-Hidden'!$A$2:$B$120,$C32,1)=$I$22,INDEX('Database-Hidden'!$A$2:$D$120,$C32,4),""),"")</f>
        <v>2</v>
      </c>
      <c r="I32" s="213" t="str">
        <f t="array" ref="I32">IFERROR(IF(INDEX('Database-Hidden'!$A$2:$B$120,$C32,1)=$I$22,INDEX('Database-Hidden'!$A$2:$B$120,$C32,2),""),"")</f>
        <v>Werewolf</v>
      </c>
      <c r="AN32" s="353"/>
    </row>
    <row r="33" spans="3:40" ht="17.25" hidden="1" customHeight="1">
      <c r="C33" s="213">
        <f t="shared" si="5"/>
        <v>76</v>
      </c>
      <c r="D33" s="213" t="str">
        <f t="shared" si="4"/>
        <v>Yhetee</v>
      </c>
      <c r="E33" s="210">
        <f t="array" ref="E33">IFERROR(IF(INDEX('Database-Hidden'!$A$2:$B$120,$C33,1)=$I$22,INDEX('Database-Hidden'!$A$2:$D$120,$C33,4),""),"")</f>
        <v>1</v>
      </c>
      <c r="I33" s="213" t="str">
        <f t="array" ref="I33">IFERROR(IF(INDEX('Database-Hidden'!$A$2:$B$120,$C33,1)=$I$22,INDEX('Database-Hidden'!$A$2:$B$120,$C33,2),""),"")</f>
        <v>Yhetee</v>
      </c>
      <c r="AN33" s="353"/>
    </row>
    <row r="34" spans="3:40" ht="17.25" hidden="1" customHeight="1">
      <c r="C34" s="213">
        <f t="shared" si="5"/>
        <v>77</v>
      </c>
      <c r="D34" s="213" t="str">
        <f t="shared" si="4"/>
        <v/>
      </c>
      <c r="E34" s="210" t="str">
        <f t="array" ref="E34">IFERROR(IF(INDEX('Database-Hidden'!$A$2:$B$120,$C34,1)=$I$22,INDEX('Database-Hidden'!$A$2:$D$120,$C34,4),""),"")</f>
        <v/>
      </c>
      <c r="I34" s="213" t="str">
        <f t="array" ref="I34">IFERROR(IF(INDEX('Database-Hidden'!$A$2:$B$120,$C34,1)=$I$22,INDEX('Database-Hidden'!$A$2:$B$120,$C34,2),""),"")</f>
        <v/>
      </c>
      <c r="AN34" s="353"/>
    </row>
    <row r="35" spans="3:40" ht="17.25" hidden="1" customHeight="1">
      <c r="C35" s="213">
        <f t="shared" si="5"/>
        <v>78</v>
      </c>
      <c r="D35" s="213" t="str">
        <f t="shared" si="4"/>
        <v/>
      </c>
      <c r="E35" s="210" t="str">
        <f t="array" ref="E35">IFERROR(IF(INDEX('Database-Hidden'!$A$2:$B$120,$C35,1)=$I$22,INDEX('Database-Hidden'!$A$2:$D$120,$C35,4),""),"")</f>
        <v/>
      </c>
      <c r="I35" s="213" t="str">
        <f t="array" ref="I35">IFERROR(IF(INDEX('Database-Hidden'!$A$2:$B$120,$C35,1)=$I$22,INDEX('Database-Hidden'!$A$2:$B$120,$C35,2),""),"")</f>
        <v/>
      </c>
      <c r="AN35" s="353"/>
    </row>
    <row r="36" spans="3:40" ht="17.25" hidden="1" customHeight="1">
      <c r="C36" s="213">
        <f t="shared" si="5"/>
        <v>79</v>
      </c>
      <c r="D36" s="213" t="str">
        <f t="shared" si="4"/>
        <v/>
      </c>
      <c r="E36" s="210" t="str">
        <f t="array" ref="E36">IFERROR(IF(INDEX('Database-Hidden'!$A$2:$B$120,$C36,1)=$I$22,INDEX('Database-Hidden'!$A$2:$D$120,$C36,4),""),"")</f>
        <v/>
      </c>
      <c r="I36" s="213" t="str">
        <f t="array" ref="I36">IFERROR(IF(INDEX('Database-Hidden'!$A$2:$B$120,$C36,1)=$I$22,INDEX('Database-Hidden'!$A$2:$B$120,$C36,2),""),"")</f>
        <v/>
      </c>
      <c r="AN36" s="353"/>
    </row>
    <row r="37" spans="3:40" ht="17.25" hidden="1" customHeight="1">
      <c r="C37" s="213">
        <f t="shared" si="5"/>
        <v>80</v>
      </c>
      <c r="D37" s="213" t="str">
        <f t="shared" si="4"/>
        <v/>
      </c>
      <c r="E37" s="210" t="str">
        <f t="array" ref="E37">IFERROR(IF(INDEX('Database-Hidden'!$A$2:$B$120,$C37,1)=$I$22,INDEX('Database-Hidden'!$A$2:$D$120,$C37,4),""),"")</f>
        <v/>
      </c>
      <c r="I37" s="213" t="str">
        <f t="array" ref="I37">IFERROR(IF(INDEX('Database-Hidden'!$A$2:$B$120,$C37,1)=$I$22,INDEX('Database-Hidden'!$A$2:$B$120,$C37,2),""),"")</f>
        <v/>
      </c>
      <c r="AN37" s="353"/>
    </row>
    <row r="38" spans="3:40" ht="17.25" hidden="1" customHeight="1">
      <c r="C38" s="211">
        <f>MATCH(I22,'Star Players-Hidden'!D2:AD2,0)</f>
        <v>17</v>
      </c>
      <c r="D38" s="211" t="str">
        <f t="shared" ref="D38:D49" ca="1" si="6">I38&amp;IF(COUNTIF(D$4:D$19,I38)&gt;1," (Too Many)","")</f>
        <v>Star: Fezglitch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Fezglitch")</f>
        <v>Star: Fezglitch</v>
      </c>
      <c r="AN38" s="353"/>
    </row>
    <row r="39" spans="3:40" ht="17.25" hidden="1" customHeight="1">
      <c r="C39" s="213"/>
      <c r="D39" s="213" t="str">
        <f t="shared" si="6"/>
        <v>Star: Glart Smashrip Jr.</v>
      </c>
      <c r="I39" s="213" t="s">
        <v>235</v>
      </c>
      <c r="AN39" s="353"/>
    </row>
    <row r="40" spans="3:40" ht="17.25" hidden="1" customHeight="1">
      <c r="C40" s="213"/>
      <c r="D40" s="213" t="str">
        <f t="shared" si="6"/>
        <v>Star: Glart Smashrip Sr.</v>
      </c>
      <c r="I40" s="213" t="s">
        <v>236</v>
      </c>
      <c r="AN40" s="353"/>
    </row>
    <row r="41" spans="3:40" ht="17.25" hidden="1" customHeight="1">
      <c r="C41" s="213"/>
      <c r="D41" s="213" t="str">
        <f t="shared" si="6"/>
        <v>Star: Hakflem Skuttlespike</v>
      </c>
      <c r="I41" s="213" t="s">
        <v>237</v>
      </c>
      <c r="AN41" s="353"/>
    </row>
    <row r="42" spans="3:40" ht="17.25" hidden="1" customHeight="1">
      <c r="C42" s="213"/>
      <c r="D42" s="213" t="str">
        <f t="shared" si="6"/>
        <v>Star: Headsplitter</v>
      </c>
      <c r="I42" s="213" t="s">
        <v>238</v>
      </c>
      <c r="AN42" s="353"/>
    </row>
    <row r="43" spans="3:40" ht="17.25" hidden="1" customHeight="1">
      <c r="C43" s="213"/>
      <c r="D43" s="213" t="str">
        <f t="shared" si="6"/>
        <v>Star: Kreek Rustgouger</v>
      </c>
      <c r="I43" s="213" t="s">
        <v>239</v>
      </c>
      <c r="AN43" s="353"/>
    </row>
    <row r="44" spans="3:40" ht="17.25" hidden="1" customHeight="1">
      <c r="C44" s="213"/>
      <c r="D44" s="213" t="str">
        <f t="shared" si="6"/>
        <v>Star: Morg'n'Thorg</v>
      </c>
      <c r="I44" s="213" t="s">
        <v>144</v>
      </c>
      <c r="AN44" s="353"/>
    </row>
    <row r="45" spans="3:40" ht="17.25" hidden="1" customHeight="1">
      <c r="C45" s="213"/>
      <c r="D45" s="213" t="str">
        <f t="shared" si="6"/>
        <v>Star: Skitter Stab-Stab</v>
      </c>
      <c r="I45" s="213" t="s">
        <v>240</v>
      </c>
      <c r="AN45" s="353"/>
    </row>
    <row r="46" spans="3:40" ht="17.25" hidden="1" customHeight="1">
      <c r="C46" s="213"/>
      <c r="D46" s="213" t="str">
        <f t="shared" si="6"/>
        <v/>
      </c>
      <c r="I46" s="213"/>
      <c r="AN46" s="353"/>
    </row>
    <row r="47" spans="3:40" ht="17.25" hidden="1" customHeight="1">
      <c r="C47" s="213"/>
      <c r="D47" s="213" t="str">
        <f t="shared" si="6"/>
        <v/>
      </c>
      <c r="I47" s="213"/>
      <c r="AN47" s="353"/>
    </row>
    <row r="48" spans="3:40" ht="17.25" hidden="1" customHeight="1">
      <c r="C48" s="213"/>
      <c r="D48" s="213" t="str">
        <f t="shared" si="6"/>
        <v/>
      </c>
      <c r="I48" s="213"/>
      <c r="AN48" s="353"/>
    </row>
    <row r="49" spans="3:40" ht="17.25" hidden="1" customHeight="1">
      <c r="C49" s="213"/>
      <c r="D49" s="213" t="str">
        <f t="shared" si="6"/>
        <v/>
      </c>
      <c r="I49" s="213"/>
      <c r="AN49" s="353"/>
    </row>
  </sheetData>
  <mergeCells count="28">
    <mergeCell ref="P2:S2"/>
    <mergeCell ref="C20:D26"/>
    <mergeCell ref="E20:AA20"/>
    <mergeCell ref="E21:H21"/>
    <mergeCell ref="I21:K21"/>
    <mergeCell ref="L21:S21"/>
    <mergeCell ref="V21:Z21"/>
    <mergeCell ref="E22:H22"/>
    <mergeCell ref="I22:K22"/>
    <mergeCell ref="L22:S22"/>
    <mergeCell ref="V22:Z22"/>
    <mergeCell ref="E23:H23"/>
    <mergeCell ref="I23:K23"/>
    <mergeCell ref="L23:S23"/>
    <mergeCell ref="V23:Z23"/>
    <mergeCell ref="E24:H24"/>
    <mergeCell ref="I24:K24"/>
    <mergeCell ref="L24:S24"/>
    <mergeCell ref="V24:Z24"/>
    <mergeCell ref="E25:H25"/>
    <mergeCell ref="I25:K25"/>
    <mergeCell ref="L25:S25"/>
    <mergeCell ref="V25:Z25"/>
    <mergeCell ref="L26:S26"/>
    <mergeCell ref="W26:AA26"/>
    <mergeCell ref="AN3:AQ3"/>
    <mergeCell ref="AR3:AV3"/>
    <mergeCell ref="AN21:AO21"/>
  </mergeCells>
  <conditionalFormatting sqref="AB4:AB19">
    <cfRule type="cellIs" dxfId="683" priority="55" operator="equal">
      <formula>0</formula>
    </cfRule>
  </conditionalFormatting>
  <conditionalFormatting sqref="J4">
    <cfRule type="expression" dxfId="682" priority="54">
      <formula>K4&lt;&gt;SUM(AE4:AJ4)</formula>
    </cfRule>
  </conditionalFormatting>
  <conditionalFormatting sqref="I4:I19">
    <cfRule type="cellIs" dxfId="681" priority="53" stopIfTrue="1" operator="equal">
      <formula>"Player type quantity surpassed"</formula>
    </cfRule>
  </conditionalFormatting>
  <conditionalFormatting sqref="J5">
    <cfRule type="expression" dxfId="680" priority="52">
      <formula>K5&lt;&gt;SUM(AE5:AJ5)</formula>
    </cfRule>
  </conditionalFormatting>
  <conditionalFormatting sqref="J6">
    <cfRule type="expression" dxfId="679" priority="51">
      <formula>K6&lt;&gt;SUM(AE6:AJ6)</formula>
    </cfRule>
  </conditionalFormatting>
  <conditionalFormatting sqref="J7">
    <cfRule type="expression" dxfId="678" priority="50">
      <formula>K7&lt;&gt;SUM(AE7:AJ7)</formula>
    </cfRule>
  </conditionalFormatting>
  <conditionalFormatting sqref="J8">
    <cfRule type="expression" dxfId="677" priority="49">
      <formula>K8&lt;&gt;SUM(AE8:AJ8)</formula>
    </cfRule>
  </conditionalFormatting>
  <conditionalFormatting sqref="J9">
    <cfRule type="expression" dxfId="676" priority="48">
      <formula>K9&lt;&gt;SUM(AE9:AJ9)</formula>
    </cfRule>
  </conditionalFormatting>
  <conditionalFormatting sqref="J10">
    <cfRule type="expression" dxfId="675" priority="47">
      <formula>K10&lt;&gt;SUM(AE10:AJ10)</formula>
    </cfRule>
  </conditionalFormatting>
  <conditionalFormatting sqref="J11">
    <cfRule type="expression" dxfId="674" priority="46">
      <formula>K11&lt;&gt;SUM(AE11:AJ11)</formula>
    </cfRule>
  </conditionalFormatting>
  <conditionalFormatting sqref="J12">
    <cfRule type="expression" dxfId="673" priority="45">
      <formula>K12&lt;&gt;SUM(AE12:AJ12)</formula>
    </cfRule>
  </conditionalFormatting>
  <conditionalFormatting sqref="J13">
    <cfRule type="expression" dxfId="672" priority="44">
      <formula>K13&lt;&gt;SUM(AE13:AJ13)</formula>
    </cfRule>
  </conditionalFormatting>
  <conditionalFormatting sqref="J14">
    <cfRule type="expression" dxfId="671" priority="43">
      <formula>K14&lt;&gt;SUM(AE14:AJ14)</formula>
    </cfRule>
  </conditionalFormatting>
  <conditionalFormatting sqref="J15">
    <cfRule type="expression" dxfId="670" priority="42">
      <formula>K15&lt;&gt;SUM(AE15:AJ15)</formula>
    </cfRule>
  </conditionalFormatting>
  <conditionalFormatting sqref="J16">
    <cfRule type="expression" dxfId="669" priority="41">
      <formula>K16&lt;&gt;SUM(AE16:AJ16)</formula>
    </cfRule>
  </conditionalFormatting>
  <conditionalFormatting sqref="J17">
    <cfRule type="expression" dxfId="668" priority="40">
      <formula>K17&lt;&gt;SUM(AE17:AJ17)</formula>
    </cfRule>
  </conditionalFormatting>
  <conditionalFormatting sqref="J18">
    <cfRule type="expression" dxfId="667" priority="39">
      <formula>K18&lt;&gt;SUM(AE18:AJ18)</formula>
    </cfRule>
  </conditionalFormatting>
  <conditionalFormatting sqref="J19">
    <cfRule type="expression" dxfId="666" priority="38">
      <formula>K19&lt;&gt;SUM(AE19:AJ19)</formula>
    </cfRule>
  </conditionalFormatting>
  <conditionalFormatting sqref="E4:I19">
    <cfRule type="expression" dxfId="665" priority="37">
      <formula>AG4&gt;0</formula>
    </cfRule>
  </conditionalFormatting>
  <conditionalFormatting sqref="E4:I19">
    <cfRule type="expression" dxfId="664" priority="36">
      <formula>P4&gt;0</formula>
    </cfRule>
  </conditionalFormatting>
  <conditionalFormatting sqref="U26:U27 T4:W19 Z4:Z19 I4:I19">
    <cfRule type="cellIs" dxfId="663" priority="35" stopIfTrue="1" operator="equal">
      <formula>0</formula>
    </cfRule>
  </conditionalFormatting>
  <conditionalFormatting sqref="Y27:Z27 AB27">
    <cfRule type="cellIs" dxfId="662" priority="34" stopIfTrue="1" operator="equal">
      <formula>"0,0"</formula>
    </cfRule>
  </conditionalFormatting>
  <conditionalFormatting sqref="K4:K19">
    <cfRule type="cellIs" dxfId="661" priority="33" stopIfTrue="1" operator="equal">
      <formula>"n/a"</formula>
    </cfRule>
  </conditionalFormatting>
  <conditionalFormatting sqref="P4:S19">
    <cfRule type="cellIs" dxfId="660" priority="32" stopIfTrue="1" operator="lessThanOrEqual">
      <formula>-1</formula>
    </cfRule>
  </conditionalFormatting>
  <conditionalFormatting sqref="V25:W25">
    <cfRule type="cellIs" dxfId="659" priority="31" stopIfTrue="1" operator="equal">
      <formula>-500</formula>
    </cfRule>
  </conditionalFormatting>
  <conditionalFormatting sqref="T25">
    <cfRule type="cellIs" dxfId="658" priority="30" stopIfTrue="1" operator="greaterThan">
      <formula>$V$25</formula>
    </cfRule>
  </conditionalFormatting>
  <conditionalFormatting sqref="AA4:AA19">
    <cfRule type="cellIs" dxfId="657" priority="29" stopIfTrue="1" operator="equal">
      <formula>"Star"</formula>
    </cfRule>
  </conditionalFormatting>
  <conditionalFormatting sqref="AA4:AA19">
    <cfRule type="cellIs" dxfId="656" priority="28" stopIfTrue="1" operator="equal">
      <formula>AB4</formula>
    </cfRule>
  </conditionalFormatting>
  <conditionalFormatting sqref="J4">
    <cfRule type="expression" dxfId="655" priority="27">
      <formula>K4&lt;&gt;SUM(AE4:AJ4)</formula>
    </cfRule>
  </conditionalFormatting>
  <conditionalFormatting sqref="K4:K19">
    <cfRule type="cellIs" dxfId="654" priority="26" operator="equal">
      <formula>0</formula>
    </cfRule>
  </conditionalFormatting>
  <conditionalFormatting sqref="E4:I19">
    <cfRule type="expression" dxfId="653" priority="24">
      <formula>AG4&gt;0</formula>
    </cfRule>
  </conditionalFormatting>
  <conditionalFormatting sqref="E4:I19">
    <cfRule type="expression" dxfId="652" priority="23">
      <formula>P4&gt;0</formula>
    </cfRule>
  </conditionalFormatting>
  <conditionalFormatting sqref="AA4:AA19">
    <cfRule type="cellIs" dxfId="651" priority="18" stopIfTrue="1" operator="equal">
      <formula>AB4</formula>
    </cfRule>
  </conditionalFormatting>
  <conditionalFormatting sqref="J5">
    <cfRule type="expression" dxfId="650" priority="15">
      <formula>K5&lt;&gt;SUM(AE5:AJ5)</formula>
    </cfRule>
  </conditionalFormatting>
  <conditionalFormatting sqref="J6">
    <cfRule type="expression" dxfId="649" priority="14">
      <formula>K6&lt;&gt;SUM(AE6:AJ6)</formula>
    </cfRule>
  </conditionalFormatting>
  <conditionalFormatting sqref="J7">
    <cfRule type="expression" dxfId="648" priority="13">
      <formula>K7&lt;&gt;SUM(AE7:AJ7)</formula>
    </cfRule>
  </conditionalFormatting>
  <conditionalFormatting sqref="J8">
    <cfRule type="expression" dxfId="647" priority="12">
      <formula>K8&lt;&gt;SUM(AE8:AJ8)</formula>
    </cfRule>
  </conditionalFormatting>
  <conditionalFormatting sqref="J9">
    <cfRule type="expression" dxfId="646" priority="11">
      <formula>K9&lt;&gt;SUM(AE9:AJ9)</formula>
    </cfRule>
  </conditionalFormatting>
  <conditionalFormatting sqref="J10">
    <cfRule type="expression" dxfId="645" priority="10">
      <formula>K10&lt;&gt;SUM(AE10:AJ10)</formula>
    </cfRule>
  </conditionalFormatting>
  <conditionalFormatting sqref="J11">
    <cfRule type="expression" dxfId="644" priority="9">
      <formula>K11&lt;&gt;SUM(AE11:AJ11)</formula>
    </cfRule>
  </conditionalFormatting>
  <conditionalFormatting sqref="J12">
    <cfRule type="expression" dxfId="643" priority="8">
      <formula>K12&lt;&gt;SUM(AE12:AJ12)</formula>
    </cfRule>
  </conditionalFormatting>
  <conditionalFormatting sqref="J13">
    <cfRule type="expression" dxfId="642" priority="7">
      <formula>K13&lt;&gt;SUM(AE13:AJ13)</formula>
    </cfRule>
  </conditionalFormatting>
  <conditionalFormatting sqref="J14">
    <cfRule type="expression" dxfId="641" priority="6">
      <formula>K14&lt;&gt;SUM(AE14:AJ14)</formula>
    </cfRule>
  </conditionalFormatting>
  <conditionalFormatting sqref="J15">
    <cfRule type="expression" dxfId="640" priority="5">
      <formula>K15&lt;&gt;SUM(AE15:AJ15)</formula>
    </cfRule>
  </conditionalFormatting>
  <conditionalFormatting sqref="J16">
    <cfRule type="expression" dxfId="639" priority="4">
      <formula>K16&lt;&gt;SUM(AE16:AJ16)</formula>
    </cfRule>
  </conditionalFormatting>
  <conditionalFormatting sqref="J17">
    <cfRule type="expression" dxfId="638" priority="3">
      <formula>K17&lt;&gt;SUM(AE17:AJ17)</formula>
    </cfRule>
  </conditionalFormatting>
  <conditionalFormatting sqref="J18">
    <cfRule type="expression" dxfId="637" priority="2">
      <formula>K18&lt;&gt;SUM(AE18:AJ18)</formula>
    </cfRule>
  </conditionalFormatting>
  <conditionalFormatting sqref="J19">
    <cfRule type="expression" dxfId="636" priority="1">
      <formula>K19&lt;&gt;SUM(AE19:AJ19)</formula>
    </cfRule>
  </conditionalFormatting>
  <dataValidations count="1">
    <dataValidation type="list" allowBlank="1" showErrorMessage="1" sqref="D4:D19">
      <formula1>#REF!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49"/>
  <sheetViews>
    <sheetView showGridLines="0" workbookViewId="0">
      <selection activeCell="D19" sqref="D19"/>
    </sheetView>
  </sheetViews>
  <sheetFormatPr defaultColWidth="14.42578125" defaultRowHeight="15.75" customHeight="1"/>
  <cols>
    <col min="1" max="2" width="3.140625" customWidth="1"/>
    <col min="3" max="3" width="19.28515625" customWidth="1"/>
    <col min="4" max="4" width="21.28515625" customWidth="1"/>
    <col min="5" max="8" width="3" customWidth="1"/>
    <col min="9" max="9" width="30.85546875" customWidth="1"/>
    <col min="10" max="10" width="23" customWidth="1"/>
    <col min="11" max="11" width="1.85546875" customWidth="1"/>
    <col min="12" max="13" width="2.42578125" customWidth="1"/>
    <col min="14" max="15" width="2.140625" customWidth="1"/>
    <col min="16" max="16" width="2.7109375" customWidth="1"/>
    <col min="17" max="17" width="2.5703125" customWidth="1"/>
    <col min="18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" customWidth="1"/>
    <col min="29" max="29" width="5.5703125" customWidth="1"/>
    <col min="30" max="30" width="8.140625" customWidth="1"/>
    <col min="31" max="31" width="5.42578125" customWidth="1"/>
    <col min="32" max="32" width="5.28515625" customWidth="1"/>
    <col min="33" max="33" width="4.28515625" customWidth="1"/>
    <col min="34" max="34" width="3.85546875" customWidth="1"/>
    <col min="35" max="35" width="4.140625" customWidth="1"/>
    <col min="36" max="36" width="3.85546875" customWidth="1"/>
    <col min="37" max="37" width="11.42578125" customWidth="1"/>
    <col min="38" max="39" width="6.42578125" customWidth="1"/>
    <col min="40" max="40" width="14.42578125" customWidth="1"/>
    <col min="41" max="41" width="11.42578125" customWidth="1"/>
    <col min="42" max="42" width="17.5703125" customWidth="1"/>
    <col min="43" max="43" width="10" customWidth="1"/>
    <col min="44" max="44" width="5.140625" customWidth="1"/>
    <col min="45" max="45" width="8.140625" customWidth="1"/>
    <col min="46" max="46" width="26.140625" customWidth="1"/>
    <col min="47" max="50" width="10.7109375" customWidth="1"/>
    <col min="51" max="51" width="2" customWidth="1"/>
  </cols>
  <sheetData>
    <row r="1" spans="1:51" ht="8.25" customHeight="1">
      <c r="A1" s="5"/>
      <c r="B1" s="5"/>
      <c r="C1" s="5"/>
      <c r="D1" s="6"/>
      <c r="E1" s="5"/>
      <c r="F1" s="5"/>
      <c r="G1" s="5"/>
      <c r="H1" s="5"/>
      <c r="I1" s="5"/>
      <c r="J1" s="5"/>
      <c r="K1" s="1"/>
      <c r="L1" s="5"/>
      <c r="M1" s="7"/>
      <c r="N1" s="7"/>
      <c r="O1" s="7"/>
      <c r="P1" s="357"/>
      <c r="Q1" s="357"/>
      <c r="R1" s="357"/>
      <c r="S1" s="357"/>
      <c r="T1" s="8"/>
      <c r="U1" s="8"/>
      <c r="V1" s="8"/>
      <c r="W1" s="8"/>
      <c r="X1" s="9"/>
      <c r="Y1" s="8"/>
      <c r="Z1" s="8"/>
      <c r="AA1" s="5"/>
      <c r="AB1" s="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358"/>
      <c r="AP1" s="215"/>
      <c r="AQ1" s="215"/>
      <c r="AR1" s="215"/>
      <c r="AS1" s="215"/>
      <c r="AT1" s="215"/>
      <c r="AU1" s="215"/>
      <c r="AV1" s="215"/>
      <c r="AW1" s="215"/>
      <c r="AX1" s="330"/>
      <c r="AY1" s="215"/>
    </row>
    <row r="2" spans="1:51" ht="8.25" customHeight="1">
      <c r="A2" s="5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358"/>
      <c r="AP2" s="215"/>
      <c r="AQ2" s="215"/>
      <c r="AR2" s="215"/>
      <c r="AS2" s="215"/>
      <c r="AT2" s="215"/>
      <c r="AU2" s="215"/>
      <c r="AV2" s="215"/>
      <c r="AW2" s="215"/>
      <c r="AX2" s="330"/>
      <c r="AY2" s="215"/>
    </row>
    <row r="3" spans="1:51" ht="12.75">
      <c r="A3" s="5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218" t="s">
        <v>13</v>
      </c>
      <c r="AB3" s="220" t="s">
        <v>38</v>
      </c>
      <c r="AC3" s="222"/>
      <c r="AD3" s="223" t="s">
        <v>43</v>
      </c>
      <c r="AE3" s="224" t="s">
        <v>23</v>
      </c>
      <c r="AF3" s="226" t="s">
        <v>45</v>
      </c>
      <c r="AG3" s="229" t="str">
        <f>"+MA"</f>
        <v>+MA</v>
      </c>
      <c r="AH3" s="232" t="str">
        <f>"+ST"</f>
        <v>+ST</v>
      </c>
      <c r="AI3" s="232" t="str">
        <f>"+AG"</f>
        <v>+AG</v>
      </c>
      <c r="AJ3" s="232" t="str">
        <f>"+AV"</f>
        <v>+AV</v>
      </c>
      <c r="AK3" s="359" t="s">
        <v>51</v>
      </c>
      <c r="AL3" s="39" t="s">
        <v>52</v>
      </c>
      <c r="AM3" s="4"/>
      <c r="AN3" s="1"/>
      <c r="AO3" s="577" t="s">
        <v>53</v>
      </c>
      <c r="AP3" s="507"/>
      <c r="AQ3" s="4"/>
      <c r="AR3" s="4"/>
      <c r="AS3" s="4"/>
      <c r="AT3" s="516" t="s">
        <v>54</v>
      </c>
      <c r="AU3" s="507"/>
      <c r="AV3" s="507"/>
      <c r="AW3" s="507"/>
      <c r="AX3" s="5"/>
      <c r="AY3" s="4"/>
    </row>
    <row r="4" spans="1:51" ht="17.25" customHeight="1">
      <c r="A4" s="5"/>
      <c r="B4" s="237">
        <v>1</v>
      </c>
      <c r="C4" s="360" t="s">
        <v>241</v>
      </c>
      <c r="D4" s="133" t="s">
        <v>242</v>
      </c>
      <c r="E4" s="73">
        <f>IF(LEFT($D4,6)&lt;&gt;"Star: ",IFERROR(VLOOKUP($I$22&amp;$D4,'Database-Hidden'!$C$2:$J$120,4,FALSE)-P4+AG4,""),VLOOKUP(RIGHT($D4,LEN($D4)-6),'Star Players-Hidden'!$A$3:$AK$87,33,FALSE))</f>
        <v>4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2</v>
      </c>
      <c r="H4" s="75">
        <f>IF(LEFT($D4,6)&lt;&gt;"Star: ",IFERROR(VLOOKUP($I$22&amp;$D4,'Database-Hidden'!$C$2:$J$120,7,FALSE)-S4+AJ4,""),VLOOKUP(RIGHT($D4,LEN($D4)-6),'Star Players-Hidden'!$A$3:$AK$87,36,FALSE))</f>
        <v>9</v>
      </c>
      <c r="I4" s="76" t="str">
        <f>IF(LEFT($D4,6)&lt;&gt;"Star: ",IFERROR(VLOOKUP($I$22&amp;$D4,'Database-Hidden'!$C$2:$J$120,8,FALSE),""),VLOOKUP(RIGHT($D4,LEN($D4)-6),'Star Players-Hidden'!$A$3:$AK$87,31,FALSE))</f>
        <v>Block, Tackle, Thick Skull</v>
      </c>
      <c r="J4" s="47" t="s">
        <v>82</v>
      </c>
      <c r="K4" s="240">
        <f t="shared" ref="K4:K19" si="0">IF(AA4&gt;175,6,IF(AA4&gt;75,5,IF(AA4&gt;50,4,IF(AA4&gt;30,3,IF(AA4&gt;15,2,IF(AA4&gt;5,1,0))))))</f>
        <v>1</v>
      </c>
      <c r="L4" s="241"/>
      <c r="M4" s="242"/>
      <c r="N4" s="241">
        <v>2</v>
      </c>
      <c r="O4" s="242"/>
      <c r="P4" s="243"/>
      <c r="Q4" s="361"/>
      <c r="R4" s="245"/>
      <c r="S4" s="246"/>
      <c r="T4" s="247"/>
      <c r="U4" s="362"/>
      <c r="V4" s="249"/>
      <c r="W4" s="248">
        <v>1</v>
      </c>
      <c r="X4" s="250"/>
      <c r="Y4" s="52"/>
      <c r="Z4" s="251">
        <v>1</v>
      </c>
      <c r="AA4" s="252">
        <f t="shared" ref="AA4:AA19" si="1">2*T4+U4+3*V4+2*W4+5*Z4</f>
        <v>7</v>
      </c>
      <c r="AB4" s="58">
        <f t="shared" ref="AB4:AB15" si="2">IF(L4=1,0,AD4+(20000*O4)+(20000*AE4)+(30000*AF4)+(30000*AG4)+(50000*AH4)+(40000*AI4)+(50000*AJ4)+AK4)</f>
        <v>90000</v>
      </c>
      <c r="AC4" s="4"/>
      <c r="AD4" s="59">
        <f>IF(LEFT($D4,6)&lt;&gt;"Star: ",IFERROR(VLOOKUP($I$22&amp;D4,'Database-Hidden'!$C$2:$E$120,3,FALSE),""),VLOOKUP(RIGHT($D4,LEN($D4)-6),'Star Players-Hidden'!$A$3:$AJ$87,32,FALSE))</f>
        <v>70000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215"/>
      <c r="AN4" s="255" t="s">
        <v>69</v>
      </c>
      <c r="AO4" s="256">
        <v>30000</v>
      </c>
      <c r="AP4" s="215"/>
      <c r="AQ4" s="215"/>
      <c r="AR4" s="215"/>
      <c r="AW4" s="257" t="s">
        <v>159</v>
      </c>
      <c r="AX4" s="258">
        <v>6</v>
      </c>
    </row>
    <row r="5" spans="1:51" ht="17.25" customHeight="1">
      <c r="A5" s="5"/>
      <c r="B5" s="259">
        <v>2</v>
      </c>
      <c r="C5" s="363" t="s">
        <v>246</v>
      </c>
      <c r="D5" s="133" t="s">
        <v>242</v>
      </c>
      <c r="E5" s="73">
        <f>IF(LEFT($D5,6)&lt;&gt;"Star: ",IFERROR(VLOOKUP($I$22&amp;$D5,'Database-Hidden'!$C$2:$J$120,4,FALSE)-P5+AG5,""),VLOOKUP(RIGHT($D5,LEN($D5)-6),'Star Players-Hidden'!$A$3:$AK$87,33,FALSE))</f>
        <v>4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2</v>
      </c>
      <c r="H5" s="75">
        <f>IF(LEFT($D5,6)&lt;&gt;"Star: ",IFERROR(VLOOKUP($I$22&amp;$D5,'Database-Hidden'!$C$2:$J$120,7,FALSE)-S5+AJ5,""),VLOOKUP(RIGHT($D5,LEN($D5)-6),'Star Players-Hidden'!$A$3:$AK$87,36,FALSE))</f>
        <v>9</v>
      </c>
      <c r="I5" s="76" t="str">
        <f>IF(LEFT($D5,6)&lt;&gt;"Star: ",IFERROR(VLOOKUP($I$22&amp;$D5,'Database-Hidden'!$C$2:$J$120,8,FALSE),""),VLOOKUP(RIGHT($D5,LEN($D5)-6),'Star Players-Hidden'!$A$3:$AK$87,31,FALSE))</f>
        <v>Block, Tackle, Thick Skull</v>
      </c>
      <c r="J5" s="77"/>
      <c r="K5" s="263">
        <f t="shared" si="0"/>
        <v>0</v>
      </c>
      <c r="L5" s="264"/>
      <c r="M5" s="264"/>
      <c r="N5" s="265">
        <v>0</v>
      </c>
      <c r="O5" s="264"/>
      <c r="P5" s="364"/>
      <c r="Q5" s="304"/>
      <c r="R5" s="268"/>
      <c r="S5" s="269"/>
      <c r="T5" s="270"/>
      <c r="U5" s="272"/>
      <c r="V5" s="271"/>
      <c r="W5" s="190"/>
      <c r="X5" s="274"/>
      <c r="Y5" s="83"/>
      <c r="Z5" s="275"/>
      <c r="AA5" s="276">
        <f t="shared" si="1"/>
        <v>0</v>
      </c>
      <c r="AB5" s="58">
        <f t="shared" si="2"/>
        <v>70000</v>
      </c>
      <c r="AC5" s="4"/>
      <c r="AD5" s="90">
        <f>IF(LEFT($D5,6)&lt;&gt;"Star: ",IFERROR(VLOOKUP($I$22&amp;D5,'Database-Hidden'!$C$2:$E$120,3,FALSE),""),VLOOKUP(RIGHT($D5,LEN($D5)-6),'Star Players-Hidden'!$A$3:$AJ$87,32,FALSE))</f>
        <v>70000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215"/>
      <c r="AN5" s="93" t="s">
        <v>72</v>
      </c>
      <c r="AO5" s="277" t="s">
        <v>73</v>
      </c>
      <c r="AP5" s="93" t="s">
        <v>74</v>
      </c>
      <c r="AQ5" s="278" t="s">
        <v>168</v>
      </c>
      <c r="AR5" s="279"/>
      <c r="AS5" s="93" t="s">
        <v>72</v>
      </c>
      <c r="AT5" s="93" t="s">
        <v>76</v>
      </c>
      <c r="AU5" s="93" t="s">
        <v>77</v>
      </c>
      <c r="AV5" s="278" t="s">
        <v>169</v>
      </c>
      <c r="AW5" s="278" t="s">
        <v>80</v>
      </c>
      <c r="AX5" s="280" t="s">
        <v>170</v>
      </c>
    </row>
    <row r="6" spans="1:51" ht="17.25" customHeight="1">
      <c r="A6" s="5"/>
      <c r="B6" s="259">
        <v>3</v>
      </c>
      <c r="C6" s="365" t="s">
        <v>250</v>
      </c>
      <c r="D6" s="133" t="s">
        <v>242</v>
      </c>
      <c r="E6" s="73">
        <f>IF(LEFT($D6,6)&lt;&gt;"Star: ",IFERROR(VLOOKUP($I$22&amp;$D6,'Database-Hidden'!$C$2:$J$120,4,FALSE)-P6+AG6,""),VLOOKUP(RIGHT($D6,LEN($D6)-6),'Star Players-Hidden'!$A$3:$AK$87,33,FALSE))</f>
        <v>4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2</v>
      </c>
      <c r="H6" s="75">
        <f>IF(LEFT($D6,6)&lt;&gt;"Star: ",IFERROR(VLOOKUP($I$22&amp;$D6,'Database-Hidden'!$C$2:$J$120,7,FALSE)-S6+AJ6,""),VLOOKUP(RIGHT($D6,LEN($D6)-6),'Star Players-Hidden'!$A$3:$AK$87,36,FALSE))</f>
        <v>9</v>
      </c>
      <c r="I6" s="76" t="str">
        <f>IF(LEFT($D6,6)&lt;&gt;"Star: ",IFERROR(VLOOKUP($I$22&amp;$D6,'Database-Hidden'!$C$2:$J$120,8,FALSE),""),VLOOKUP(RIGHT($D6,LEN($D6)-6),'Star Players-Hidden'!$A$3:$AK$87,31,FALSE))</f>
        <v>Block, Tackle, Thick Skull</v>
      </c>
      <c r="J6" s="77" t="s">
        <v>253</v>
      </c>
      <c r="K6" s="263">
        <f t="shared" si="0"/>
        <v>2</v>
      </c>
      <c r="L6" s="264"/>
      <c r="M6" s="264"/>
      <c r="N6" s="265">
        <v>2</v>
      </c>
      <c r="O6" s="264"/>
      <c r="P6" s="266"/>
      <c r="Q6" s="267"/>
      <c r="R6" s="268"/>
      <c r="S6" s="269"/>
      <c r="T6" s="270"/>
      <c r="U6" s="272"/>
      <c r="V6" s="270"/>
      <c r="W6" s="190">
        <v>4</v>
      </c>
      <c r="X6" s="274"/>
      <c r="Y6" s="83"/>
      <c r="Z6" s="275">
        <v>2</v>
      </c>
      <c r="AA6" s="276">
        <f t="shared" si="1"/>
        <v>18</v>
      </c>
      <c r="AB6" s="58">
        <f t="shared" si="2"/>
        <v>120000</v>
      </c>
      <c r="AC6" s="4"/>
      <c r="AD6" s="90">
        <f>IF(LEFT($D6,6)&lt;&gt;"Star: ",IFERROR(VLOOKUP($I$22&amp;D6,'Database-Hidden'!$C$2:$E$120,3,FALSE),""),VLOOKUP(RIGHT($D6,LEN($D6)-6),'Star Players-Hidden'!$A$3:$AJ$87,32,FALSE))</f>
        <v>70000</v>
      </c>
      <c r="AE6" s="91">
        <v>1</v>
      </c>
      <c r="AF6" s="103">
        <v>1</v>
      </c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215"/>
      <c r="AN6" s="283" t="s">
        <v>83</v>
      </c>
      <c r="AO6" s="65"/>
      <c r="AP6" s="284"/>
      <c r="AQ6" s="285"/>
      <c r="AR6" s="215"/>
      <c r="AS6" s="283" t="s">
        <v>83</v>
      </c>
      <c r="AT6" s="284"/>
      <c r="AU6" s="284"/>
      <c r="AV6" s="286"/>
      <c r="AW6" s="285"/>
      <c r="AX6" s="287"/>
      <c r="AY6" s="288"/>
    </row>
    <row r="7" spans="1:51" ht="17.25" customHeight="1">
      <c r="A7" s="5"/>
      <c r="B7" s="259">
        <v>4</v>
      </c>
      <c r="C7" s="365" t="s">
        <v>256</v>
      </c>
      <c r="D7" s="133" t="s">
        <v>242</v>
      </c>
      <c r="E7" s="73">
        <f>IF(LEFT($D7,6)&lt;&gt;"Star: ",IFERROR(VLOOKUP($I$22&amp;$D7,'Database-Hidden'!$C$2:$J$120,4,FALSE)-P7+AG7,""),VLOOKUP(RIGHT($D7,LEN($D7)-6),'Star Players-Hidden'!$A$3:$AK$87,33,FALSE))</f>
        <v>4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2</v>
      </c>
      <c r="H7" s="75">
        <f>IF(LEFT($D7,6)&lt;&gt;"Star: ",IFERROR(VLOOKUP($I$22&amp;$D7,'Database-Hidden'!$C$2:$J$120,7,FALSE)-S7+AJ7,""),VLOOKUP(RIGHT($D7,LEN($D7)-6),'Star Players-Hidden'!$A$3:$AK$87,36,FALSE))</f>
        <v>9</v>
      </c>
      <c r="I7" s="76" t="str">
        <f>IF(LEFT($D7,6)&lt;&gt;"Star: ",IFERROR(VLOOKUP($I$22&amp;$D7,'Database-Hidden'!$C$2:$J$120,8,FALSE),""),VLOOKUP(RIGHT($D7,LEN($D7)-6),'Star Players-Hidden'!$A$3:$AK$87,31,FALSE))</f>
        <v>Block, Tackle, Thick Skull</v>
      </c>
      <c r="J7" s="77" t="s">
        <v>82</v>
      </c>
      <c r="K7" s="263">
        <f t="shared" si="0"/>
        <v>1</v>
      </c>
      <c r="L7" s="265"/>
      <c r="M7" s="264"/>
      <c r="N7" s="265">
        <v>2</v>
      </c>
      <c r="O7" s="264"/>
      <c r="P7" s="266"/>
      <c r="Q7" s="267"/>
      <c r="R7" s="268"/>
      <c r="S7" s="269"/>
      <c r="T7" s="270"/>
      <c r="U7" s="272"/>
      <c r="V7" s="270"/>
      <c r="W7" s="190">
        <v>1</v>
      </c>
      <c r="X7" s="274"/>
      <c r="Y7" s="83"/>
      <c r="Z7" s="275">
        <v>1</v>
      </c>
      <c r="AA7" s="276">
        <f t="shared" si="1"/>
        <v>7</v>
      </c>
      <c r="AB7" s="58">
        <f t="shared" si="2"/>
        <v>90000</v>
      </c>
      <c r="AC7" s="4"/>
      <c r="AD7" s="116">
        <f>IF(LEFT($D7,6)&lt;&gt;"Star: ",IFERROR(VLOOKUP($I$22&amp;D7,'Database-Hidden'!$C$2:$E$120,3,FALSE),""),VLOOKUP(RIGHT($D7,LEN($D7)-6),'Star Players-Hidden'!$A$3:$AJ$87,32,FALSE))</f>
        <v>70000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215"/>
      <c r="AN7" s="283" t="s">
        <v>86</v>
      </c>
      <c r="AO7" s="65"/>
      <c r="AP7" s="298"/>
      <c r="AQ7" s="299"/>
      <c r="AR7" s="215"/>
      <c r="AS7" s="283" t="s">
        <v>86</v>
      </c>
      <c r="AT7" s="284"/>
      <c r="AU7" s="284"/>
      <c r="AV7" s="286"/>
      <c r="AW7" s="285"/>
      <c r="AX7" s="287"/>
      <c r="AY7" s="290"/>
    </row>
    <row r="8" spans="1:51" ht="17.25" customHeight="1">
      <c r="A8" s="5"/>
      <c r="B8" s="259">
        <v>5</v>
      </c>
      <c r="C8" s="363" t="s">
        <v>260</v>
      </c>
      <c r="D8" s="133" t="s">
        <v>242</v>
      </c>
      <c r="E8" s="73">
        <f>IF(LEFT($D8,6)&lt;&gt;"Star: ",IFERROR(VLOOKUP($I$22&amp;$D8,'Database-Hidden'!$C$2:$J$120,4,FALSE)-P8+AG8,""),VLOOKUP(RIGHT($D8,LEN($D8)-6),'Star Players-Hidden'!$A$3:$AK$87,33,FALSE))</f>
        <v>4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2</v>
      </c>
      <c r="H8" s="75">
        <f>IF(LEFT($D8,6)&lt;&gt;"Star: ",IFERROR(VLOOKUP($I$22&amp;$D8,'Database-Hidden'!$C$2:$J$120,7,FALSE)-S8+AJ8,""),VLOOKUP(RIGHT($D8,LEN($D8)-6),'Star Players-Hidden'!$A$3:$AK$87,36,FALSE))</f>
        <v>9</v>
      </c>
      <c r="I8" s="76" t="str">
        <f>IF(LEFT($D8,6)&lt;&gt;"Star: ",IFERROR(VLOOKUP($I$22&amp;$D8,'Database-Hidden'!$C$2:$J$120,8,FALSE),""),VLOOKUP(RIGHT($D8,LEN($D8)-6),'Star Players-Hidden'!$A$3:$AK$87,31,FALSE))</f>
        <v>Block, Tackle, Thick Skull</v>
      </c>
      <c r="J8" s="102"/>
      <c r="K8" s="263">
        <f t="shared" si="0"/>
        <v>0</v>
      </c>
      <c r="L8" s="264"/>
      <c r="M8" s="264"/>
      <c r="N8" s="265">
        <v>0</v>
      </c>
      <c r="O8" s="264"/>
      <c r="P8" s="266"/>
      <c r="Q8" s="267"/>
      <c r="R8" s="268"/>
      <c r="S8" s="269"/>
      <c r="T8" s="270"/>
      <c r="U8" s="272"/>
      <c r="V8" s="270"/>
      <c r="W8" s="190"/>
      <c r="X8" s="274"/>
      <c r="Y8" s="83"/>
      <c r="Z8" s="275"/>
      <c r="AA8" s="276">
        <f t="shared" si="1"/>
        <v>0</v>
      </c>
      <c r="AB8" s="58">
        <f t="shared" si="2"/>
        <v>70000</v>
      </c>
      <c r="AC8" s="4"/>
      <c r="AD8" s="116">
        <f>IF(LEFT($D8,6)&lt;&gt;"Star: ",IFERROR(VLOOKUP($I$22&amp;D8,'Database-Hidden'!$C$2:$E$120,3,FALSE),""),VLOOKUP(RIGHT($D8,LEN($D8)-6),'Star Players-Hidden'!$A$3:$AJ$87,32,FALSE))</f>
        <v>70000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215"/>
      <c r="AN8" s="283" t="s">
        <v>90</v>
      </c>
      <c r="AO8" s="65"/>
      <c r="AP8" s="284"/>
      <c r="AQ8" s="299"/>
      <c r="AR8" s="215"/>
      <c r="AS8" s="283" t="s">
        <v>90</v>
      </c>
      <c r="AT8" s="284"/>
      <c r="AU8" s="284"/>
      <c r="AV8" s="286"/>
      <c r="AW8" s="285"/>
      <c r="AX8" s="287"/>
      <c r="AY8" s="291"/>
    </row>
    <row r="9" spans="1:51" ht="17.25" customHeight="1">
      <c r="A9" s="5"/>
      <c r="B9" s="259">
        <v>6</v>
      </c>
      <c r="C9" s="365"/>
      <c r="D9" s="72"/>
      <c r="E9" s="73" t="str">
        <f>IF(LEFT($D9,6)&lt;&gt;"Star: ",IFERROR(VLOOKUP($I$22&amp;$D9,'Database-Hidden'!$C$2:$J$120,4,FALSE)-P9+AG9,""),VLOOKUP(RIGHT($D9,LEN($D9)-6),'Star Players-Hidden'!$A$3:$AK$87,33,FALSE))</f>
        <v/>
      </c>
      <c r="F9" s="73" t="str">
        <f>IF(LEFT($D9,6)&lt;&gt;"Star: ",IFERROR(VLOOKUP($I$22&amp;$D9,'Database-Hidden'!$C$2:$J$120,5,FALSE)-Q9+AH9,""),VLOOKUP(RIGHT($D9,LEN($D9)-6),'Star Players-Hidden'!$A$3:$AK$87,34,FALSE))</f>
        <v/>
      </c>
      <c r="G9" s="73" t="str">
        <f>IF(LEFT($D9,6)&lt;&gt;"Star: ",IFERROR(VLOOKUP($I$22&amp;$D9,'Database-Hidden'!$C$2:$J$120,6,FALSE)-R9+AI9,""),VLOOKUP(RIGHT($D9,LEN($D9)-6),'Star Players-Hidden'!$A$3:$AK$87,35,FALSE))</f>
        <v/>
      </c>
      <c r="H9" s="75" t="str">
        <f>IF(LEFT($D9,6)&lt;&gt;"Star: ",IFERROR(VLOOKUP($I$22&amp;$D9,'Database-Hidden'!$C$2:$J$120,7,FALSE)-S9+AJ9,""),VLOOKUP(RIGHT($D9,LEN($D9)-6),'Star Players-Hidden'!$A$3:$AK$87,36,FALSE))</f>
        <v/>
      </c>
      <c r="I9" s="76" t="str">
        <f>IF(LEFT($D9,6)&lt;&gt;"Star: ",IFERROR(VLOOKUP($I$22&amp;$D9,'Database-Hidden'!$C$2:$J$120,8,FALSE),""),VLOOKUP(RIGHT($D9,LEN($D9)-6),'Star Players-Hidden'!$A$3:$AK$87,31,FALSE))</f>
        <v/>
      </c>
      <c r="J9" s="102"/>
      <c r="K9" s="263">
        <f t="shared" si="0"/>
        <v>0</v>
      </c>
      <c r="L9" s="264"/>
      <c r="M9" s="264"/>
      <c r="N9" s="265"/>
      <c r="O9" s="264"/>
      <c r="P9" s="266"/>
      <c r="Q9" s="267"/>
      <c r="R9" s="268"/>
      <c r="S9" s="367"/>
      <c r="T9" s="270"/>
      <c r="U9" s="272"/>
      <c r="V9" s="270"/>
      <c r="W9" s="190"/>
      <c r="X9" s="274"/>
      <c r="Y9" s="83"/>
      <c r="Z9" s="275"/>
      <c r="AA9" s="276">
        <f t="shared" si="1"/>
        <v>0</v>
      </c>
      <c r="AB9" s="58"/>
      <c r="AC9" s="4"/>
      <c r="AD9" s="116" t="str">
        <f>IF(LEFT($D9,6)&lt;&gt;"Star: ",IFERROR(VLOOKUP($I$22&amp;D9,'Database-Hidden'!$C$2:$E$120,3,FALSE),""),VLOOKUP(RIGHT($D9,LEN($D9)-6),'Star Players-Hidden'!$A$3:$AJ$87,32,FALSE))</f>
        <v/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215"/>
      <c r="AN9" s="283" t="s">
        <v>94</v>
      </c>
      <c r="AO9" s="65"/>
      <c r="AP9" s="298"/>
      <c r="AQ9" s="299"/>
      <c r="AR9" s="215"/>
      <c r="AS9" s="283" t="s">
        <v>94</v>
      </c>
      <c r="AT9" s="284"/>
      <c r="AU9" s="284"/>
      <c r="AV9" s="286"/>
      <c r="AW9" s="285"/>
      <c r="AX9" s="287"/>
      <c r="AY9" s="291"/>
    </row>
    <row r="10" spans="1:51" ht="17.25" customHeight="1">
      <c r="A10" s="5"/>
      <c r="B10" s="259">
        <v>7</v>
      </c>
      <c r="C10" s="260" t="s">
        <v>268</v>
      </c>
      <c r="D10" s="72" t="s">
        <v>269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8</v>
      </c>
      <c r="I10" s="76" t="str">
        <f>IF(LEFT($D10,6)&lt;&gt;"Star: ",IFERROR(VLOOKUP($I$22&amp;$D10,'Database-Hidden'!$C$2:$J$120,8,FALSE),""),VLOOKUP(RIGHT($D10,LEN($D10)-6),'Star Players-Hidden'!$A$3:$AK$87,31,FALSE))</f>
        <v>Sure Hands, Thick Skull</v>
      </c>
      <c r="J10" s="77" t="s">
        <v>272</v>
      </c>
      <c r="K10" s="263">
        <f t="shared" si="0"/>
        <v>3</v>
      </c>
      <c r="L10" s="264"/>
      <c r="M10" s="264"/>
      <c r="N10" s="265">
        <v>2</v>
      </c>
      <c r="O10" s="265">
        <v>1</v>
      </c>
      <c r="P10" s="266"/>
      <c r="Q10" s="267"/>
      <c r="R10" s="268"/>
      <c r="S10" s="269"/>
      <c r="T10" s="270"/>
      <c r="U10" s="190">
        <v>5</v>
      </c>
      <c r="V10" s="271">
        <v>6</v>
      </c>
      <c r="W10" s="190">
        <v>5</v>
      </c>
      <c r="X10" s="274"/>
      <c r="Y10" s="83"/>
      <c r="Z10" s="275">
        <v>2</v>
      </c>
      <c r="AA10" s="276">
        <f t="shared" si="1"/>
        <v>43</v>
      </c>
      <c r="AB10" s="58">
        <f t="shared" si="2"/>
        <v>160000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80000</v>
      </c>
      <c r="AE10" s="91">
        <v>3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215"/>
      <c r="AN10" s="283" t="s">
        <v>96</v>
      </c>
      <c r="AO10" s="65"/>
      <c r="AP10" s="298"/>
      <c r="AQ10" s="299"/>
      <c r="AR10" s="215"/>
      <c r="AS10" s="283" t="s">
        <v>96</v>
      </c>
      <c r="AT10" s="284"/>
      <c r="AU10" s="284"/>
      <c r="AV10" s="286"/>
      <c r="AW10" s="285"/>
      <c r="AX10" s="287"/>
      <c r="AY10" s="291"/>
    </row>
    <row r="11" spans="1:51" ht="17.25" customHeight="1">
      <c r="A11" s="5"/>
      <c r="B11" s="259">
        <v>8</v>
      </c>
      <c r="C11" s="363" t="s">
        <v>276</v>
      </c>
      <c r="D11" s="370" t="s">
        <v>101</v>
      </c>
      <c r="E11" s="73">
        <f>IF(LEFT($D11,6)&lt;&gt;"Star: ",IFERROR(VLOOKUP($I$22&amp;$D11,'Database-Hidden'!$C$2:$J$120,4,FALSE)-P11+AG11,""),VLOOKUP(RIGHT($D11,LEN($D11)-6),'Star Players-Hidden'!$A$3:$AK$87,33,FALSE))</f>
        <v>5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9</v>
      </c>
      <c r="I11" s="76" t="str">
        <f>IF(LEFT($D11,6)&lt;&gt;"Star: ",IFERROR(VLOOKUP($I$22&amp;$D11,'Database-Hidden'!$C$2:$J$120,8,FALSE),""),VLOOKUP(RIGHT($D11,LEN($D11)-6),'Star Players-Hidden'!$A$3:$AK$87,31,FALSE))</f>
        <v>Block, Thick Skull</v>
      </c>
      <c r="J11" s="77" t="s">
        <v>252</v>
      </c>
      <c r="K11" s="263">
        <f t="shared" si="0"/>
        <v>1</v>
      </c>
      <c r="L11" s="265"/>
      <c r="M11" s="264"/>
      <c r="N11" s="265">
        <v>1</v>
      </c>
      <c r="O11" s="264"/>
      <c r="P11" s="266"/>
      <c r="Q11" s="267"/>
      <c r="R11" s="268"/>
      <c r="S11" s="269"/>
      <c r="T11" s="270"/>
      <c r="U11" s="272"/>
      <c r="V11" s="271">
        <v>1</v>
      </c>
      <c r="W11" s="190">
        <v>1</v>
      </c>
      <c r="X11" s="274"/>
      <c r="Y11" s="83"/>
      <c r="Z11" s="275">
        <v>1</v>
      </c>
      <c r="AA11" s="276">
        <f t="shared" si="1"/>
        <v>10</v>
      </c>
      <c r="AB11" s="58">
        <f t="shared" si="2"/>
        <v>100000</v>
      </c>
      <c r="AC11" s="4"/>
      <c r="AD11" s="116">
        <f>IF(LEFT($D11,6)&lt;&gt;"Star: ",IFERROR(VLOOKUP($I$22&amp;D11,'Database-Hidden'!$C$2:$E$120,3,FALSE),""),VLOOKUP(RIGHT($D11,LEN($D11)-6),'Star Players-Hidden'!$A$3:$AJ$87,32,FALSE))</f>
        <v>80000</v>
      </c>
      <c r="AE11" s="138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215"/>
      <c r="AN11" s="283" t="s">
        <v>99</v>
      </c>
      <c r="AO11" s="65"/>
      <c r="AP11" s="298"/>
      <c r="AQ11" s="299"/>
      <c r="AR11" s="215"/>
      <c r="AS11" s="283" t="s">
        <v>99</v>
      </c>
      <c r="AT11" s="284"/>
      <c r="AU11" s="284"/>
      <c r="AV11" s="286"/>
      <c r="AW11" s="285"/>
      <c r="AX11" s="287"/>
      <c r="AY11" s="291"/>
    </row>
    <row r="12" spans="1:51" ht="17.25" customHeight="1">
      <c r="A12" s="5"/>
      <c r="B12" s="259">
        <v>9</v>
      </c>
      <c r="C12" s="365" t="s">
        <v>280</v>
      </c>
      <c r="D12" s="371" t="s">
        <v>101</v>
      </c>
      <c r="E12" s="73">
        <f>IF(LEFT($D12,6)&lt;&gt;"Star: ",IFERROR(VLOOKUP($I$22&amp;$D12,'Database-Hidden'!$C$2:$J$120,4,FALSE)-P12+AG12,""),VLOOKUP(RIGHT($D12,LEN($D12)-6),'Star Players-Hidden'!$A$3:$AK$87,33,FALSE))</f>
        <v>5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9</v>
      </c>
      <c r="I12" s="76" t="str">
        <f>IF(LEFT($D12,6)&lt;&gt;"Star: ",IFERROR(VLOOKUP($I$22&amp;$D12,'Database-Hidden'!$C$2:$J$120,8,FALSE),""),VLOOKUP(RIGHT($D12,LEN($D12)-6),'Star Players-Hidden'!$A$3:$AK$87,31,FALSE))</f>
        <v>Block, Thick Skull</v>
      </c>
      <c r="J12" s="77" t="s">
        <v>281</v>
      </c>
      <c r="K12" s="263">
        <f t="shared" si="0"/>
        <v>2</v>
      </c>
      <c r="L12" s="265"/>
      <c r="M12" s="264"/>
      <c r="N12" s="265">
        <v>2</v>
      </c>
      <c r="O12" s="265">
        <v>1</v>
      </c>
      <c r="P12" s="266"/>
      <c r="Q12" s="267"/>
      <c r="R12" s="268"/>
      <c r="S12" s="269"/>
      <c r="T12" s="270"/>
      <c r="U12" s="272"/>
      <c r="V12" s="271">
        <v>2</v>
      </c>
      <c r="W12" s="190">
        <v>3</v>
      </c>
      <c r="X12" s="274"/>
      <c r="Y12" s="83"/>
      <c r="Z12" s="275">
        <v>2</v>
      </c>
      <c r="AA12" s="276">
        <f t="shared" si="1"/>
        <v>22</v>
      </c>
      <c r="AB12" s="58">
        <f t="shared" si="2"/>
        <v>140000</v>
      </c>
      <c r="AC12" s="4"/>
      <c r="AD12" s="116">
        <f>IF(LEFT($D12,6)&lt;&gt;"Star: ",IFERROR(VLOOKUP($I$22&amp;D12,'Database-Hidden'!$C$2:$E$120,3,FALSE),""),VLOOKUP(RIGHT($D12,LEN($D12)-6),'Star Players-Hidden'!$A$3:$AJ$87,32,FALSE))</f>
        <v>80000</v>
      </c>
      <c r="AE12" s="138">
        <v>2</v>
      </c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215"/>
      <c r="AN12" s="283" t="s">
        <v>102</v>
      </c>
      <c r="AO12" s="297"/>
      <c r="AP12" s="298"/>
      <c r="AQ12" s="299"/>
      <c r="AR12" s="215"/>
      <c r="AS12" s="283" t="s">
        <v>102</v>
      </c>
      <c r="AT12" s="298"/>
      <c r="AU12" s="298"/>
      <c r="AV12" s="300"/>
      <c r="AW12" s="299"/>
      <c r="AX12" s="301"/>
      <c r="AY12" s="291"/>
    </row>
    <row r="13" spans="1:51" ht="17.25" customHeight="1">
      <c r="A13" s="5"/>
      <c r="B13" s="259">
        <v>10</v>
      </c>
      <c r="C13" s="260" t="s">
        <v>284</v>
      </c>
      <c r="D13" s="72" t="s">
        <v>285</v>
      </c>
      <c r="E13" s="73">
        <f>IF(LEFT($D13,6)&lt;&gt;"Star: ",IFERROR(VLOOKUP($I$22&amp;$D13,'Database-Hidden'!$C$2:$J$120,4,FALSE)-P13+AG13,""),VLOOKUP(RIGHT($D13,LEN($D13)-6),'Star Players-Hidden'!$A$3:$AK$87,33,FALSE))</f>
        <v>5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2</v>
      </c>
      <c r="H13" s="75">
        <f>IF(LEFT($D13,6)&lt;&gt;"Star: ",IFERROR(VLOOKUP($I$22&amp;$D13,'Database-Hidden'!$C$2:$J$120,7,FALSE)-S13+AJ13,""),VLOOKUP(RIGHT($D13,LEN($D13)-6),'Star Players-Hidden'!$A$3:$AK$87,36,FALSE))</f>
        <v>8</v>
      </c>
      <c r="I13" s="76" t="str">
        <f>IF(LEFT($D13,6)&lt;&gt;"Star: ",IFERROR(VLOOKUP($I$22&amp;$D13,'Database-Hidden'!$C$2:$J$120,8,FALSE),""),VLOOKUP(RIGHT($D13,LEN($D13)-6),'Star Players-Hidden'!$A$3:$AK$87,31,FALSE))</f>
        <v>Block, Dauntless, Frenzy, Thick Skull</v>
      </c>
      <c r="J13" s="77"/>
      <c r="K13" s="263">
        <f t="shared" si="0"/>
        <v>0</v>
      </c>
      <c r="L13" s="264"/>
      <c r="M13" s="264"/>
      <c r="N13" s="265">
        <v>0</v>
      </c>
      <c r="O13" s="264"/>
      <c r="P13" s="266"/>
      <c r="Q13" s="267"/>
      <c r="R13" s="268"/>
      <c r="S13" s="269"/>
      <c r="T13" s="270"/>
      <c r="U13" s="272"/>
      <c r="V13" s="271"/>
      <c r="W13" s="190"/>
      <c r="X13" s="274"/>
      <c r="Y13" s="83"/>
      <c r="Z13" s="275"/>
      <c r="AA13" s="276">
        <f t="shared" si="1"/>
        <v>0</v>
      </c>
      <c r="AB13" s="58">
        <f t="shared" si="2"/>
        <v>90000</v>
      </c>
      <c r="AC13" s="4"/>
      <c r="AD13" s="116">
        <f>IF(LEFT($D13,6)&lt;&gt;"Star: ",IFERROR(VLOOKUP($I$22&amp;D13,'Database-Hidden'!$C$2:$E$120,3,FALSE),""),VLOOKUP(RIGHT($D13,LEN($D13)-6),'Star Players-Hidden'!$A$3:$AJ$87,32,FALSE))</f>
        <v>90000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215"/>
      <c r="AN13" s="283" t="s">
        <v>105</v>
      </c>
      <c r="AO13" s="297"/>
      <c r="AP13" s="298"/>
      <c r="AQ13" s="299"/>
      <c r="AR13" s="215"/>
      <c r="AS13" s="283" t="s">
        <v>105</v>
      </c>
      <c r="AT13" s="298"/>
      <c r="AU13" s="298"/>
      <c r="AV13" s="300"/>
      <c r="AW13" s="299"/>
      <c r="AX13" s="301"/>
      <c r="AY13" s="291"/>
    </row>
    <row r="14" spans="1:51" ht="17.25" customHeight="1">
      <c r="A14" s="5"/>
      <c r="B14" s="259">
        <v>11</v>
      </c>
      <c r="C14" s="363" t="s">
        <v>287</v>
      </c>
      <c r="D14" s="371" t="s">
        <v>285</v>
      </c>
      <c r="E14" s="73">
        <f>IF(LEFT($D14,6)&lt;&gt;"Star: ",IFERROR(VLOOKUP($I$22&amp;$D14,'Database-Hidden'!$C$2:$J$120,4,FALSE)-P14+AG14,""),VLOOKUP(RIGHT($D14,LEN($D14)-6),'Star Players-Hidden'!$A$3:$AK$87,33,FALSE))</f>
        <v>5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2</v>
      </c>
      <c r="H14" s="75">
        <f>IF(LEFT($D14,6)&lt;&gt;"Star: ",IFERROR(VLOOKUP($I$22&amp;$D14,'Database-Hidden'!$C$2:$J$120,7,FALSE)-S14+AJ14,""),VLOOKUP(RIGHT($D14,LEN($D14)-6),'Star Players-Hidden'!$A$3:$AK$87,36,FALSE))</f>
        <v>8</v>
      </c>
      <c r="I14" s="76" t="str">
        <f>IF(LEFT($D14,6)&lt;&gt;"Star: ",IFERROR(VLOOKUP($I$22&amp;$D14,'Database-Hidden'!$C$2:$J$120,8,FALSE),""),VLOOKUP(RIGHT($D14,LEN($D14)-6),'Star Players-Hidden'!$A$3:$AK$87,31,FALSE))</f>
        <v>Block, Dauntless, Frenzy, Thick Skull</v>
      </c>
      <c r="J14" s="77"/>
      <c r="K14" s="263">
        <f t="shared" si="0"/>
        <v>0</v>
      </c>
      <c r="L14" s="265"/>
      <c r="M14" s="264"/>
      <c r="N14" s="265">
        <v>0</v>
      </c>
      <c r="O14" s="264"/>
      <c r="P14" s="266"/>
      <c r="Q14" s="267"/>
      <c r="R14" s="268"/>
      <c r="S14" s="269"/>
      <c r="T14" s="270"/>
      <c r="U14" s="272"/>
      <c r="V14" s="270"/>
      <c r="W14" s="190"/>
      <c r="X14" s="274"/>
      <c r="Y14" s="83"/>
      <c r="Z14" s="275"/>
      <c r="AA14" s="276">
        <f t="shared" si="1"/>
        <v>0</v>
      </c>
      <c r="AB14" s="58">
        <f t="shared" si="2"/>
        <v>90000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90000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215"/>
      <c r="AN14" s="283" t="s">
        <v>109</v>
      </c>
      <c r="AO14" s="297"/>
      <c r="AP14" s="298"/>
      <c r="AQ14" s="299"/>
      <c r="AR14" s="215"/>
      <c r="AS14" s="283" t="s">
        <v>109</v>
      </c>
      <c r="AT14" s="298"/>
      <c r="AU14" s="298"/>
      <c r="AV14" s="300"/>
      <c r="AW14" s="299"/>
      <c r="AX14" s="301"/>
      <c r="AY14" s="291"/>
    </row>
    <row r="15" spans="1:51" ht="17.25" customHeight="1">
      <c r="A15" s="5"/>
      <c r="B15" s="259">
        <v>12</v>
      </c>
      <c r="C15" s="365" t="s">
        <v>292</v>
      </c>
      <c r="D15" s="371" t="s">
        <v>269</v>
      </c>
      <c r="E15" s="73">
        <f>IF(LEFT($D15,6)&lt;&gt;"Star: ",IFERROR(VLOOKUP($I$22&amp;$D15,'Database-Hidden'!$C$2:$J$120,4,FALSE)-P15+AG15,""),VLOOKUP(RIGHT($D15,LEN($D15)-6),'Star Players-Hidden'!$A$3:$AK$87,33,FALSE))</f>
        <v>6</v>
      </c>
      <c r="F15" s="73">
        <f>IF(LEFT($D15,6)&lt;&gt;"Star: ",IFERROR(VLOOKUP($I$22&amp;$D15,'Database-Hidden'!$C$2:$J$120,5,FALSE)-Q15+AH15,""),VLOOKUP(RIGHT($D15,LEN($D15)-6),'Star Players-Hidden'!$A$3:$AK$87,34,FALSE))</f>
        <v>3</v>
      </c>
      <c r="G15" s="73">
        <f>IF(LEFT($D15,6)&lt;&gt;"Star: ",IFERROR(VLOOKUP($I$22&amp;$D15,'Database-Hidden'!$C$2:$J$120,6,FALSE)-R15+AI15,""),VLOOKUP(RIGHT($D15,LEN($D15)-6),'Star Players-Hidden'!$A$3:$AK$87,35,FALSE))</f>
        <v>4</v>
      </c>
      <c r="H15" s="75">
        <f>IF(LEFT($D15,6)&lt;&gt;"Star: ",IFERROR(VLOOKUP($I$22&amp;$D15,'Database-Hidden'!$C$2:$J$120,7,FALSE)-S15+AJ15,""),VLOOKUP(RIGHT($D15,LEN($D15)-6),'Star Players-Hidden'!$A$3:$AK$87,36,FALSE))</f>
        <v>7</v>
      </c>
      <c r="I15" s="76" t="str">
        <f>IF(LEFT($D15,6)&lt;&gt;"Star: ",IFERROR(VLOOKUP($I$22&amp;$D15,'Database-Hidden'!$C$2:$J$120,8,FALSE),""),VLOOKUP(RIGHT($D15,LEN($D15)-6),'Star Players-Hidden'!$A$3:$AK$87,31,FALSE))</f>
        <v>Sure Hands, Thick Skull</v>
      </c>
      <c r="J15" s="77" t="s">
        <v>155</v>
      </c>
      <c r="K15" s="263">
        <f t="shared" si="0"/>
        <v>2</v>
      </c>
      <c r="L15" s="264"/>
      <c r="M15" s="264"/>
      <c r="N15" s="265">
        <v>2</v>
      </c>
      <c r="O15" s="264"/>
      <c r="P15" s="266"/>
      <c r="Q15" s="267"/>
      <c r="R15" s="268"/>
      <c r="S15" s="367">
        <v>1</v>
      </c>
      <c r="T15" s="270"/>
      <c r="U15" s="190">
        <v>5</v>
      </c>
      <c r="V15" s="271">
        <v>3</v>
      </c>
      <c r="W15" s="190">
        <v>1</v>
      </c>
      <c r="X15" s="292">
        <v>1</v>
      </c>
      <c r="Y15" s="83"/>
      <c r="Z15" s="275"/>
      <c r="AA15" s="276">
        <f t="shared" si="1"/>
        <v>16</v>
      </c>
      <c r="AB15" s="58">
        <f t="shared" si="2"/>
        <v>140000</v>
      </c>
      <c r="AC15" s="4"/>
      <c r="AD15" s="116">
        <f>IF(LEFT($D15,6)&lt;&gt;"Star: ",IFERROR(VLOOKUP($I$22&amp;D15,'Database-Hidden'!$C$2:$E$120,3,FALSE),""),VLOOKUP(RIGHT($D15,LEN($D15)-6),'Star Players-Hidden'!$A$3:$AJ$87,32,FALSE))</f>
        <v>80000</v>
      </c>
      <c r="AE15" s="91">
        <v>1</v>
      </c>
      <c r="AF15" s="103"/>
      <c r="AG15" s="103"/>
      <c r="AH15" s="103"/>
      <c r="AI15" s="103">
        <v>1</v>
      </c>
      <c r="AJ15" s="103"/>
      <c r="AK15" s="62"/>
      <c r="AL15" s="63" t="str">
        <f>IF(LEFT($D15,6)&lt;&gt;"Star: ","",VLOOKUP(RIGHT($D15,LEN($D15)-6),'Star Players-Hidden'!$A$3:$AK$87,37,FALSE))</f>
        <v/>
      </c>
      <c r="AM15" s="215"/>
      <c r="AN15" s="283" t="s">
        <v>110</v>
      </c>
      <c r="AO15" s="297"/>
      <c r="AP15" s="298"/>
      <c r="AQ15" s="299"/>
      <c r="AR15" s="215"/>
      <c r="AS15" s="283" t="s">
        <v>110</v>
      </c>
      <c r="AT15" s="298"/>
      <c r="AU15" s="298"/>
      <c r="AV15" s="300"/>
      <c r="AW15" s="299"/>
      <c r="AX15" s="301"/>
      <c r="AY15" s="291"/>
    </row>
    <row r="16" spans="1:51" ht="17.25" customHeight="1">
      <c r="A16" s="5"/>
      <c r="B16" s="259">
        <v>13</v>
      </c>
      <c r="C16" s="373"/>
      <c r="D16" s="72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77"/>
      <c r="K16" s="263">
        <f t="shared" si="0"/>
        <v>0</v>
      </c>
      <c r="L16" s="264"/>
      <c r="M16" s="264"/>
      <c r="N16" s="264"/>
      <c r="O16" s="264"/>
      <c r="P16" s="266"/>
      <c r="Q16" s="267"/>
      <c r="R16" s="268"/>
      <c r="S16" s="269"/>
      <c r="T16" s="270"/>
      <c r="U16" s="272"/>
      <c r="V16" s="270"/>
      <c r="W16" s="272"/>
      <c r="X16" s="274"/>
      <c r="Y16" s="83"/>
      <c r="Z16" s="275"/>
      <c r="AA16" s="276">
        <f t="shared" si="1"/>
        <v>0</v>
      </c>
      <c r="AB16" s="58"/>
      <c r="AC16" s="4"/>
      <c r="AD16" s="116" t="str">
        <f>IF(LEFT($D16,6)&lt;&gt;"Star: ",IFERROR(VLOOKUP($I$22&amp;D16,'Database-Hidden'!$C$2:$E$120,3,FALSE),""),VLOOKUP(RIGHT($D16,LEN($D16)-6),'Star Players-Hidden'!$A$3:$AJ$87,32,FALSE))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215"/>
      <c r="AN16" s="283" t="s">
        <v>114</v>
      </c>
      <c r="AO16" s="297"/>
      <c r="AP16" s="298"/>
      <c r="AQ16" s="299"/>
      <c r="AR16" s="215"/>
      <c r="AS16" s="283" t="s">
        <v>114</v>
      </c>
      <c r="AT16" s="298"/>
      <c r="AU16" s="298"/>
      <c r="AV16" s="300"/>
      <c r="AW16" s="299"/>
      <c r="AX16" s="301"/>
      <c r="AY16" s="291"/>
    </row>
    <row r="17" spans="1:51" ht="17.25" customHeight="1">
      <c r="A17" s="5"/>
      <c r="B17" s="259">
        <v>14</v>
      </c>
      <c r="C17" s="373"/>
      <c r="D17" s="133"/>
      <c r="E17" s="73" t="str">
        <f>IF(LEFT($D17,6)&lt;&gt;"Star: ",IFERROR(VLOOKUP($I$22&amp;$D17,'Database-Hidden'!$C$2:$J$120,4,FALSE)-P17+AG17,""),VLOOKUP(RIGHT($D17,LEN($D17)-6),'Star Players-Hidden'!$A$3:$AK$87,33,FALSE))</f>
        <v/>
      </c>
      <c r="F17" s="73" t="str">
        <f>IF(LEFT($D17,6)&lt;&gt;"Star: ",IFERROR(VLOOKUP($I$22&amp;$D17,'Database-Hidden'!$C$2:$J$120,5,FALSE)-Q17+AH17,""),VLOOKUP(RIGHT($D17,LEN($D17)-6),'Star Players-Hidden'!$A$3:$AK$87,34,FALSE))</f>
        <v/>
      </c>
      <c r="G17" s="73" t="str">
        <f>IF(LEFT($D17,6)&lt;&gt;"Star: ",IFERROR(VLOOKUP($I$22&amp;$D17,'Database-Hidden'!$C$2:$J$120,6,FALSE)-R17+AI17,""),VLOOKUP(RIGHT($D17,LEN($D17)-6),'Star Players-Hidden'!$A$3:$AK$87,35,FALSE))</f>
        <v/>
      </c>
      <c r="H17" s="75" t="str">
        <f>IF(LEFT($D17,6)&lt;&gt;"Star: ",IFERROR(VLOOKUP($I$22&amp;$D17,'Database-Hidden'!$C$2:$J$120,7,FALSE)-S17+AJ17,""),VLOOKUP(RIGHT($D17,LEN($D17)-6),'Star Players-Hidden'!$A$3:$AK$87,36,FALSE))</f>
        <v/>
      </c>
      <c r="I17" s="76" t="str">
        <f>IF(LEFT($D17,6)&lt;&gt;"Star: ",IFERROR(VLOOKUP($I$22&amp;$D17,'Database-Hidden'!$C$2:$J$120,8,FALSE),""),VLOOKUP(RIGHT($D17,LEN($D17)-6),'Star Players-Hidden'!$A$3:$AK$87,31,FALSE))</f>
        <v/>
      </c>
      <c r="J17" s="77"/>
      <c r="K17" s="263">
        <f t="shared" si="0"/>
        <v>0</v>
      </c>
      <c r="L17" s="264"/>
      <c r="M17" s="264"/>
      <c r="N17" s="264"/>
      <c r="O17" s="264"/>
      <c r="P17" s="266"/>
      <c r="Q17" s="267"/>
      <c r="R17" s="268"/>
      <c r="S17" s="269"/>
      <c r="T17" s="270"/>
      <c r="U17" s="272"/>
      <c r="V17" s="270"/>
      <c r="W17" s="272"/>
      <c r="X17" s="274"/>
      <c r="Y17" s="83"/>
      <c r="Z17" s="275"/>
      <c r="AA17" s="276">
        <f t="shared" si="1"/>
        <v>0</v>
      </c>
      <c r="AB17" s="58"/>
      <c r="AC17" s="4"/>
      <c r="AD17" s="116" t="str">
        <f>IF(LEFT($D17,6)&lt;&gt;"Star: ",IFERROR(VLOOKUP($I$22&amp;D17,'Database-Hidden'!$C$2:$E$120,3,FALSE),""),VLOOKUP(RIGHT($D17,LEN($D17)-6),'Star Players-Hidden'!$A$3:$AJ$87,32,FALSE))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215"/>
      <c r="AN17" s="283" t="s">
        <v>115</v>
      </c>
      <c r="AO17" s="297"/>
      <c r="AP17" s="298"/>
      <c r="AQ17" s="299"/>
      <c r="AR17" s="215"/>
      <c r="AS17" s="283" t="s">
        <v>115</v>
      </c>
      <c r="AT17" s="298"/>
      <c r="AU17" s="298"/>
      <c r="AV17" s="300"/>
      <c r="AW17" s="299"/>
      <c r="AX17" s="301"/>
      <c r="AY17" s="291"/>
    </row>
    <row r="18" spans="1:51" ht="17.25" customHeight="1">
      <c r="A18" s="5"/>
      <c r="B18" s="259">
        <v>15</v>
      </c>
      <c r="C18" s="373"/>
      <c r="D18" s="133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263">
        <f t="shared" si="0"/>
        <v>0</v>
      </c>
      <c r="L18" s="264"/>
      <c r="M18" s="264"/>
      <c r="N18" s="264"/>
      <c r="O18" s="264"/>
      <c r="P18" s="266"/>
      <c r="Q18" s="267"/>
      <c r="R18" s="268"/>
      <c r="S18" s="269"/>
      <c r="T18" s="270"/>
      <c r="U18" s="272"/>
      <c r="V18" s="270"/>
      <c r="W18" s="272"/>
      <c r="X18" s="274"/>
      <c r="Y18" s="83"/>
      <c r="Z18" s="275"/>
      <c r="AA18" s="276">
        <f t="shared" si="1"/>
        <v>0</v>
      </c>
      <c r="AB18" s="58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215"/>
      <c r="AN18" s="308" t="s">
        <v>42</v>
      </c>
      <c r="AO18" s="297">
        <f>AO4+SUM(AO6:AO17)-SUM(AP6:AP17)-SUM(AQ6:AQ17)</f>
        <v>30000</v>
      </c>
      <c r="AP18" s="215"/>
      <c r="AQ18" s="215"/>
      <c r="AR18" s="215"/>
      <c r="AS18" s="215"/>
      <c r="AT18" s="215"/>
      <c r="AU18" s="308" t="s">
        <v>42</v>
      </c>
      <c r="AV18" s="300">
        <f t="shared" ref="AV18:AW18" si="3">SUM(AV6:AV17)</f>
        <v>0</v>
      </c>
      <c r="AW18" s="309">
        <f t="shared" si="3"/>
        <v>0</v>
      </c>
      <c r="AX18" s="310">
        <f>AX4+SUM(AX6:AX17)</f>
        <v>6</v>
      </c>
      <c r="AY18" s="291"/>
    </row>
    <row r="19" spans="1:51" ht="17.25" customHeight="1">
      <c r="A19" s="5"/>
      <c r="B19" s="311">
        <v>16</v>
      </c>
      <c r="C19" s="374"/>
      <c r="D19" s="133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317">
        <f t="shared" si="0"/>
        <v>0</v>
      </c>
      <c r="L19" s="375"/>
      <c r="M19" s="318"/>
      <c r="N19" s="318"/>
      <c r="O19" s="318"/>
      <c r="P19" s="319"/>
      <c r="Q19" s="320"/>
      <c r="R19" s="321"/>
      <c r="S19" s="322"/>
      <c r="T19" s="323"/>
      <c r="U19" s="324"/>
      <c r="V19" s="323"/>
      <c r="W19" s="324"/>
      <c r="X19" s="325"/>
      <c r="Y19" s="167"/>
      <c r="Z19" s="326"/>
      <c r="AA19" s="327">
        <f t="shared" si="1"/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215"/>
      <c r="AO19" s="328"/>
      <c r="AP19" s="215"/>
      <c r="AQ19" s="215"/>
      <c r="AR19" s="215"/>
      <c r="AX19" s="179"/>
      <c r="AY19" s="215"/>
    </row>
    <row r="20" spans="1:51" ht="18" customHeight="1">
      <c r="A20" s="5"/>
      <c r="B20" s="329"/>
      <c r="C20" s="576"/>
      <c r="D20" s="519"/>
      <c r="E20" s="565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67"/>
      <c r="AB20" s="180">
        <f>SUM(AB4:AB19)</f>
        <v>1160000</v>
      </c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520" t="s">
        <v>121</v>
      </c>
      <c r="AO20" s="521"/>
      <c r="AR20" s="215"/>
      <c r="AS20" s="215"/>
      <c r="AT20" s="215"/>
      <c r="AU20" s="215"/>
      <c r="AV20" s="215"/>
      <c r="AW20" s="215"/>
      <c r="AX20" s="330"/>
      <c r="AY20" s="5"/>
    </row>
    <row r="21" spans="1:51" ht="17.25" customHeight="1">
      <c r="A21" s="5"/>
      <c r="B21" s="331"/>
      <c r="C21" s="531"/>
      <c r="D21" s="532"/>
      <c r="E21" s="578" t="s">
        <v>117</v>
      </c>
      <c r="F21" s="579"/>
      <c r="G21" s="579"/>
      <c r="H21" s="580"/>
      <c r="I21" s="572" t="s">
        <v>59</v>
      </c>
      <c r="J21" s="562"/>
      <c r="K21" s="573"/>
      <c r="L21" s="561" t="s">
        <v>119</v>
      </c>
      <c r="M21" s="562"/>
      <c r="N21" s="562"/>
      <c r="O21" s="562"/>
      <c r="P21" s="562"/>
      <c r="Q21" s="562"/>
      <c r="R21" s="562"/>
      <c r="S21" s="563"/>
      <c r="T21" s="332">
        <v>3</v>
      </c>
      <c r="U21" s="333" t="s">
        <v>47</v>
      </c>
      <c r="V21" s="570">
        <v>50000</v>
      </c>
      <c r="W21" s="562"/>
      <c r="X21" s="562"/>
      <c r="Y21" s="562"/>
      <c r="Z21" s="571"/>
      <c r="AA21" s="334" t="s">
        <v>222</v>
      </c>
      <c r="AB21" s="184">
        <f t="shared" ref="AB21:AB25" si="4">T21*V21</f>
        <v>150000</v>
      </c>
      <c r="AC21" s="215"/>
      <c r="AD21" s="376"/>
      <c r="AE21" s="376"/>
      <c r="AF21" s="215"/>
      <c r="AG21" s="215"/>
      <c r="AH21" s="215"/>
      <c r="AI21" s="215"/>
      <c r="AJ21" s="215"/>
      <c r="AK21" s="215"/>
      <c r="AL21" s="215"/>
      <c r="AM21" s="215"/>
      <c r="AN21" s="188" t="s">
        <v>123</v>
      </c>
      <c r="AO21" s="189">
        <f>AO18</f>
        <v>30000</v>
      </c>
      <c r="AR21" s="215"/>
      <c r="AS21" s="215"/>
      <c r="AT21" s="215"/>
      <c r="AU21" s="215"/>
      <c r="AV21" s="215"/>
      <c r="AW21" s="215"/>
      <c r="AX21" s="330"/>
      <c r="AY21" s="215"/>
    </row>
    <row r="22" spans="1:51" ht="17.25" customHeight="1">
      <c r="A22" s="5"/>
      <c r="B22" s="331"/>
      <c r="C22" s="531"/>
      <c r="D22" s="532"/>
      <c r="E22" s="564" t="s">
        <v>126</v>
      </c>
      <c r="F22" s="509"/>
      <c r="G22" s="509"/>
      <c r="H22" s="512"/>
      <c r="I22" s="568" t="s">
        <v>302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90">
        <f>AX18</f>
        <v>6</v>
      </c>
      <c r="U22" s="337" t="s">
        <v>47</v>
      </c>
      <c r="V22" s="559">
        <v>10000</v>
      </c>
      <c r="W22" s="509"/>
      <c r="X22" s="509"/>
      <c r="Y22" s="509"/>
      <c r="Z22" s="512"/>
      <c r="AA22" s="338" t="s">
        <v>222</v>
      </c>
      <c r="AB22" s="187">
        <f t="shared" si="4"/>
        <v>60000</v>
      </c>
      <c r="AC22" s="215"/>
      <c r="AD22" s="376"/>
      <c r="AE22" s="377"/>
      <c r="AF22" s="215"/>
      <c r="AG22" s="215"/>
      <c r="AH22" s="215"/>
      <c r="AI22" s="215"/>
      <c r="AJ22" s="215"/>
      <c r="AK22" s="215"/>
      <c r="AL22" s="215"/>
      <c r="AM22" s="215"/>
      <c r="AN22" s="192" t="s">
        <v>125</v>
      </c>
      <c r="AO22" s="193">
        <f>COUNTA(AO6:AO17)*10000</f>
        <v>0</v>
      </c>
      <c r="AR22" s="215"/>
      <c r="AS22" s="215"/>
      <c r="AT22" s="215"/>
      <c r="AU22" s="215"/>
      <c r="AV22" s="215"/>
      <c r="AW22" s="215"/>
      <c r="AX22" s="330"/>
      <c r="AY22" s="215"/>
    </row>
    <row r="23" spans="1:51" ht="17.25" customHeight="1">
      <c r="A23" s="5"/>
      <c r="B23" s="331"/>
      <c r="C23" s="531"/>
      <c r="D23" s="532"/>
      <c r="E23" s="564" t="s">
        <v>223</v>
      </c>
      <c r="F23" s="509"/>
      <c r="G23" s="509"/>
      <c r="H23" s="512"/>
      <c r="I23" s="574" t="s">
        <v>295</v>
      </c>
      <c r="J23" s="509"/>
      <c r="K23" s="510"/>
      <c r="L23" s="513" t="s">
        <v>224</v>
      </c>
      <c r="M23" s="509"/>
      <c r="N23" s="509"/>
      <c r="O23" s="509"/>
      <c r="P23" s="509"/>
      <c r="Q23" s="509"/>
      <c r="R23" s="509"/>
      <c r="S23" s="514"/>
      <c r="T23" s="190">
        <v>1</v>
      </c>
      <c r="U23" s="340" t="s">
        <v>47</v>
      </c>
      <c r="V23" s="559">
        <v>10000</v>
      </c>
      <c r="W23" s="509"/>
      <c r="X23" s="509"/>
      <c r="Y23" s="509"/>
      <c r="Z23" s="512"/>
      <c r="AA23" s="338" t="s">
        <v>222</v>
      </c>
      <c r="AB23" s="187">
        <f t="shared" si="4"/>
        <v>10000</v>
      </c>
      <c r="AC23" s="215"/>
      <c r="AD23" s="376"/>
      <c r="AE23" s="377"/>
      <c r="AF23" s="215"/>
      <c r="AG23" s="215"/>
      <c r="AH23" s="215"/>
      <c r="AI23" s="215"/>
      <c r="AJ23" s="215"/>
      <c r="AK23" s="215"/>
      <c r="AL23" s="215"/>
      <c r="AM23" s="215"/>
      <c r="AN23" s="192" t="s">
        <v>78</v>
      </c>
      <c r="AO23" s="193">
        <f>AV18*5000</f>
        <v>0</v>
      </c>
      <c r="AR23" s="215"/>
      <c r="AS23" s="215"/>
      <c r="AT23" s="215"/>
      <c r="AU23" s="215"/>
      <c r="AV23" s="215"/>
      <c r="AW23" s="215"/>
      <c r="AX23" s="330"/>
      <c r="AY23" s="215"/>
    </row>
    <row r="24" spans="1:51" ht="17.25" customHeight="1">
      <c r="A24" s="5"/>
      <c r="B24" s="331"/>
      <c r="C24" s="531"/>
      <c r="D24" s="532"/>
      <c r="E24" s="564" t="s">
        <v>131</v>
      </c>
      <c r="F24" s="509"/>
      <c r="G24" s="509"/>
      <c r="H24" s="512"/>
      <c r="I24" s="548">
        <f>AB20+AB26</f>
        <v>1430000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340" t="s">
        <v>47</v>
      </c>
      <c r="V24" s="559">
        <v>10000</v>
      </c>
      <c r="W24" s="509"/>
      <c r="X24" s="509"/>
      <c r="Y24" s="509"/>
      <c r="Z24" s="512"/>
      <c r="AA24" s="338" t="s">
        <v>222</v>
      </c>
      <c r="AB24" s="187">
        <f t="shared" si="4"/>
        <v>0</v>
      </c>
      <c r="AC24" s="215"/>
      <c r="AD24" s="376"/>
      <c r="AE24" s="377"/>
      <c r="AF24" s="215"/>
      <c r="AG24" s="215"/>
      <c r="AH24" s="215"/>
      <c r="AI24" s="215"/>
      <c r="AJ24" s="215"/>
      <c r="AK24" s="215"/>
      <c r="AL24" s="215"/>
      <c r="AM24" s="215"/>
      <c r="AN24" s="194" t="s">
        <v>130</v>
      </c>
      <c r="AO24" s="195">
        <f>AW18*5000</f>
        <v>0</v>
      </c>
      <c r="AR24" s="215"/>
      <c r="AS24" s="215"/>
      <c r="AT24" s="215"/>
      <c r="AU24" s="215"/>
      <c r="AV24" s="215"/>
      <c r="AW24" s="215"/>
      <c r="AX24" s="330"/>
      <c r="AY24" s="215"/>
    </row>
    <row r="25" spans="1:51" ht="17.25" customHeight="1">
      <c r="A25" s="5"/>
      <c r="B25" s="331"/>
      <c r="C25" s="531"/>
      <c r="D25" s="532"/>
      <c r="E25" s="575" t="s">
        <v>133</v>
      </c>
      <c r="F25" s="542"/>
      <c r="G25" s="542"/>
      <c r="H25" s="547"/>
      <c r="I25" s="549">
        <f>AO18</f>
        <v>30000</v>
      </c>
      <c r="J25" s="542"/>
      <c r="K25" s="547"/>
      <c r="L25" s="544" t="s">
        <v>225</v>
      </c>
      <c r="M25" s="542"/>
      <c r="N25" s="542"/>
      <c r="O25" s="542"/>
      <c r="P25" s="542"/>
      <c r="Q25" s="542"/>
      <c r="R25" s="542"/>
      <c r="S25" s="545"/>
      <c r="T25" s="198">
        <v>1</v>
      </c>
      <c r="U25" s="337" t="s">
        <v>47</v>
      </c>
      <c r="V25" s="560">
        <v>50000</v>
      </c>
      <c r="W25" s="542"/>
      <c r="X25" s="542"/>
      <c r="Y25" s="542"/>
      <c r="Z25" s="545"/>
      <c r="AA25" s="338" t="s">
        <v>222</v>
      </c>
      <c r="AB25" s="187">
        <f t="shared" si="4"/>
        <v>50000</v>
      </c>
      <c r="AC25" s="215"/>
      <c r="AD25" s="376"/>
      <c r="AE25" s="377"/>
      <c r="AF25" s="215"/>
      <c r="AG25" s="215"/>
      <c r="AH25" s="215"/>
      <c r="AI25" s="215"/>
      <c r="AJ25" s="215"/>
      <c r="AK25" s="215"/>
      <c r="AL25" s="215"/>
      <c r="AM25" s="215"/>
      <c r="AN25" s="196" t="s">
        <v>42</v>
      </c>
      <c r="AO25" s="197">
        <v>30000</v>
      </c>
      <c r="AR25" s="215"/>
      <c r="AS25" s="215"/>
      <c r="AT25" s="215"/>
      <c r="AU25" s="215"/>
      <c r="AV25" s="215"/>
      <c r="AW25" s="215"/>
      <c r="AX25" s="330"/>
      <c r="AY25" s="215"/>
    </row>
    <row r="26" spans="1:51" ht="17.25" customHeight="1">
      <c r="A26" s="5"/>
      <c r="B26" s="342"/>
      <c r="C26" s="533"/>
      <c r="D26" s="535"/>
      <c r="E26" s="343" t="s">
        <v>226</v>
      </c>
      <c r="F26" s="344"/>
      <c r="G26" s="344"/>
      <c r="H26" s="344"/>
      <c r="I26" s="345" t="s">
        <v>227</v>
      </c>
      <c r="J26" s="346" t="str">
        <f>HYPERLINK("http://www.arosbb.dk/","www.arosbb.dk")</f>
        <v>www.arosbb.dk</v>
      </c>
      <c r="K26" s="344"/>
      <c r="L26" s="566"/>
      <c r="M26" s="523"/>
      <c r="N26" s="523"/>
      <c r="O26" s="523"/>
      <c r="P26" s="523"/>
      <c r="Q26" s="523"/>
      <c r="R26" s="523"/>
      <c r="S26" s="567"/>
      <c r="T26" s="347"/>
      <c r="U26" s="348"/>
      <c r="V26" s="349"/>
      <c r="W26" s="565" t="s">
        <v>135</v>
      </c>
      <c r="X26" s="523"/>
      <c r="Y26" s="523"/>
      <c r="Z26" s="523"/>
      <c r="AA26" s="521"/>
      <c r="AB26" s="180">
        <f>SUM(AB21:AB25)</f>
        <v>270000</v>
      </c>
      <c r="AC26" s="215"/>
      <c r="AD26" s="376"/>
      <c r="AE26" s="377"/>
      <c r="AF26" s="215"/>
      <c r="AG26" s="215"/>
      <c r="AH26" s="215"/>
      <c r="AI26" s="215"/>
      <c r="AJ26" s="215"/>
      <c r="AK26" s="215"/>
      <c r="AL26" s="215"/>
      <c r="AM26" s="215"/>
      <c r="AO26" s="328"/>
      <c r="AX26" s="179"/>
      <c r="AY26" s="215"/>
    </row>
    <row r="27" spans="1:51" ht="9" customHeight="1">
      <c r="A27" s="378"/>
      <c r="B27" s="378"/>
      <c r="C27" s="379"/>
      <c r="D27" s="379"/>
      <c r="E27" s="380"/>
      <c r="F27" s="380"/>
      <c r="G27" s="380"/>
      <c r="H27" s="380"/>
      <c r="I27" s="380"/>
      <c r="J27" s="381"/>
      <c r="K27" s="382"/>
      <c r="L27" s="383"/>
      <c r="M27" s="383"/>
      <c r="N27" s="383"/>
      <c r="O27" s="383"/>
      <c r="P27" s="383"/>
      <c r="Q27" s="383"/>
      <c r="R27" s="383"/>
      <c r="S27" s="383"/>
      <c r="T27" s="384"/>
      <c r="U27" s="385"/>
      <c r="V27" s="384"/>
      <c r="W27" s="386"/>
      <c r="X27" s="386"/>
      <c r="Y27" s="386"/>
      <c r="Z27" s="386"/>
      <c r="AA27" s="386"/>
      <c r="AB27" s="380"/>
      <c r="AC27" s="353"/>
      <c r="AD27" s="353"/>
      <c r="AE27" s="353"/>
      <c r="AF27" s="353"/>
      <c r="AG27" s="353"/>
      <c r="AH27" s="353"/>
      <c r="AI27" s="353"/>
      <c r="AJ27" s="353"/>
      <c r="AK27" s="353"/>
      <c r="AL27" s="353"/>
      <c r="AM27" s="353"/>
      <c r="AN27" s="353"/>
      <c r="AO27" s="387"/>
      <c r="AP27" s="353"/>
      <c r="AQ27" s="353"/>
      <c r="AR27" s="353"/>
      <c r="AS27" s="353"/>
      <c r="AT27" s="353"/>
      <c r="AU27" s="353"/>
      <c r="AV27" s="353"/>
      <c r="AW27" s="353"/>
      <c r="AX27" s="388"/>
      <c r="AY27" s="353"/>
    </row>
    <row r="28" spans="1:51" ht="17.25" hidden="1" customHeight="1">
      <c r="C28" s="209">
        <f>MATCH(I22,'Database-Hidden'!A2:A120,0)</f>
        <v>31</v>
      </c>
      <c r="D28" s="209" t="str">
        <f t="shared" ref="D28:D37" si="5">I28&amp;IF(COUNTIF(D$4:D$19,I28)&gt;E28," (Too Many)","")</f>
        <v>Blocker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Blocker</v>
      </c>
      <c r="AO28" s="328"/>
      <c r="AX28" s="179"/>
      <c r="AY28" s="353"/>
    </row>
    <row r="29" spans="1:51" ht="17.25" hidden="1" customHeight="1">
      <c r="C29" s="209">
        <f t="shared" ref="C29:C37" si="6">C28+1</f>
        <v>32</v>
      </c>
      <c r="D29" s="209" t="str">
        <f t="shared" si="5"/>
        <v>Runner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Runner</v>
      </c>
      <c r="AO29" s="328"/>
      <c r="AX29" s="179"/>
      <c r="AY29" s="353"/>
    </row>
    <row r="30" spans="1:51" ht="17.25" hidden="1" customHeight="1">
      <c r="C30" s="209">
        <f t="shared" si="6"/>
        <v>33</v>
      </c>
      <c r="D30" s="209" t="str">
        <f t="shared" si="5"/>
        <v>Blitzer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Blitzer</v>
      </c>
      <c r="AO30" s="328"/>
      <c r="AX30" s="179"/>
      <c r="AY30" s="353"/>
    </row>
    <row r="31" spans="1:51" ht="17.25" hidden="1" customHeight="1">
      <c r="C31" s="209">
        <f t="shared" si="6"/>
        <v>34</v>
      </c>
      <c r="D31" s="209" t="str">
        <f t="shared" si="5"/>
        <v>Troll Slayer</v>
      </c>
      <c r="E31" s="210">
        <f t="array" ref="E31">IFERROR(IF(INDEX('Database-Hidden'!$A$2:$B$120,$C31,1)=$I$22,INDEX('Database-Hidden'!$A$2:$D$120,$C31,4),""),"")</f>
        <v>2</v>
      </c>
      <c r="I31" s="209" t="str">
        <f t="array" ref="I31">IFERROR(IF(INDEX('Database-Hidden'!$A$2:$B$120,$C31,1)=$I$22,INDEX('Database-Hidden'!$A$2:$B$120,$C31,2),""),"")</f>
        <v>Troll Slayer</v>
      </c>
      <c r="AO31" s="328"/>
      <c r="AX31" s="179"/>
      <c r="AY31" s="353"/>
    </row>
    <row r="32" spans="1:51" ht="17.25" hidden="1" customHeight="1">
      <c r="C32" s="209">
        <f t="shared" si="6"/>
        <v>35</v>
      </c>
      <c r="D32" s="209" t="str">
        <f t="shared" si="5"/>
        <v>Deathroller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Deathroller</v>
      </c>
      <c r="AO32" s="328"/>
      <c r="AX32" s="179"/>
      <c r="AY32" s="353"/>
    </row>
    <row r="33" spans="3:51" ht="17.25" hidden="1" customHeight="1">
      <c r="C33" s="209">
        <f t="shared" si="6"/>
        <v>36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O33" s="328"/>
      <c r="AX33" s="179"/>
      <c r="AY33" s="353"/>
    </row>
    <row r="34" spans="3:51" ht="17.25" hidden="1" customHeight="1">
      <c r="C34" s="209">
        <f t="shared" si="6"/>
        <v>37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O34" s="328"/>
      <c r="AX34" s="179"/>
      <c r="AY34" s="353"/>
    </row>
    <row r="35" spans="3:51" ht="17.25" hidden="1" customHeight="1">
      <c r="C35" s="209">
        <f t="shared" si="6"/>
        <v>38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O35" s="328"/>
      <c r="AX35" s="179"/>
      <c r="AY35" s="353"/>
    </row>
    <row r="36" spans="3:51" ht="17.25" hidden="1" customHeight="1">
      <c r="C36" s="209">
        <f t="shared" si="6"/>
        <v>39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O36" s="328"/>
      <c r="AX36" s="179"/>
      <c r="AY36" s="353"/>
    </row>
    <row r="37" spans="3:51" ht="17.25" hidden="1" customHeight="1">
      <c r="C37" s="209">
        <f t="shared" si="6"/>
        <v>40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O37" s="328"/>
      <c r="AX37" s="179"/>
      <c r="AY37" s="353"/>
    </row>
    <row r="38" spans="3:51" ht="17.25" hidden="1" customHeight="1">
      <c r="C38" s="211">
        <f>MATCH(I22,'Star Players-Hidden'!D2:AD2,0)</f>
        <v>7</v>
      </c>
      <c r="D38" s="211" t="str">
        <f t="shared" ref="D38:D49" ca="1" si="7">I38&amp;IF(COUNTIF(D$4:D$19,I38)&gt;1," (Too Many)","")</f>
        <v>Star: Barik Farblast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Barik Farblast")</f>
        <v>Star: Barik Farblast</v>
      </c>
      <c r="AO38" s="328"/>
      <c r="AX38" s="179"/>
      <c r="AY38" s="353"/>
    </row>
    <row r="39" spans="3:51" ht="17.25" hidden="1" customHeight="1">
      <c r="C39" s="209"/>
      <c r="D39" s="209" t="str">
        <f t="shared" si="7"/>
        <v>Star: Boomer Eziasson</v>
      </c>
      <c r="I39" s="213" t="s">
        <v>305</v>
      </c>
      <c r="AO39" s="328"/>
      <c r="AX39" s="179"/>
      <c r="AY39" s="353"/>
    </row>
    <row r="40" spans="3:51" ht="17.25" hidden="1" customHeight="1">
      <c r="C40" s="209"/>
      <c r="D40" s="209" t="str">
        <f t="shared" si="7"/>
        <v>Star: Flint Churnblade</v>
      </c>
      <c r="I40" s="209" t="s">
        <v>306</v>
      </c>
      <c r="AO40" s="328"/>
      <c r="AX40" s="179"/>
      <c r="AY40" s="353"/>
    </row>
    <row r="41" spans="3:51" ht="17.25" hidden="1" customHeight="1">
      <c r="C41" s="209"/>
      <c r="D41" s="209" t="str">
        <f t="shared" si="7"/>
        <v>Star: Grim Ironjaw</v>
      </c>
      <c r="I41" s="209" t="s">
        <v>307</v>
      </c>
      <c r="AO41" s="328"/>
      <c r="AX41" s="179"/>
      <c r="AY41" s="353"/>
    </row>
    <row r="42" spans="3:51" ht="17.25" hidden="1" customHeight="1">
      <c r="C42" s="209"/>
      <c r="D42" s="209" t="str">
        <f t="shared" si="7"/>
        <v>Star: Morg'n'Thorg</v>
      </c>
      <c r="I42" s="209" t="s">
        <v>144</v>
      </c>
      <c r="AO42" s="328"/>
      <c r="AX42" s="179"/>
      <c r="AY42" s="353"/>
    </row>
    <row r="43" spans="3:51" ht="17.25" hidden="1" customHeight="1">
      <c r="C43" s="209"/>
      <c r="D43" s="209" t="str">
        <f t="shared" si="7"/>
        <v/>
      </c>
      <c r="I43" s="209"/>
      <c r="AO43" s="328"/>
      <c r="AX43" s="179"/>
      <c r="AY43" s="353"/>
    </row>
    <row r="44" spans="3:51" ht="17.25" hidden="1" customHeight="1">
      <c r="C44" s="209"/>
      <c r="D44" s="209" t="str">
        <f t="shared" si="7"/>
        <v/>
      </c>
      <c r="I44" s="209"/>
      <c r="AO44" s="328"/>
      <c r="AX44" s="179"/>
      <c r="AY44" s="353"/>
    </row>
    <row r="45" spans="3:51" ht="17.25" hidden="1" customHeight="1">
      <c r="C45" s="209"/>
      <c r="D45" s="209" t="str">
        <f t="shared" si="7"/>
        <v/>
      </c>
      <c r="I45" s="209"/>
      <c r="AO45" s="328"/>
      <c r="AX45" s="179"/>
      <c r="AY45" s="353"/>
    </row>
    <row r="46" spans="3:51" ht="17.25" hidden="1" customHeight="1">
      <c r="C46" s="209"/>
      <c r="D46" s="209" t="str">
        <f t="shared" si="7"/>
        <v/>
      </c>
      <c r="I46" s="209"/>
      <c r="AO46" s="328"/>
      <c r="AX46" s="179"/>
      <c r="AY46" s="353"/>
    </row>
    <row r="47" spans="3:51" ht="17.25" hidden="1" customHeight="1">
      <c r="C47" s="209"/>
      <c r="D47" s="209" t="str">
        <f t="shared" si="7"/>
        <v/>
      </c>
      <c r="I47" s="209"/>
      <c r="AO47" s="328"/>
      <c r="AX47" s="179"/>
      <c r="AY47" s="353"/>
    </row>
    <row r="48" spans="3:51" ht="17.25" hidden="1" customHeight="1">
      <c r="C48" s="209"/>
      <c r="D48" s="209" t="str">
        <f t="shared" si="7"/>
        <v/>
      </c>
      <c r="I48" s="209"/>
      <c r="AO48" s="328"/>
      <c r="AX48" s="179"/>
      <c r="AY48" s="353"/>
    </row>
    <row r="49" spans="3:51" ht="17.25" hidden="1" customHeight="1">
      <c r="C49" s="209"/>
      <c r="D49" s="209" t="str">
        <f t="shared" si="7"/>
        <v/>
      </c>
      <c r="I49" s="209"/>
      <c r="AO49" s="328"/>
      <c r="AX49" s="179"/>
      <c r="AY49" s="353"/>
    </row>
  </sheetData>
  <mergeCells count="28">
    <mergeCell ref="AO3:AP3"/>
    <mergeCell ref="AT3:AW3"/>
    <mergeCell ref="AN20:AO20"/>
    <mergeCell ref="P2:S2"/>
    <mergeCell ref="L22:S22"/>
    <mergeCell ref="L21:S21"/>
    <mergeCell ref="E20:AA20"/>
    <mergeCell ref="E21:H21"/>
    <mergeCell ref="I21:K21"/>
    <mergeCell ref="I22:K22"/>
    <mergeCell ref="E22:H22"/>
    <mergeCell ref="V22:Z22"/>
    <mergeCell ref="V21:Z21"/>
    <mergeCell ref="E25:H25"/>
    <mergeCell ref="I25:K25"/>
    <mergeCell ref="I24:K24"/>
    <mergeCell ref="I23:K23"/>
    <mergeCell ref="C20:D26"/>
    <mergeCell ref="E23:H23"/>
    <mergeCell ref="E24:H24"/>
    <mergeCell ref="L23:S23"/>
    <mergeCell ref="V24:Z24"/>
    <mergeCell ref="L25:S25"/>
    <mergeCell ref="W26:AA26"/>
    <mergeCell ref="V25:Z25"/>
    <mergeCell ref="L26:S26"/>
    <mergeCell ref="L24:S24"/>
    <mergeCell ref="V23:Z23"/>
  </mergeCells>
  <conditionalFormatting sqref="AB4:AB19">
    <cfRule type="cellIs" dxfId="635" priority="1" operator="equal">
      <formula>0</formula>
    </cfRule>
  </conditionalFormatting>
  <conditionalFormatting sqref="J4">
    <cfRule type="expression" dxfId="634" priority="2">
      <formula>K4&lt;&gt;SUM(AE4:AJ4)</formula>
    </cfRule>
  </conditionalFormatting>
  <conditionalFormatting sqref="I4:I19">
    <cfRule type="cellIs" dxfId="633" priority="3" stopIfTrue="1" operator="equal">
      <formula>"Player type quantity surpassed"</formula>
    </cfRule>
  </conditionalFormatting>
  <conditionalFormatting sqref="J5">
    <cfRule type="expression" dxfId="632" priority="4">
      <formula>K5&lt;&gt;SUM(AE5:AJ5)</formula>
    </cfRule>
  </conditionalFormatting>
  <conditionalFormatting sqref="J6">
    <cfRule type="expression" dxfId="631" priority="5">
      <formula>K6&lt;&gt;SUM(AE6:AJ6)</formula>
    </cfRule>
  </conditionalFormatting>
  <conditionalFormatting sqref="J7">
    <cfRule type="expression" dxfId="630" priority="6">
      <formula>K7&lt;&gt;SUM(AE7:AJ7)</formula>
    </cfRule>
  </conditionalFormatting>
  <conditionalFormatting sqref="J8">
    <cfRule type="expression" dxfId="629" priority="7">
      <formula>K8&lt;&gt;SUM(AE8:AJ8)</formula>
    </cfRule>
  </conditionalFormatting>
  <conditionalFormatting sqref="J9">
    <cfRule type="expression" dxfId="628" priority="8">
      <formula>K9&lt;&gt;SUM(AE9:AJ9)</formula>
    </cfRule>
  </conditionalFormatting>
  <conditionalFormatting sqref="J10">
    <cfRule type="expression" dxfId="627" priority="9">
      <formula>K10&lt;&gt;SUM(AE10:AJ10)</formula>
    </cfRule>
  </conditionalFormatting>
  <conditionalFormatting sqref="J11">
    <cfRule type="expression" dxfId="626" priority="10">
      <formula>K11&lt;&gt;SUM(AE11:AJ11)</formula>
    </cfRule>
  </conditionalFormatting>
  <conditionalFormatting sqref="J12">
    <cfRule type="expression" dxfId="625" priority="11">
      <formula>K12&lt;&gt;SUM(AE12:AJ12)</formula>
    </cfRule>
  </conditionalFormatting>
  <conditionalFormatting sqref="J13">
    <cfRule type="expression" dxfId="624" priority="12">
      <formula>K13&lt;&gt;SUM(AE13:AJ13)</formula>
    </cfRule>
  </conditionalFormatting>
  <conditionalFormatting sqref="J14">
    <cfRule type="expression" dxfId="623" priority="13">
      <formula>K14&lt;&gt;SUM(AE14:AJ14)</formula>
    </cfRule>
  </conditionalFormatting>
  <conditionalFormatting sqref="J15">
    <cfRule type="expression" dxfId="622" priority="14">
      <formula>K15&lt;&gt;SUM(AE15:AJ15)</formula>
    </cfRule>
  </conditionalFormatting>
  <conditionalFormatting sqref="J16">
    <cfRule type="expression" dxfId="621" priority="15">
      <formula>K16&lt;&gt;SUM(AE16:AJ16)</formula>
    </cfRule>
  </conditionalFormatting>
  <conditionalFormatting sqref="J17">
    <cfRule type="expression" dxfId="620" priority="16">
      <formula>K17&lt;&gt;SUM(AE17:AJ17)</formula>
    </cfRule>
  </conditionalFormatting>
  <conditionalFormatting sqref="J18">
    <cfRule type="expression" dxfId="619" priority="17">
      <formula>K18&lt;&gt;SUM(AE18:AJ18)</formula>
    </cfRule>
  </conditionalFormatting>
  <conditionalFormatting sqref="J19">
    <cfRule type="expression" dxfId="618" priority="18">
      <formula>K19&lt;&gt;SUM(AE19:AJ19)</formula>
    </cfRule>
  </conditionalFormatting>
  <conditionalFormatting sqref="E4:I19">
    <cfRule type="expression" dxfId="617" priority="19">
      <formula>AG4&gt;0</formula>
    </cfRule>
  </conditionalFormatting>
  <conditionalFormatting sqref="E4:I19">
    <cfRule type="expression" dxfId="616" priority="20">
      <formula>P4&gt;0</formula>
    </cfRule>
  </conditionalFormatting>
  <conditionalFormatting sqref="I4:I19 T4:T19 U4:U19 V4:W19 Z4:Z19 U26:U27">
    <cfRule type="cellIs" dxfId="615" priority="21" stopIfTrue="1" operator="equal">
      <formula>0</formula>
    </cfRule>
  </conditionalFormatting>
  <conditionalFormatting sqref="Y27:Z27">
    <cfRule type="cellIs" dxfId="614" priority="22" stopIfTrue="1" operator="equal">
      <formula>"0,0"</formula>
    </cfRule>
  </conditionalFormatting>
  <conditionalFormatting sqref="K4:K19">
    <cfRule type="cellIs" dxfId="613" priority="23" stopIfTrue="1" operator="equal">
      <formula>"n/a"</formula>
    </cfRule>
  </conditionalFormatting>
  <conditionalFormatting sqref="P4:S19">
    <cfRule type="cellIs" dxfId="612" priority="24" stopIfTrue="1" operator="lessThanOrEqual">
      <formula>-1</formula>
    </cfRule>
  </conditionalFormatting>
  <conditionalFormatting sqref="V25:W25">
    <cfRule type="cellIs" dxfId="611" priority="25" stopIfTrue="1" operator="equal">
      <formula>-500</formula>
    </cfRule>
  </conditionalFormatting>
  <conditionalFormatting sqref="T25">
    <cfRule type="cellIs" dxfId="610" priority="26" stopIfTrue="1" operator="greaterThan">
      <formula>$V$25</formula>
    </cfRule>
  </conditionalFormatting>
  <conditionalFormatting sqref="AA4:AA19">
    <cfRule type="cellIs" dxfId="609" priority="27" stopIfTrue="1" operator="equal">
      <formula>"Star"</formula>
    </cfRule>
  </conditionalFormatting>
  <conditionalFormatting sqref="AA4:AA19">
    <cfRule type="cellIs" dxfId="608" priority="28" stopIfTrue="1" operator="equal">
      <formula>AB4</formula>
    </cfRule>
  </conditionalFormatting>
  <dataValidations count="1">
    <dataValidation type="list" allowBlank="1" showErrorMessage="1" sqref="D4:D19">
      <formula1>'DH1'!$D$28:$D$49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/>
      <c r="D4" s="42"/>
      <c r="E4" s="43" t="str">
        <f>IFERROR(VLOOKUP($I$22&amp;$D4,'Database-Hidden'!$C$2:$J$120,4,FALSE)-P4+AG4,"")</f>
        <v/>
      </c>
      <c r="F4" s="44" t="str">
        <f>IFERROR(VLOOKUP($I$22&amp;$D4,'Database-Hidden'!$C$2:$J$120,5,FALSE)-Q4+AH4,"")</f>
        <v/>
      </c>
      <c r="G4" s="44" t="str">
        <f>IFERROR(VLOOKUP($I$22&amp;$D4,'Database-Hidden'!$C$2:$J$120,6,FALSE)-R4+AI4,"")</f>
        <v/>
      </c>
      <c r="H4" s="45" t="str">
        <f>IFERROR(VLOOKUP($I$22&amp;$D4,'Database-Hidden'!$C$2:$J$120,7,FALSE)-S4+AJ4,"")</f>
        <v/>
      </c>
      <c r="I4" s="46" t="str">
        <f>IFERROR(VLOOKUP($I$22&amp;$D4,'Database-Hidden'!$C$2:$J$120,8,FALSE),"")</f>
        <v/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/>
      <c r="AC4" s="4"/>
      <c r="AD4" s="59" t="str">
        <f>IFERROR(VLOOKUP($I$22&amp;D4,'Database-Hidden'!$C$2:$E$120,3,FALSE),"")</f>
        <v/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10000</v>
      </c>
      <c r="AP4" s="4"/>
      <c r="AQ4" s="4"/>
      <c r="AR4" s="66"/>
      <c r="AS4" s="67"/>
      <c r="AT4" s="67"/>
      <c r="AU4" s="64" t="s">
        <v>70</v>
      </c>
      <c r="AV4" s="68"/>
      <c r="AW4" s="69"/>
      <c r="AX4" s="69"/>
    </row>
    <row r="5" spans="1:50" ht="12.75">
      <c r="A5" s="2"/>
      <c r="B5" s="70">
        <v>2</v>
      </c>
      <c r="C5" s="71" t="s">
        <v>245</v>
      </c>
      <c r="D5" s="72" t="s">
        <v>68</v>
      </c>
      <c r="E5" s="73">
        <f>IFERROR(VLOOKUP($I$22&amp;$D5,'Database-Hidden'!$C$2:$J$120,4,FALSE)-P5+AG5,"")</f>
        <v>6</v>
      </c>
      <c r="F5" s="74">
        <f>IFERROR(VLOOKUP($I$22&amp;$D5,'Database-Hidden'!$C$2:$J$120,5,FALSE)-Q5+AH5,"")</f>
        <v>3</v>
      </c>
      <c r="G5" s="74">
        <f>IFERROR(VLOOKUP($I$22&amp;$D5,'Database-Hidden'!$C$2:$J$120,6,FALSE)-R5+AI5,"")</f>
        <v>4</v>
      </c>
      <c r="H5" s="75">
        <f>IFERROR(VLOOKUP($I$22&amp;$D5,'Database-Hidden'!$C$2:$J$120,7,FALSE)-S5+AJ5,"")</f>
        <v>8</v>
      </c>
      <c r="I5" s="76">
        <f>IFERROR(VLOOKUP($I$22&amp;$D5,'Database-Hidden'!$C$2:$J$120,8,FALSE),"")</f>
        <v>0</v>
      </c>
      <c r="J5" s="77" t="s">
        <v>89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7">
        <v>1</v>
      </c>
      <c r="V5" s="87">
        <v>1</v>
      </c>
      <c r="W5" s="87"/>
      <c r="X5" s="83"/>
      <c r="Y5" s="303"/>
      <c r="Z5" s="88">
        <v>1</v>
      </c>
      <c r="AA5" s="89">
        <f t="shared" si="1"/>
        <v>9</v>
      </c>
      <c r="AB5" s="58">
        <f t="shared" ref="AB5:AB19" si="2">IF(L5=1,0,AD5+(20000*O5)+(20000*AE5)+(30000*AF5)+(30000*AG5)+(50000*AH5)+(40000*AI5)+(50000*AJ5)+AK5)</f>
        <v>90000</v>
      </c>
      <c r="AC5" s="4"/>
      <c r="AD5" s="90">
        <f>IFERROR(VLOOKUP($I$22&amp;D5,'Database-Hidden'!$C$2:$E$120,3,FALSE),"")</f>
        <v>70000</v>
      </c>
      <c r="AE5" s="91">
        <v>1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248</v>
      </c>
      <c r="D6" s="72" t="s">
        <v>68</v>
      </c>
      <c r="E6" s="73">
        <f>IFERROR(VLOOKUP($I$22&amp;$D6,'Database-Hidden'!$C$2:$J$120,4,FALSE)-P6+AG6,"")</f>
        <v>6</v>
      </c>
      <c r="F6" s="74">
        <f>IFERROR(VLOOKUP($I$22&amp;$D6,'Database-Hidden'!$C$2:$J$120,5,FALSE)-Q6+AH6,"")</f>
        <v>3</v>
      </c>
      <c r="G6" s="74">
        <f>IFERROR(VLOOKUP($I$22&amp;$D6,'Database-Hidden'!$C$2:$J$120,6,FALSE)-R6+AI6,"")</f>
        <v>4</v>
      </c>
      <c r="H6" s="75">
        <f>IFERROR(VLOOKUP($I$22&amp;$D6,'Database-Hidden'!$C$2:$J$120,7,FALSE)-S6+AJ6,"")</f>
        <v>8</v>
      </c>
      <c r="I6" s="76">
        <f>IFERROR(VLOOKUP($I$22&amp;$D6,'Database-Hidden'!$C$2:$J$120,8,FALSE),"")</f>
        <v>0</v>
      </c>
      <c r="J6" s="77" t="s">
        <v>103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7">
        <v>5</v>
      </c>
      <c r="V6" s="86"/>
      <c r="W6" s="86"/>
      <c r="X6" s="83"/>
      <c r="Y6" s="303"/>
      <c r="Z6" s="88">
        <v>1</v>
      </c>
      <c r="AA6" s="89">
        <f t="shared" si="1"/>
        <v>10</v>
      </c>
      <c r="AB6" s="58">
        <f t="shared" si="2"/>
        <v>90000</v>
      </c>
      <c r="AC6" s="4"/>
      <c r="AD6" s="90">
        <f>IFERROR(VLOOKUP($I$22&amp;D6,'Database-Hidden'!$C$2:$E$120,3,FALSE),"")</f>
        <v>70000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/>
      <c r="AP6" s="106"/>
      <c r="AQ6" s="107"/>
      <c r="AR6" s="108"/>
      <c r="AS6" s="110"/>
      <c r="AT6" s="111"/>
      <c r="AU6" s="113"/>
      <c r="AV6" s="136"/>
      <c r="AW6" s="115"/>
      <c r="AX6" s="115"/>
    </row>
    <row r="7" spans="1:50" ht="12.75">
      <c r="A7" s="2"/>
      <c r="B7" s="70">
        <v>4</v>
      </c>
      <c r="C7" s="71" t="s">
        <v>251</v>
      </c>
      <c r="D7" s="72" t="s">
        <v>68</v>
      </c>
      <c r="E7" s="73">
        <f>IFERROR(VLOOKUP($I$22&amp;$D7,'Database-Hidden'!$C$2:$J$120,4,FALSE)-P7+AG7,"")</f>
        <v>6</v>
      </c>
      <c r="F7" s="74">
        <f>IFERROR(VLOOKUP($I$22&amp;$D7,'Database-Hidden'!$C$2:$J$120,5,FALSE)-Q7+AH7,"")</f>
        <v>3</v>
      </c>
      <c r="G7" s="74">
        <f>IFERROR(VLOOKUP($I$22&amp;$D7,'Database-Hidden'!$C$2:$J$120,6,FALSE)-R7+AI7,"")</f>
        <v>4</v>
      </c>
      <c r="H7" s="75">
        <f>IFERROR(VLOOKUP($I$22&amp;$D7,'Database-Hidden'!$C$2:$J$120,7,FALSE)-S7+AJ7,"")</f>
        <v>8</v>
      </c>
      <c r="I7" s="76">
        <f>IFERROR(VLOOKUP($I$22&amp;$D7,'Database-Hidden'!$C$2:$J$120,8,FALSE),"")</f>
        <v>0</v>
      </c>
      <c r="J7" s="77" t="s">
        <v>103</v>
      </c>
      <c r="K7" s="78">
        <f t="shared" si="0"/>
        <v>1</v>
      </c>
      <c r="L7" s="79"/>
      <c r="M7" s="79"/>
      <c r="N7" s="80"/>
      <c r="O7" s="81"/>
      <c r="P7" s="82"/>
      <c r="Q7" s="83"/>
      <c r="R7" s="83"/>
      <c r="S7" s="84"/>
      <c r="T7" s="85"/>
      <c r="U7" s="87">
        <v>2</v>
      </c>
      <c r="V7" s="86"/>
      <c r="W7" s="87">
        <v>1</v>
      </c>
      <c r="X7" s="83"/>
      <c r="Y7" s="303"/>
      <c r="Z7" s="88">
        <v>1</v>
      </c>
      <c r="AA7" s="89">
        <f t="shared" si="1"/>
        <v>9</v>
      </c>
      <c r="AB7" s="58">
        <f t="shared" si="2"/>
        <v>90000</v>
      </c>
      <c r="AC7" s="4"/>
      <c r="AD7" s="116">
        <f>IFERROR(VLOOKUP($I$22&amp;D7,'Database-Hidden'!$C$2:$E$120,3,FALSE),"")</f>
        <v>70000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7"/>
      <c r="AW7" s="132"/>
      <c r="AX7" s="132"/>
    </row>
    <row r="8" spans="1:50" ht="12.75">
      <c r="A8" s="2"/>
      <c r="B8" s="70">
        <v>5</v>
      </c>
      <c r="C8" s="71" t="s">
        <v>254</v>
      </c>
      <c r="D8" s="72" t="s">
        <v>68</v>
      </c>
      <c r="E8" s="73">
        <f>IFERROR(VLOOKUP($I$22&amp;$D8,'Database-Hidden'!$C$2:$J$120,4,FALSE)-P8+AG8,"")</f>
        <v>6</v>
      </c>
      <c r="F8" s="74">
        <f>IFERROR(VLOOKUP($I$22&amp;$D8,'Database-Hidden'!$C$2:$J$120,5,FALSE)-Q8+AH8,"")</f>
        <v>3</v>
      </c>
      <c r="G8" s="74">
        <f>IFERROR(VLOOKUP($I$22&amp;$D8,'Database-Hidden'!$C$2:$J$120,6,FALSE)-R8+AI8,"")</f>
        <v>4</v>
      </c>
      <c r="H8" s="75">
        <f>IFERROR(VLOOKUP($I$22&amp;$D8,'Database-Hidden'!$C$2:$J$120,7,FALSE)-S8+AJ8,"")</f>
        <v>8</v>
      </c>
      <c r="I8" s="76">
        <f>IFERROR(VLOOKUP($I$22&amp;$D8,'Database-Hidden'!$C$2:$J$120,8,FALSE),"")</f>
        <v>0</v>
      </c>
      <c r="J8" s="77" t="s">
        <v>82</v>
      </c>
      <c r="K8" s="78">
        <f t="shared" si="0"/>
        <v>1</v>
      </c>
      <c r="L8" s="79"/>
      <c r="M8" s="79"/>
      <c r="N8" s="79"/>
      <c r="O8" s="81"/>
      <c r="P8" s="82"/>
      <c r="Q8" s="83"/>
      <c r="R8" s="83"/>
      <c r="S8" s="84"/>
      <c r="T8" s="85"/>
      <c r="U8" s="87">
        <v>1</v>
      </c>
      <c r="V8" s="86"/>
      <c r="W8" s="86"/>
      <c r="X8" s="83"/>
      <c r="Y8" s="303"/>
      <c r="Z8" s="88">
        <v>1</v>
      </c>
      <c r="AA8" s="89">
        <f t="shared" si="1"/>
        <v>6</v>
      </c>
      <c r="AB8" s="58">
        <f t="shared" si="2"/>
        <v>100000</v>
      </c>
      <c r="AC8" s="4"/>
      <c r="AD8" s="116">
        <f>IFERROR(VLOOKUP($I$22&amp;D8,'Database-Hidden'!$C$2:$E$120,3,FALSE),"")</f>
        <v>70000</v>
      </c>
      <c r="AE8" s="91"/>
      <c r="AF8" s="92">
        <v>1</v>
      </c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7"/>
      <c r="AW8" s="132"/>
      <c r="AX8" s="132"/>
    </row>
    <row r="9" spans="1:50" ht="12.75">
      <c r="A9" s="2"/>
      <c r="B9" s="70">
        <v>6</v>
      </c>
      <c r="C9" s="71" t="s">
        <v>257</v>
      </c>
      <c r="D9" s="72" t="s">
        <v>68</v>
      </c>
      <c r="E9" s="73">
        <f>IFERROR(VLOOKUP($I$22&amp;$D9,'Database-Hidden'!$C$2:$J$120,4,FALSE)-P9+AG9,"")</f>
        <v>6</v>
      </c>
      <c r="F9" s="74">
        <f>IFERROR(VLOOKUP($I$22&amp;$D9,'Database-Hidden'!$C$2:$J$120,5,FALSE)-Q9+AH9,"")</f>
        <v>3</v>
      </c>
      <c r="G9" s="74">
        <f>IFERROR(VLOOKUP($I$22&amp;$D9,'Database-Hidden'!$C$2:$J$120,6,FALSE)-R9+AI9,"")</f>
        <v>4</v>
      </c>
      <c r="H9" s="75">
        <f>IFERROR(VLOOKUP($I$22&amp;$D9,'Database-Hidden'!$C$2:$J$120,7,FALSE)-S9+AJ9,"")</f>
        <v>8</v>
      </c>
      <c r="I9" s="76">
        <f>IFERROR(VLOOKUP($I$22&amp;$D9,'Database-Hidden'!$C$2:$J$120,8,FALSE),"")</f>
        <v>0</v>
      </c>
      <c r="J9" s="77" t="s">
        <v>252</v>
      </c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7">
        <v>1</v>
      </c>
      <c r="V9" s="86"/>
      <c r="W9" s="87">
        <v>4</v>
      </c>
      <c r="X9" s="83"/>
      <c r="Y9" s="303"/>
      <c r="Z9" s="88">
        <v>1</v>
      </c>
      <c r="AA9" s="89">
        <f t="shared" si="1"/>
        <v>14</v>
      </c>
      <c r="AB9" s="58">
        <f t="shared" si="2"/>
        <v>100000</v>
      </c>
      <c r="AC9" s="4"/>
      <c r="AD9" s="116">
        <f>IFERROR(VLOOKUP($I$22&amp;D9,'Database-Hidden'!$C$2:$E$120,3,FALSE),"")</f>
        <v>70000</v>
      </c>
      <c r="AE9" s="91"/>
      <c r="AF9" s="92">
        <v>1</v>
      </c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7"/>
      <c r="AW9" s="132"/>
      <c r="AX9" s="132"/>
    </row>
    <row r="10" spans="1:50" ht="12.75">
      <c r="A10" s="2"/>
      <c r="B10" s="70">
        <v>7</v>
      </c>
      <c r="C10" s="71" t="s">
        <v>261</v>
      </c>
      <c r="D10" s="72" t="s">
        <v>68</v>
      </c>
      <c r="E10" s="73">
        <f>IFERROR(VLOOKUP($I$22&amp;$D10,'Database-Hidden'!$C$2:$J$120,4,FALSE)-P10+AG10,"")</f>
        <v>6</v>
      </c>
      <c r="F10" s="74">
        <f>IFERROR(VLOOKUP($I$22&amp;$D10,'Database-Hidden'!$C$2:$J$120,5,FALSE)-Q10+AH10,"")</f>
        <v>3</v>
      </c>
      <c r="G10" s="74">
        <f>IFERROR(VLOOKUP($I$22&amp;$D10,'Database-Hidden'!$C$2:$J$120,6,FALSE)-R10+AI10,"")</f>
        <v>4</v>
      </c>
      <c r="H10" s="75">
        <f>IFERROR(VLOOKUP($I$22&amp;$D10,'Database-Hidden'!$C$2:$J$120,7,FALSE)-S10+AJ10,"")</f>
        <v>8</v>
      </c>
      <c r="I10" s="76">
        <f>IFERROR(VLOOKUP($I$22&amp;$D10,'Database-Hidden'!$C$2:$J$120,8,FALSE),"")</f>
        <v>0</v>
      </c>
      <c r="J10" s="77" t="s">
        <v>262</v>
      </c>
      <c r="K10" s="78">
        <f t="shared" si="0"/>
        <v>2</v>
      </c>
      <c r="L10" s="79"/>
      <c r="M10" s="79"/>
      <c r="N10" s="79"/>
      <c r="O10" s="81"/>
      <c r="P10" s="82"/>
      <c r="Q10" s="83"/>
      <c r="R10" s="83"/>
      <c r="S10" s="84"/>
      <c r="T10" s="85"/>
      <c r="U10" s="87">
        <v>1</v>
      </c>
      <c r="V10" s="87">
        <v>1</v>
      </c>
      <c r="W10" s="87">
        <v>1</v>
      </c>
      <c r="X10" s="303">
        <v>1</v>
      </c>
      <c r="Y10" s="303"/>
      <c r="Z10" s="88">
        <v>2</v>
      </c>
      <c r="AA10" s="89">
        <f t="shared" si="1"/>
        <v>16</v>
      </c>
      <c r="AB10" s="58">
        <f t="shared" si="2"/>
        <v>110000</v>
      </c>
      <c r="AC10" s="4"/>
      <c r="AD10" s="116">
        <f>IFERROR(VLOOKUP($I$22&amp;D10,'Database-Hidden'!$C$2:$E$120,3,FALSE),"")</f>
        <v>70000</v>
      </c>
      <c r="AE10" s="91">
        <v>2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7"/>
      <c r="AW10" s="132"/>
      <c r="AX10" s="132"/>
    </row>
    <row r="11" spans="1:50" ht="12.75">
      <c r="A11" s="2"/>
      <c r="B11" s="70">
        <v>8</v>
      </c>
      <c r="C11" s="101"/>
      <c r="D11" s="133"/>
      <c r="E11" s="73" t="str">
        <f>IFERROR(VLOOKUP($I$22&amp;$D11,'Database-Hidden'!$C$2:$J$120,4,FALSE)-P11+AG11,"")</f>
        <v/>
      </c>
      <c r="F11" s="74" t="str">
        <f>IFERROR(VLOOKUP($I$22&amp;$D11,'Database-Hidden'!$C$2:$J$120,5,FALSE)-Q11+AH11,"")</f>
        <v/>
      </c>
      <c r="G11" s="74" t="str">
        <f>IFERROR(VLOOKUP($I$22&amp;$D11,'Database-Hidden'!$C$2:$J$120,6,FALSE)-R11+AI11,"")</f>
        <v/>
      </c>
      <c r="H11" s="75" t="str">
        <f>IFERROR(VLOOKUP($I$22&amp;$D11,'Database-Hidden'!$C$2:$J$120,7,FALSE)-S11+AJ11,"")</f>
        <v/>
      </c>
      <c r="I11" s="76" t="str">
        <f>IFERROR(VLOOKUP($I$22&amp;$D11,'Database-Hidden'!$C$2:$J$120,8,FALSE),"")</f>
        <v/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366"/>
      <c r="AA11" s="89">
        <f t="shared" si="1"/>
        <v>0</v>
      </c>
      <c r="AB11" s="58"/>
      <c r="AC11" s="4"/>
      <c r="AD11" s="116" t="str">
        <f>IFERROR(VLOOKUP($I$22&amp;D11,'Database-Hidden'!$C$2:$E$120,3,FALSE),"")</f>
        <v/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7"/>
      <c r="AW11" s="132"/>
      <c r="AX11" s="132"/>
    </row>
    <row r="12" spans="1:50" ht="12.75">
      <c r="A12" s="2"/>
      <c r="B12" s="70">
        <v>9</v>
      </c>
      <c r="C12" s="71"/>
      <c r="D12" s="72"/>
      <c r="E12" s="73" t="str">
        <f>IFERROR(VLOOKUP($I$22&amp;$D12,'Database-Hidden'!$C$2:$J$120,4,FALSE)-P12+AG12,"")</f>
        <v/>
      </c>
      <c r="F12" s="74" t="str">
        <f>IFERROR(VLOOKUP($I$22&amp;$D12,'Database-Hidden'!$C$2:$J$120,5,FALSE)-Q12+AH12,"")</f>
        <v/>
      </c>
      <c r="G12" s="74" t="str">
        <f>IFERROR(VLOOKUP($I$22&amp;$D12,'Database-Hidden'!$C$2:$J$120,6,FALSE)-R12+AI12,"")</f>
        <v/>
      </c>
      <c r="H12" s="75" t="str">
        <f>IFERROR(VLOOKUP($I$22&amp;$D12,'Database-Hidden'!$C$2:$J$120,7,FALSE)-S12+AJ12,"")</f>
        <v/>
      </c>
      <c r="I12" s="76" t="str">
        <f>IFERROR(VLOOKUP($I$22&amp;$D12,'Database-Hidden'!$C$2:$J$120,8,FALSE),"")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366"/>
      <c r="AA12" s="89">
        <f t="shared" si="1"/>
        <v>0</v>
      </c>
      <c r="AB12" s="58"/>
      <c r="AC12" s="4"/>
      <c r="AD12" s="116" t="str">
        <f>IFERROR(VLOOKUP($I$22&amp;D12,'Database-Hidden'!$C$2:$E$120,3,FALSE),"")</f>
        <v/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7"/>
      <c r="AW12" s="132"/>
      <c r="AX12" s="132"/>
    </row>
    <row r="13" spans="1:50" ht="12.75">
      <c r="A13" s="2"/>
      <c r="B13" s="70">
        <v>10</v>
      </c>
      <c r="C13" s="71" t="s">
        <v>270</v>
      </c>
      <c r="D13" s="72" t="s">
        <v>113</v>
      </c>
      <c r="E13" s="73">
        <f>IFERROR(VLOOKUP($I$22&amp;$D13,'Database-Hidden'!$C$2:$J$120,4,FALSE)-P13+AG13,"")</f>
        <v>8</v>
      </c>
      <c r="F13" s="74">
        <f>IFERROR(VLOOKUP($I$22&amp;$D13,'Database-Hidden'!$C$2:$J$120,5,FALSE)-Q13+AH13,"")</f>
        <v>3</v>
      </c>
      <c r="G13" s="74">
        <f>IFERROR(VLOOKUP($I$22&amp;$D13,'Database-Hidden'!$C$2:$J$120,6,FALSE)-R13+AI13,"")</f>
        <v>5</v>
      </c>
      <c r="H13" s="75">
        <f>IFERROR(VLOOKUP($I$22&amp;$D13,'Database-Hidden'!$C$2:$J$120,7,FALSE)-S13+AJ13,"")</f>
        <v>7</v>
      </c>
      <c r="I13" s="76" t="str">
        <f>IFERROR(VLOOKUP($I$22&amp;$D13,'Database-Hidden'!$C$2:$J$120,8,FALSE),"")</f>
        <v>Catch</v>
      </c>
      <c r="J13" s="77" t="s">
        <v>271</v>
      </c>
      <c r="K13" s="78">
        <f t="shared" si="0"/>
        <v>2</v>
      </c>
      <c r="L13" s="79"/>
      <c r="M13" s="79"/>
      <c r="N13" s="80"/>
      <c r="O13" s="81"/>
      <c r="P13" s="82"/>
      <c r="Q13" s="83"/>
      <c r="R13" s="83"/>
      <c r="S13" s="84"/>
      <c r="T13" s="369">
        <v>1</v>
      </c>
      <c r="U13" s="87">
        <v>2</v>
      </c>
      <c r="V13" s="87">
        <v>4</v>
      </c>
      <c r="W13" s="87">
        <v>1</v>
      </c>
      <c r="X13" s="83"/>
      <c r="Y13" s="83"/>
      <c r="Z13" s="366"/>
      <c r="AA13" s="89">
        <f t="shared" si="1"/>
        <v>18</v>
      </c>
      <c r="AB13" s="58">
        <f t="shared" si="2"/>
        <v>150000</v>
      </c>
      <c r="AC13" s="4"/>
      <c r="AD13" s="116">
        <f>IFERROR(VLOOKUP($I$22&amp;D13,'Database-Hidden'!$C$2:$E$120,3,FALSE),"")</f>
        <v>90000</v>
      </c>
      <c r="AE13" s="91">
        <v>1</v>
      </c>
      <c r="AF13" s="92"/>
      <c r="AG13" s="103"/>
      <c r="AH13" s="103"/>
      <c r="AI13" s="92">
        <v>1</v>
      </c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  <c r="AX13" s="132"/>
    </row>
    <row r="14" spans="1:50" ht="12.75">
      <c r="A14" s="2"/>
      <c r="B14" s="70">
        <v>11</v>
      </c>
      <c r="C14" s="71" t="s">
        <v>274</v>
      </c>
      <c r="D14" s="72" t="s">
        <v>113</v>
      </c>
      <c r="E14" s="73">
        <f>IFERROR(VLOOKUP($I$22&amp;$D14,'Database-Hidden'!$C$2:$J$120,4,FALSE)-P14+AG14,"")</f>
        <v>8</v>
      </c>
      <c r="F14" s="74">
        <f>IFERROR(VLOOKUP($I$22&amp;$D14,'Database-Hidden'!$C$2:$J$120,5,FALSE)-Q14+AH14,"")</f>
        <v>4</v>
      </c>
      <c r="G14" s="74">
        <f>IFERROR(VLOOKUP($I$22&amp;$D14,'Database-Hidden'!$C$2:$J$120,6,FALSE)-R14+AI14,"")</f>
        <v>4</v>
      </c>
      <c r="H14" s="75">
        <f>IFERROR(VLOOKUP($I$22&amp;$D14,'Database-Hidden'!$C$2:$J$120,7,FALSE)-S14+AJ14,"")</f>
        <v>7</v>
      </c>
      <c r="I14" s="76" t="str">
        <f>IFERROR(VLOOKUP($I$22&amp;$D14,'Database-Hidden'!$C$2:$J$120,8,FALSE),"")</f>
        <v>Catch</v>
      </c>
      <c r="J14" s="77" t="s">
        <v>277</v>
      </c>
      <c r="K14" s="78">
        <f t="shared" si="0"/>
        <v>2</v>
      </c>
      <c r="L14" s="79"/>
      <c r="M14" s="79"/>
      <c r="N14" s="80"/>
      <c r="O14" s="81"/>
      <c r="P14" s="82"/>
      <c r="Q14" s="83"/>
      <c r="R14" s="83"/>
      <c r="S14" s="84"/>
      <c r="T14" s="85"/>
      <c r="U14" s="87">
        <v>5</v>
      </c>
      <c r="V14" s="87">
        <v>6</v>
      </c>
      <c r="W14" s="87">
        <v>2</v>
      </c>
      <c r="X14" s="83"/>
      <c r="Y14" s="83"/>
      <c r="Z14" s="366"/>
      <c r="AA14" s="89">
        <f t="shared" si="1"/>
        <v>27</v>
      </c>
      <c r="AB14" s="58">
        <f t="shared" si="2"/>
        <v>160000</v>
      </c>
      <c r="AC14" s="4"/>
      <c r="AD14" s="116">
        <f>IFERROR(VLOOKUP($I$22&amp;D14,'Database-Hidden'!$C$2:$E$120,3,FALSE),"")</f>
        <v>90000</v>
      </c>
      <c r="AE14" s="91">
        <v>1</v>
      </c>
      <c r="AF14" s="103"/>
      <c r="AG14" s="103"/>
      <c r="AH14" s="92">
        <v>1</v>
      </c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  <c r="AX14" s="132"/>
    </row>
    <row r="15" spans="1:50" ht="12.75">
      <c r="A15" s="2"/>
      <c r="B15" s="70">
        <v>12</v>
      </c>
      <c r="C15" s="71" t="s">
        <v>278</v>
      </c>
      <c r="D15" s="72" t="s">
        <v>113</v>
      </c>
      <c r="E15" s="73">
        <f>IFERROR(VLOOKUP($I$22&amp;$D15,'Database-Hidden'!$C$2:$J$120,4,FALSE)-P15+AG15,"")</f>
        <v>8</v>
      </c>
      <c r="F15" s="74">
        <f>IFERROR(VLOOKUP($I$22&amp;$D15,'Database-Hidden'!$C$2:$J$120,5,FALSE)-Q15+AH15,"")</f>
        <v>3</v>
      </c>
      <c r="G15" s="74">
        <f>IFERROR(VLOOKUP($I$22&amp;$D15,'Database-Hidden'!$C$2:$J$120,6,FALSE)-R15+AI15,"")</f>
        <v>4</v>
      </c>
      <c r="H15" s="75">
        <f>IFERROR(VLOOKUP($I$22&amp;$D15,'Database-Hidden'!$C$2:$J$120,7,FALSE)-S15+AJ15,"")</f>
        <v>7</v>
      </c>
      <c r="I15" s="76" t="str">
        <f>IFERROR(VLOOKUP($I$22&amp;$D15,'Database-Hidden'!$C$2:$J$120,8,FALSE),"")</f>
        <v>Catch</v>
      </c>
      <c r="J15" s="77" t="s">
        <v>103</v>
      </c>
      <c r="K15" s="78">
        <f t="shared" si="0"/>
        <v>1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>
        <v>3</v>
      </c>
      <c r="W15" s="87"/>
      <c r="X15" s="83"/>
      <c r="Y15" s="303"/>
      <c r="Z15" s="88">
        <v>1</v>
      </c>
      <c r="AA15" s="89">
        <f t="shared" si="1"/>
        <v>14</v>
      </c>
      <c r="AB15" s="58">
        <f t="shared" si="2"/>
        <v>110000</v>
      </c>
      <c r="AC15" s="4"/>
      <c r="AD15" s="116">
        <f>IFERROR(VLOOKUP($I$22&amp;D15,'Database-Hidden'!$C$2:$E$120,3,FALSE),"")</f>
        <v>90000</v>
      </c>
      <c r="AE15" s="91">
        <v>1</v>
      </c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  <c r="AX15" s="132"/>
    </row>
    <row r="16" spans="1:50" ht="12.75">
      <c r="A16" s="2"/>
      <c r="B16" s="70">
        <v>13</v>
      </c>
      <c r="C16" s="71"/>
      <c r="D16" s="72"/>
      <c r="E16" s="73" t="str">
        <f>IFERROR(VLOOKUP($I$22&amp;$D16,'Database-Hidden'!$C$2:$J$120,4,FALSE)-P16+AG16,"")</f>
        <v/>
      </c>
      <c r="F16" s="74" t="str">
        <f>IFERROR(VLOOKUP($I$22&amp;$D16,'Database-Hidden'!$C$2:$J$120,5,FALSE)-Q16+AH16,"")</f>
        <v/>
      </c>
      <c r="G16" s="74" t="str">
        <f>IFERROR(VLOOKUP($I$22&amp;$D16,'Database-Hidden'!$C$2:$J$120,6,FALSE)-R16+AI16,"")</f>
        <v/>
      </c>
      <c r="H16" s="75" t="str">
        <f>IFERROR(VLOOKUP($I$22&amp;$D16,'Database-Hidden'!$C$2:$J$120,7,FALSE)-S16+AJ16,"")</f>
        <v/>
      </c>
      <c r="I16" s="76" t="str">
        <f>IFERROR(VLOOKUP($I$22&amp;$D16,'Database-Hidden'!$C$2:$J$120,8,FALSE),"")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366"/>
      <c r="AA16" s="89">
        <f t="shared" si="1"/>
        <v>0</v>
      </c>
      <c r="AB16" s="58"/>
      <c r="AC16" s="4"/>
      <c r="AD16" s="116" t="str">
        <f>IFERROR(VLOOKUP($I$22&amp;D16,'Database-Hidden'!$C$2:$E$120,3,FALSE),"")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  <c r="AX16" s="132"/>
    </row>
    <row r="17" spans="1:50" ht="12.75">
      <c r="A17" s="2"/>
      <c r="B17" s="70">
        <v>14</v>
      </c>
      <c r="C17" s="71" t="s">
        <v>282</v>
      </c>
      <c r="D17" s="72" t="s">
        <v>101</v>
      </c>
      <c r="E17" s="73">
        <f>IFERROR(VLOOKUP($I$22&amp;$D17,'Database-Hidden'!$C$2:$J$120,4,FALSE)-P17+AG17,"")</f>
        <v>7</v>
      </c>
      <c r="F17" s="74">
        <f>IFERROR(VLOOKUP($I$22&amp;$D17,'Database-Hidden'!$C$2:$J$120,5,FALSE)-Q17+AH17,"")</f>
        <v>3</v>
      </c>
      <c r="G17" s="74">
        <f>IFERROR(VLOOKUP($I$22&amp;$D17,'Database-Hidden'!$C$2:$J$120,6,FALSE)-R17+AI17,"")</f>
        <v>4</v>
      </c>
      <c r="H17" s="75">
        <f>IFERROR(VLOOKUP($I$22&amp;$D17,'Database-Hidden'!$C$2:$J$120,7,FALSE)-S17+AJ17,"")</f>
        <v>8</v>
      </c>
      <c r="I17" s="76" t="str">
        <f>IFERROR(VLOOKUP($I$22&amp;$D17,'Database-Hidden'!$C$2:$J$120,8,FALSE),"")</f>
        <v>Block</v>
      </c>
      <c r="J17" s="77" t="s">
        <v>286</v>
      </c>
      <c r="K17" s="78">
        <f t="shared" si="0"/>
        <v>1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>
        <v>1</v>
      </c>
      <c r="X17" s="83"/>
      <c r="Y17" s="83"/>
      <c r="Z17" s="88">
        <v>1</v>
      </c>
      <c r="AA17" s="89">
        <f t="shared" si="1"/>
        <v>7</v>
      </c>
      <c r="AB17" s="58">
        <f t="shared" si="2"/>
        <v>130000</v>
      </c>
      <c r="AC17" s="4"/>
      <c r="AD17" s="116">
        <f>IFERROR(VLOOKUP($I$22&amp;D17,'Database-Hidden'!$C$2:$E$120,3,FALSE),"")</f>
        <v>100000</v>
      </c>
      <c r="AE17" s="91"/>
      <c r="AF17" s="92">
        <v>1</v>
      </c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IFERROR(VLOOKUP($I$22&amp;$D18,'Database-Hidden'!$C$2:$J$120,4,FALSE)-P18+AG18,"")</f>
        <v/>
      </c>
      <c r="F18" s="74" t="str">
        <f>IFERROR(VLOOKUP($I$22&amp;$D18,'Database-Hidden'!$C$2:$J$120,5,FALSE)-Q18+AH18,"")</f>
        <v/>
      </c>
      <c r="G18" s="74" t="str">
        <f>IFERROR(VLOOKUP($I$22&amp;$D18,'Database-Hidden'!$C$2:$J$120,6,FALSE)-R18+AI18,"")</f>
        <v/>
      </c>
      <c r="H18" s="75" t="str">
        <f>IFERROR(VLOOKUP($I$22&amp;$D18,'Database-Hidden'!$C$2:$J$120,7,FALSE)-S18+AJ18,"")</f>
        <v/>
      </c>
      <c r="I18" s="76" t="str">
        <f>IFERROR(VLOOKUP($I$22&amp;$D18,'Database-Hidden'!$C$2:$J$120,8,FALSE),"")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303"/>
      <c r="Z18" s="88"/>
      <c r="AA18" s="89">
        <f t="shared" si="1"/>
        <v>0</v>
      </c>
      <c r="AB18" s="58"/>
      <c r="AC18" s="4"/>
      <c r="AD18" s="116" t="str">
        <f>IFERROR(VLOOKUP($I$22&amp;D18,'Database-Hidden'!$C$2:$E$120,3,FALSE),"")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10000</v>
      </c>
      <c r="AP18" s="4"/>
      <c r="AQ18" s="4"/>
      <c r="AR18" s="67"/>
      <c r="AS18" s="148" t="s">
        <v>42</v>
      </c>
      <c r="AT18" s="150">
        <f t="shared" ref="AT18:AU18" si="3">SUM(AT6:AT17)</f>
        <v>0</v>
      </c>
      <c r="AU18" s="151">
        <f t="shared" si="3"/>
        <v>0</v>
      </c>
      <c r="AV18" s="152">
        <f>AV4+SUM(AV6:AV17)</f>
        <v>0</v>
      </c>
      <c r="AW18" s="5"/>
      <c r="AX18" s="5"/>
    </row>
    <row r="19" spans="1:50" ht="12.75">
      <c r="A19" s="2"/>
      <c r="B19" s="153">
        <v>16</v>
      </c>
      <c r="C19" s="154" t="s">
        <v>288</v>
      </c>
      <c r="D19" s="155" t="s">
        <v>108</v>
      </c>
      <c r="E19" s="156">
        <f>IFERROR(VLOOKUP($I$22&amp;$D19,'Database-Hidden'!$C$2:$J$120,4,FALSE)-P19+AG19,"")</f>
        <v>6</v>
      </c>
      <c r="F19" s="157">
        <f>IFERROR(VLOOKUP($I$22&amp;$D19,'Database-Hidden'!$C$2:$J$120,5,FALSE)-Q19+AH19,"")</f>
        <v>3</v>
      </c>
      <c r="G19" s="157">
        <f>IFERROR(VLOOKUP($I$22&amp;$D19,'Database-Hidden'!$C$2:$J$120,6,FALSE)-R19+AI19,"")</f>
        <v>4</v>
      </c>
      <c r="H19" s="159">
        <f>IFERROR(VLOOKUP($I$22&amp;$D19,'Database-Hidden'!$C$2:$J$120,7,FALSE)-S19+AJ19,"")</f>
        <v>8</v>
      </c>
      <c r="I19" s="160" t="str">
        <f>IFERROR(VLOOKUP($I$22&amp;$D19,'Database-Hidden'!$C$2:$J$120,8,FALSE),"")</f>
        <v>Pass, Safe Throw</v>
      </c>
      <c r="J19" s="161" t="s">
        <v>289</v>
      </c>
      <c r="K19" s="162">
        <f t="shared" si="0"/>
        <v>1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1">
        <v>3</v>
      </c>
      <c r="V19" s="170"/>
      <c r="W19" s="171"/>
      <c r="X19" s="167"/>
      <c r="Y19" s="372"/>
      <c r="Z19" s="172">
        <v>1</v>
      </c>
      <c r="AA19" s="173">
        <f t="shared" si="1"/>
        <v>8</v>
      </c>
      <c r="AB19" s="58">
        <f t="shared" si="2"/>
        <v>110000</v>
      </c>
      <c r="AC19" s="4"/>
      <c r="AD19" s="174">
        <f>IFERROR(VLOOKUP($I$22&amp;D19,'Database-Hidden'!$C$2:$E$120,3,FALSE),"")</f>
        <v>90000</v>
      </c>
      <c r="AE19" s="175">
        <v>1</v>
      </c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1240000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58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2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100000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127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0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10000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295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1390000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10000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150000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09">
        <f>MATCH(I22,'Database-Hidden'!A2:A120,0)</f>
        <v>50</v>
      </c>
      <c r="D28" s="209" t="str">
        <f t="shared" ref="D28:D37" si="5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</row>
    <row r="29" spans="1:50" ht="17.25" hidden="1" customHeight="1">
      <c r="C29" s="209">
        <f t="shared" ref="C29:C37" si="6">C28+1</f>
        <v>51</v>
      </c>
      <c r="D29" s="209" t="str">
        <f t="shared" si="5"/>
        <v>Thrower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Thrower</v>
      </c>
    </row>
    <row r="30" spans="1:50" ht="17.25" hidden="1" customHeight="1">
      <c r="C30" s="209">
        <f t="shared" si="6"/>
        <v>52</v>
      </c>
      <c r="D30" s="209" t="str">
        <f t="shared" si="5"/>
        <v>Catcher</v>
      </c>
      <c r="E30" s="210">
        <f t="array" ref="E30">IFERROR(IF(INDEX('Database-Hidden'!$A$2:$B$120,$C30,1)=$I$22,INDEX('Database-Hidden'!$A$2:$D$120,$C30,4),""),"")</f>
        <v>4</v>
      </c>
      <c r="I30" s="209" t="str">
        <f t="array" ref="I30">IFERROR(IF(INDEX('Database-Hidden'!$A$2:$B$120,$C30,1)=$I$22,INDEX('Database-Hidden'!$A$2:$B$120,$C30,2),""),"")</f>
        <v>Catcher</v>
      </c>
    </row>
    <row r="31" spans="1:50" ht="17.25" hidden="1" customHeight="1">
      <c r="C31" s="209">
        <f t="shared" si="6"/>
        <v>53</v>
      </c>
      <c r="D31" s="209" t="str">
        <f t="shared" si="5"/>
        <v>Blitzer</v>
      </c>
      <c r="E31" s="210">
        <f t="array" ref="E31">IFERROR(IF(INDEX('Database-Hidden'!$A$2:$B$120,$C31,1)=$I$22,INDEX('Database-Hidden'!$A$2:$D$120,$C31,4),""),"")</f>
        <v>2</v>
      </c>
      <c r="I31" s="209" t="str">
        <f t="array" ref="I31">IFERROR(IF(INDEX('Database-Hidden'!$A$2:$B$120,$C31,1)=$I$22,INDEX('Database-Hidden'!$A$2:$B$120,$C31,2),""),"")</f>
        <v>Blitzer</v>
      </c>
    </row>
    <row r="32" spans="1:50" ht="17.25" hidden="1" customHeight="1">
      <c r="C32" s="209">
        <f t="shared" si="6"/>
        <v>54</v>
      </c>
      <c r="D32" s="209" t="str">
        <f t="shared" si="5"/>
        <v/>
      </c>
      <c r="E32" s="210" t="str">
        <f t="array" ref="E32">IFERROR(IF(INDEX('Database-Hidden'!$A$2:$B$120,$C32,1)=$I$22,INDEX('Database-Hidden'!$A$2:$D$120,$C32,4),""),"")</f>
        <v/>
      </c>
      <c r="I32" s="209" t="str">
        <f t="array" ref="I32">IFERROR(IF(INDEX('Database-Hidden'!$A$2:$B$120,$C32,1)=$I$22,INDEX('Database-Hidden'!$A$2:$B$120,$C32,2),""),"")</f>
        <v/>
      </c>
    </row>
    <row r="33" spans="3:9" ht="17.25" hidden="1" customHeight="1">
      <c r="C33" s="209">
        <f t="shared" si="6"/>
        <v>55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</row>
    <row r="34" spans="3:9" ht="17.25" hidden="1" customHeight="1">
      <c r="C34" s="209">
        <f t="shared" si="6"/>
        <v>56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</row>
    <row r="35" spans="3:9" ht="17.25" hidden="1" customHeight="1">
      <c r="C35" s="209">
        <f t="shared" si="6"/>
        <v>57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</row>
    <row r="36" spans="3:9" ht="17.25" hidden="1" customHeight="1">
      <c r="C36" s="209">
        <f t="shared" si="6"/>
        <v>58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</row>
    <row r="37" spans="3:9" ht="17.25" hidden="1" customHeight="1">
      <c r="C37" s="209">
        <f t="shared" si="6"/>
        <v>59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</row>
    <row r="38" spans="3:9" ht="17.25" hidden="1" customHeight="1">
      <c r="C38" s="211">
        <f>MATCH(I22,'Star Players-Hidden'!D2:AD2,0)</f>
        <v>11</v>
      </c>
      <c r="D38" s="211" t="str">
        <f t="shared" ref="D38:D49" ca="1" si="7">I38&amp;IF(COUNTIF(D$4:D$19,I38)&gt;1," (Too Many)","")</f>
        <v>Star: Bo Gallante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Bo Gallante")</f>
        <v>Star: Bo Gallante</v>
      </c>
    </row>
    <row r="39" spans="3:9" ht="17.25" hidden="1" customHeight="1">
      <c r="C39" s="209"/>
      <c r="D39" s="209" t="str">
        <f t="shared" si="7"/>
        <v>Star: Dolfar Longstride</v>
      </c>
      <c r="I39" s="213" t="s">
        <v>139</v>
      </c>
    </row>
    <row r="40" spans="3:9" ht="17.25" hidden="1" customHeight="1">
      <c r="C40" s="209"/>
      <c r="D40" s="209" t="str">
        <f t="shared" si="7"/>
        <v>Star: Eldril Sidewinder</v>
      </c>
      <c r="I40" s="209" t="s">
        <v>142</v>
      </c>
    </row>
    <row r="41" spans="3:9" ht="17.25" hidden="1" customHeight="1">
      <c r="C41" s="209"/>
      <c r="D41" s="209" t="str">
        <f t="shared" si="7"/>
        <v>Star: Lucien the Swift</v>
      </c>
      <c r="I41" s="209" t="s">
        <v>143</v>
      </c>
    </row>
    <row r="42" spans="3:9" ht="17.25" hidden="1" customHeight="1">
      <c r="C42" s="209"/>
      <c r="D42" s="209" t="str">
        <f t="shared" si="7"/>
        <v>Star: Morg'n'Thorg</v>
      </c>
      <c r="I42" s="209" t="s">
        <v>144</v>
      </c>
    </row>
    <row r="43" spans="3:9" ht="17.25" hidden="1" customHeight="1">
      <c r="C43" s="209"/>
      <c r="D43" s="209" t="str">
        <f t="shared" si="7"/>
        <v>Star: Prince Moranion</v>
      </c>
      <c r="I43" s="209" t="s">
        <v>145</v>
      </c>
    </row>
    <row r="44" spans="3:9" ht="17.25" hidden="1" customHeight="1">
      <c r="C44" s="209"/>
      <c r="D44" s="209" t="str">
        <f t="shared" si="7"/>
        <v>Star: Soaren Hightower</v>
      </c>
      <c r="I44" s="209" t="s">
        <v>146</v>
      </c>
    </row>
    <row r="45" spans="3:9" ht="17.25" hidden="1" customHeight="1">
      <c r="C45" s="209"/>
      <c r="D45" s="209" t="str">
        <f t="shared" si="7"/>
        <v>Star: Valen the Swift</v>
      </c>
      <c r="I45" s="209" t="s">
        <v>147</v>
      </c>
    </row>
    <row r="46" spans="3:9" ht="17.25" hidden="1" customHeight="1">
      <c r="C46" s="209"/>
      <c r="D46" s="209" t="str">
        <f t="shared" si="7"/>
        <v>Star: Zara the Slayer</v>
      </c>
      <c r="I46" s="209" t="s">
        <v>148</v>
      </c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</sheetData>
  <mergeCells count="27">
    <mergeCell ref="V25:AA25"/>
    <mergeCell ref="I22:K22"/>
    <mergeCell ref="AN3:AQ3"/>
    <mergeCell ref="P2:S2"/>
    <mergeCell ref="AR3:AV3"/>
    <mergeCell ref="V21:AA21"/>
    <mergeCell ref="AN21:AO21"/>
    <mergeCell ref="E20:AA20"/>
    <mergeCell ref="L21:S21"/>
    <mergeCell ref="E21:H21"/>
    <mergeCell ref="I21:K21"/>
    <mergeCell ref="E26:AA26"/>
    <mergeCell ref="B20:D26"/>
    <mergeCell ref="E22:H22"/>
    <mergeCell ref="L25:S25"/>
    <mergeCell ref="E25:H25"/>
    <mergeCell ref="I25:K25"/>
    <mergeCell ref="I23:K23"/>
    <mergeCell ref="E23:H23"/>
    <mergeCell ref="E24:H24"/>
    <mergeCell ref="I24:K24"/>
    <mergeCell ref="L23:S23"/>
    <mergeCell ref="L24:S24"/>
    <mergeCell ref="L22:S22"/>
    <mergeCell ref="V24:AA24"/>
    <mergeCell ref="V23:AA23"/>
    <mergeCell ref="V22:AA22"/>
  </mergeCells>
  <conditionalFormatting sqref="J4">
    <cfRule type="expression" dxfId="607" priority="1">
      <formula>K4&lt;&gt;SUM(AE4:AJ4)</formula>
    </cfRule>
  </conditionalFormatting>
  <conditionalFormatting sqref="K4:K19">
    <cfRule type="cellIs" dxfId="606" priority="2" operator="equal">
      <formula>0</formula>
    </cfRule>
  </conditionalFormatting>
  <conditionalFormatting sqref="AB4:AB19">
    <cfRule type="cellIs" dxfId="605" priority="3" operator="equal">
      <formula>0</formula>
    </cfRule>
  </conditionalFormatting>
  <conditionalFormatting sqref="E4:H19">
    <cfRule type="expression" dxfId="604" priority="4">
      <formula>AG4&gt;0</formula>
    </cfRule>
  </conditionalFormatting>
  <conditionalFormatting sqref="E4:H19">
    <cfRule type="expression" dxfId="603" priority="5">
      <formula>P4&gt;0</formula>
    </cfRule>
  </conditionalFormatting>
  <conditionalFormatting sqref="T4:T19 U4:U19 V4:W19 Z4:Z19 U27">
    <cfRule type="cellIs" dxfId="602" priority="6" stopIfTrue="1" operator="equal">
      <formula>0</formula>
    </cfRule>
  </conditionalFormatting>
  <conditionalFormatting sqref="K4:K19">
    <cfRule type="cellIs" dxfId="601" priority="7" stopIfTrue="1" operator="equal">
      <formula>"n/a"</formula>
    </cfRule>
  </conditionalFormatting>
  <conditionalFormatting sqref="P4:S19">
    <cfRule type="cellIs" dxfId="600" priority="8" stopIfTrue="1" operator="lessThanOrEqual">
      <formula>-1</formula>
    </cfRule>
  </conditionalFormatting>
  <conditionalFormatting sqref="V25:W25">
    <cfRule type="cellIs" dxfId="599" priority="9" stopIfTrue="1" operator="equal">
      <formula>-500</formula>
    </cfRule>
  </conditionalFormatting>
  <conditionalFormatting sqref="T25">
    <cfRule type="cellIs" dxfId="598" priority="10" stopIfTrue="1" operator="greaterThan">
      <formula>$V$25</formula>
    </cfRule>
  </conditionalFormatting>
  <conditionalFormatting sqref="AA4:AA19">
    <cfRule type="cellIs" dxfId="597" priority="11" stopIfTrue="1" operator="equal">
      <formula>"Star"</formula>
    </cfRule>
  </conditionalFormatting>
  <conditionalFormatting sqref="AA4:AA19">
    <cfRule type="cellIs" dxfId="596" priority="12" stopIfTrue="1" operator="equal">
      <formula>AB4</formula>
    </cfRule>
  </conditionalFormatting>
  <conditionalFormatting sqref="I4:I19">
    <cfRule type="cellIs" dxfId="595" priority="13" stopIfTrue="1" operator="equal">
      <formula>0</formula>
    </cfRule>
  </conditionalFormatting>
  <conditionalFormatting sqref="I4:I19">
    <cfRule type="cellIs" dxfId="594" priority="14" stopIfTrue="1" operator="equal">
      <formula>"Player type quantity surpassed"</formula>
    </cfRule>
  </conditionalFormatting>
  <conditionalFormatting sqref="J5">
    <cfRule type="expression" dxfId="593" priority="15">
      <formula>K5&lt;&gt;SUM(AE5:AJ5)</formula>
    </cfRule>
  </conditionalFormatting>
  <conditionalFormatting sqref="J6">
    <cfRule type="expression" dxfId="592" priority="16">
      <formula>K6&lt;&gt;SUM(AE6:AJ6)</formula>
    </cfRule>
  </conditionalFormatting>
  <conditionalFormatting sqref="J7">
    <cfRule type="expression" dxfId="591" priority="17">
      <formula>K7&lt;&gt;SUM(AE7:AJ7)</formula>
    </cfRule>
  </conditionalFormatting>
  <conditionalFormatting sqref="J8">
    <cfRule type="expression" dxfId="590" priority="18">
      <formula>K8&lt;&gt;SUM(AE8:AJ8)</formula>
    </cfRule>
  </conditionalFormatting>
  <conditionalFormatting sqref="J9">
    <cfRule type="expression" dxfId="589" priority="19">
      <formula>K9&lt;&gt;SUM(AE9:AJ9)</formula>
    </cfRule>
  </conditionalFormatting>
  <conditionalFormatting sqref="J10">
    <cfRule type="expression" dxfId="588" priority="20">
      <formula>K10&lt;&gt;SUM(AE10:AJ10)</formula>
    </cfRule>
  </conditionalFormatting>
  <conditionalFormatting sqref="J11">
    <cfRule type="expression" dxfId="587" priority="21">
      <formula>K11&lt;&gt;SUM(AE11:AJ11)</formula>
    </cfRule>
  </conditionalFormatting>
  <conditionalFormatting sqref="J12">
    <cfRule type="expression" dxfId="586" priority="22">
      <formula>K12&lt;&gt;SUM(AE12:AJ12)</formula>
    </cfRule>
  </conditionalFormatting>
  <conditionalFormatting sqref="J13">
    <cfRule type="expression" dxfId="585" priority="23">
      <formula>K13&lt;&gt;SUM(AE13:AJ13)</formula>
    </cfRule>
  </conditionalFormatting>
  <conditionalFormatting sqref="J14">
    <cfRule type="expression" dxfId="584" priority="24">
      <formula>K14&lt;&gt;SUM(AE14:AJ14)</formula>
    </cfRule>
  </conditionalFormatting>
  <conditionalFormatting sqref="J15">
    <cfRule type="expression" dxfId="583" priority="25">
      <formula>K15&lt;&gt;SUM(AE15:AJ15)</formula>
    </cfRule>
  </conditionalFormatting>
  <conditionalFormatting sqref="J16">
    <cfRule type="expression" dxfId="582" priority="26">
      <formula>K16&lt;&gt;SUM(AE16:AJ16)</formula>
    </cfRule>
  </conditionalFormatting>
  <conditionalFormatting sqref="J17">
    <cfRule type="expression" dxfId="581" priority="27">
      <formula>K17&lt;&gt;SUM(AE17:AJ17)</formula>
    </cfRule>
  </conditionalFormatting>
  <conditionalFormatting sqref="J18">
    <cfRule type="expression" dxfId="580" priority="28">
      <formula>K18&lt;&gt;SUM(AE18:AJ18)</formula>
    </cfRule>
  </conditionalFormatting>
  <conditionalFormatting sqref="J19">
    <cfRule type="expression" dxfId="579" priority="29">
      <formula>K19&lt;&gt;SUM(AE19:AJ19)</formula>
    </cfRule>
  </conditionalFormatting>
  <dataValidations count="2">
    <dataValidation type="list" allowBlank="1" showErrorMessage="1" sqref="D4:D19">
      <formula1>'DH2'!$D$28:$D$49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2.4257812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 t="s">
        <v>243</v>
      </c>
      <c r="D4" s="42" t="s">
        <v>244</v>
      </c>
      <c r="E4" s="73">
        <f>IF(LEFT($D4,6)&lt;&gt;"Star: ",IFERROR(VLOOKUP($I$22&amp;$D4,'Database-Hidden'!$C$2:$J$120,4,FALSE)-P4+AG4,""),VLOOKUP(RIGHT($D4,LEN($D4)-6),'Star Players-Hidden'!$A$3:$AK$87,33,FALSE))</f>
        <v>6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3</v>
      </c>
      <c r="H4" s="75">
        <f>IF(LEFT($D4,6)&lt;&gt;"Star: ",IFERROR(VLOOKUP($I$22&amp;$D4,'Database-Hidden'!$C$2:$J$120,7,FALSE)-S4+AJ4,""),VLOOKUP(RIGHT($D4,LEN($D4)-6),'Star Players-Hidden'!$A$3:$AK$87,36,FALSE))</f>
        <v>8</v>
      </c>
      <c r="I4" s="76" t="str">
        <f>IF(LEFT($D4,6)&lt;&gt;"Star: ",IFERROR(VLOOKUP($I$22&amp;$D4,'Database-Hidden'!$C$2:$J$120,8,FALSE),""),VLOOKUP(RIGHT($D4,LEN($D4)-6),'Star Players-Hidden'!$A$3:$AK$87,31,FALSE))</f>
        <v>Horns</v>
      </c>
      <c r="J4" s="47" t="s">
        <v>247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2</v>
      </c>
      <c r="W4" s="55">
        <v>4</v>
      </c>
      <c r="X4" s="52"/>
      <c r="Y4" s="52"/>
      <c r="Z4" s="56">
        <v>1</v>
      </c>
      <c r="AA4" s="57">
        <f t="shared" ref="AA4:AA19" si="1">2*T4+U4+3*V4+2*W4+5*Z4</f>
        <v>19</v>
      </c>
      <c r="AB4" s="58">
        <f t="shared" ref="AB4:AB19" si="2">IF(L4=1,0,AD4+(20000*O4)+(20000*AE4)+(30000*AF4)+(30000*AG4)+(50000*AH4)+(40000*AI4)+(50000*AJ4)+AK4)</f>
        <v>100000</v>
      </c>
      <c r="AC4" s="4"/>
      <c r="AD4" s="116">
        <f>IF(LEFT($D4,6)&lt;&gt;"Star: ",IFERROR(VLOOKUP($I$22&amp;D4,'Database-Hidden'!$C$2:$E$120,3,FALSE),""),VLOOKUP(RIGHT($D4,LEN($D4)-6),'Star Players-Hidden'!$A$3:$AJ$87,32,FALSE))</f>
        <v>60000</v>
      </c>
      <c r="AE4" s="60">
        <v>2</v>
      </c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10000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  <c r="AX4" s="69"/>
    </row>
    <row r="5" spans="1:50" ht="12.75">
      <c r="A5" s="2"/>
      <c r="B5" s="70">
        <v>2</v>
      </c>
      <c r="C5" s="71" t="s">
        <v>249</v>
      </c>
      <c r="D5" s="72" t="s">
        <v>244</v>
      </c>
      <c r="E5" s="73">
        <f>IF(LEFT($D5,6)&lt;&gt;"Star: ",IFERROR(VLOOKUP($I$22&amp;$D5,'Database-Hidden'!$C$2:$J$120,4,FALSE)-P5+AG5,""),VLOOKUP(RIGHT($D5,LEN($D5)-6),'Star Players-Hidden'!$A$3:$AK$87,33,FALSE))</f>
        <v>6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3</v>
      </c>
      <c r="H5" s="75">
        <f>IF(LEFT($D5,6)&lt;&gt;"Star: ",IFERROR(VLOOKUP($I$22&amp;$D5,'Database-Hidden'!$C$2:$J$120,7,FALSE)-S5+AJ5,""),VLOOKUP(RIGHT($D5,LEN($D5)-6),'Star Players-Hidden'!$A$3:$AK$87,36,FALSE))</f>
        <v>8</v>
      </c>
      <c r="I5" s="76" t="str">
        <f>IF(LEFT($D5,6)&lt;&gt;"Star: ",IFERROR(VLOOKUP($I$22&amp;$D5,'Database-Hidden'!$C$2:$J$120,8,FALSE),""),VLOOKUP(RIGHT($D5,LEN($D5)-6),'Star Players-Hidden'!$A$3:$AK$87,31,FALSE))</f>
        <v>Horns</v>
      </c>
      <c r="J5" s="77" t="s">
        <v>252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7">
        <v>1</v>
      </c>
      <c r="V5" s="87"/>
      <c r="W5" s="87">
        <v>1</v>
      </c>
      <c r="X5" s="83"/>
      <c r="Y5" s="83"/>
      <c r="Z5" s="88">
        <v>1</v>
      </c>
      <c r="AA5" s="89">
        <f t="shared" si="1"/>
        <v>8</v>
      </c>
      <c r="AB5" s="58">
        <f t="shared" si="2"/>
        <v>80000</v>
      </c>
      <c r="AC5" s="4"/>
      <c r="AD5" s="116">
        <f>IF(LEFT($D5,6)&lt;&gt;"Star: ",IFERROR(VLOOKUP($I$22&amp;D5,'Database-Hidden'!$C$2:$E$120,3,FALSE),""),VLOOKUP(RIGHT($D5,LEN($D5)-6),'Star Players-Hidden'!$A$3:$AJ$87,32,FALSE))</f>
        <v>60000</v>
      </c>
      <c r="AE5" s="91">
        <v>1</v>
      </c>
      <c r="AF5" s="92"/>
      <c r="AG5" s="92"/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255</v>
      </c>
      <c r="D6" s="72" t="s">
        <v>244</v>
      </c>
      <c r="E6" s="73">
        <f>IF(LEFT($D6,6)&lt;&gt;"Star: ",IFERROR(VLOOKUP($I$22&amp;$D6,'Database-Hidden'!$C$2:$J$120,4,FALSE)-P6+AG6,""),VLOOKUP(RIGHT($D6,LEN($D6)-6),'Star Players-Hidden'!$A$3:$AK$87,33,FALSE))</f>
        <v>6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3</v>
      </c>
      <c r="H6" s="75">
        <f>IF(LEFT($D6,6)&lt;&gt;"Star: ",IFERROR(VLOOKUP($I$22&amp;$D6,'Database-Hidden'!$C$2:$J$120,7,FALSE)-S6+AJ6,""),VLOOKUP(RIGHT($D6,LEN($D6)-6),'Star Players-Hidden'!$A$3:$AK$87,36,FALSE))</f>
        <v>8</v>
      </c>
      <c r="I6" s="76" t="str">
        <f>IF(LEFT($D6,6)&lt;&gt;"Star: ",IFERROR(VLOOKUP($I$22&amp;$D6,'Database-Hidden'!$C$2:$J$120,8,FALSE),""),VLOOKUP(RIGHT($D6,LEN($D6)-6),'Star Players-Hidden'!$A$3:$AK$87,31,FALSE))</f>
        <v>Horns</v>
      </c>
      <c r="J6" s="77" t="s">
        <v>155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7">
        <v>2</v>
      </c>
      <c r="V6" s="87">
        <v>1</v>
      </c>
      <c r="W6" s="87">
        <v>4</v>
      </c>
      <c r="X6" s="303"/>
      <c r="Y6" s="83"/>
      <c r="Z6" s="88"/>
      <c r="AA6" s="89">
        <f t="shared" si="1"/>
        <v>13</v>
      </c>
      <c r="AB6" s="58">
        <f t="shared" si="2"/>
        <v>80000</v>
      </c>
      <c r="AC6" s="4"/>
      <c r="AD6" s="116">
        <f>IF(LEFT($D6,6)&lt;&gt;"Star: ",IFERROR(VLOOKUP($I$22&amp;D6,'Database-Hidden'!$C$2:$E$120,3,FALSE),""),VLOOKUP(RIGHT($D6,LEN($D6)-6),'Star Players-Hidden'!$A$3:$AJ$87,32,FALSE))</f>
        <v>60000</v>
      </c>
      <c r="AE6" s="91">
        <v>1</v>
      </c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70000</v>
      </c>
      <c r="AP6" s="106"/>
      <c r="AQ6" s="107"/>
      <c r="AR6" s="108" t="s">
        <v>50</v>
      </c>
      <c r="AS6" s="110" t="s">
        <v>258</v>
      </c>
      <c r="AT6" s="112">
        <v>3</v>
      </c>
      <c r="AU6" s="113">
        <v>2</v>
      </c>
      <c r="AV6" s="281">
        <v>1</v>
      </c>
      <c r="AW6" s="115"/>
      <c r="AX6" s="115"/>
    </row>
    <row r="7" spans="1:50" ht="12.75">
      <c r="A7" s="2"/>
      <c r="B7" s="70">
        <v>4</v>
      </c>
      <c r="C7" s="71" t="s">
        <v>259</v>
      </c>
      <c r="D7" s="72" t="s">
        <v>244</v>
      </c>
      <c r="E7" s="73">
        <f>IF(LEFT($D7,6)&lt;&gt;"Star: ",IFERROR(VLOOKUP($I$22&amp;$D7,'Database-Hidden'!$C$2:$J$120,4,FALSE)-P7+AG7,""),VLOOKUP(RIGHT($D7,LEN($D7)-6),'Star Players-Hidden'!$A$3:$AK$87,33,FALSE))</f>
        <v>6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8</v>
      </c>
      <c r="I7" s="76" t="str">
        <f>IF(LEFT($D7,6)&lt;&gt;"Star: ",IFERROR(VLOOKUP($I$22&amp;$D7,'Database-Hidden'!$C$2:$J$120,8,FALSE),""),VLOOKUP(RIGHT($D7,LEN($D7)-6),'Star Players-Hidden'!$A$3:$AK$87,31,FALSE))</f>
        <v>Horns</v>
      </c>
      <c r="J7" s="77" t="s">
        <v>155</v>
      </c>
      <c r="K7" s="78">
        <f t="shared" si="0"/>
        <v>1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7">
        <v>1</v>
      </c>
      <c r="W7" s="87">
        <v>1</v>
      </c>
      <c r="X7" s="83"/>
      <c r="Y7" s="83"/>
      <c r="Z7" s="88">
        <v>1</v>
      </c>
      <c r="AA7" s="89">
        <f t="shared" si="1"/>
        <v>10</v>
      </c>
      <c r="AB7" s="58">
        <f t="shared" si="2"/>
        <v>80000</v>
      </c>
      <c r="AC7" s="4"/>
      <c r="AD7" s="116">
        <f>IF(LEFT($D7,6)&lt;&gt;"Star: ",IFERROR(VLOOKUP($I$22&amp;D7,'Database-Hidden'!$C$2:$E$120,3,FALSE),""),VLOOKUP(RIGHT($D7,LEN($D7)-6),'Star Players-Hidden'!$A$3:$AJ$87,32,FALSE))</f>
        <v>60000</v>
      </c>
      <c r="AE7" s="91">
        <v>1</v>
      </c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50000</v>
      </c>
      <c r="AP7" s="121">
        <v>50000</v>
      </c>
      <c r="AQ7" s="122"/>
      <c r="AR7" s="134" t="s">
        <v>18</v>
      </c>
      <c r="AS7" s="126" t="s">
        <v>263</v>
      </c>
      <c r="AT7" s="128">
        <v>2</v>
      </c>
      <c r="AU7" s="130">
        <v>2</v>
      </c>
      <c r="AV7" s="135">
        <v>1</v>
      </c>
      <c r="AW7" s="132"/>
      <c r="AX7" s="132"/>
    </row>
    <row r="8" spans="1:50" ht="12.75">
      <c r="A8" s="2"/>
      <c r="B8" s="70">
        <v>5</v>
      </c>
      <c r="C8" s="71" t="s">
        <v>264</v>
      </c>
      <c r="D8" s="72" t="s">
        <v>244</v>
      </c>
      <c r="E8" s="73">
        <f>IF(LEFT($D8,6)&lt;&gt;"Star: ",IFERROR(VLOOKUP($I$22&amp;$D8,'Database-Hidden'!$C$2:$J$120,4,FALSE)-P8+AG8,""),VLOOKUP(RIGHT($D8,LEN($D8)-6),'Star Players-Hidden'!$A$3:$AK$87,33,FALSE))</f>
        <v>6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3</v>
      </c>
      <c r="H8" s="75">
        <f>IF(LEFT($D8,6)&lt;&gt;"Star: ",IFERROR(VLOOKUP($I$22&amp;$D8,'Database-Hidden'!$C$2:$J$120,7,FALSE)-S8+AJ8,""),VLOOKUP(RIGHT($D8,LEN($D8)-6),'Star Players-Hidden'!$A$3:$AK$87,36,FALSE))</f>
        <v>8</v>
      </c>
      <c r="I8" s="76" t="str">
        <f>IF(LEFT($D8,6)&lt;&gt;"Star: ",IFERROR(VLOOKUP($I$22&amp;$D8,'Database-Hidden'!$C$2:$J$120,8,FALSE),""),VLOOKUP(RIGHT($D8,LEN($D8)-6),'Star Players-Hidden'!$A$3:$AK$87,31,FALSE))</f>
        <v>Horns</v>
      </c>
      <c r="J8" s="77" t="s">
        <v>199</v>
      </c>
      <c r="K8" s="78">
        <f t="shared" si="0"/>
        <v>1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7">
        <v>3</v>
      </c>
      <c r="X8" s="303">
        <v>1</v>
      </c>
      <c r="Y8" s="83"/>
      <c r="Z8" s="88"/>
      <c r="AA8" s="89">
        <f t="shared" si="1"/>
        <v>6</v>
      </c>
      <c r="AB8" s="58">
        <f t="shared" si="2"/>
        <v>80000</v>
      </c>
      <c r="AC8" s="4"/>
      <c r="AD8" s="116">
        <f>IF(LEFT($D8,6)&lt;&gt;"Star: ",IFERROR(VLOOKUP($I$22&amp;D8,'Database-Hidden'!$C$2:$E$120,3,FALSE),""),VLOOKUP(RIGHT($D8,LEN($D8)-6),'Star Players-Hidden'!$A$3:$AJ$87,32,FALSE))</f>
        <v>60000</v>
      </c>
      <c r="AE8" s="91">
        <v>1</v>
      </c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80000</v>
      </c>
      <c r="AP8" s="121">
        <v>100000</v>
      </c>
      <c r="AQ8" s="122"/>
      <c r="AR8" s="134" t="s">
        <v>265</v>
      </c>
      <c r="AS8" s="126" t="s">
        <v>266</v>
      </c>
      <c r="AT8" s="128">
        <v>3</v>
      </c>
      <c r="AU8" s="130">
        <v>7</v>
      </c>
      <c r="AV8" s="135">
        <v>1</v>
      </c>
      <c r="AW8" s="132"/>
      <c r="AX8" s="132"/>
    </row>
    <row r="9" spans="1:50" ht="12.75">
      <c r="A9" s="2"/>
      <c r="B9" s="70">
        <v>6</v>
      </c>
      <c r="C9" s="71" t="s">
        <v>267</v>
      </c>
      <c r="D9" s="72" t="s">
        <v>244</v>
      </c>
      <c r="E9" s="73">
        <f>IF(LEFT($D9,6)&lt;&gt;"Star: ",IFERROR(VLOOKUP($I$22&amp;$D9,'Database-Hidden'!$C$2:$J$120,4,FALSE)-P9+AG9,""),VLOOKUP(RIGHT($D9,LEN($D9)-6),'Star Players-Hidden'!$A$3:$AK$87,33,FALSE))</f>
        <v>6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3</v>
      </c>
      <c r="H9" s="75">
        <f>IF(LEFT($D9,6)&lt;&gt;"Star: ",IFERROR(VLOOKUP($I$22&amp;$D9,'Database-Hidden'!$C$2:$J$120,7,FALSE)-S9+AJ9,""),VLOOKUP(RIGHT($D9,LEN($D9)-6),'Star Players-Hidden'!$A$3:$AK$87,36,FALSE))</f>
        <v>7</v>
      </c>
      <c r="I9" s="76" t="str">
        <f>IF(LEFT($D9,6)&lt;&gt;"Star: ",IFERROR(VLOOKUP($I$22&amp;$D9,'Database-Hidden'!$C$2:$J$120,8,FALSE),""),VLOOKUP(RIGHT($D9,LEN($D9)-6),'Star Players-Hidden'!$A$3:$AK$87,31,FALSE))</f>
        <v>Horns</v>
      </c>
      <c r="J9" s="102"/>
      <c r="K9" s="78">
        <f t="shared" si="0"/>
        <v>0</v>
      </c>
      <c r="L9" s="80"/>
      <c r="M9" s="79"/>
      <c r="N9" s="80"/>
      <c r="O9" s="81"/>
      <c r="P9" s="82"/>
      <c r="Q9" s="83"/>
      <c r="R9" s="83"/>
      <c r="S9" s="368">
        <v>1</v>
      </c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60000</v>
      </c>
      <c r="AC9" s="4"/>
      <c r="AD9" s="116">
        <f>IF(LEFT($D9,6)&lt;&gt;"Star: ",IFERROR(VLOOKUP($I$22&amp;D9,'Database-Hidden'!$C$2:$E$120,3,FALSE),""),VLOOKUP(RIGHT($D9,LEN($D9)-6),'Star Players-Hidden'!$A$3:$AJ$87,32,FALSE))</f>
        <v>60000</v>
      </c>
      <c r="AE9" s="91"/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9">
        <v>60000</v>
      </c>
      <c r="AP9" s="121">
        <v>120000</v>
      </c>
      <c r="AQ9" s="122"/>
      <c r="AR9" s="134" t="s">
        <v>37</v>
      </c>
      <c r="AS9" s="126" t="s">
        <v>273</v>
      </c>
      <c r="AT9" s="128">
        <v>1</v>
      </c>
      <c r="AU9" s="130">
        <v>3</v>
      </c>
      <c r="AV9" s="131">
        <f>1</f>
        <v>1</v>
      </c>
      <c r="AW9" s="132"/>
      <c r="AX9" s="132"/>
    </row>
    <row r="10" spans="1:50" ht="12.75">
      <c r="A10" s="2"/>
      <c r="B10" s="70">
        <v>7</v>
      </c>
      <c r="C10" s="71" t="s">
        <v>275</v>
      </c>
      <c r="D10" s="72" t="s">
        <v>244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8</v>
      </c>
      <c r="I10" s="76" t="str">
        <f>IF(LEFT($D10,6)&lt;&gt;"Star: ",IFERROR(VLOOKUP($I$22&amp;$D10,'Database-Hidden'!$C$2:$J$120,8,FALSE),""),VLOOKUP(RIGHT($D10,LEN($D10)-6),'Star Players-Hidden'!$A$3:$AK$87,31,FALSE))</f>
        <v>Horns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>
        <v>1</v>
      </c>
      <c r="W10" s="87">
        <v>1</v>
      </c>
      <c r="X10" s="303">
        <v>1</v>
      </c>
      <c r="Y10" s="83"/>
      <c r="Z10" s="88"/>
      <c r="AA10" s="89">
        <f t="shared" si="1"/>
        <v>5</v>
      </c>
      <c r="AB10" s="58">
        <f t="shared" si="2"/>
        <v>60000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60000</v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9">
        <v>40000</v>
      </c>
      <c r="AP10" s="120"/>
      <c r="AQ10" s="122"/>
      <c r="AR10" s="134" t="s">
        <v>62</v>
      </c>
      <c r="AS10" s="126" t="s">
        <v>279</v>
      </c>
      <c r="AT10" s="128">
        <v>1</v>
      </c>
      <c r="AU10" s="130">
        <v>7</v>
      </c>
      <c r="AV10" s="135">
        <v>0</v>
      </c>
      <c r="AW10" s="132"/>
      <c r="AX10" s="132"/>
    </row>
    <row r="11" spans="1:50" ht="12.75">
      <c r="A11" s="2"/>
      <c r="B11" s="70">
        <v>8</v>
      </c>
      <c r="C11" s="101"/>
      <c r="D11" s="133"/>
      <c r="E11" s="73" t="str">
        <f>IF(LEFT($D11,6)&lt;&gt;"Star: ",IFERROR(VLOOKUP($I$22&amp;$D11,'Database-Hidden'!$C$2:$J$120,4,FALSE)-P11+AG11,""),VLOOKUP(RIGHT($D11,LEN($D11)-6),'Star Players-Hidden'!$A$3:$AK$87,33,FALSE))</f>
        <v/>
      </c>
      <c r="F11" s="73" t="str">
        <f>IF(LEFT($D11,6)&lt;&gt;"Star: ",IFERROR(VLOOKUP($I$22&amp;$D11,'Database-Hidden'!$C$2:$J$120,5,FALSE)-Q11+AH11,""),VLOOKUP(RIGHT($D11,LEN($D11)-6),'Star Players-Hidden'!$A$3:$AK$87,34,FALSE))</f>
        <v/>
      </c>
      <c r="G11" s="73" t="str">
        <f>IF(LEFT($D11,6)&lt;&gt;"Star: ",IFERROR(VLOOKUP($I$22&amp;$D11,'Database-Hidden'!$C$2:$J$120,6,FALSE)-R11+AI11,""),VLOOKUP(RIGHT($D11,LEN($D11)-6),'Star Players-Hidden'!$A$3:$AK$87,35,FALSE))</f>
        <v/>
      </c>
      <c r="H11" s="75" t="str">
        <f>IF(LEFT($D11,6)&lt;&gt;"Star: ",IFERROR(VLOOKUP($I$22&amp;$D11,'Database-Hidden'!$C$2:$J$120,7,FALSE)-S11+AJ11,""),VLOOKUP(RIGHT($D11,LEN($D11)-6),'Star Players-Hidden'!$A$3:$AK$87,36,FALSE))</f>
        <v/>
      </c>
      <c r="I11" s="76" t="str">
        <f>IF(LEFT($D11,6)&lt;&gt;"Star: ",IFERROR(VLOOKUP($I$22&amp;$D11,'Database-Hidden'!$C$2:$J$120,8,FALSE),""),VLOOKUP(RIGHT($D11,LEN($D11)-6),'Star Players-Hidden'!$A$3:$AK$87,31,FALSE))</f>
        <v/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/>
      <c r="AC11" s="4"/>
      <c r="AD11" s="116" t="str">
        <f>IF(LEFT($D11,6)&lt;&gt;"Star: ",IFERROR(VLOOKUP($I$22&amp;D11,'Database-Hidden'!$C$2:$E$120,3,FALSE),""),VLOOKUP(RIGHT($D11,LEN($D11)-6),'Star Players-Hidden'!$A$3:$AJ$87,32,FALSE))</f>
        <v/>
      </c>
      <c r="AE11" s="138"/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9">
        <v>70000</v>
      </c>
      <c r="AP11" s="120"/>
      <c r="AQ11" s="122"/>
      <c r="AR11" s="134" t="s">
        <v>39</v>
      </c>
      <c r="AS11" s="126" t="s">
        <v>283</v>
      </c>
      <c r="AT11" s="128">
        <v>0</v>
      </c>
      <c r="AU11" s="130">
        <v>3</v>
      </c>
      <c r="AV11" s="135">
        <v>0</v>
      </c>
      <c r="AW11" s="132"/>
      <c r="AX11" s="132"/>
    </row>
    <row r="12" spans="1:50" ht="12.75">
      <c r="A12" s="2"/>
      <c r="B12" s="70">
        <v>9</v>
      </c>
      <c r="C12" s="71"/>
      <c r="D12" s="72"/>
      <c r="E12" s="73" t="str">
        <f>IF(LEFT($D12,6)&lt;&gt;"Star: ",IFERROR(VLOOKUP($I$22&amp;$D12,'Database-Hidden'!$C$2:$J$120,4,FALSE)-P12+AG12,""),VLOOKUP(RIGHT($D12,LEN($D12)-6),'Star Players-Hidden'!$A$3:$AK$87,33,FALSE))</f>
        <v/>
      </c>
      <c r="F12" s="73" t="str">
        <f>IF(LEFT($D12,6)&lt;&gt;"Star: ",IFERROR(VLOOKUP($I$22&amp;$D12,'Database-Hidden'!$C$2:$J$120,5,FALSE)-Q12+AH12,""),VLOOKUP(RIGHT($D12,LEN($D12)-6),'Star Players-Hidden'!$A$3:$AK$87,34,FALSE))</f>
        <v/>
      </c>
      <c r="G12" s="73" t="str">
        <f>IF(LEFT($D12,6)&lt;&gt;"Star: ",IFERROR(VLOOKUP($I$22&amp;$D12,'Database-Hidden'!$C$2:$J$120,6,FALSE)-R12+AI12,""),VLOOKUP(RIGHT($D12,LEN($D12)-6),'Star Players-Hidden'!$A$3:$AK$87,35,FALSE))</f>
        <v/>
      </c>
      <c r="H12" s="75" t="str">
        <f>IF(LEFT($D12,6)&lt;&gt;"Star: ",IFERROR(VLOOKUP($I$22&amp;$D12,'Database-Hidden'!$C$2:$J$120,7,FALSE)-S12+AJ12,""),VLOOKUP(RIGHT($D12,LEN($D12)-6),'Star Players-Hidden'!$A$3:$AK$87,36,FALSE))</f>
        <v/>
      </c>
      <c r="I12" s="76" t="str">
        <f>IF(LEFT($D12,6)&lt;&gt;"Star: ",IFERROR(VLOOKUP($I$22&amp;$D12,'Database-Hidden'!$C$2:$J$120,8,FALSE),""),VLOOKUP(RIGHT($D12,LEN($D12)-6),'Star Players-Hidden'!$A$3:$AK$87,31,FALSE))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/>
      <c r="AC12" s="4"/>
      <c r="AD12" s="116" t="str">
        <f>IF(LEFT($D12,6)&lt;&gt;"Star: ",IFERROR(VLOOKUP($I$22&amp;D12,'Database-Hidden'!$C$2:$E$120,3,FALSE),""),VLOOKUP(RIGHT($D12,LEN($D12)-6),'Star Players-Hidden'!$A$3:$AJ$87,32,FALSE))</f>
        <v/>
      </c>
      <c r="AE12" s="138"/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71"/>
      <c r="D13" s="72"/>
      <c r="E13" s="73" t="str">
        <f>IF(LEFT($D13,6)&lt;&gt;"Star: ",IFERROR(VLOOKUP($I$22&amp;$D13,'Database-Hidden'!$C$2:$J$120,4,FALSE)-P13+AG13,""),VLOOKUP(RIGHT($D13,LEN($D13)-6),'Star Players-Hidden'!$A$3:$AK$87,33,FALSE))</f>
        <v/>
      </c>
      <c r="F13" s="73" t="str">
        <f>IF(LEFT($D13,6)&lt;&gt;"Star: ",IFERROR(VLOOKUP($I$22&amp;$D13,'Database-Hidden'!$C$2:$J$120,5,FALSE)-Q13+AH13,""),VLOOKUP(RIGHT($D13,LEN($D13)-6),'Star Players-Hidden'!$A$3:$AK$87,34,FALSE))</f>
        <v/>
      </c>
      <c r="G13" s="73" t="str">
        <f>IF(LEFT($D13,6)&lt;&gt;"Star: ",IFERROR(VLOOKUP($I$22&amp;$D13,'Database-Hidden'!$C$2:$J$120,6,FALSE)-R13+AI13,""),VLOOKUP(RIGHT($D13,LEN($D13)-6),'Star Players-Hidden'!$A$3:$AK$87,35,FALSE))</f>
        <v/>
      </c>
      <c r="H13" s="75" t="str">
        <f>IF(LEFT($D13,6)&lt;&gt;"Star: ",IFERROR(VLOOKUP($I$22&amp;$D13,'Database-Hidden'!$C$2:$J$120,7,FALSE)-S13+AJ13,""),VLOOKUP(RIGHT($D13,LEN($D13)-6),'Star Players-Hidden'!$A$3:$AK$87,36,FALSE))</f>
        <v/>
      </c>
      <c r="I13" s="76" t="str">
        <f>IF(LEFT($D13,6)&lt;&gt;"Star: ",IFERROR(VLOOKUP($I$22&amp;$D13,'Database-Hidden'!$C$2:$J$120,8,FALSE),""),VLOOKUP(RIGHT($D13,LEN($D13)-6),'Star Players-Hidden'!$A$3:$AK$87,31,FALSE))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6" t="str">
        <f>IF(LEFT($D13,6)&lt;&gt;"Star: ",IFERROR(VLOOKUP($I$22&amp;D13,'Database-Hidden'!$C$2:$E$120,3,FALSE),""),VLOOKUP(RIGHT($D13,LEN($D13)-6),'Star Players-Hidden'!$A$3:$AJ$87,32,FALSE))</f>
        <v/>
      </c>
      <c r="AE13" s="138"/>
      <c r="AF13" s="92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71" t="s">
        <v>290</v>
      </c>
      <c r="D14" s="72" t="s">
        <v>291</v>
      </c>
      <c r="E14" s="73">
        <f>IF(LEFT($D14,6)&lt;&gt;"Star: ",IFERROR(VLOOKUP($I$22&amp;$D14,'Database-Hidden'!$C$2:$J$120,4,FALSE)-P14+AG14,""),VLOOKUP(RIGHT($D14,LEN($D14)-6),'Star Players-Hidden'!$A$3:$AK$87,33,FALSE))</f>
        <v>5</v>
      </c>
      <c r="F14" s="73">
        <f>IF(LEFT($D14,6)&lt;&gt;"Star: ",IFERROR(VLOOKUP($I$22&amp;$D14,'Database-Hidden'!$C$2:$J$120,5,FALSE)-Q14+AH14,""),VLOOKUP(RIGHT($D14,LEN($D14)-6),'Star Players-Hidden'!$A$3:$AK$87,34,FALSE))</f>
        <v>4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9</v>
      </c>
      <c r="I14" s="76">
        <f>IF(LEFT($D14,6)&lt;&gt;"Star: ",IFERROR(VLOOKUP($I$22&amp;$D14,'Database-Hidden'!$C$2:$J$120,8,FALSE),""),VLOOKUP(RIGHT($D14,LEN($D14)-6),'Star Players-Hidden'!$A$3:$AK$87,31,FALSE))</f>
        <v>0</v>
      </c>
      <c r="J14" s="77" t="s">
        <v>293</v>
      </c>
      <c r="K14" s="78">
        <f t="shared" si="0"/>
        <v>1</v>
      </c>
      <c r="L14" s="79"/>
      <c r="M14" s="79"/>
      <c r="N14" s="80"/>
      <c r="O14" s="81"/>
      <c r="P14" s="82"/>
      <c r="Q14" s="83"/>
      <c r="R14" s="83"/>
      <c r="S14" s="84"/>
      <c r="T14" s="85"/>
      <c r="U14" s="87">
        <v>1</v>
      </c>
      <c r="V14" s="87">
        <v>3</v>
      </c>
      <c r="W14" s="87"/>
      <c r="X14" s="83"/>
      <c r="Y14" s="83"/>
      <c r="Z14" s="88"/>
      <c r="AA14" s="89">
        <f t="shared" si="1"/>
        <v>10</v>
      </c>
      <c r="AB14" s="58">
        <f t="shared" si="2"/>
        <v>120000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100000</v>
      </c>
      <c r="AE14" s="91">
        <v>1</v>
      </c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 t="s">
        <v>294</v>
      </c>
      <c r="D15" s="72" t="s">
        <v>291</v>
      </c>
      <c r="E15" s="73">
        <f>IF(LEFT($D15,6)&lt;&gt;"Star: ",IFERROR(VLOOKUP($I$22&amp;$D15,'Database-Hidden'!$C$2:$J$120,4,FALSE)-P15+AG15,""),VLOOKUP(RIGHT($D15,LEN($D15)-6),'Star Players-Hidden'!$A$3:$AK$87,33,FALSE))</f>
        <v>5</v>
      </c>
      <c r="F15" s="73">
        <f>IF(LEFT($D15,6)&lt;&gt;"Star: ",IFERROR(VLOOKUP($I$22&amp;$D15,'Database-Hidden'!$C$2:$J$120,5,FALSE)-Q15+AH15,""),VLOOKUP(RIGHT($D15,LEN($D15)-6),'Star Players-Hidden'!$A$3:$AK$87,34,FALSE))</f>
        <v>4</v>
      </c>
      <c r="G15" s="73">
        <f>IF(LEFT($D15,6)&lt;&gt;"Star: ",IFERROR(VLOOKUP($I$22&amp;$D15,'Database-Hidden'!$C$2:$J$120,6,FALSE)-R15+AI15,""),VLOOKUP(RIGHT($D15,LEN($D15)-6),'Star Players-Hidden'!$A$3:$AK$87,35,FALSE))</f>
        <v>3</v>
      </c>
      <c r="H15" s="75">
        <f>IF(LEFT($D15,6)&lt;&gt;"Star: ",IFERROR(VLOOKUP($I$22&amp;$D15,'Database-Hidden'!$C$2:$J$120,7,FALSE)-S15+AJ15,""),VLOOKUP(RIGHT($D15,LEN($D15)-6),'Star Players-Hidden'!$A$3:$AK$87,36,FALSE))</f>
        <v>9</v>
      </c>
      <c r="I15" s="76">
        <f>IF(LEFT($D15,6)&lt;&gt;"Star: ",IFERROR(VLOOKUP($I$22&amp;$D15,'Database-Hidden'!$C$2:$J$120,8,FALSE),""),VLOOKUP(RIGHT($D15,LEN($D15)-6),'Star Players-Hidden'!$A$3:$AK$87,31,FALSE))</f>
        <v>0</v>
      </c>
      <c r="J15" s="77" t="s">
        <v>293</v>
      </c>
      <c r="K15" s="78">
        <f t="shared" si="0"/>
        <v>1</v>
      </c>
      <c r="L15" s="79"/>
      <c r="M15" s="79"/>
      <c r="N15" s="80"/>
      <c r="O15" s="81"/>
      <c r="P15" s="82"/>
      <c r="Q15" s="83"/>
      <c r="R15" s="83"/>
      <c r="S15" s="84"/>
      <c r="T15" s="85"/>
      <c r="U15" s="87">
        <v>2</v>
      </c>
      <c r="V15" s="87">
        <v>2</v>
      </c>
      <c r="W15" s="87">
        <v>1</v>
      </c>
      <c r="X15" s="303">
        <v>1</v>
      </c>
      <c r="Y15" s="83"/>
      <c r="Z15" s="88">
        <v>1</v>
      </c>
      <c r="AA15" s="89">
        <f t="shared" si="1"/>
        <v>15</v>
      </c>
      <c r="AB15" s="58">
        <f t="shared" si="2"/>
        <v>120000</v>
      </c>
      <c r="AC15" s="4"/>
      <c r="AD15" s="116">
        <f>IF(LEFT($D15,6)&lt;&gt;"Star: ",IFERROR(VLOOKUP($I$22&amp;D15,'Database-Hidden'!$C$2:$E$120,3,FALSE),""),VLOOKUP(RIGHT($D15,LEN($D15)-6),'Star Players-Hidden'!$A$3:$AJ$87,32,FALSE))</f>
        <v>100000</v>
      </c>
      <c r="AE15" s="91">
        <v>1</v>
      </c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 t="s">
        <v>296</v>
      </c>
      <c r="D16" s="72" t="s">
        <v>291</v>
      </c>
      <c r="E16" s="73">
        <f>IF(LEFT($D16,6)&lt;&gt;"Star: ",IFERROR(VLOOKUP($I$22&amp;$D16,'Database-Hidden'!$C$2:$J$120,4,FALSE)-P16+AG16,""),VLOOKUP(RIGHT($D16,LEN($D16)-6),'Star Players-Hidden'!$A$3:$AK$87,33,FALSE))</f>
        <v>5</v>
      </c>
      <c r="F16" s="73">
        <f>IF(LEFT($D16,6)&lt;&gt;"Star: ",IFERROR(VLOOKUP($I$22&amp;$D16,'Database-Hidden'!$C$2:$J$120,5,FALSE)-Q16+AH16,""),VLOOKUP(RIGHT($D16,LEN($D16)-6),'Star Players-Hidden'!$A$3:$AK$87,34,FALSE))</f>
        <v>4</v>
      </c>
      <c r="G16" s="73">
        <f>IF(LEFT($D16,6)&lt;&gt;"Star: ",IFERROR(VLOOKUP($I$22&amp;$D16,'Database-Hidden'!$C$2:$J$120,6,FALSE)-R16+AI16,""),VLOOKUP(RIGHT($D16,LEN($D16)-6),'Star Players-Hidden'!$A$3:$AK$87,35,FALSE))</f>
        <v>3</v>
      </c>
      <c r="H16" s="75">
        <f>IF(LEFT($D16,6)&lt;&gt;"Star: ",IFERROR(VLOOKUP($I$22&amp;$D16,'Database-Hidden'!$C$2:$J$120,7,FALSE)-S16+AJ16,""),VLOOKUP(RIGHT($D16,LEN($D16)-6),'Star Players-Hidden'!$A$3:$AK$87,36,FALSE))</f>
        <v>9</v>
      </c>
      <c r="I16" s="76">
        <f>IF(LEFT($D16,6)&lt;&gt;"Star: ",IFERROR(VLOOKUP($I$22&amp;$D16,'Database-Hidden'!$C$2:$J$120,8,FALSE),""),VLOOKUP(RIGHT($D16,LEN($D16)-6),'Star Players-Hidden'!$A$3:$AK$87,31,FALSE))</f>
        <v>0</v>
      </c>
      <c r="J16" s="77"/>
      <c r="K16" s="78">
        <f t="shared" si="0"/>
        <v>0</v>
      </c>
      <c r="L16" s="80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100000</v>
      </c>
      <c r="AC16" s="4"/>
      <c r="AD16" s="116">
        <f>IF(LEFT($D16,6)&lt;&gt;"Star: ",IFERROR(VLOOKUP($I$22&amp;D16,'Database-Hidden'!$C$2:$E$120,3,FALSE),""),VLOOKUP(RIGHT($D16,LEN($D16)-6),'Star Players-Hidden'!$A$3:$AJ$87,32,FALSE))</f>
        <v>100000</v>
      </c>
      <c r="AE16" s="91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71" t="s">
        <v>297</v>
      </c>
      <c r="D17" s="72" t="s">
        <v>291</v>
      </c>
      <c r="E17" s="73">
        <f>IF(LEFT($D17,6)&lt;&gt;"Star: ",IFERROR(VLOOKUP($I$22&amp;$D17,'Database-Hidden'!$C$2:$J$120,4,FALSE)-P17+AG17,""),VLOOKUP(RIGHT($D17,LEN($D17)-6),'Star Players-Hidden'!$A$3:$AK$87,33,FALSE))</f>
        <v>5</v>
      </c>
      <c r="F17" s="73">
        <f>IF(LEFT($D17,6)&lt;&gt;"Star: ",IFERROR(VLOOKUP($I$22&amp;$D17,'Database-Hidden'!$C$2:$J$120,5,FALSE)-Q17+AH17,""),VLOOKUP(RIGHT($D17,LEN($D17)-6),'Star Players-Hidden'!$A$3:$AK$87,34,FALSE))</f>
        <v>4</v>
      </c>
      <c r="G17" s="73">
        <f>IF(LEFT($D17,6)&lt;&gt;"Star: ",IFERROR(VLOOKUP($I$22&amp;$D17,'Database-Hidden'!$C$2:$J$120,6,FALSE)-R17+AI17,""),VLOOKUP(RIGHT($D17,LEN($D17)-6),'Star Players-Hidden'!$A$3:$AK$87,35,FALSE))</f>
        <v>3</v>
      </c>
      <c r="H17" s="75">
        <f>IF(LEFT($D17,6)&lt;&gt;"Star: ",IFERROR(VLOOKUP($I$22&amp;$D17,'Database-Hidden'!$C$2:$J$120,7,FALSE)-S17+AJ17,""),VLOOKUP(RIGHT($D17,LEN($D17)-6),'Star Players-Hidden'!$A$3:$AK$87,36,FALSE))</f>
        <v>9</v>
      </c>
      <c r="I17" s="76">
        <f>IF(LEFT($D17,6)&lt;&gt;"Star: ",IFERROR(VLOOKUP($I$22&amp;$D17,'Database-Hidden'!$C$2:$J$120,8,FALSE),""),VLOOKUP(RIGHT($D17,LEN($D17)-6),'Star Players-Hidden'!$A$3:$AK$87,31,FALSE))</f>
        <v>0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>
        <v>1</v>
      </c>
      <c r="X17" s="83"/>
      <c r="Y17" s="83"/>
      <c r="Z17" s="88"/>
      <c r="AA17" s="89">
        <f t="shared" si="1"/>
        <v>2</v>
      </c>
      <c r="AB17" s="58">
        <f t="shared" si="2"/>
        <v>100000</v>
      </c>
      <c r="AC17" s="4"/>
      <c r="AD17" s="116">
        <f>IF(LEFT($D17,6)&lt;&gt;"Star: ",IFERROR(VLOOKUP($I$22&amp;D17,'Database-Hidden'!$C$2:$E$120,3,FALSE),""),VLOOKUP(RIGHT($D17,LEN($D17)-6),'Star Players-Hidden'!$A$3:$AJ$87,32,FALSE))</f>
        <v>100000</v>
      </c>
      <c r="AE17" s="91"/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110000</v>
      </c>
      <c r="AP18" s="4"/>
      <c r="AQ18" s="4"/>
      <c r="AR18" s="67"/>
      <c r="AS18" s="148" t="s">
        <v>42</v>
      </c>
      <c r="AT18" s="150">
        <f t="shared" ref="AT18:AU18" si="3">SUM(AT6:AT17)</f>
        <v>10</v>
      </c>
      <c r="AU18" s="151">
        <f t="shared" si="3"/>
        <v>24</v>
      </c>
      <c r="AV18" s="152">
        <f>AV4+SUM(AV6:AV17)</f>
        <v>4</v>
      </c>
      <c r="AW18" s="5"/>
      <c r="AX18" s="5"/>
    </row>
    <row r="19" spans="1:50" ht="22.5">
      <c r="A19" s="2"/>
      <c r="B19" s="153">
        <v>16</v>
      </c>
      <c r="C19" s="154" t="s">
        <v>298</v>
      </c>
      <c r="D19" s="72" t="s">
        <v>299</v>
      </c>
      <c r="E19" s="73">
        <f>IF(LEFT($D19,6)&lt;&gt;"Star: ",IFERROR(VLOOKUP($I$22&amp;$D19,'Database-Hidden'!$C$2:$J$120,4,FALSE)-P19+AG19,""),VLOOKUP(RIGHT($D19,LEN($D19)-6),'Star Players-Hidden'!$A$3:$AK$87,33,FALSE))</f>
        <v>5</v>
      </c>
      <c r="F19" s="73">
        <f>IF(LEFT($D19,6)&lt;&gt;"Star: ",IFERROR(VLOOKUP($I$22&amp;$D19,'Database-Hidden'!$C$2:$J$120,5,FALSE)-Q19+AH19,""),VLOOKUP(RIGHT($D19,LEN($D19)-6),'Star Players-Hidden'!$A$3:$AK$87,34,FALSE))</f>
        <v>5</v>
      </c>
      <c r="G19" s="73">
        <f>IF(LEFT($D19,6)&lt;&gt;"Star: ",IFERROR(VLOOKUP($I$22&amp;$D19,'Database-Hidden'!$C$2:$J$120,6,FALSE)-R19+AI19,""),VLOOKUP(RIGHT($D19,LEN($D19)-6),'Star Players-Hidden'!$A$3:$AK$87,35,FALSE))</f>
        <v>2</v>
      </c>
      <c r="H19" s="75">
        <f>IF(LEFT($D19,6)&lt;&gt;"Star: ",IFERROR(VLOOKUP($I$22&amp;$D19,'Database-Hidden'!$C$2:$J$120,7,FALSE)-S19+AJ19,""),VLOOKUP(RIGHT($D19,LEN($D19)-6),'Star Players-Hidden'!$A$3:$AK$87,36,FALSE))</f>
        <v>8</v>
      </c>
      <c r="I19" s="76" t="str">
        <f>IF(LEFT($D19,6)&lt;&gt;"Star: ",IFERROR(VLOOKUP($I$22&amp;$D19,'Database-Hidden'!$C$2:$J$120,8,FALSE),""),VLOOKUP(RIGHT($D19,LEN($D19)-6),'Star Players-Hidden'!$A$3:$AK$87,31,FALSE))</f>
        <v>Loner, Frenzy, Horns, Mighty Blow, Thick Skull, Wild Animal</v>
      </c>
      <c r="J19" s="161" t="s">
        <v>301</v>
      </c>
      <c r="K19" s="162">
        <f t="shared" si="0"/>
        <v>2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>
        <v>8</v>
      </c>
      <c r="X19" s="167"/>
      <c r="Y19" s="167"/>
      <c r="Z19" s="172">
        <v>2</v>
      </c>
      <c r="AA19" s="173">
        <f t="shared" si="1"/>
        <v>26</v>
      </c>
      <c r="AB19" s="58">
        <f t="shared" si="2"/>
        <v>190000</v>
      </c>
      <c r="AC19" s="4"/>
      <c r="AD19" s="174">
        <f>IF(LEFT($D19,6)&lt;&gt;"Star: ",IFERROR(VLOOKUP($I$22&amp;D19,'Database-Hidden'!$C$2:$E$120,3,FALSE),""),VLOOKUP(RIGHT($D19,LEN($D19)-6),'Star Players-Hidden'!$A$3:$AJ$87,32,FALSE))</f>
        <v>150000</v>
      </c>
      <c r="AE19" s="175">
        <v>2</v>
      </c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1170000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2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60000</v>
      </c>
      <c r="W21" s="525"/>
      <c r="X21" s="525"/>
      <c r="Y21" s="525"/>
      <c r="Z21" s="525"/>
      <c r="AA21" s="528"/>
      <c r="AB21" s="184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4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40000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110000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295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60000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1440000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50000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110000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120000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270000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340000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8</v>
      </c>
      <c r="D28" s="209" t="str">
        <f t="shared" ref="D28:D37" si="5">I28&amp;IF(COUNTIF(D$4:D$19,I28)&gt;E28," (Too Many)","")</f>
        <v>Beastman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Beastman</v>
      </c>
      <c r="AV28" s="179"/>
    </row>
    <row r="29" spans="1:50" ht="17.25" hidden="1" customHeight="1">
      <c r="C29" s="209">
        <f t="shared" ref="C29:C37" si="6">C28+1</f>
        <v>9</v>
      </c>
      <c r="D29" s="209" t="str">
        <f t="shared" si="5"/>
        <v>Chaos Warrior</v>
      </c>
      <c r="E29" s="210">
        <f t="array" ref="E29">IFERROR(IF(INDEX('Database-Hidden'!$A$2:$B$120,$C29,1)=$I$22,INDEX('Database-Hidden'!$A$2:$D$120,$C29,4),""),"")</f>
        <v>4</v>
      </c>
      <c r="I29" s="209" t="str">
        <f t="array" ref="I29">IFERROR(IF(INDEX('Database-Hidden'!$A$2:$B$120,$C29,1)=$I$22,INDEX('Database-Hidden'!$A$2:$B$120,$C29,2),""),"")</f>
        <v>Chaos Warrior</v>
      </c>
      <c r="AV29" s="179"/>
    </row>
    <row r="30" spans="1:50" ht="17.25" hidden="1" customHeight="1">
      <c r="C30" s="209">
        <f t="shared" si="6"/>
        <v>10</v>
      </c>
      <c r="D30" s="209" t="str">
        <f t="shared" si="5"/>
        <v>Minotaur</v>
      </c>
      <c r="E30" s="210">
        <f t="array" ref="E30">IFERROR(IF(INDEX('Database-Hidden'!$A$2:$B$120,$C30,1)=$I$22,INDEX('Database-Hidden'!$A$2:$D$120,$C30,4),""),"")</f>
        <v>1</v>
      </c>
      <c r="I30" s="209" t="str">
        <f t="array" ref="I30">IFERROR(IF(INDEX('Database-Hidden'!$A$2:$B$120,$C30,1)=$I$22,INDEX('Database-Hidden'!$A$2:$B$120,$C30,2),""),"")</f>
        <v>Minotaur</v>
      </c>
      <c r="AV30" s="179"/>
    </row>
    <row r="31" spans="1:50" ht="17.25" hidden="1" customHeight="1">
      <c r="C31" s="209">
        <f t="shared" si="6"/>
        <v>11</v>
      </c>
      <c r="D31" s="209" t="str">
        <f t="shared" si="5"/>
        <v/>
      </c>
      <c r="E31" s="210" t="str">
        <f t="array" ref="E31">IFERROR(IF(INDEX('Database-Hidden'!$A$2:$B$120,$C31,1)=$I$22,INDEX('Database-Hidden'!$A$2:$D$120,$C31,4),""),"")</f>
        <v/>
      </c>
      <c r="I31" s="209" t="str">
        <f t="array" ref="I31">IFERROR(IF(INDEX('Database-Hidden'!$A$2:$B$120,$C31,1)=$I$22,INDEX('Database-Hidden'!$A$2:$B$120,$C31,2),""),"")</f>
        <v/>
      </c>
      <c r="AV31" s="179"/>
    </row>
    <row r="32" spans="1:50" ht="17.25" hidden="1" customHeight="1">
      <c r="C32" s="209">
        <f t="shared" si="6"/>
        <v>12</v>
      </c>
      <c r="D32" s="209" t="str">
        <f t="shared" si="5"/>
        <v/>
      </c>
      <c r="E32" s="210" t="str">
        <f t="array" ref="E32">IFERROR(IF(INDEX('Database-Hidden'!$A$2:$B$120,$C32,1)=$I$22,INDEX('Database-Hidden'!$A$2:$D$120,$C32,4),""),"")</f>
        <v/>
      </c>
      <c r="I32" s="209" t="str">
        <f t="array" ref="I32">IFERROR(IF(INDEX('Database-Hidden'!$A$2:$B$120,$C32,1)=$I$22,INDEX('Database-Hidden'!$A$2:$B$120,$C32,2),""),"")</f>
        <v/>
      </c>
      <c r="AV32" s="179"/>
    </row>
    <row r="33" spans="3:48" ht="17.25" hidden="1" customHeight="1">
      <c r="C33" s="209">
        <f t="shared" si="6"/>
        <v>13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14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15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16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17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3</v>
      </c>
      <c r="D38" s="211" t="str">
        <f t="shared" ref="D38:D49" ca="1" si="7">I38&amp;IF(COUNTIF(D$4:D$19,I38)&gt;1," (Too Many)","")</f>
        <v>Star: Brick Far'th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Brick Far'th")</f>
        <v>Star: Brick Far'th</v>
      </c>
      <c r="AV38" s="179"/>
    </row>
    <row r="39" spans="3:48" ht="17.25" hidden="1" customHeight="1">
      <c r="C39" s="209"/>
      <c r="D39" s="209" t="str">
        <f t="shared" si="7"/>
        <v>Star: Grashnak Blackhoof</v>
      </c>
      <c r="I39" s="213" t="s">
        <v>309</v>
      </c>
      <c r="AV39" s="179"/>
    </row>
    <row r="40" spans="3:48" ht="17.25" hidden="1" customHeight="1">
      <c r="C40" s="209"/>
      <c r="D40" s="209" t="str">
        <f t="shared" si="7"/>
        <v>Star: Grotty</v>
      </c>
      <c r="I40" s="209" t="s">
        <v>310</v>
      </c>
      <c r="AV40" s="179"/>
    </row>
    <row r="41" spans="3:48" ht="17.25" hidden="1" customHeight="1">
      <c r="C41" s="209"/>
      <c r="D41" s="209" t="str">
        <f t="shared" si="7"/>
        <v>Star: Guffle Pusmaw</v>
      </c>
      <c r="I41" s="209" t="s">
        <v>311</v>
      </c>
      <c r="AV41" s="179"/>
    </row>
    <row r="42" spans="3:48" ht="17.25" hidden="1" customHeight="1">
      <c r="C42" s="209"/>
      <c r="D42" s="209" t="str">
        <f t="shared" si="7"/>
        <v>Star: Lewdgrip Whiparm</v>
      </c>
      <c r="I42" s="209" t="s">
        <v>312</v>
      </c>
      <c r="AV42" s="179"/>
    </row>
    <row r="43" spans="3:48" ht="17.25" hidden="1" customHeight="1">
      <c r="C43" s="209"/>
      <c r="D43" s="209" t="str">
        <f t="shared" si="7"/>
        <v>Star: Lord Borak the Despoiler</v>
      </c>
      <c r="I43" s="209" t="s">
        <v>313</v>
      </c>
      <c r="AV43" s="179"/>
    </row>
    <row r="44" spans="3:48" ht="17.25" hidden="1" customHeight="1">
      <c r="C44" s="209"/>
      <c r="D44" s="209" t="str">
        <f t="shared" si="7"/>
        <v>Star: Max Spleenripper</v>
      </c>
      <c r="I44" s="209" t="s">
        <v>314</v>
      </c>
      <c r="AV44" s="179"/>
    </row>
    <row r="45" spans="3:48" ht="17.25" hidden="1" customHeight="1">
      <c r="C45" s="209"/>
      <c r="D45" s="209" t="str">
        <f t="shared" si="7"/>
        <v>Star: Morg'n'Thorg</v>
      </c>
      <c r="I45" s="209" t="s">
        <v>144</v>
      </c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V21:AA21"/>
    <mergeCell ref="E20:AA20"/>
    <mergeCell ref="AR3:AV3"/>
    <mergeCell ref="AN3:AQ3"/>
    <mergeCell ref="P2:S2"/>
    <mergeCell ref="I21:K21"/>
    <mergeCell ref="E21:H21"/>
    <mergeCell ref="AN21:AO21"/>
    <mergeCell ref="L21:S21"/>
    <mergeCell ref="V25:AA25"/>
    <mergeCell ref="E26:AA26"/>
    <mergeCell ref="L25:S25"/>
    <mergeCell ref="I25:K25"/>
    <mergeCell ref="E25:H25"/>
    <mergeCell ref="I23:K23"/>
    <mergeCell ref="B20:D26"/>
    <mergeCell ref="I22:K22"/>
    <mergeCell ref="E22:H22"/>
    <mergeCell ref="E23:H23"/>
    <mergeCell ref="E24:H24"/>
    <mergeCell ref="I24:K24"/>
    <mergeCell ref="L24:S24"/>
    <mergeCell ref="L23:S23"/>
    <mergeCell ref="V22:AA22"/>
    <mergeCell ref="V24:AA24"/>
    <mergeCell ref="L22:S22"/>
    <mergeCell ref="V23:AA23"/>
  </mergeCells>
  <conditionalFormatting sqref="J4">
    <cfRule type="expression" dxfId="578" priority="1">
      <formula>K4&lt;&gt;SUM(AE4:AJ4)</formula>
    </cfRule>
  </conditionalFormatting>
  <conditionalFormatting sqref="K4:K19">
    <cfRule type="cellIs" dxfId="577" priority="2" operator="equal">
      <formula>0</formula>
    </cfRule>
  </conditionalFormatting>
  <conditionalFormatting sqref="AB4:AB19">
    <cfRule type="cellIs" dxfId="576" priority="3" operator="equal">
      <formula>0</formula>
    </cfRule>
  </conditionalFormatting>
  <conditionalFormatting sqref="E4:I19">
    <cfRule type="expression" dxfId="575" priority="4">
      <formula>AG4&gt;0</formula>
    </cfRule>
  </conditionalFormatting>
  <conditionalFormatting sqref="E4:I19">
    <cfRule type="expression" dxfId="574" priority="5">
      <formula>P4&gt;0</formula>
    </cfRule>
  </conditionalFormatting>
  <conditionalFormatting sqref="T4:T19 U4:U19 V4:W19 Z4:Z19 U27">
    <cfRule type="cellIs" dxfId="573" priority="6" stopIfTrue="1" operator="equal">
      <formula>0</formula>
    </cfRule>
  </conditionalFormatting>
  <conditionalFormatting sqref="K4:K19">
    <cfRule type="cellIs" dxfId="572" priority="7" stopIfTrue="1" operator="equal">
      <formula>"n/a"</formula>
    </cfRule>
  </conditionalFormatting>
  <conditionalFormatting sqref="P4:S19">
    <cfRule type="cellIs" dxfId="571" priority="8" stopIfTrue="1" operator="lessThanOrEqual">
      <formula>-1</formula>
    </cfRule>
  </conditionalFormatting>
  <conditionalFormatting sqref="V25:W25">
    <cfRule type="cellIs" dxfId="570" priority="9" stopIfTrue="1" operator="equal">
      <formula>-500</formula>
    </cfRule>
  </conditionalFormatting>
  <conditionalFormatting sqref="T25">
    <cfRule type="cellIs" dxfId="569" priority="10" stopIfTrue="1" operator="greaterThan">
      <formula>$V$25</formula>
    </cfRule>
  </conditionalFormatting>
  <conditionalFormatting sqref="AA4:AA19">
    <cfRule type="cellIs" dxfId="568" priority="11" stopIfTrue="1" operator="equal">
      <formula>"Star"</formula>
    </cfRule>
  </conditionalFormatting>
  <conditionalFormatting sqref="AA4:AA19">
    <cfRule type="cellIs" dxfId="567" priority="12" stopIfTrue="1" operator="equal">
      <formula>AB4</formula>
    </cfRule>
  </conditionalFormatting>
  <conditionalFormatting sqref="I4:I19">
    <cfRule type="cellIs" dxfId="566" priority="13" stopIfTrue="1" operator="equal">
      <formula>0</formula>
    </cfRule>
  </conditionalFormatting>
  <conditionalFormatting sqref="I4:I19">
    <cfRule type="cellIs" dxfId="565" priority="14" stopIfTrue="1" operator="equal">
      <formula>"Player type quantity surpassed"</formula>
    </cfRule>
  </conditionalFormatting>
  <conditionalFormatting sqref="J5">
    <cfRule type="expression" dxfId="564" priority="15">
      <formula>K5&lt;&gt;SUM(AE5:AJ5)</formula>
    </cfRule>
  </conditionalFormatting>
  <conditionalFormatting sqref="J6">
    <cfRule type="expression" dxfId="563" priority="16">
      <formula>K6&lt;&gt;SUM(AE6:AJ6)</formula>
    </cfRule>
  </conditionalFormatting>
  <conditionalFormatting sqref="J7">
    <cfRule type="expression" dxfId="562" priority="17">
      <formula>K7&lt;&gt;SUM(AE7:AJ7)</formula>
    </cfRule>
  </conditionalFormatting>
  <conditionalFormatting sqref="J8">
    <cfRule type="expression" dxfId="561" priority="18">
      <formula>K8&lt;&gt;SUM(AE8:AJ8)</formula>
    </cfRule>
  </conditionalFormatting>
  <conditionalFormatting sqref="J9">
    <cfRule type="expression" dxfId="560" priority="19">
      <formula>K9&lt;&gt;SUM(AE9:AJ9)</formula>
    </cfRule>
  </conditionalFormatting>
  <conditionalFormatting sqref="J10">
    <cfRule type="expression" dxfId="559" priority="20">
      <formula>K10&lt;&gt;SUM(AE10:AJ10)</formula>
    </cfRule>
  </conditionalFormatting>
  <conditionalFormatting sqref="J11">
    <cfRule type="expression" dxfId="558" priority="21">
      <formula>K11&lt;&gt;SUM(AE11:AJ11)</formula>
    </cfRule>
  </conditionalFormatting>
  <conditionalFormatting sqref="J12">
    <cfRule type="expression" dxfId="557" priority="22">
      <formula>K12&lt;&gt;SUM(AE12:AJ12)</formula>
    </cfRule>
  </conditionalFormatting>
  <conditionalFormatting sqref="J13">
    <cfRule type="expression" dxfId="556" priority="23">
      <formula>K13&lt;&gt;SUM(AE13:AJ13)</formula>
    </cfRule>
  </conditionalFormatting>
  <conditionalFormatting sqref="J14">
    <cfRule type="expression" dxfId="555" priority="24">
      <formula>K14&lt;&gt;SUM(AE14:AJ14)</formula>
    </cfRule>
  </conditionalFormatting>
  <conditionalFormatting sqref="J15">
    <cfRule type="expression" dxfId="554" priority="25">
      <formula>K15&lt;&gt;SUM(AE15:AJ15)</formula>
    </cfRule>
  </conditionalFormatting>
  <conditionalFormatting sqref="J16">
    <cfRule type="expression" dxfId="553" priority="26">
      <formula>K16&lt;&gt;SUM(AE16:AJ16)</formula>
    </cfRule>
  </conditionalFormatting>
  <conditionalFormatting sqref="J17">
    <cfRule type="expression" dxfId="552" priority="27">
      <formula>K17&lt;&gt;SUM(AE17:AJ17)</formula>
    </cfRule>
  </conditionalFormatting>
  <conditionalFormatting sqref="J18">
    <cfRule type="expression" dxfId="551" priority="28">
      <formula>K18&lt;&gt;SUM(AE18:AJ18)</formula>
    </cfRule>
  </conditionalFormatting>
  <conditionalFormatting sqref="J19">
    <cfRule type="expression" dxfId="550" priority="29">
      <formula>K19&lt;&gt;SUM(AE19:AJ19)</formula>
    </cfRule>
  </conditionalFormatting>
  <dataValidations count="2">
    <dataValidation type="list" allowBlank="1" showErrorMessage="1" sqref="D4:D19">
      <formula1>'DH3'!$D$28:$D$49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 t="s">
        <v>303</v>
      </c>
      <c r="D4" s="42" t="s">
        <v>242</v>
      </c>
      <c r="E4" s="73">
        <f>IF(LEFT($D4,6)&lt;&gt;"Star: ",IFERROR(VLOOKUP($I$22&amp;$D4,'Database-Hidden'!$C$2:$J$120,4,FALSE)-P4+AG4,""),VLOOKUP(RIGHT($D4,LEN($D4)-6),'Star Players-Hidden'!$A$3:$AK$87,33,FALSE))</f>
        <v>4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2</v>
      </c>
      <c r="H4" s="75">
        <f>IF(LEFT($D4,6)&lt;&gt;"Star: ",IFERROR(VLOOKUP($I$22&amp;$D4,'Database-Hidden'!$C$2:$J$120,7,FALSE)-S4+AJ4,""),VLOOKUP(RIGHT($D4,LEN($D4)-6),'Star Players-Hidden'!$A$3:$AK$87,36,FALSE))</f>
        <v>9</v>
      </c>
      <c r="I4" s="76" t="str">
        <f>IF(LEFT($D4,6)&lt;&gt;"Star: ",IFERROR(VLOOKUP($I$22&amp;$D4,'Database-Hidden'!$C$2:$J$120,8,FALSE),""),VLOOKUP(RIGHT($D4,LEN($D4)-6),'Star Players-Hidden'!$A$3:$AK$87,31,FALSE))</f>
        <v>Block, Tackle, Thick Skull</v>
      </c>
      <c r="J4" s="47" t="s">
        <v>82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1</v>
      </c>
      <c r="X4" s="52"/>
      <c r="Y4" s="52"/>
      <c r="Z4" s="56">
        <v>1</v>
      </c>
      <c r="AA4" s="57">
        <f t="shared" ref="AA4:AA19" si="1">2*T4+U4+3*V4+2*W4+5*Z4</f>
        <v>7</v>
      </c>
      <c r="AB4" s="58">
        <f t="shared" ref="AB4:AB17" si="2">IF(L4=1,0,AD4+(20000*O4)+(20000*AE4)+(30000*AF4)+(30000*AG4)+(50000*AH4)+(40000*AI4)+(50000*AJ4)+AK4)</f>
        <v>90000</v>
      </c>
      <c r="AC4" s="4"/>
      <c r="AD4" s="116">
        <f>IF(LEFT($D4,6)&lt;&gt;"Star: ",IFERROR(VLOOKUP($I$22&amp;D4,'Database-Hidden'!$C$2:$E$120,3,FALSE),""),VLOOKUP(RIGHT($D4,LEN($D4)-6),'Star Players-Hidden'!$A$3:$AJ$87,32,FALSE))</f>
        <v>70000</v>
      </c>
      <c r="AE4" s="60">
        <v>1</v>
      </c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10000</v>
      </c>
      <c r="AP4" s="4"/>
      <c r="AQ4" s="4"/>
      <c r="AR4" s="66"/>
      <c r="AS4" s="67"/>
      <c r="AT4" s="67"/>
      <c r="AU4" s="64" t="s">
        <v>70</v>
      </c>
      <c r="AV4" s="68">
        <v>5</v>
      </c>
      <c r="AW4" s="69"/>
      <c r="AX4" s="69"/>
    </row>
    <row r="5" spans="1:50" ht="12.75">
      <c r="A5" s="2"/>
      <c r="B5" s="70">
        <v>2</v>
      </c>
      <c r="C5" s="71" t="s">
        <v>304</v>
      </c>
      <c r="D5" s="72" t="s">
        <v>242</v>
      </c>
      <c r="E5" s="73">
        <f>IF(LEFT($D5,6)&lt;&gt;"Star: ",IFERROR(VLOOKUP($I$22&amp;$D5,'Database-Hidden'!$C$2:$J$120,4,FALSE)-P5+AG5,""),VLOOKUP(RIGHT($D5,LEN($D5)-6),'Star Players-Hidden'!$A$3:$AK$87,33,FALSE))</f>
        <v>4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2</v>
      </c>
      <c r="H5" s="75">
        <f>IF(LEFT($D5,6)&lt;&gt;"Star: ",IFERROR(VLOOKUP($I$22&amp;$D5,'Database-Hidden'!$C$2:$J$120,7,FALSE)-S5+AJ5,""),VLOOKUP(RIGHT($D5,LEN($D5)-6),'Star Players-Hidden'!$A$3:$AK$87,36,FALSE))</f>
        <v>9</v>
      </c>
      <c r="I5" s="76" t="str">
        <f>IF(LEFT($D5,6)&lt;&gt;"Star: ",IFERROR(VLOOKUP($I$22&amp;$D5,'Database-Hidden'!$C$2:$J$120,8,FALSE),""),VLOOKUP(RIGHT($D5,LEN($D5)-6),'Star Players-Hidden'!$A$3:$AK$87,31,FALSE))</f>
        <v>Block, Tackle, Thick Skull</v>
      </c>
      <c r="J5" s="77" t="s">
        <v>82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1</v>
      </c>
      <c r="X5" s="303">
        <v>1</v>
      </c>
      <c r="Y5" s="303">
        <v>1</v>
      </c>
      <c r="Z5" s="88">
        <v>1</v>
      </c>
      <c r="AA5" s="89">
        <f t="shared" si="1"/>
        <v>7</v>
      </c>
      <c r="AB5" s="58">
        <f t="shared" si="2"/>
        <v>90000</v>
      </c>
      <c r="AC5" s="4"/>
      <c r="AD5" s="116">
        <f>IF(LEFT($D5,6)&lt;&gt;"Star: ",IFERROR(VLOOKUP($I$22&amp;D5,'Database-Hidden'!$C$2:$E$120,3,FALSE),""),VLOOKUP(RIGHT($D5,LEN($D5)-6),'Star Players-Hidden'!$A$3:$AJ$87,32,FALSE))</f>
        <v>70000</v>
      </c>
      <c r="AE5" s="91">
        <v>1</v>
      </c>
      <c r="AF5" s="92"/>
      <c r="AG5" s="92"/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308</v>
      </c>
      <c r="D6" s="72" t="s">
        <v>242</v>
      </c>
      <c r="E6" s="73">
        <f>IF(LEFT($D6,6)&lt;&gt;"Star: ",IFERROR(VLOOKUP($I$22&amp;$D6,'Database-Hidden'!$C$2:$J$120,4,FALSE)-P6+AG6,""),VLOOKUP(RIGHT($D6,LEN($D6)-6),'Star Players-Hidden'!$A$3:$AK$87,33,FALSE))</f>
        <v>4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2</v>
      </c>
      <c r="H6" s="75">
        <f>IF(LEFT($D6,6)&lt;&gt;"Star: ",IFERROR(VLOOKUP($I$22&amp;$D6,'Database-Hidden'!$C$2:$J$120,7,FALSE)-S6+AJ6,""),VLOOKUP(RIGHT($D6,LEN($D6)-6),'Star Players-Hidden'!$A$3:$AK$87,36,FALSE))</f>
        <v>9</v>
      </c>
      <c r="I6" s="76" t="str">
        <f>IF(LEFT($D6,6)&lt;&gt;"Star: ",IFERROR(VLOOKUP($I$22&amp;$D6,'Database-Hidden'!$C$2:$J$120,8,FALSE),""),VLOOKUP(RIGHT($D6,LEN($D6)-6),'Star Players-Hidden'!$A$3:$AK$87,31,FALSE))</f>
        <v>Block, Tackle, Thick Skull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7">
        <v>1</v>
      </c>
      <c r="X6" s="83"/>
      <c r="Y6" s="83"/>
      <c r="Z6" s="88"/>
      <c r="AA6" s="89">
        <f t="shared" si="1"/>
        <v>2</v>
      </c>
      <c r="AB6" s="58">
        <f t="shared" si="2"/>
        <v>70000</v>
      </c>
      <c r="AC6" s="4"/>
      <c r="AD6" s="116">
        <f>IF(LEFT($D6,6)&lt;&gt;"Star: ",IFERROR(VLOOKUP($I$22&amp;D6,'Database-Hidden'!$C$2:$E$120,3,FALSE),""),VLOOKUP(RIGHT($D6,LEN($D6)-6),'Star Players-Hidden'!$A$3:$AJ$87,32,FALSE))</f>
        <v>70000</v>
      </c>
      <c r="AE6" s="91"/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30000</v>
      </c>
      <c r="AP6" s="106"/>
      <c r="AQ6" s="107"/>
      <c r="AR6" s="108" t="s">
        <v>18</v>
      </c>
      <c r="AS6" s="110" t="s">
        <v>166</v>
      </c>
      <c r="AT6" s="112">
        <v>1</v>
      </c>
      <c r="AU6" s="113">
        <v>2</v>
      </c>
      <c r="AV6" s="281">
        <v>0</v>
      </c>
      <c r="AW6" s="115"/>
      <c r="AX6" s="115"/>
    </row>
    <row r="7" spans="1:50" ht="12.75">
      <c r="A7" s="2"/>
      <c r="B7" s="70">
        <v>4</v>
      </c>
      <c r="C7" s="71" t="s">
        <v>315</v>
      </c>
      <c r="D7" s="72" t="s">
        <v>242</v>
      </c>
      <c r="E7" s="73">
        <f>IF(LEFT($D7,6)&lt;&gt;"Star: ",IFERROR(VLOOKUP($I$22&amp;$D7,'Database-Hidden'!$C$2:$J$120,4,FALSE)-P7+AG7,""),VLOOKUP(RIGHT($D7,LEN($D7)-6),'Star Players-Hidden'!$A$3:$AK$87,33,FALSE))</f>
        <v>4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2</v>
      </c>
      <c r="H7" s="75">
        <f>IF(LEFT($D7,6)&lt;&gt;"Star: ",IFERROR(VLOOKUP($I$22&amp;$D7,'Database-Hidden'!$C$2:$J$120,7,FALSE)-S7+AJ7,""),VLOOKUP(RIGHT($D7,LEN($D7)-6),'Star Players-Hidden'!$A$3:$AK$87,36,FALSE))</f>
        <v>9</v>
      </c>
      <c r="I7" s="76" t="str">
        <f>IF(LEFT($D7,6)&lt;&gt;"Star: ",IFERROR(VLOOKUP($I$22&amp;$D7,'Database-Hidden'!$C$2:$J$120,8,FALSE),""),VLOOKUP(RIGHT($D7,LEN($D7)-6),'Star Players-Hidden'!$A$3:$AK$87,31,FALSE))</f>
        <v>Block, Tackle, Thick Skull</v>
      </c>
      <c r="J7" s="77" t="s">
        <v>82</v>
      </c>
      <c r="K7" s="78">
        <f t="shared" si="0"/>
        <v>1</v>
      </c>
      <c r="L7" s="79"/>
      <c r="M7" s="79"/>
      <c r="N7" s="80">
        <v>1</v>
      </c>
      <c r="O7" s="81"/>
      <c r="P7" s="82"/>
      <c r="Q7" s="83"/>
      <c r="R7" s="83"/>
      <c r="S7" s="84"/>
      <c r="T7" s="85"/>
      <c r="U7" s="86"/>
      <c r="V7" s="86"/>
      <c r="W7" s="87">
        <v>1</v>
      </c>
      <c r="X7" s="303"/>
      <c r="Y7" s="83"/>
      <c r="Z7" s="88">
        <v>2</v>
      </c>
      <c r="AA7" s="89">
        <f t="shared" si="1"/>
        <v>12</v>
      </c>
      <c r="AB7" s="58">
        <f t="shared" si="2"/>
        <v>90000</v>
      </c>
      <c r="AC7" s="4"/>
      <c r="AD7" s="116">
        <f>IF(LEFT($D7,6)&lt;&gt;"Star: ",IFERROR(VLOOKUP($I$22&amp;D7,'Database-Hidden'!$C$2:$E$120,3,FALSE),""),VLOOKUP(RIGHT($D7,LEN($D7)-6),'Star Players-Hidden'!$A$3:$AJ$87,32,FALSE))</f>
        <v>70000</v>
      </c>
      <c r="AE7" s="91">
        <v>1</v>
      </c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40000</v>
      </c>
      <c r="AP7" s="121">
        <v>50000</v>
      </c>
      <c r="AQ7" s="122"/>
      <c r="AR7" s="134" t="s">
        <v>24</v>
      </c>
      <c r="AS7" s="126" t="s">
        <v>166</v>
      </c>
      <c r="AT7" s="128">
        <v>1</v>
      </c>
      <c r="AU7" s="130">
        <v>2</v>
      </c>
      <c r="AV7" s="131">
        <v>0</v>
      </c>
      <c r="AW7" s="132"/>
      <c r="AX7" s="132"/>
    </row>
    <row r="8" spans="1:50" ht="12.75">
      <c r="A8" s="2"/>
      <c r="B8" s="70">
        <v>5</v>
      </c>
      <c r="C8" s="71" t="s">
        <v>316</v>
      </c>
      <c r="D8" s="72" t="s">
        <v>242</v>
      </c>
      <c r="E8" s="73">
        <f>IF(LEFT($D8,6)&lt;&gt;"Star: ",IFERROR(VLOOKUP($I$22&amp;$D8,'Database-Hidden'!$C$2:$J$120,4,FALSE)-P8+AG8,""),VLOOKUP(RIGHT($D8,LEN($D8)-6),'Star Players-Hidden'!$A$3:$AK$87,33,FALSE))</f>
        <v>4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1</v>
      </c>
      <c r="H8" s="75">
        <f>IF(LEFT($D8,6)&lt;&gt;"Star: ",IFERROR(VLOOKUP($I$22&amp;$D8,'Database-Hidden'!$C$2:$J$120,7,FALSE)-S8+AJ8,""),VLOOKUP(RIGHT($D8,LEN($D8)-6),'Star Players-Hidden'!$A$3:$AK$87,36,FALSE))</f>
        <v>9</v>
      </c>
      <c r="I8" s="76" t="str">
        <f>IF(LEFT($D8,6)&lt;&gt;"Star: ",IFERROR(VLOOKUP($I$22&amp;$D8,'Database-Hidden'!$C$2:$J$120,8,FALSE),""),VLOOKUP(RIGHT($D8,LEN($D8)-6),'Star Players-Hidden'!$A$3:$AK$87,31,FALSE))</f>
        <v>Block, Tackle, Thick Skull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303">
        <v>1</v>
      </c>
      <c r="S8" s="84"/>
      <c r="T8" s="85"/>
      <c r="U8" s="86"/>
      <c r="V8" s="86"/>
      <c r="W8" s="87">
        <v>1</v>
      </c>
      <c r="X8" s="83"/>
      <c r="Y8" s="83"/>
      <c r="Z8" s="88"/>
      <c r="AA8" s="89">
        <f t="shared" si="1"/>
        <v>2</v>
      </c>
      <c r="AB8" s="58">
        <f t="shared" si="2"/>
        <v>70000</v>
      </c>
      <c r="AC8" s="4"/>
      <c r="AD8" s="116">
        <f>IF(LEFT($D8,6)&lt;&gt;"Star: ",IFERROR(VLOOKUP($I$22&amp;D8,'Database-Hidden'!$C$2:$E$120,3,FALSE),""),VLOOKUP(RIGHT($D8,LEN($D8)-6),'Star Players-Hidden'!$A$3:$AJ$87,32,FALSE))</f>
        <v>70000</v>
      </c>
      <c r="AE8" s="91"/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30000</v>
      </c>
      <c r="AP8" s="120"/>
      <c r="AQ8" s="122"/>
      <c r="AR8" s="134" t="s">
        <v>39</v>
      </c>
      <c r="AS8" s="126" t="s">
        <v>166</v>
      </c>
      <c r="AT8" s="128">
        <v>0</v>
      </c>
      <c r="AU8" s="130">
        <v>1</v>
      </c>
      <c r="AV8" s="135">
        <v>0</v>
      </c>
      <c r="AW8" s="132"/>
      <c r="AX8" s="132"/>
    </row>
    <row r="9" spans="1:50" ht="12.75">
      <c r="A9" s="2"/>
      <c r="B9" s="70">
        <v>6</v>
      </c>
      <c r="C9" s="71" t="s">
        <v>318</v>
      </c>
      <c r="D9" s="72" t="s">
        <v>242</v>
      </c>
      <c r="E9" s="73">
        <f>IF(LEFT($D9,6)&lt;&gt;"Star: ",IFERROR(VLOOKUP($I$22&amp;$D9,'Database-Hidden'!$C$2:$J$120,4,FALSE)-P9+AG9,""),VLOOKUP(RIGHT($D9,LEN($D9)-6),'Star Players-Hidden'!$A$3:$AK$87,33,FALSE))</f>
        <v>4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2</v>
      </c>
      <c r="H9" s="75">
        <f>IF(LEFT($D9,6)&lt;&gt;"Star: ",IFERROR(VLOOKUP($I$22&amp;$D9,'Database-Hidden'!$C$2:$J$120,7,FALSE)-S9+AJ9,""),VLOOKUP(RIGHT($D9,LEN($D9)-6),'Star Players-Hidden'!$A$3:$AK$87,36,FALSE))</f>
        <v>9</v>
      </c>
      <c r="I9" s="76" t="str">
        <f>IF(LEFT($D9,6)&lt;&gt;"Star: ",IFERROR(VLOOKUP($I$22&amp;$D9,'Database-Hidden'!$C$2:$J$120,8,FALSE),""),VLOOKUP(RIGHT($D9,LEN($D9)-6),'Star Players-Hidden'!$A$3:$AK$87,31,FALSE))</f>
        <v>Block, Tackle, Thick Skull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70000</v>
      </c>
      <c r="AC9" s="4"/>
      <c r="AD9" s="116">
        <f>IF(LEFT($D9,6)&lt;&gt;"Star: ",IFERROR(VLOOKUP($I$22&amp;D9,'Database-Hidden'!$C$2:$E$120,3,FALSE),""),VLOOKUP(RIGHT($D9,LEN($D9)-6),'Star Players-Hidden'!$A$3:$AJ$87,32,FALSE))</f>
        <v>70000</v>
      </c>
      <c r="AE9" s="91"/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  <c r="AX9" s="132"/>
    </row>
    <row r="10" spans="1:50" ht="12.75">
      <c r="A10" s="2"/>
      <c r="B10" s="70">
        <v>7</v>
      </c>
      <c r="C10" s="71" t="s">
        <v>322</v>
      </c>
      <c r="D10" s="72" t="s">
        <v>242</v>
      </c>
      <c r="E10" s="73">
        <f>IF(LEFT($D10,6)&lt;&gt;"Star: ",IFERROR(VLOOKUP($I$22&amp;$D10,'Database-Hidden'!$C$2:$J$120,4,FALSE)-P10+AG10,""),VLOOKUP(RIGHT($D10,LEN($D10)-6),'Star Players-Hidden'!$A$3:$AK$87,33,FALSE))</f>
        <v>4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2</v>
      </c>
      <c r="H10" s="75">
        <f>IF(LEFT($D10,6)&lt;&gt;"Star: ",IFERROR(VLOOKUP($I$22&amp;$D10,'Database-Hidden'!$C$2:$J$120,7,FALSE)-S10+AJ10,""),VLOOKUP(RIGHT($D10,LEN($D10)-6),'Star Players-Hidden'!$A$3:$AK$87,36,FALSE))</f>
        <v>9</v>
      </c>
      <c r="I10" s="76" t="str">
        <f>IF(LEFT($D10,6)&lt;&gt;"Star: ",IFERROR(VLOOKUP($I$22&amp;$D10,'Database-Hidden'!$C$2:$J$120,8,FALSE),""),VLOOKUP(RIGHT($D10,LEN($D10)-6),'Star Players-Hidden'!$A$3:$AK$87,31,FALSE))</f>
        <v>Block, Tackle, Thick Skull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70000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70000</v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  <c r="AX10" s="132"/>
    </row>
    <row r="11" spans="1:50" ht="12.75">
      <c r="A11" s="2"/>
      <c r="B11" s="70">
        <v>8</v>
      </c>
      <c r="C11" s="71" t="s">
        <v>325</v>
      </c>
      <c r="D11" s="72" t="s">
        <v>242</v>
      </c>
      <c r="E11" s="73">
        <f>IF(LEFT($D11,6)&lt;&gt;"Star: ",IFERROR(VLOOKUP($I$22&amp;$D11,'Database-Hidden'!$C$2:$J$120,4,FALSE)-P11+AG11,""),VLOOKUP(RIGHT($D11,LEN($D11)-6),'Star Players-Hidden'!$A$3:$AK$87,33,FALSE))</f>
        <v>4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2</v>
      </c>
      <c r="H11" s="75">
        <f>IF(LEFT($D11,6)&lt;&gt;"Star: ",IFERROR(VLOOKUP($I$22&amp;$D11,'Database-Hidden'!$C$2:$J$120,7,FALSE)-S11+AJ11,""),VLOOKUP(RIGHT($D11,LEN($D11)-6),'Star Players-Hidden'!$A$3:$AK$87,36,FALSE))</f>
        <v>9</v>
      </c>
      <c r="I11" s="76" t="str">
        <f>IF(LEFT($D11,6)&lt;&gt;"Star: ",IFERROR(VLOOKUP($I$22&amp;$D11,'Database-Hidden'!$C$2:$J$120,8,FALSE),""),VLOOKUP(RIGHT($D11,LEN($D11)-6),'Star Players-Hidden'!$A$3:$AK$87,31,FALSE))</f>
        <v>Block, Tackle, Thick Skull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70000</v>
      </c>
      <c r="AC11" s="4"/>
      <c r="AD11" s="116">
        <f>IF(LEFT($D11,6)&lt;&gt;"Star: ",IFERROR(VLOOKUP($I$22&amp;D11,'Database-Hidden'!$C$2:$E$120,3,FALSE),""),VLOOKUP(RIGHT($D11,LEN($D11)-6),'Star Players-Hidden'!$A$3:$AJ$87,32,FALSE))</f>
        <v>70000</v>
      </c>
      <c r="AE11" s="138"/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  <c r="AX11" s="132"/>
    </row>
    <row r="12" spans="1:50" ht="12.75">
      <c r="A12" s="2"/>
      <c r="B12" s="70">
        <v>9</v>
      </c>
      <c r="C12" s="71"/>
      <c r="D12" s="72"/>
      <c r="E12" s="73" t="str">
        <f>IF(LEFT($D12,6)&lt;&gt;"Star: ",IFERROR(VLOOKUP($I$22&amp;$D12,'Database-Hidden'!$C$2:$J$120,4,FALSE)-P12+AG12,""),VLOOKUP(RIGHT($D12,LEN($D12)-6),'Star Players-Hidden'!$A$3:$AK$87,33,FALSE))</f>
        <v/>
      </c>
      <c r="F12" s="73" t="str">
        <f>IF(LEFT($D12,6)&lt;&gt;"Star: ",IFERROR(VLOOKUP($I$22&amp;$D12,'Database-Hidden'!$C$2:$J$120,5,FALSE)-Q12+AH12,""),VLOOKUP(RIGHT($D12,LEN($D12)-6),'Star Players-Hidden'!$A$3:$AK$87,34,FALSE))</f>
        <v/>
      </c>
      <c r="G12" s="73" t="str">
        <f>IF(LEFT($D12,6)&lt;&gt;"Star: ",IFERROR(VLOOKUP($I$22&amp;$D12,'Database-Hidden'!$C$2:$J$120,6,FALSE)-R12+AI12,""),VLOOKUP(RIGHT($D12,LEN($D12)-6),'Star Players-Hidden'!$A$3:$AK$87,35,FALSE))</f>
        <v/>
      </c>
      <c r="H12" s="75" t="str">
        <f>IF(LEFT($D12,6)&lt;&gt;"Star: ",IFERROR(VLOOKUP($I$22&amp;$D12,'Database-Hidden'!$C$2:$J$120,7,FALSE)-S12+AJ12,""),VLOOKUP(RIGHT($D12,LEN($D12)-6),'Star Players-Hidden'!$A$3:$AK$87,36,FALSE))</f>
        <v/>
      </c>
      <c r="I12" s="76" t="str">
        <f>IF(LEFT($D12,6)&lt;&gt;"Star: ",IFERROR(VLOOKUP($I$22&amp;$D12,'Database-Hidden'!$C$2:$J$120,8,FALSE),""),VLOOKUP(RIGHT($D12,LEN($D12)-6),'Star Players-Hidden'!$A$3:$AK$87,31,FALSE))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/>
      <c r="AC12" s="4"/>
      <c r="AD12" s="116" t="str">
        <f>IF(LEFT($D12,6)&lt;&gt;"Star: ",IFERROR(VLOOKUP($I$22&amp;D12,'Database-Hidden'!$C$2:$E$120,3,FALSE),""),VLOOKUP(RIGHT($D12,LEN($D12)-6),'Star Players-Hidden'!$A$3:$AJ$87,32,FALSE))</f>
        <v/>
      </c>
      <c r="AE12" s="138"/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71"/>
      <c r="D13" s="72"/>
      <c r="E13" s="73" t="str">
        <f>IF(LEFT($D13,6)&lt;&gt;"Star: ",IFERROR(VLOOKUP($I$22&amp;$D13,'Database-Hidden'!$C$2:$J$120,4,FALSE)-P13+AG13,""),VLOOKUP(RIGHT($D13,LEN($D13)-6),'Star Players-Hidden'!$A$3:$AK$87,33,FALSE))</f>
        <v/>
      </c>
      <c r="F13" s="73" t="str">
        <f>IF(LEFT($D13,6)&lt;&gt;"Star: ",IFERROR(VLOOKUP($I$22&amp;$D13,'Database-Hidden'!$C$2:$J$120,5,FALSE)-Q13+AH13,""),VLOOKUP(RIGHT($D13,LEN($D13)-6),'Star Players-Hidden'!$A$3:$AK$87,34,FALSE))</f>
        <v/>
      </c>
      <c r="G13" s="73" t="str">
        <f>IF(LEFT($D13,6)&lt;&gt;"Star: ",IFERROR(VLOOKUP($I$22&amp;$D13,'Database-Hidden'!$C$2:$J$120,6,FALSE)-R13+AI13,""),VLOOKUP(RIGHT($D13,LEN($D13)-6),'Star Players-Hidden'!$A$3:$AK$87,35,FALSE))</f>
        <v/>
      </c>
      <c r="H13" s="75" t="str">
        <f>IF(LEFT($D13,6)&lt;&gt;"Star: ",IFERROR(VLOOKUP($I$22&amp;$D13,'Database-Hidden'!$C$2:$J$120,7,FALSE)-S13+AJ13,""),VLOOKUP(RIGHT($D13,LEN($D13)-6),'Star Players-Hidden'!$A$3:$AK$87,36,FALSE))</f>
        <v/>
      </c>
      <c r="I13" s="76" t="str">
        <f>IF(LEFT($D13,6)&lt;&gt;"Star: ",IFERROR(VLOOKUP($I$22&amp;$D13,'Database-Hidden'!$C$2:$J$120,8,FALSE),""),VLOOKUP(RIGHT($D13,LEN($D13)-6),'Star Players-Hidden'!$A$3:$AK$87,31,FALSE))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6" t="str">
        <f>IF(LEFT($D13,6)&lt;&gt;"Star: ",IFERROR(VLOOKUP($I$22&amp;D13,'Database-Hidden'!$C$2:$E$120,3,FALSE),""),VLOOKUP(RIGHT($D13,LEN($D13)-6),'Star Players-Hidden'!$A$3:$AJ$87,32,FALSE))</f>
        <v/>
      </c>
      <c r="AE13" s="138"/>
      <c r="AF13" s="92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71"/>
      <c r="D14" s="72"/>
      <c r="E14" s="73" t="str">
        <f>IF(LEFT($D14,6)&lt;&gt;"Star: ",IFERROR(VLOOKUP($I$22&amp;$D14,'Database-Hidden'!$C$2:$J$120,4,FALSE)-P14+AG14,""),VLOOKUP(RIGHT($D14,LEN($D14)-6),'Star Players-Hidden'!$A$3:$AK$87,33,FALSE))</f>
        <v/>
      </c>
      <c r="F14" s="73" t="str">
        <f>IF(LEFT($D14,6)&lt;&gt;"Star: ",IFERROR(VLOOKUP($I$22&amp;$D14,'Database-Hidden'!$C$2:$J$120,5,FALSE)-Q14+AH14,""),VLOOKUP(RIGHT($D14,LEN($D14)-6),'Star Players-Hidden'!$A$3:$AK$87,34,FALSE))</f>
        <v/>
      </c>
      <c r="G14" s="73" t="str">
        <f>IF(LEFT($D14,6)&lt;&gt;"Star: ",IFERROR(VLOOKUP($I$22&amp;$D14,'Database-Hidden'!$C$2:$J$120,6,FALSE)-R14+AI14,""),VLOOKUP(RIGHT($D14,LEN($D14)-6),'Star Players-Hidden'!$A$3:$AK$87,35,FALSE))</f>
        <v/>
      </c>
      <c r="H14" s="75" t="str">
        <f>IF(LEFT($D14,6)&lt;&gt;"Star: ",IFERROR(VLOOKUP($I$22&amp;$D14,'Database-Hidden'!$C$2:$J$120,7,FALSE)-S14+AJ14,""),VLOOKUP(RIGHT($D14,LEN($D14)-6),'Star Players-Hidden'!$A$3:$AK$87,36,FALSE))</f>
        <v/>
      </c>
      <c r="I14" s="76" t="str">
        <f>IF(LEFT($D14,6)&lt;&gt;"Star: ",IFERROR(VLOOKUP($I$22&amp;$D14,'Database-Hidden'!$C$2:$J$120,8,FALSE),""),VLOOKUP(RIGHT($D14,LEN($D14)-6),'Star Players-Hidden'!$A$3:$AK$87,31,FALSE))</f>
        <v/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/>
      <c r="AC14" s="4"/>
      <c r="AD14" s="116" t="str">
        <f>IF(LEFT($D14,6)&lt;&gt;"Star: ",IFERROR(VLOOKUP($I$22&amp;D14,'Database-Hidden'!$C$2:$E$120,3,FALSE),""),VLOOKUP(RIGHT($D14,LEN($D14)-6),'Star Players-Hidden'!$A$3:$AJ$87,32,FALSE))</f>
        <v/>
      </c>
      <c r="AE14" s="91"/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 t="s">
        <v>336</v>
      </c>
      <c r="D15" s="72" t="s">
        <v>285</v>
      </c>
      <c r="E15" s="73">
        <f>IF(LEFT($D15,6)&lt;&gt;"Star: ",IFERROR(VLOOKUP($I$22&amp;$D15,'Database-Hidden'!$C$2:$J$120,4,FALSE)-P15+AG15,""),VLOOKUP(RIGHT($D15,LEN($D15)-6),'Star Players-Hidden'!$A$3:$AK$87,33,FALSE))</f>
        <v>5</v>
      </c>
      <c r="F15" s="73">
        <f>IF(LEFT($D15,6)&lt;&gt;"Star: ",IFERROR(VLOOKUP($I$22&amp;$D15,'Database-Hidden'!$C$2:$J$120,5,FALSE)-Q15+AH15,""),VLOOKUP(RIGHT($D15,LEN($D15)-6),'Star Players-Hidden'!$A$3:$AK$87,34,FALSE))</f>
        <v>4</v>
      </c>
      <c r="G15" s="73">
        <f>IF(LEFT($D15,6)&lt;&gt;"Star: ",IFERROR(VLOOKUP($I$22&amp;$D15,'Database-Hidden'!$C$2:$J$120,6,FALSE)-R15+AI15,""),VLOOKUP(RIGHT($D15,LEN($D15)-6),'Star Players-Hidden'!$A$3:$AK$87,35,FALSE))</f>
        <v>2</v>
      </c>
      <c r="H15" s="75">
        <f>IF(LEFT($D15,6)&lt;&gt;"Star: ",IFERROR(VLOOKUP($I$22&amp;$D15,'Database-Hidden'!$C$2:$J$120,7,FALSE)-S15+AJ15,""),VLOOKUP(RIGHT($D15,LEN($D15)-6),'Star Players-Hidden'!$A$3:$AK$87,36,FALSE))</f>
        <v>8</v>
      </c>
      <c r="I15" s="76" t="str">
        <f>IF(LEFT($D15,6)&lt;&gt;"Star: ",IFERROR(VLOOKUP($I$22&amp;$D15,'Database-Hidden'!$C$2:$J$120,8,FALSE),""),VLOOKUP(RIGHT($D15,LEN($D15)-6),'Star Players-Hidden'!$A$3:$AK$87,31,FALSE))</f>
        <v>Block, Dauntless, Frenzy, Thick Skull</v>
      </c>
      <c r="J15" s="261" t="s">
        <v>339</v>
      </c>
      <c r="K15" s="78">
        <f t="shared" si="0"/>
        <v>2</v>
      </c>
      <c r="L15" s="79"/>
      <c r="M15" s="79"/>
      <c r="N15" s="80">
        <v>2</v>
      </c>
      <c r="O15" s="81"/>
      <c r="P15" s="82"/>
      <c r="Q15" s="83"/>
      <c r="R15" s="83"/>
      <c r="S15" s="84"/>
      <c r="T15" s="85"/>
      <c r="U15" s="87"/>
      <c r="V15" s="87"/>
      <c r="W15" s="87">
        <v>3</v>
      </c>
      <c r="X15" s="83"/>
      <c r="Y15" s="83"/>
      <c r="Z15" s="88">
        <v>2</v>
      </c>
      <c r="AA15" s="89">
        <f t="shared" si="1"/>
        <v>16</v>
      </c>
      <c r="AB15" s="58">
        <f t="shared" si="2"/>
        <v>160000</v>
      </c>
      <c r="AC15" s="4"/>
      <c r="AD15" s="116">
        <f>IF(LEFT($D15,6)&lt;&gt;"Star: ",IFERROR(VLOOKUP($I$22&amp;D15,'Database-Hidden'!$C$2:$E$120,3,FALSE),""),VLOOKUP(RIGHT($D15,LEN($D15)-6),'Star Players-Hidden'!$A$3:$AJ$87,32,FALSE))</f>
        <v>90000</v>
      </c>
      <c r="AE15" s="91">
        <v>1</v>
      </c>
      <c r="AF15" s="103"/>
      <c r="AG15" s="103"/>
      <c r="AH15" s="92">
        <v>1</v>
      </c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 t="s">
        <v>340</v>
      </c>
      <c r="D16" s="72" t="s">
        <v>285</v>
      </c>
      <c r="E16" s="73">
        <f>IF(LEFT($D16,6)&lt;&gt;"Star: ",IFERROR(VLOOKUP($I$22&amp;$D16,'Database-Hidden'!$C$2:$J$120,4,FALSE)-P16+AG16,""),VLOOKUP(RIGHT($D16,LEN($D16)-6),'Star Players-Hidden'!$A$3:$AK$87,33,FALSE))</f>
        <v>5</v>
      </c>
      <c r="F16" s="73">
        <f>IF(LEFT($D16,6)&lt;&gt;"Star: ",IFERROR(VLOOKUP($I$22&amp;$D16,'Database-Hidden'!$C$2:$J$120,5,FALSE)-Q16+AH16,""),VLOOKUP(RIGHT($D16,LEN($D16)-6),'Star Players-Hidden'!$A$3:$AK$87,34,FALSE))</f>
        <v>3</v>
      </c>
      <c r="G16" s="73">
        <f>IF(LEFT($D16,6)&lt;&gt;"Star: ",IFERROR(VLOOKUP($I$22&amp;$D16,'Database-Hidden'!$C$2:$J$120,6,FALSE)-R16+AI16,""),VLOOKUP(RIGHT($D16,LEN($D16)-6),'Star Players-Hidden'!$A$3:$AK$87,35,FALSE))</f>
        <v>2</v>
      </c>
      <c r="H16" s="75">
        <f>IF(LEFT($D16,6)&lt;&gt;"Star: ",IFERROR(VLOOKUP($I$22&amp;$D16,'Database-Hidden'!$C$2:$J$120,7,FALSE)-S16+AJ16,""),VLOOKUP(RIGHT($D16,LEN($D16)-6),'Star Players-Hidden'!$A$3:$AK$87,36,FALSE))</f>
        <v>8</v>
      </c>
      <c r="I16" s="76" t="str">
        <f>IF(LEFT($D16,6)&lt;&gt;"Star: ",IFERROR(VLOOKUP($I$22&amp;$D16,'Database-Hidden'!$C$2:$J$120,8,FALSE),""),VLOOKUP(RIGHT($D16,LEN($D16)-6),'Star Players-Hidden'!$A$3:$AK$87,31,FALSE))</f>
        <v>Block, Dauntless, Frenzy, Thick Skull</v>
      </c>
      <c r="J16" s="77" t="s">
        <v>342</v>
      </c>
      <c r="K16" s="78">
        <f t="shared" si="0"/>
        <v>2</v>
      </c>
      <c r="L16" s="79"/>
      <c r="M16" s="79"/>
      <c r="N16" s="80">
        <v>2</v>
      </c>
      <c r="O16" s="81"/>
      <c r="P16" s="82"/>
      <c r="Q16" s="83"/>
      <c r="R16" s="83"/>
      <c r="S16" s="84"/>
      <c r="T16" s="85"/>
      <c r="U16" s="86"/>
      <c r="V16" s="86"/>
      <c r="W16" s="87">
        <v>8</v>
      </c>
      <c r="X16" s="303">
        <v>1</v>
      </c>
      <c r="Y16" s="83"/>
      <c r="Z16" s="88"/>
      <c r="AA16" s="89">
        <f t="shared" si="1"/>
        <v>16</v>
      </c>
      <c r="AB16" s="58">
        <f t="shared" si="2"/>
        <v>130000</v>
      </c>
      <c r="AC16" s="4"/>
      <c r="AD16" s="116">
        <f>IF(LEFT($D16,6)&lt;&gt;"Star: ",IFERROR(VLOOKUP($I$22&amp;D16,'Database-Hidden'!$C$2:$E$120,3,FALSE),""),VLOOKUP(RIGHT($D16,LEN($D16)-6),'Star Players-Hidden'!$A$3:$AJ$87,32,FALSE))</f>
        <v>90000</v>
      </c>
      <c r="AE16" s="91">
        <v>2</v>
      </c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71" t="s">
        <v>345</v>
      </c>
      <c r="D17" s="72" t="s">
        <v>269</v>
      </c>
      <c r="E17" s="73">
        <f>IF(LEFT($D17,6)&lt;&gt;"Star: ",IFERROR(VLOOKUP($I$22&amp;$D17,'Database-Hidden'!$C$2:$J$120,4,FALSE)-P17+AG17,""),VLOOKUP(RIGHT($D17,LEN($D17)-6),'Star Players-Hidden'!$A$3:$AK$87,33,FALSE))</f>
        <v>7</v>
      </c>
      <c r="F17" s="73">
        <f>IF(LEFT($D17,6)&lt;&gt;"Star: ",IFERROR(VLOOKUP($I$22&amp;$D17,'Database-Hidden'!$C$2:$J$120,5,FALSE)-Q17+AH17,""),VLOOKUP(RIGHT($D17,LEN($D17)-6),'Star Players-Hidden'!$A$3:$AK$87,34,FALSE))</f>
        <v>3</v>
      </c>
      <c r="G17" s="73">
        <f>IF(LEFT($D17,6)&lt;&gt;"Star: ",IFERROR(VLOOKUP($I$22&amp;$D17,'Database-Hidden'!$C$2:$J$120,6,FALSE)-R17+AI17,""),VLOOKUP(RIGHT($D17,LEN($D17)-6),'Star Players-Hidden'!$A$3:$AK$87,35,FALSE))</f>
        <v>3</v>
      </c>
      <c r="H17" s="75">
        <f>IF(LEFT($D17,6)&lt;&gt;"Star: ",IFERROR(VLOOKUP($I$22&amp;$D17,'Database-Hidden'!$C$2:$J$120,7,FALSE)-S17+AJ17,""),VLOOKUP(RIGHT($D17,LEN($D17)-6),'Star Players-Hidden'!$A$3:$AK$87,36,FALSE))</f>
        <v>8</v>
      </c>
      <c r="I17" s="76" t="str">
        <f>IF(LEFT($D17,6)&lt;&gt;"Star: ",IFERROR(VLOOKUP($I$22&amp;$D17,'Database-Hidden'!$C$2:$J$120,8,FALSE),""),VLOOKUP(RIGHT($D17,LEN($D17)-6),'Star Players-Hidden'!$A$3:$AK$87,31,FALSE))</f>
        <v>Sure Hands, Thick Skull</v>
      </c>
      <c r="J17" s="77" t="s">
        <v>348</v>
      </c>
      <c r="K17" s="78">
        <f t="shared" si="0"/>
        <v>4</v>
      </c>
      <c r="L17" s="79"/>
      <c r="M17" s="79"/>
      <c r="N17" s="80">
        <v>2</v>
      </c>
      <c r="O17" s="81"/>
      <c r="P17" s="82"/>
      <c r="Q17" s="83"/>
      <c r="R17" s="83"/>
      <c r="S17" s="84"/>
      <c r="T17" s="85"/>
      <c r="U17" s="87">
        <v>8</v>
      </c>
      <c r="V17" s="87">
        <v>12</v>
      </c>
      <c r="W17" s="87"/>
      <c r="X17" s="83"/>
      <c r="Y17" s="83"/>
      <c r="Z17" s="88">
        <v>3</v>
      </c>
      <c r="AA17" s="89">
        <f t="shared" si="1"/>
        <v>59</v>
      </c>
      <c r="AB17" s="58">
        <f t="shared" si="2"/>
        <v>180000</v>
      </c>
      <c r="AC17" s="4"/>
      <c r="AD17" s="116">
        <f>IF(LEFT($D17,6)&lt;&gt;"Star: ",IFERROR(VLOOKUP($I$22&amp;D17,'Database-Hidden'!$C$2:$E$120,3,FALSE),""),VLOOKUP(RIGHT($D17,LEN($D17)-6),'Star Players-Hidden'!$A$3:$AJ$87,32,FALSE))</f>
        <v>80000</v>
      </c>
      <c r="AE17" s="91">
        <v>2</v>
      </c>
      <c r="AF17" s="92">
        <v>1</v>
      </c>
      <c r="AG17" s="92">
        <v>1</v>
      </c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60000</v>
      </c>
      <c r="AP18" s="4"/>
      <c r="AQ18" s="4"/>
      <c r="AR18" s="67"/>
      <c r="AS18" s="148" t="s">
        <v>42</v>
      </c>
      <c r="AT18" s="150">
        <f t="shared" ref="AT18:AU18" si="3">SUM(AT6:AT17)</f>
        <v>2</v>
      </c>
      <c r="AU18" s="151">
        <f t="shared" si="3"/>
        <v>5</v>
      </c>
      <c r="AV18" s="152">
        <f>AV4+SUM(AV6:AV17)</f>
        <v>5</v>
      </c>
      <c r="AW18" s="5"/>
      <c r="AX18" s="5"/>
    </row>
    <row r="19" spans="1:50" ht="12.75">
      <c r="A19" s="2"/>
      <c r="B19" s="153">
        <v>16</v>
      </c>
      <c r="C19" s="154"/>
      <c r="D19" s="155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1090000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46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302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5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50000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60000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09"/>
      <c r="I23" s="543" t="s">
        <v>354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30000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1340000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10000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60000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25000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250000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120000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31</v>
      </c>
      <c r="D28" s="209" t="str">
        <f t="shared" ref="D28:D37" si="5">I28&amp;IF(COUNTIF(D$4:D$19,I28)&gt;E28," (Too Many)","")</f>
        <v>Blocker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Blocker</v>
      </c>
      <c r="AV28" s="179"/>
    </row>
    <row r="29" spans="1:50" ht="17.25" hidden="1" customHeight="1">
      <c r="C29" s="209">
        <f t="shared" ref="C29:C37" si="6">C28+1</f>
        <v>32</v>
      </c>
      <c r="D29" s="209" t="str">
        <f t="shared" si="5"/>
        <v>Runner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Runner</v>
      </c>
      <c r="AV29" s="179"/>
    </row>
    <row r="30" spans="1:50" ht="17.25" hidden="1" customHeight="1">
      <c r="C30" s="209">
        <f t="shared" si="6"/>
        <v>33</v>
      </c>
      <c r="D30" s="209" t="str">
        <f t="shared" si="5"/>
        <v>Blitzer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Blitzer</v>
      </c>
      <c r="AV30" s="179"/>
    </row>
    <row r="31" spans="1:50" ht="17.25" hidden="1" customHeight="1">
      <c r="C31" s="209">
        <f t="shared" si="6"/>
        <v>34</v>
      </c>
      <c r="D31" s="209" t="str">
        <f t="shared" si="5"/>
        <v>Troll Slayer</v>
      </c>
      <c r="E31" s="210">
        <f t="array" ref="E31">IFERROR(IF(INDEX('Database-Hidden'!$A$2:$B$120,$C31,1)=$I$22,INDEX('Database-Hidden'!$A$2:$D$120,$C31,4),""),"")</f>
        <v>2</v>
      </c>
      <c r="I31" s="209" t="str">
        <f t="array" ref="I31">IFERROR(IF(INDEX('Database-Hidden'!$A$2:$B$120,$C31,1)=$I$22,INDEX('Database-Hidden'!$A$2:$B$120,$C31,2),""),"")</f>
        <v>Troll Slayer</v>
      </c>
      <c r="AV31" s="179"/>
    </row>
    <row r="32" spans="1:50" ht="17.25" hidden="1" customHeight="1">
      <c r="C32" s="209">
        <f t="shared" si="6"/>
        <v>35</v>
      </c>
      <c r="D32" s="209" t="str">
        <f t="shared" si="5"/>
        <v>Deathroller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Deathroller</v>
      </c>
      <c r="AV32" s="179"/>
    </row>
    <row r="33" spans="3:48" ht="17.25" hidden="1" customHeight="1">
      <c r="C33" s="209">
        <f t="shared" si="6"/>
        <v>36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37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38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39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40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7</v>
      </c>
      <c r="D38" s="211" t="str">
        <f t="shared" ref="D38:D49" ca="1" si="7">I38&amp;IF(COUNTIF(D$4:D$19,I38)&gt;1," (Too Many)","")</f>
        <v>Star: Barik Farblast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Barik Farblast")</f>
        <v>Star: Barik Farblast</v>
      </c>
      <c r="AV38" s="179"/>
    </row>
    <row r="39" spans="3:48" ht="17.25" hidden="1" customHeight="1">
      <c r="C39" s="209"/>
      <c r="D39" s="209" t="str">
        <f t="shared" si="7"/>
        <v>Star: Boomer Eziasson</v>
      </c>
      <c r="I39" s="213" t="s">
        <v>305</v>
      </c>
      <c r="AV39" s="179"/>
    </row>
    <row r="40" spans="3:48" ht="17.25" hidden="1" customHeight="1">
      <c r="C40" s="209"/>
      <c r="D40" s="209" t="str">
        <f t="shared" si="7"/>
        <v>Star: Flint Churnblade</v>
      </c>
      <c r="I40" s="209" t="s">
        <v>306</v>
      </c>
      <c r="AV40" s="179"/>
    </row>
    <row r="41" spans="3:48" ht="17.25" hidden="1" customHeight="1">
      <c r="C41" s="209"/>
      <c r="D41" s="209" t="str">
        <f t="shared" si="7"/>
        <v>Star: Grim Ironjaw</v>
      </c>
      <c r="I41" s="209" t="s">
        <v>307</v>
      </c>
      <c r="AV41" s="179"/>
    </row>
    <row r="42" spans="3:48" ht="17.25" hidden="1" customHeight="1">
      <c r="C42" s="209"/>
      <c r="D42" s="209" t="str">
        <f t="shared" si="7"/>
        <v>Star: Morg'n'Thorg</v>
      </c>
      <c r="I42" s="209" t="s">
        <v>144</v>
      </c>
      <c r="AV42" s="179"/>
    </row>
    <row r="43" spans="3:48" ht="17.25" hidden="1" customHeight="1">
      <c r="C43" s="209"/>
      <c r="D43" s="209" t="str">
        <f t="shared" si="7"/>
        <v/>
      </c>
      <c r="I43" s="209"/>
      <c r="AV43" s="179"/>
    </row>
    <row r="44" spans="3:48" ht="17.25" hidden="1" customHeight="1">
      <c r="C44" s="209"/>
      <c r="D44" s="209" t="str">
        <f t="shared" si="7"/>
        <v/>
      </c>
      <c r="I44" s="209"/>
      <c r="AV44" s="179"/>
    </row>
    <row r="45" spans="3:48" ht="17.25" hidden="1" customHeight="1">
      <c r="C45" s="209"/>
      <c r="D45" s="209" t="str">
        <f t="shared" si="7"/>
        <v/>
      </c>
      <c r="I45" s="209"/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P2:S2"/>
    <mergeCell ref="AN21:AO21"/>
    <mergeCell ref="L23:S23"/>
    <mergeCell ref="I23:K23"/>
    <mergeCell ref="E21:H21"/>
    <mergeCell ref="E22:H22"/>
    <mergeCell ref="I21:K21"/>
    <mergeCell ref="I22:K22"/>
    <mergeCell ref="AR3:AV3"/>
    <mergeCell ref="L21:S21"/>
    <mergeCell ref="L22:S22"/>
    <mergeCell ref="I24:K24"/>
    <mergeCell ref="L24:S24"/>
    <mergeCell ref="V23:AA23"/>
    <mergeCell ref="V22:AA22"/>
    <mergeCell ref="V21:AA21"/>
    <mergeCell ref="AN3:AQ3"/>
    <mergeCell ref="V25:AA25"/>
    <mergeCell ref="E26:AA26"/>
    <mergeCell ref="E20:AA20"/>
    <mergeCell ref="B20:D26"/>
    <mergeCell ref="E23:H23"/>
    <mergeCell ref="E24:H24"/>
    <mergeCell ref="V24:AA24"/>
    <mergeCell ref="L25:S25"/>
    <mergeCell ref="E25:H25"/>
    <mergeCell ref="I25:K25"/>
  </mergeCells>
  <conditionalFormatting sqref="J4">
    <cfRule type="expression" dxfId="549" priority="1">
      <formula>K4&lt;&gt;SUM(AE4:AJ4)</formula>
    </cfRule>
  </conditionalFormatting>
  <conditionalFormatting sqref="K4:K19">
    <cfRule type="cellIs" dxfId="548" priority="2" operator="equal">
      <formula>0</formula>
    </cfRule>
  </conditionalFormatting>
  <conditionalFormatting sqref="AB4:AB19">
    <cfRule type="cellIs" dxfId="547" priority="3" operator="equal">
      <formula>0</formula>
    </cfRule>
  </conditionalFormatting>
  <conditionalFormatting sqref="E4:I19">
    <cfRule type="expression" dxfId="546" priority="4">
      <formula>AG4&gt;0</formula>
    </cfRule>
  </conditionalFormatting>
  <conditionalFormatting sqref="E4:I19">
    <cfRule type="expression" dxfId="545" priority="5">
      <formula>P4&gt;0</formula>
    </cfRule>
  </conditionalFormatting>
  <conditionalFormatting sqref="T4:T19 U4:U19 V4:W19 Z4:Z19 U27">
    <cfRule type="cellIs" dxfId="544" priority="6" stopIfTrue="1" operator="equal">
      <formula>0</formula>
    </cfRule>
  </conditionalFormatting>
  <conditionalFormatting sqref="K4:K19">
    <cfRule type="cellIs" dxfId="543" priority="7" stopIfTrue="1" operator="equal">
      <formula>"n/a"</formula>
    </cfRule>
  </conditionalFormatting>
  <conditionalFormatting sqref="P4:S19">
    <cfRule type="cellIs" dxfId="542" priority="8" stopIfTrue="1" operator="lessThanOrEqual">
      <formula>-1</formula>
    </cfRule>
  </conditionalFormatting>
  <conditionalFormatting sqref="V25:W25">
    <cfRule type="cellIs" dxfId="541" priority="9" stopIfTrue="1" operator="equal">
      <formula>-500</formula>
    </cfRule>
  </conditionalFormatting>
  <conditionalFormatting sqref="T25">
    <cfRule type="cellIs" dxfId="540" priority="10" stopIfTrue="1" operator="greaterThan">
      <formula>$V$25</formula>
    </cfRule>
  </conditionalFormatting>
  <conditionalFormatting sqref="AA4:AA19">
    <cfRule type="cellIs" dxfId="539" priority="11" stopIfTrue="1" operator="equal">
      <formula>"Star"</formula>
    </cfRule>
  </conditionalFormatting>
  <conditionalFormatting sqref="AA4:AA19">
    <cfRule type="cellIs" dxfId="538" priority="12" stopIfTrue="1" operator="equal">
      <formula>AB4</formula>
    </cfRule>
  </conditionalFormatting>
  <conditionalFormatting sqref="I4:I19">
    <cfRule type="cellIs" dxfId="537" priority="13" stopIfTrue="1" operator="equal">
      <formula>0</formula>
    </cfRule>
  </conditionalFormatting>
  <conditionalFormatting sqref="I4:I19">
    <cfRule type="cellIs" dxfId="536" priority="14" stopIfTrue="1" operator="equal">
      <formula>"Player type quantity surpassed"</formula>
    </cfRule>
  </conditionalFormatting>
  <conditionalFormatting sqref="J5">
    <cfRule type="expression" dxfId="535" priority="15">
      <formula>K5&lt;&gt;SUM(AE5:AJ5)</formula>
    </cfRule>
  </conditionalFormatting>
  <conditionalFormatting sqref="J6">
    <cfRule type="expression" dxfId="534" priority="16">
      <formula>K6&lt;&gt;SUM(AE6:AJ6)</formula>
    </cfRule>
  </conditionalFormatting>
  <conditionalFormatting sqref="J7">
    <cfRule type="expression" dxfId="533" priority="17">
      <formula>K7&lt;&gt;SUM(AE7:AJ7)</formula>
    </cfRule>
  </conditionalFormatting>
  <conditionalFormatting sqref="J8">
    <cfRule type="expression" dxfId="532" priority="18">
      <formula>K8&lt;&gt;SUM(AE8:AJ8)</formula>
    </cfRule>
  </conditionalFormatting>
  <conditionalFormatting sqref="J9">
    <cfRule type="expression" dxfId="531" priority="19">
      <formula>K9&lt;&gt;SUM(AE9:AJ9)</formula>
    </cfRule>
  </conditionalFormatting>
  <conditionalFormatting sqref="J10">
    <cfRule type="expression" dxfId="530" priority="20">
      <formula>K10&lt;&gt;SUM(AE10:AJ10)</formula>
    </cfRule>
  </conditionalFormatting>
  <conditionalFormatting sqref="J11">
    <cfRule type="expression" dxfId="529" priority="21">
      <formula>K11&lt;&gt;SUM(AE11:AJ11)</formula>
    </cfRule>
  </conditionalFormatting>
  <conditionalFormatting sqref="J12">
    <cfRule type="expression" dxfId="528" priority="22">
      <formula>K12&lt;&gt;SUM(AE12:AJ12)</formula>
    </cfRule>
  </conditionalFormatting>
  <conditionalFormatting sqref="J13">
    <cfRule type="expression" dxfId="527" priority="23">
      <formula>K13&lt;&gt;SUM(AE13:AJ13)</formula>
    </cfRule>
  </conditionalFormatting>
  <conditionalFormatting sqref="J14">
    <cfRule type="expression" dxfId="526" priority="24">
      <formula>K14&lt;&gt;SUM(AE14:AJ14)</formula>
    </cfRule>
  </conditionalFormatting>
  <conditionalFormatting sqref="J15">
    <cfRule type="expression" dxfId="525" priority="25">
      <formula>K15&lt;&gt;SUM(AE15:AJ15)</formula>
    </cfRule>
  </conditionalFormatting>
  <conditionalFormatting sqref="J16">
    <cfRule type="expression" dxfId="524" priority="26">
      <formula>K16&lt;&gt;SUM(AE16:AJ16)</formula>
    </cfRule>
  </conditionalFormatting>
  <conditionalFormatting sqref="J17">
    <cfRule type="expression" dxfId="523" priority="27">
      <formula>K17&lt;&gt;SUM(AE17:AJ17)</formula>
    </cfRule>
  </conditionalFormatting>
  <conditionalFormatting sqref="J18">
    <cfRule type="expression" dxfId="522" priority="28">
      <formula>K18&lt;&gt;SUM(AE18:AJ18)</formula>
    </cfRule>
  </conditionalFormatting>
  <conditionalFormatting sqref="J19">
    <cfRule type="expression" dxfId="521" priority="29">
      <formula>K19&lt;&gt;SUM(AE19:AJ19)</formula>
    </cfRule>
  </conditionalFormatting>
  <dataValidations count="2">
    <dataValidation type="list" allowBlank="1" showErrorMessage="1" sqref="D4:D19">
      <formula1>'FT1'!$D$28:$D$49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 t="s">
        <v>317</v>
      </c>
      <c r="D4" s="42" t="s">
        <v>68</v>
      </c>
      <c r="E4" s="73">
        <f>IF(LEFT($D4,6)&lt;&gt;"Star: ",IFERROR(VLOOKUP($I$22&amp;$D4,'Database-Hidden'!$C$2:$J$120,4,FALSE)-P4+AG4,""),VLOOKUP(RIGHT($D4,LEN($D4)-6),'Star Players-Hidden'!$A$3:$AK$87,33,FALSE))</f>
        <v>6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3</v>
      </c>
      <c r="H4" s="75">
        <f>IF(LEFT($D4,6)&lt;&gt;"Star: ",IFERROR(VLOOKUP($I$22&amp;$D4,'Database-Hidden'!$C$2:$J$120,7,FALSE)-S4+AJ4,""),VLOOKUP(RIGHT($D4,LEN($D4)-6),'Star Players-Hidden'!$A$3:$AK$87,36,FALSE))</f>
        <v>8</v>
      </c>
      <c r="I4" s="76">
        <f>IF(LEFT($D4,6)&lt;&gt;"Star: ",IFERROR(VLOOKUP($I$22&amp;$D4,'Database-Hidden'!$C$2:$J$120,8,FALSE),""),VLOOKUP(RIGHT($D4,LEN($D4)-6),'Star Players-Hidden'!$A$3:$AK$87,31,FALSE))</f>
        <v>0</v>
      </c>
      <c r="J4" s="47" t="s">
        <v>155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1</v>
      </c>
      <c r="X4" s="52"/>
      <c r="Y4" s="52"/>
      <c r="Z4" s="56">
        <v>1</v>
      </c>
      <c r="AA4" s="57">
        <f t="shared" ref="AA4:AA19" si="1">2*T4+U4+3*V4+2*W4+5*Z4</f>
        <v>7</v>
      </c>
      <c r="AB4" s="58">
        <f t="shared" ref="AB4:AB19" si="2">IF(L4=1,0,AD4+(20000*O4)+(20000*AE4)+(30000*AF4)+(30000*AG4)+(50000*AH4)+(40000*AI4)+(50000*AJ4)+AK4)</f>
        <v>80000</v>
      </c>
      <c r="AC4" s="4"/>
      <c r="AD4" s="116">
        <f>IF(LEFT($D4,6)&lt;&gt;"Star: ",IFERROR(VLOOKUP($I$22&amp;D4,'Database-Hidden'!$C$2:$E$120,3,FALSE),""),VLOOKUP(RIGHT($D4,LEN($D4)-6),'Star Players-Hidden'!$A$3:$AJ$87,32,FALSE))</f>
        <v>50000</v>
      </c>
      <c r="AE4" s="60"/>
      <c r="AF4" s="61">
        <v>1</v>
      </c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2</v>
      </c>
      <c r="AW4" s="69"/>
      <c r="AX4" s="69"/>
    </row>
    <row r="5" spans="1:50" ht="12.75">
      <c r="A5" s="2"/>
      <c r="B5" s="70">
        <v>2</v>
      </c>
      <c r="C5" s="71" t="s">
        <v>323</v>
      </c>
      <c r="D5" s="72" t="s">
        <v>68</v>
      </c>
      <c r="E5" s="73">
        <f>IF(LEFT($D5,6)&lt;&gt;"Star: ",IFERROR(VLOOKUP($I$22&amp;$D5,'Database-Hidden'!$C$2:$J$120,4,FALSE)-P5+AG5,""),VLOOKUP(RIGHT($D5,LEN($D5)-6),'Star Players-Hidden'!$A$3:$AK$87,33,FALSE))</f>
        <v>6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3</v>
      </c>
      <c r="H5" s="75">
        <f>IF(LEFT($D5,6)&lt;&gt;"Star: ",IFERROR(VLOOKUP($I$22&amp;$D5,'Database-Hidden'!$C$2:$J$120,7,FALSE)-S5+AJ5,""),VLOOKUP(RIGHT($D5,LEN($D5)-6),'Star Players-Hidden'!$A$3:$AK$87,36,FALSE))</f>
        <v>8</v>
      </c>
      <c r="I5" s="76">
        <f>IF(LEFT($D5,6)&lt;&gt;"Star: ",IFERROR(VLOOKUP($I$22&amp;$D5,'Database-Hidden'!$C$2:$J$120,8,FALSE),""),VLOOKUP(RIGHT($D5,LEN($D5)-6),'Star Players-Hidden'!$A$3:$AK$87,31,FALSE))</f>
        <v>0</v>
      </c>
      <c r="J5" s="77" t="s">
        <v>155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1</v>
      </c>
      <c r="X5" s="83"/>
      <c r="Y5" s="83"/>
      <c r="Z5" s="88">
        <v>1</v>
      </c>
      <c r="AA5" s="89">
        <f t="shared" si="1"/>
        <v>7</v>
      </c>
      <c r="AB5" s="58">
        <f t="shared" si="2"/>
        <v>70000</v>
      </c>
      <c r="AC5" s="4"/>
      <c r="AD5" s="116">
        <f>IF(LEFT($D5,6)&lt;&gt;"Star: ",IFERROR(VLOOKUP($I$22&amp;D5,'Database-Hidden'!$C$2:$E$120,3,FALSE),""),VLOOKUP(RIGHT($D5,LEN($D5)-6),'Star Players-Hidden'!$A$3:$AJ$87,32,FALSE))</f>
        <v>50000</v>
      </c>
      <c r="AE5" s="91">
        <v>1</v>
      </c>
      <c r="AF5" s="92"/>
      <c r="AG5" s="92"/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327</v>
      </c>
      <c r="D6" s="72" t="s">
        <v>68</v>
      </c>
      <c r="E6" s="73">
        <f>IF(LEFT($D6,6)&lt;&gt;"Star: ",IFERROR(VLOOKUP($I$22&amp;$D6,'Database-Hidden'!$C$2:$J$120,4,FALSE)-P6+AG6,""),VLOOKUP(RIGHT($D6,LEN($D6)-6),'Star Players-Hidden'!$A$3:$AK$87,33,FALSE))</f>
        <v>6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2</v>
      </c>
      <c r="H6" s="75">
        <f>IF(LEFT($D6,6)&lt;&gt;"Star: ",IFERROR(VLOOKUP($I$22&amp;$D6,'Database-Hidden'!$C$2:$J$120,7,FALSE)-S6+AJ6,""),VLOOKUP(RIGHT($D6,LEN($D6)-6),'Star Players-Hidden'!$A$3:$AK$87,36,FALSE))</f>
        <v>8</v>
      </c>
      <c r="I6" s="76">
        <f>IF(LEFT($D6,6)&lt;&gt;"Star: ",IFERROR(VLOOKUP($I$22&amp;$D6,'Database-Hidden'!$C$2:$J$120,8,FALSE),""),VLOOKUP(RIGHT($D6,LEN($D6)-6),'Star Players-Hidden'!$A$3:$AK$87,31,FALSE))</f>
        <v>0</v>
      </c>
      <c r="J6" s="77" t="s">
        <v>329</v>
      </c>
      <c r="K6" s="78">
        <f t="shared" si="0"/>
        <v>1</v>
      </c>
      <c r="L6" s="80"/>
      <c r="M6" s="79"/>
      <c r="N6" s="80">
        <v>1</v>
      </c>
      <c r="O6" s="81"/>
      <c r="P6" s="82"/>
      <c r="Q6" s="83"/>
      <c r="R6" s="303">
        <v>1</v>
      </c>
      <c r="S6" s="368"/>
      <c r="T6" s="85"/>
      <c r="U6" s="86"/>
      <c r="V6" s="86"/>
      <c r="W6" s="87">
        <v>2</v>
      </c>
      <c r="X6" s="303">
        <v>1</v>
      </c>
      <c r="Y6" s="83"/>
      <c r="Z6" s="88">
        <v>1</v>
      </c>
      <c r="AA6" s="89">
        <f t="shared" si="1"/>
        <v>9</v>
      </c>
      <c r="AB6" s="58">
        <f t="shared" si="2"/>
        <v>70000</v>
      </c>
      <c r="AC6" s="4"/>
      <c r="AD6" s="116">
        <f>IF(LEFT($D6,6)&lt;&gt;"Star: ",IFERROR(VLOOKUP($I$22&amp;D6,'Database-Hidden'!$C$2:$E$120,3,FALSE),""),VLOOKUP(RIGHT($D6,LEN($D6)-6),'Star Players-Hidden'!$A$3:$AJ$87,32,FALSE))</f>
        <v>50000</v>
      </c>
      <c r="AE6" s="91">
        <v>1</v>
      </c>
      <c r="AF6" s="92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60000</v>
      </c>
      <c r="AP6" s="106"/>
      <c r="AQ6" s="107"/>
      <c r="AR6" s="108" t="s">
        <v>44</v>
      </c>
      <c r="AS6" s="110" t="s">
        <v>330</v>
      </c>
      <c r="AT6" s="112">
        <v>0</v>
      </c>
      <c r="AU6" s="113">
        <v>3</v>
      </c>
      <c r="AV6" s="281">
        <v>0</v>
      </c>
      <c r="AW6" s="115"/>
      <c r="AX6" s="115"/>
    </row>
    <row r="7" spans="1:50" ht="12.75">
      <c r="A7" s="2"/>
      <c r="B7" s="70">
        <v>4</v>
      </c>
      <c r="C7" s="71" t="s">
        <v>331</v>
      </c>
      <c r="D7" s="72" t="s">
        <v>68</v>
      </c>
      <c r="E7" s="73">
        <f>IF(LEFT($D7,6)&lt;&gt;"Star: ",IFERROR(VLOOKUP($I$22&amp;$D7,'Database-Hidden'!$C$2:$J$120,4,FALSE)-P7+AG7,""),VLOOKUP(RIGHT($D7,LEN($D7)-6),'Star Players-Hidden'!$A$3:$AK$87,33,FALSE))</f>
        <v>6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8</v>
      </c>
      <c r="I7" s="76">
        <f>IF(LEFT($D7,6)&lt;&gt;"Star: ",IFERROR(VLOOKUP($I$22&amp;$D7,'Database-Hidden'!$C$2:$J$120,8,FALSE),""),VLOOKUP(RIGHT($D7,LEN($D7)-6),'Star Players-Hidden'!$A$3:$AK$87,31,FALSE))</f>
        <v>0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50000</v>
      </c>
      <c r="AC7" s="4"/>
      <c r="AD7" s="116">
        <f>IF(LEFT($D7,6)&lt;&gt;"Star: ",IFERROR(VLOOKUP($I$22&amp;D7,'Database-Hidden'!$C$2:$E$120,3,FALSE),""),VLOOKUP(RIGHT($D7,LEN($D7)-6),'Star Players-Hidden'!$A$3:$AJ$87,32,FALSE))</f>
        <v>50000</v>
      </c>
      <c r="AE7" s="91"/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60000</v>
      </c>
      <c r="AP7" s="121">
        <v>50000</v>
      </c>
      <c r="AQ7" s="122"/>
      <c r="AR7" s="134" t="s">
        <v>18</v>
      </c>
      <c r="AS7" s="126" t="s">
        <v>166</v>
      </c>
      <c r="AT7" s="128">
        <v>1</v>
      </c>
      <c r="AU7" s="130">
        <v>2</v>
      </c>
      <c r="AV7" s="135">
        <v>0</v>
      </c>
      <c r="AW7" s="132"/>
      <c r="AX7" s="132"/>
    </row>
    <row r="8" spans="1:50" ht="12.75">
      <c r="A8" s="2"/>
      <c r="B8" s="70">
        <v>5</v>
      </c>
      <c r="C8" s="71" t="s">
        <v>332</v>
      </c>
      <c r="D8" s="72" t="s">
        <v>68</v>
      </c>
      <c r="E8" s="73">
        <f>IF(LEFT($D8,6)&lt;&gt;"Star: ",IFERROR(VLOOKUP($I$22&amp;$D8,'Database-Hidden'!$C$2:$J$120,4,FALSE)-P8+AG8,""),VLOOKUP(RIGHT($D8,LEN($D8)-6),'Star Players-Hidden'!$A$3:$AK$87,33,FALSE))</f>
        <v>6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3</v>
      </c>
      <c r="H8" s="75">
        <f>IF(LEFT($D8,6)&lt;&gt;"Star: ",IFERROR(VLOOKUP($I$22&amp;$D8,'Database-Hidden'!$C$2:$J$120,7,FALSE)-S8+AJ8,""),VLOOKUP(RIGHT($D8,LEN($D8)-6),'Star Players-Hidden'!$A$3:$AK$87,36,FALSE))</f>
        <v>8</v>
      </c>
      <c r="I8" s="76">
        <f>IF(LEFT($D8,6)&lt;&gt;"Star: ",IFERROR(VLOOKUP($I$22&amp;$D8,'Database-Hidden'!$C$2:$J$120,8,FALSE),""),VLOOKUP(RIGHT($D8,LEN($D8)-6),'Star Players-Hidden'!$A$3:$AK$87,31,FALSE))</f>
        <v>0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50000</v>
      </c>
      <c r="AC8" s="4"/>
      <c r="AD8" s="116">
        <f>IF(LEFT($D8,6)&lt;&gt;"Star: ",IFERROR(VLOOKUP($I$22&amp;D8,'Database-Hidden'!$C$2:$E$120,3,FALSE),""),VLOOKUP(RIGHT($D8,LEN($D8)-6),'Star Players-Hidden'!$A$3:$AJ$87,32,FALSE))</f>
        <v>50000</v>
      </c>
      <c r="AE8" s="91"/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60000</v>
      </c>
      <c r="AP8" s="121">
        <v>50000</v>
      </c>
      <c r="AQ8" s="122"/>
      <c r="AR8" s="134" t="s">
        <v>24</v>
      </c>
      <c r="AS8" s="126" t="s">
        <v>84</v>
      </c>
      <c r="AT8" s="128">
        <v>3</v>
      </c>
      <c r="AU8" s="130">
        <v>0</v>
      </c>
      <c r="AV8" s="135">
        <v>1</v>
      </c>
      <c r="AW8" s="132"/>
      <c r="AX8" s="132"/>
    </row>
    <row r="9" spans="1:50" ht="12.75">
      <c r="A9" s="2"/>
      <c r="B9" s="70">
        <v>6</v>
      </c>
      <c r="C9" s="101"/>
      <c r="D9" s="72" t="s">
        <v>68</v>
      </c>
      <c r="E9" s="73">
        <f>IF(LEFT($D9,6)&lt;&gt;"Star: ",IFERROR(VLOOKUP($I$22&amp;$D9,'Database-Hidden'!$C$2:$J$120,4,FALSE)-P9+AG9,""),VLOOKUP(RIGHT($D9,LEN($D9)-6),'Star Players-Hidden'!$A$3:$AK$87,33,FALSE))</f>
        <v>6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3</v>
      </c>
      <c r="H9" s="75">
        <f>IF(LEFT($D9,6)&lt;&gt;"Star: ",IFERROR(VLOOKUP($I$22&amp;$D9,'Database-Hidden'!$C$2:$J$120,7,FALSE)-S9+AJ9,""),VLOOKUP(RIGHT($D9,LEN($D9)-6),'Star Players-Hidden'!$A$3:$AK$87,36,FALSE))</f>
        <v>8</v>
      </c>
      <c r="I9" s="76">
        <f>IF(LEFT($D9,6)&lt;&gt;"Star: ",IFERROR(VLOOKUP($I$22&amp;$D9,'Database-Hidden'!$C$2:$J$120,8,FALSE),""),VLOOKUP(RIGHT($D9,LEN($D9)-6),'Star Players-Hidden'!$A$3:$AK$87,31,FALSE))</f>
        <v>0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50000</v>
      </c>
      <c r="AC9" s="4"/>
      <c r="AD9" s="116">
        <f>IF(LEFT($D9,6)&lt;&gt;"Star: ",IFERROR(VLOOKUP($I$22&amp;D9,'Database-Hidden'!$C$2:$E$120,3,FALSE),""),VLOOKUP(RIGHT($D9,LEN($D9)-6),'Star Players-Hidden'!$A$3:$AJ$87,32,FALSE))</f>
        <v>50000</v>
      </c>
      <c r="AE9" s="91"/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9">
        <v>10000</v>
      </c>
      <c r="AP9" s="120"/>
      <c r="AQ9" s="289" t="s">
        <v>337</v>
      </c>
      <c r="AR9" s="134" t="s">
        <v>31</v>
      </c>
      <c r="AS9" s="126" t="s">
        <v>166</v>
      </c>
      <c r="AT9" s="128">
        <v>0</v>
      </c>
      <c r="AU9" s="130">
        <v>1</v>
      </c>
      <c r="AV9" s="135">
        <v>0</v>
      </c>
      <c r="AW9" s="132"/>
      <c r="AX9" s="132"/>
    </row>
    <row r="10" spans="1:50" ht="12.75">
      <c r="A10" s="2"/>
      <c r="B10" s="70">
        <v>7</v>
      </c>
      <c r="C10" s="71"/>
      <c r="D10" s="72"/>
      <c r="E10" s="73" t="str">
        <f>IF(LEFT($D10,6)&lt;&gt;"Star: ",IFERROR(VLOOKUP($I$22&amp;$D10,'Database-Hidden'!$C$2:$J$120,4,FALSE)-P10+AG10,""),VLOOKUP(RIGHT($D10,LEN($D10)-6),'Star Players-Hidden'!$A$3:$AK$87,33,FALSE))</f>
        <v/>
      </c>
      <c r="F10" s="73" t="str">
        <f>IF(LEFT($D10,6)&lt;&gt;"Star: ",IFERROR(VLOOKUP($I$22&amp;$D10,'Database-Hidden'!$C$2:$J$120,5,FALSE)-Q10+AH10,""),VLOOKUP(RIGHT($D10,LEN($D10)-6),'Star Players-Hidden'!$A$3:$AK$87,34,FALSE))</f>
        <v/>
      </c>
      <c r="G10" s="73" t="str">
        <f>IF(LEFT($D10,6)&lt;&gt;"Star: ",IFERROR(VLOOKUP($I$22&amp;$D10,'Database-Hidden'!$C$2:$J$120,6,FALSE)-R10+AI10,""),VLOOKUP(RIGHT($D10,LEN($D10)-6),'Star Players-Hidden'!$A$3:$AK$87,35,FALSE))</f>
        <v/>
      </c>
      <c r="H10" s="75" t="str">
        <f>IF(LEFT($D10,6)&lt;&gt;"Star: ",IFERROR(VLOOKUP($I$22&amp;$D10,'Database-Hidden'!$C$2:$J$120,7,FALSE)-S10+AJ10,""),VLOOKUP(RIGHT($D10,LEN($D10)-6),'Star Players-Hidden'!$A$3:$AK$87,36,FALSE))</f>
        <v/>
      </c>
      <c r="I10" s="76" t="str">
        <f>IF(LEFT($D10,6)&lt;&gt;"Star: ",IFERROR(VLOOKUP($I$22&amp;$D10,'Database-Hidden'!$C$2:$J$120,8,FALSE),""),VLOOKUP(RIGHT($D10,LEN($D10)-6),'Star Players-Hidden'!$A$3:$AK$87,31,FALSE))</f>
        <v/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/>
      <c r="AC10" s="4"/>
      <c r="AD10" s="116" t="str">
        <f>IF(LEFT($D10,6)&lt;&gt;"Star: ",IFERROR(VLOOKUP($I$22&amp;D10,'Database-Hidden'!$C$2:$E$120,3,FALSE),""),VLOOKUP(RIGHT($D10,LEN($D10)-6),'Star Players-Hidden'!$A$3:$AJ$87,32,FALSE))</f>
        <v/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  <c r="AX10" s="132"/>
    </row>
    <row r="11" spans="1:50" ht="12.75">
      <c r="A11" s="2"/>
      <c r="B11" s="70">
        <v>8</v>
      </c>
      <c r="C11" s="71" t="s">
        <v>341</v>
      </c>
      <c r="D11" s="72" t="s">
        <v>101</v>
      </c>
      <c r="E11" s="73">
        <f>IF(LEFT($D11,6)&lt;&gt;"Star: ",IFERROR(VLOOKUP($I$22&amp;$D11,'Database-Hidden'!$C$2:$J$120,4,FALSE)-P11+AG11,""),VLOOKUP(RIGHT($D11,LEN($D11)-6),'Star Players-Hidden'!$A$3:$AK$87,33,FALSE))</f>
        <v>7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8</v>
      </c>
      <c r="I11" s="76" t="str">
        <f>IF(LEFT($D11,6)&lt;&gt;"Star: ",IFERROR(VLOOKUP($I$22&amp;$D11,'Database-Hidden'!$C$2:$J$120,8,FALSE),""),VLOOKUP(RIGHT($D11,LEN($D11)-6),'Star Players-Hidden'!$A$3:$AK$87,31,FALSE))</f>
        <v>Block</v>
      </c>
      <c r="J11" s="77" t="s">
        <v>344</v>
      </c>
      <c r="K11" s="78">
        <f t="shared" si="0"/>
        <v>1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7">
        <v>2</v>
      </c>
      <c r="W11" s="86"/>
      <c r="X11" s="83"/>
      <c r="Y11" s="83"/>
      <c r="Z11" s="88">
        <v>0</v>
      </c>
      <c r="AA11" s="89">
        <f t="shared" si="1"/>
        <v>6</v>
      </c>
      <c r="AB11" s="58">
        <f t="shared" si="2"/>
        <v>110000</v>
      </c>
      <c r="AC11" s="4"/>
      <c r="AD11" s="116">
        <f>IF(LEFT($D11,6)&lt;&gt;"Star: ",IFERROR(VLOOKUP($I$22&amp;D11,'Database-Hidden'!$C$2:$E$120,3,FALSE),""),VLOOKUP(RIGHT($D11,LEN($D11)-6),'Star Players-Hidden'!$A$3:$AJ$87,32,FALSE))</f>
        <v>90000</v>
      </c>
      <c r="AE11" s="91">
        <v>1</v>
      </c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  <c r="AX11" s="132"/>
    </row>
    <row r="12" spans="1:50" ht="12.75">
      <c r="A12" s="2"/>
      <c r="B12" s="70">
        <v>9</v>
      </c>
      <c r="C12" s="71" t="s">
        <v>346</v>
      </c>
      <c r="D12" s="72" t="s">
        <v>101</v>
      </c>
      <c r="E12" s="73">
        <f>IF(LEFT($D12,6)&lt;&gt;"Star: ",IFERROR(VLOOKUP($I$22&amp;$D12,'Database-Hidden'!$C$2:$J$120,4,FALSE)-P12+AG12,""),VLOOKUP(RIGHT($D12,LEN($D12)-6),'Star Players-Hidden'!$A$3:$AK$87,33,FALSE))</f>
        <v>7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8</v>
      </c>
      <c r="I12" s="76" t="str">
        <f>IF(LEFT($D12,6)&lt;&gt;"Star: ",IFERROR(VLOOKUP($I$22&amp;$D12,'Database-Hidden'!$C$2:$J$120,8,FALSE),""),VLOOKUP(RIGHT($D12,LEN($D12)-6),'Star Players-Hidden'!$A$3:$AK$87,31,FALSE))</f>
        <v>Block</v>
      </c>
      <c r="J12" s="77" t="s">
        <v>344</v>
      </c>
      <c r="K12" s="78">
        <f t="shared" si="0"/>
        <v>1</v>
      </c>
      <c r="L12" s="79"/>
      <c r="M12" s="79"/>
      <c r="N12" s="80">
        <v>1</v>
      </c>
      <c r="O12" s="81"/>
      <c r="P12" s="82"/>
      <c r="Q12" s="83"/>
      <c r="R12" s="83"/>
      <c r="S12" s="84"/>
      <c r="T12" s="85"/>
      <c r="U12" s="87"/>
      <c r="V12" s="87">
        <v>2</v>
      </c>
      <c r="W12" s="87">
        <v>1</v>
      </c>
      <c r="X12" s="83"/>
      <c r="Y12" s="83"/>
      <c r="Z12" s="88">
        <v>1</v>
      </c>
      <c r="AA12" s="89">
        <f t="shared" si="1"/>
        <v>13</v>
      </c>
      <c r="AB12" s="58">
        <f t="shared" si="2"/>
        <v>110000</v>
      </c>
      <c r="AC12" s="4"/>
      <c r="AD12" s="116">
        <f>IF(LEFT($D12,6)&lt;&gt;"Star: ",IFERROR(VLOOKUP($I$22&amp;D12,'Database-Hidden'!$C$2:$E$120,3,FALSE),""),VLOOKUP(RIGHT($D12,LEN($D12)-6),'Star Players-Hidden'!$A$3:$AJ$87,32,FALSE))</f>
        <v>90000</v>
      </c>
      <c r="AE12" s="91">
        <v>1</v>
      </c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71" t="s">
        <v>349</v>
      </c>
      <c r="D13" s="72" t="s">
        <v>101</v>
      </c>
      <c r="E13" s="73">
        <f>IF(LEFT($D13,6)&lt;&gt;"Star: ",IFERROR(VLOOKUP($I$22&amp;$D13,'Database-Hidden'!$C$2:$J$120,4,FALSE)-P13+AG13,""),VLOOKUP(RIGHT($D13,LEN($D13)-6),'Star Players-Hidden'!$A$3:$AK$87,33,FALSE))</f>
        <v>7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3</v>
      </c>
      <c r="H13" s="75">
        <f>IF(LEFT($D13,6)&lt;&gt;"Star: ",IFERROR(VLOOKUP($I$22&amp;$D13,'Database-Hidden'!$C$2:$J$120,7,FALSE)-S13+AJ13,""),VLOOKUP(RIGHT($D13,LEN($D13)-6),'Star Players-Hidden'!$A$3:$AK$87,36,FALSE))</f>
        <v>8</v>
      </c>
      <c r="I13" s="76" t="str">
        <f>IF(LEFT($D13,6)&lt;&gt;"Star: ",IFERROR(VLOOKUP($I$22&amp;$D13,'Database-Hidden'!$C$2:$J$120,8,FALSE),""),VLOOKUP(RIGHT($D13,LEN($D13)-6),'Star Players-Hidden'!$A$3:$AK$87,31,FALSE))</f>
        <v>Block</v>
      </c>
      <c r="J13" s="77" t="s">
        <v>351</v>
      </c>
      <c r="K13" s="78">
        <f t="shared" si="0"/>
        <v>2</v>
      </c>
      <c r="L13" s="79"/>
      <c r="M13" s="79"/>
      <c r="N13" s="80">
        <v>1</v>
      </c>
      <c r="O13" s="81"/>
      <c r="P13" s="82"/>
      <c r="Q13" s="83"/>
      <c r="R13" s="83"/>
      <c r="S13" s="84"/>
      <c r="T13" s="85"/>
      <c r="U13" s="86"/>
      <c r="V13" s="87">
        <v>1</v>
      </c>
      <c r="W13" s="87">
        <v>4</v>
      </c>
      <c r="X13" s="83"/>
      <c r="Y13" s="83"/>
      <c r="Z13" s="88">
        <v>1</v>
      </c>
      <c r="AA13" s="89">
        <f t="shared" si="1"/>
        <v>16</v>
      </c>
      <c r="AB13" s="58">
        <f t="shared" si="2"/>
        <v>140000</v>
      </c>
      <c r="AC13" s="4"/>
      <c r="AD13" s="116">
        <f>IF(LEFT($D13,6)&lt;&gt;"Star: ",IFERROR(VLOOKUP($I$22&amp;D13,'Database-Hidden'!$C$2:$E$120,3,FALSE),""),VLOOKUP(RIGHT($D13,LEN($D13)-6),'Star Players-Hidden'!$A$3:$AJ$87,32,FALSE))</f>
        <v>90000</v>
      </c>
      <c r="AE13" s="91">
        <v>1</v>
      </c>
      <c r="AF13" s="92">
        <v>1</v>
      </c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71" t="s">
        <v>352</v>
      </c>
      <c r="D14" s="72" t="s">
        <v>101</v>
      </c>
      <c r="E14" s="73">
        <f>IF(LEFT($D14,6)&lt;&gt;"Star: ",IFERROR(VLOOKUP($I$22&amp;$D14,'Database-Hidden'!$C$2:$J$120,4,FALSE)-P14+AG14,""),VLOOKUP(RIGHT($D14,LEN($D14)-6),'Star Players-Hidden'!$A$3:$AK$87,33,FALSE))</f>
        <v>7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8</v>
      </c>
      <c r="I14" s="76" t="str">
        <f>IF(LEFT($D14,6)&lt;&gt;"Star: ",IFERROR(VLOOKUP($I$22&amp;$D14,'Database-Hidden'!$C$2:$J$120,8,FALSE),""),VLOOKUP(RIGHT($D14,LEN($D14)-6),'Star Players-Hidden'!$A$3:$AK$87,31,FALSE))</f>
        <v>Block</v>
      </c>
      <c r="J14" s="77" t="s">
        <v>344</v>
      </c>
      <c r="K14" s="78">
        <f t="shared" si="0"/>
        <v>1</v>
      </c>
      <c r="L14" s="79"/>
      <c r="M14" s="79"/>
      <c r="N14" s="80">
        <v>1</v>
      </c>
      <c r="O14" s="81"/>
      <c r="P14" s="82"/>
      <c r="Q14" s="83"/>
      <c r="R14" s="83"/>
      <c r="S14" s="84"/>
      <c r="T14" s="369">
        <v>1</v>
      </c>
      <c r="U14" s="86"/>
      <c r="V14" s="87">
        <v>2</v>
      </c>
      <c r="W14" s="87">
        <v>0</v>
      </c>
      <c r="X14" s="83"/>
      <c r="Y14" s="83"/>
      <c r="Z14" s="88"/>
      <c r="AA14" s="89">
        <f t="shared" si="1"/>
        <v>8</v>
      </c>
      <c r="AB14" s="58">
        <f t="shared" si="2"/>
        <v>110000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90000</v>
      </c>
      <c r="AE14" s="91">
        <v>1</v>
      </c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/>
      <c r="D15" s="72"/>
      <c r="E15" s="73" t="str">
        <f>IF(LEFT($D15,6)&lt;&gt;"Star: ",IFERROR(VLOOKUP($I$22&amp;$D15,'Database-Hidden'!$C$2:$J$120,4,FALSE)-P15+AG15,""),VLOOKUP(RIGHT($D15,LEN($D15)-6),'Star Players-Hidden'!$A$3:$AK$87,33,FALSE))</f>
        <v/>
      </c>
      <c r="F15" s="73" t="str">
        <f>IF(LEFT($D15,6)&lt;&gt;"Star: ",IFERROR(VLOOKUP($I$22&amp;$D15,'Database-Hidden'!$C$2:$J$120,5,FALSE)-Q15+AH15,""),VLOOKUP(RIGHT($D15,LEN($D15)-6),'Star Players-Hidden'!$A$3:$AK$87,34,FALSE))</f>
        <v/>
      </c>
      <c r="G15" s="73" t="str">
        <f>IF(LEFT($D15,6)&lt;&gt;"Star: ",IFERROR(VLOOKUP($I$22&amp;$D15,'Database-Hidden'!$C$2:$J$120,6,FALSE)-R15+AI15,""),VLOOKUP(RIGHT($D15,LEN($D15)-6),'Star Players-Hidden'!$A$3:$AK$87,35,FALSE))</f>
        <v/>
      </c>
      <c r="H15" s="75" t="str">
        <f>IF(LEFT($D15,6)&lt;&gt;"Star: ",IFERROR(VLOOKUP($I$22&amp;$D15,'Database-Hidden'!$C$2:$J$120,7,FALSE)-S15+AJ15,""),VLOOKUP(RIGHT($D15,LEN($D15)-6),'Star Players-Hidden'!$A$3:$AK$87,36,FALSE))</f>
        <v/>
      </c>
      <c r="I15" s="76" t="str">
        <f>IF(LEFT($D15,6)&lt;&gt;"Star: ",IFERROR(VLOOKUP($I$22&amp;$D15,'Database-Hidden'!$C$2:$J$120,8,FALSE),""),VLOOKUP(RIGHT($D15,LEN($D15)-6),'Star Players-Hidden'!$A$3:$AK$87,31,FALSE))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6" t="str">
        <f>IF(LEFT($D15,6)&lt;&gt;"Star: ",IFERROR(VLOOKUP($I$22&amp;D15,'Database-Hidden'!$C$2:$E$120,3,FALSE),""),VLOOKUP(RIGHT($D15,LEN($D15)-6),'Star Players-Hidden'!$A$3:$AJ$87,32,FALSE))</f>
        <v/>
      </c>
      <c r="AE15" s="91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/>
      <c r="D16" s="72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6" t="str">
        <f>IF(LEFT($D16,6)&lt;&gt;"Star: ",IFERROR(VLOOKUP($I$22&amp;D16,'Database-Hidden'!$C$2:$E$120,3,FALSE),""),VLOOKUP(RIGHT($D16,LEN($D16)-6),'Star Players-Hidden'!$A$3:$AJ$87,32,FALSE))</f>
        <v/>
      </c>
      <c r="AE16" s="91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260" t="s">
        <v>356</v>
      </c>
      <c r="D17" s="72" t="s">
        <v>108</v>
      </c>
      <c r="E17" s="73">
        <f>IF(LEFT($D17,6)&lt;&gt;"Star: ",IFERROR(VLOOKUP($I$22&amp;$D17,'Database-Hidden'!$C$2:$J$120,4,FALSE)-P17+AG17,""),VLOOKUP(RIGHT($D17,LEN($D17)-6),'Star Players-Hidden'!$A$3:$AK$87,33,FALSE))</f>
        <v>6</v>
      </c>
      <c r="F17" s="73">
        <f>IF(LEFT($D17,6)&lt;&gt;"Star: ",IFERROR(VLOOKUP($I$22&amp;$D17,'Database-Hidden'!$C$2:$J$120,5,FALSE)-Q17+AH17,""),VLOOKUP(RIGHT($D17,LEN($D17)-6),'Star Players-Hidden'!$A$3:$AK$87,34,FALSE))</f>
        <v>3</v>
      </c>
      <c r="G17" s="73">
        <f>IF(LEFT($D17,6)&lt;&gt;"Star: ",IFERROR(VLOOKUP($I$22&amp;$D17,'Database-Hidden'!$C$2:$J$120,6,FALSE)-R17+AI17,""),VLOOKUP(RIGHT($D17,LEN($D17)-6),'Star Players-Hidden'!$A$3:$AK$87,35,FALSE))</f>
        <v>3</v>
      </c>
      <c r="H17" s="75">
        <f>IF(LEFT($D17,6)&lt;&gt;"Star: ",IFERROR(VLOOKUP($I$22&amp;$D17,'Database-Hidden'!$C$2:$J$120,7,FALSE)-S17+AJ17,""),VLOOKUP(RIGHT($D17,LEN($D17)-6),'Star Players-Hidden'!$A$3:$AK$87,36,FALSE))</f>
        <v>8</v>
      </c>
      <c r="I17" s="76" t="str">
        <f>IF(LEFT($D17,6)&lt;&gt;"Star: ",IFERROR(VLOOKUP($I$22&amp;$D17,'Database-Hidden'!$C$2:$J$120,8,FALSE),""),VLOOKUP(RIGHT($D17,LEN($D17)-6),'Star Players-Hidden'!$A$3:$AK$87,31,FALSE))</f>
        <v>Pass, Sure Hands</v>
      </c>
      <c r="J17" s="77" t="s">
        <v>357</v>
      </c>
      <c r="K17" s="78">
        <f t="shared" si="0"/>
        <v>2</v>
      </c>
      <c r="L17" s="79"/>
      <c r="M17" s="79"/>
      <c r="N17" s="80">
        <v>1</v>
      </c>
      <c r="O17" s="81"/>
      <c r="P17" s="82"/>
      <c r="Q17" s="83"/>
      <c r="R17" s="83"/>
      <c r="S17" s="84"/>
      <c r="T17" s="85"/>
      <c r="U17" s="87">
        <v>11</v>
      </c>
      <c r="V17" s="87">
        <v>3</v>
      </c>
      <c r="W17" s="87">
        <v>1</v>
      </c>
      <c r="X17" s="83"/>
      <c r="Y17" s="83"/>
      <c r="Z17" s="88"/>
      <c r="AA17" s="89">
        <f t="shared" si="1"/>
        <v>22</v>
      </c>
      <c r="AB17" s="58">
        <f t="shared" si="2"/>
        <v>110000</v>
      </c>
      <c r="AC17" s="4"/>
      <c r="AD17" s="116">
        <f>IF(LEFT($D17,6)&lt;&gt;"Star: ",IFERROR(VLOOKUP($I$22&amp;D17,'Database-Hidden'!$C$2:$E$120,3,FALSE),""),VLOOKUP(RIGHT($D17,LEN($D17)-6),'Star Players-Hidden'!$A$3:$AJ$87,32,FALSE))</f>
        <v>70000</v>
      </c>
      <c r="AE17" s="91">
        <v>2</v>
      </c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260" t="s">
        <v>358</v>
      </c>
      <c r="D18" s="72" t="s">
        <v>108</v>
      </c>
      <c r="E18" s="73">
        <f>IF(LEFT($D18,6)&lt;&gt;"Star: ",IFERROR(VLOOKUP($I$22&amp;$D18,'Database-Hidden'!$C$2:$J$120,4,FALSE)-P18+AG18,""),VLOOKUP(RIGHT($D18,LEN($D18)-6),'Star Players-Hidden'!$A$3:$AK$87,33,FALSE))</f>
        <v>6</v>
      </c>
      <c r="F18" s="73">
        <f>IF(LEFT($D18,6)&lt;&gt;"Star: ",IFERROR(VLOOKUP($I$22&amp;$D18,'Database-Hidden'!$C$2:$J$120,5,FALSE)-Q18+AH18,""),VLOOKUP(RIGHT($D18,LEN($D18)-6),'Star Players-Hidden'!$A$3:$AK$87,34,FALSE))</f>
        <v>3</v>
      </c>
      <c r="G18" s="73">
        <f>IF(LEFT($D18,6)&lt;&gt;"Star: ",IFERROR(VLOOKUP($I$22&amp;$D18,'Database-Hidden'!$C$2:$J$120,6,FALSE)-R18+AI18,""),VLOOKUP(RIGHT($D18,LEN($D18)-6),'Star Players-Hidden'!$A$3:$AK$87,35,FALSE))</f>
        <v>3</v>
      </c>
      <c r="H18" s="75">
        <f>IF(LEFT($D18,6)&lt;&gt;"Star: ",IFERROR(VLOOKUP($I$22&amp;$D18,'Database-Hidden'!$C$2:$J$120,7,FALSE)-S18+AJ18,""),VLOOKUP(RIGHT($D18,LEN($D18)-6),'Star Players-Hidden'!$A$3:$AK$87,36,FALSE))</f>
        <v>8</v>
      </c>
      <c r="I18" s="76" t="str">
        <f>IF(LEFT($D18,6)&lt;&gt;"Star: ",IFERROR(VLOOKUP($I$22&amp;$D18,'Database-Hidden'!$C$2:$J$120,8,FALSE),""),VLOOKUP(RIGHT($D18,LEN($D18)-6),'Star Players-Hidden'!$A$3:$AK$87,31,FALSE))</f>
        <v>Pass, Sure Hands</v>
      </c>
      <c r="J18" s="77" t="s">
        <v>359</v>
      </c>
      <c r="K18" s="78">
        <f t="shared" si="0"/>
        <v>2</v>
      </c>
      <c r="L18" s="79"/>
      <c r="M18" s="79"/>
      <c r="N18" s="80">
        <v>1</v>
      </c>
      <c r="O18" s="81"/>
      <c r="P18" s="82"/>
      <c r="Q18" s="83"/>
      <c r="R18" s="83"/>
      <c r="S18" s="84"/>
      <c r="T18" s="85"/>
      <c r="U18" s="87">
        <v>6</v>
      </c>
      <c r="V18" s="86"/>
      <c r="W18" s="87">
        <v>2</v>
      </c>
      <c r="X18" s="83"/>
      <c r="Y18" s="83"/>
      <c r="Z18" s="88">
        <v>2</v>
      </c>
      <c r="AA18" s="89">
        <f t="shared" si="1"/>
        <v>20</v>
      </c>
      <c r="AB18" s="58">
        <f t="shared" si="2"/>
        <v>120000</v>
      </c>
      <c r="AC18" s="4"/>
      <c r="AD18" s="116">
        <f>IF(LEFT($D18,6)&lt;&gt;"Star: ",IFERROR(VLOOKUP($I$22&amp;D18,'Database-Hidden'!$C$2:$E$120,3,FALSE),""),VLOOKUP(RIGHT($D18,LEN($D18)-6),'Star Players-Hidden'!$A$3:$AJ$87,32,FALSE))</f>
        <v>70000</v>
      </c>
      <c r="AE18" s="91">
        <v>1</v>
      </c>
      <c r="AF18" s="92">
        <v>1</v>
      </c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90000</v>
      </c>
      <c r="AP18" s="4"/>
      <c r="AQ18" s="4"/>
      <c r="AR18" s="67"/>
      <c r="AS18" s="148" t="s">
        <v>42</v>
      </c>
      <c r="AT18" s="150">
        <f t="shared" ref="AT18:AU18" si="3">SUM(AT6:AT17)</f>
        <v>4</v>
      </c>
      <c r="AU18" s="151">
        <f t="shared" si="3"/>
        <v>6</v>
      </c>
      <c r="AV18" s="152">
        <f>AV4+SUM(AV6:AV17)</f>
        <v>3</v>
      </c>
      <c r="AW18" s="5"/>
      <c r="AX18" s="5"/>
    </row>
    <row r="19" spans="1:50" ht="22.5">
      <c r="A19" s="2"/>
      <c r="B19" s="153">
        <v>16</v>
      </c>
      <c r="C19" s="374" t="s">
        <v>360</v>
      </c>
      <c r="D19" s="155" t="s">
        <v>361</v>
      </c>
      <c r="E19" s="73">
        <f>IF(LEFT($D19,6)&lt;&gt;"Star: ",IFERROR(VLOOKUP($I$22&amp;$D19,'Database-Hidden'!$C$2:$J$120,4,FALSE)-P19+AG19,""),VLOOKUP(RIGHT($D19,LEN($D19)-6),'Star Players-Hidden'!$A$3:$AK$87,33,FALSE))</f>
        <v>5</v>
      </c>
      <c r="F19" s="73">
        <f>IF(LEFT($D19,6)&lt;&gt;"Star: ",IFERROR(VLOOKUP($I$22&amp;$D19,'Database-Hidden'!$C$2:$J$120,5,FALSE)-Q19+AH19,""),VLOOKUP(RIGHT($D19,LEN($D19)-6),'Star Players-Hidden'!$A$3:$AK$87,34,FALSE))</f>
        <v>5</v>
      </c>
      <c r="G19" s="73">
        <f>IF(LEFT($D19,6)&lt;&gt;"Star: ",IFERROR(VLOOKUP($I$22&amp;$D19,'Database-Hidden'!$C$2:$J$120,6,FALSE)-R19+AI19,""),VLOOKUP(RIGHT($D19,LEN($D19)-6),'Star Players-Hidden'!$A$3:$AK$87,35,FALSE))</f>
        <v>2</v>
      </c>
      <c r="H19" s="75">
        <f>IF(LEFT($D19,6)&lt;&gt;"Star: ",IFERROR(VLOOKUP($I$22&amp;$D19,'Database-Hidden'!$C$2:$J$120,7,FALSE)-S19+AJ19,""),VLOOKUP(RIGHT($D19,LEN($D19)-6),'Star Players-Hidden'!$A$3:$AK$87,36,FALSE))</f>
        <v>9</v>
      </c>
      <c r="I19" s="76" t="str">
        <f>IF(LEFT($D19,6)&lt;&gt;"Star: ",IFERROR(VLOOKUP($I$22&amp;$D19,'Database-Hidden'!$C$2:$J$120,8,FALSE),""),VLOOKUP(RIGHT($D19,LEN($D19)-6),'Star Players-Hidden'!$A$3:$AK$87,31,FALSE))</f>
        <v>Loner, Bone-Head, Mighty Blow, Thick Skull, Throw Team-mate</v>
      </c>
      <c r="J19" s="161" t="s">
        <v>155</v>
      </c>
      <c r="K19" s="162">
        <f t="shared" si="0"/>
        <v>1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>
        <v>2</v>
      </c>
      <c r="X19" s="372">
        <v>1</v>
      </c>
      <c r="Y19" s="167"/>
      <c r="Z19" s="172">
        <v>1</v>
      </c>
      <c r="AA19" s="173">
        <f t="shared" si="1"/>
        <v>9</v>
      </c>
      <c r="AB19" s="58">
        <f t="shared" si="2"/>
        <v>170000</v>
      </c>
      <c r="AC19" s="4"/>
      <c r="AD19" s="174">
        <f>IF(LEFT($D19,6)&lt;&gt;"Star: ",IFERROR(VLOOKUP($I$22&amp;D19,'Database-Hidden'!$C$2:$E$120,3,FALSE),""),VLOOKUP(RIGHT($D19,LEN($D19)-6),'Star Players-Hidden'!$A$3:$AJ$87,32,FALSE))</f>
        <v>140000</v>
      </c>
      <c r="AE19" s="175"/>
      <c r="AF19" s="305">
        <v>1</v>
      </c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1240000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29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362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3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30000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90000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354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40000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1470000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20000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90000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30000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230000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180000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54</v>
      </c>
      <c r="D28" s="209" t="str">
        <f t="shared" ref="D28:D37" si="5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  <c r="AV28" s="179"/>
    </row>
    <row r="29" spans="1:50" ht="17.25" hidden="1" customHeight="1">
      <c r="C29" s="209">
        <f t="shared" ref="C29:C37" si="6">C28+1</f>
        <v>55</v>
      </c>
      <c r="D29" s="209" t="str">
        <f t="shared" si="5"/>
        <v>Catcher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Catcher</v>
      </c>
      <c r="AV29" s="179"/>
    </row>
    <row r="30" spans="1:50" ht="17.25" hidden="1" customHeight="1">
      <c r="C30" s="209">
        <f t="shared" si="6"/>
        <v>56</v>
      </c>
      <c r="D30" s="209" t="str">
        <f t="shared" si="5"/>
        <v>Thrower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Thrower</v>
      </c>
      <c r="AV30" s="179"/>
    </row>
    <row r="31" spans="1:50" ht="17.25" hidden="1" customHeight="1">
      <c r="C31" s="209">
        <f t="shared" si="6"/>
        <v>57</v>
      </c>
      <c r="D31" s="209" t="str">
        <f t="shared" si="5"/>
        <v>Blitzer</v>
      </c>
      <c r="E31" s="210">
        <f t="array" ref="E31">IFERROR(IF(INDEX('Database-Hidden'!$A$2:$B$120,$C31,1)=$I$22,INDEX('Database-Hidden'!$A$2:$D$120,$C31,4),""),"")</f>
        <v>4</v>
      </c>
      <c r="I31" s="209" t="str">
        <f t="array" ref="I31">IFERROR(IF(INDEX('Database-Hidden'!$A$2:$B$120,$C31,1)=$I$22,INDEX('Database-Hidden'!$A$2:$B$120,$C31,2),""),"")</f>
        <v>Blitzer</v>
      </c>
      <c r="AV31" s="179"/>
    </row>
    <row r="32" spans="1:50" ht="17.25" hidden="1" customHeight="1">
      <c r="C32" s="209">
        <f t="shared" si="6"/>
        <v>58</v>
      </c>
      <c r="D32" s="209" t="str">
        <f t="shared" si="5"/>
        <v>Ogre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Ogre</v>
      </c>
      <c r="AV32" s="179"/>
    </row>
    <row r="33" spans="3:48" ht="17.25" hidden="1" customHeight="1">
      <c r="C33" s="209">
        <f t="shared" si="6"/>
        <v>59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60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61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62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63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12</v>
      </c>
      <c r="D38" s="211" t="str">
        <f t="shared" ref="D38:D49" ca="1" si="7">I38&amp;IF(COUNTIF(D$4:D$19,I38)&gt;1," (Too Many)","")</f>
        <v>Star: Buggy Baconbreath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Buggy Baconbreath")</f>
        <v>Star: Buggy Baconbreath</v>
      </c>
      <c r="AV38" s="179"/>
    </row>
    <row r="39" spans="3:48" ht="17.25" hidden="1" customHeight="1">
      <c r="C39" s="209"/>
      <c r="D39" s="209" t="str">
        <f t="shared" si="7"/>
        <v>Star: Griff Oberwald</v>
      </c>
      <c r="I39" s="213" t="s">
        <v>368</v>
      </c>
      <c r="AV39" s="179"/>
    </row>
    <row r="40" spans="3:48" ht="17.25" hidden="1" customHeight="1">
      <c r="C40" s="209"/>
      <c r="D40" s="209" t="str">
        <f t="shared" si="7"/>
        <v>Star: Helmut Wulf</v>
      </c>
      <c r="I40" s="209" t="s">
        <v>232</v>
      </c>
      <c r="AV40" s="179"/>
    </row>
    <row r="41" spans="3:48" ht="17.25" hidden="1" customHeight="1">
      <c r="C41" s="209"/>
      <c r="D41" s="209" t="str">
        <f t="shared" si="7"/>
        <v>Star: Karla Von Kill</v>
      </c>
      <c r="I41" s="209" t="s">
        <v>233</v>
      </c>
      <c r="AV41" s="179"/>
    </row>
    <row r="42" spans="3:48" ht="17.25" hidden="1" customHeight="1">
      <c r="C42" s="209"/>
      <c r="D42" s="209" t="str">
        <f t="shared" si="7"/>
        <v>Star: Mighty Zug</v>
      </c>
      <c r="I42" s="209" t="s">
        <v>369</v>
      </c>
      <c r="AV42" s="179"/>
    </row>
    <row r="43" spans="3:48" ht="17.25" hidden="1" customHeight="1">
      <c r="C43" s="209"/>
      <c r="D43" s="209" t="str">
        <f t="shared" si="7"/>
        <v>Star: Morg'n'Thorg</v>
      </c>
      <c r="I43" s="209" t="s">
        <v>144</v>
      </c>
      <c r="AV43" s="179"/>
    </row>
    <row r="44" spans="3:48" ht="17.25" hidden="1" customHeight="1">
      <c r="C44" s="209"/>
      <c r="D44" s="209" t="str">
        <f t="shared" si="7"/>
        <v>Star: Zara the Slayer</v>
      </c>
      <c r="I44" s="209" t="s">
        <v>148</v>
      </c>
      <c r="AV44" s="179"/>
    </row>
    <row r="45" spans="3:48" ht="17.25" hidden="1" customHeight="1">
      <c r="C45" s="209"/>
      <c r="D45" s="209" t="str">
        <f t="shared" si="7"/>
        <v/>
      </c>
      <c r="I45" s="209"/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V24:AA24"/>
    <mergeCell ref="V25:AA25"/>
    <mergeCell ref="V23:AA23"/>
    <mergeCell ref="AN3:AQ3"/>
    <mergeCell ref="AR3:AV3"/>
    <mergeCell ref="P2:S2"/>
    <mergeCell ref="AN21:AO21"/>
    <mergeCell ref="V22:AA22"/>
    <mergeCell ref="V21:AA21"/>
    <mergeCell ref="L23:S23"/>
    <mergeCell ref="L22:S22"/>
    <mergeCell ref="B20:D26"/>
    <mergeCell ref="L24:S24"/>
    <mergeCell ref="I25:K25"/>
    <mergeCell ref="I23:K23"/>
    <mergeCell ref="E22:H22"/>
    <mergeCell ref="I24:K24"/>
    <mergeCell ref="E23:H23"/>
    <mergeCell ref="E24:H24"/>
    <mergeCell ref="L25:S25"/>
    <mergeCell ref="E26:AA26"/>
    <mergeCell ref="E25:H25"/>
    <mergeCell ref="I22:K22"/>
    <mergeCell ref="I21:K21"/>
    <mergeCell ref="L21:S21"/>
    <mergeCell ref="E21:H21"/>
    <mergeCell ref="E20:AA20"/>
  </mergeCells>
  <conditionalFormatting sqref="J4">
    <cfRule type="expression" dxfId="520" priority="1">
      <formula>K4&lt;&gt;SUM(AE4:AJ4)</formula>
    </cfRule>
  </conditionalFormatting>
  <conditionalFormatting sqref="K4:K19">
    <cfRule type="cellIs" dxfId="519" priority="2" operator="equal">
      <formula>0</formula>
    </cfRule>
  </conditionalFormatting>
  <conditionalFormatting sqref="AB4:AB19">
    <cfRule type="cellIs" dxfId="518" priority="3" operator="equal">
      <formula>0</formula>
    </cfRule>
  </conditionalFormatting>
  <conditionalFormatting sqref="E4:I19">
    <cfRule type="expression" dxfId="517" priority="4">
      <formula>AG4&gt;0</formula>
    </cfRule>
  </conditionalFormatting>
  <conditionalFormatting sqref="E4:H19">
    <cfRule type="expression" dxfId="516" priority="5">
      <formula>P4&gt;0</formula>
    </cfRule>
  </conditionalFormatting>
  <conditionalFormatting sqref="T4:T19 U4:U19 V4:W19 Z4:Z19 U27">
    <cfRule type="cellIs" dxfId="515" priority="6" stopIfTrue="1" operator="equal">
      <formula>0</formula>
    </cfRule>
  </conditionalFormatting>
  <conditionalFormatting sqref="K4:K19">
    <cfRule type="cellIs" dxfId="514" priority="7" stopIfTrue="1" operator="equal">
      <formula>"n/a"</formula>
    </cfRule>
  </conditionalFormatting>
  <conditionalFormatting sqref="P4:S19">
    <cfRule type="cellIs" dxfId="513" priority="8" stopIfTrue="1" operator="lessThanOrEqual">
      <formula>-1</formula>
    </cfRule>
  </conditionalFormatting>
  <conditionalFormatting sqref="V25:W25">
    <cfRule type="cellIs" dxfId="512" priority="9" stopIfTrue="1" operator="equal">
      <formula>-500</formula>
    </cfRule>
  </conditionalFormatting>
  <conditionalFormatting sqref="T25">
    <cfRule type="cellIs" dxfId="511" priority="10" stopIfTrue="1" operator="greaterThan">
      <formula>$V$25</formula>
    </cfRule>
  </conditionalFormatting>
  <conditionalFormatting sqref="AA4:AA19">
    <cfRule type="cellIs" dxfId="510" priority="11" stopIfTrue="1" operator="equal">
      <formula>"Star"</formula>
    </cfRule>
  </conditionalFormatting>
  <conditionalFormatting sqref="AA4:AA19">
    <cfRule type="cellIs" dxfId="509" priority="12" stopIfTrue="1" operator="equal">
      <formula>AB4</formula>
    </cfRule>
  </conditionalFormatting>
  <conditionalFormatting sqref="I4:I19">
    <cfRule type="cellIs" dxfId="508" priority="13" stopIfTrue="1" operator="equal">
      <formula>0</formula>
    </cfRule>
  </conditionalFormatting>
  <conditionalFormatting sqref="I4:I19">
    <cfRule type="cellIs" dxfId="507" priority="14" stopIfTrue="1" operator="equal">
      <formula>"Player type quantity surpassed"</formula>
    </cfRule>
  </conditionalFormatting>
  <conditionalFormatting sqref="J5">
    <cfRule type="expression" dxfId="506" priority="15">
      <formula>K5&lt;&gt;SUM(AE5:AJ5)</formula>
    </cfRule>
  </conditionalFormatting>
  <conditionalFormatting sqref="J6">
    <cfRule type="expression" dxfId="505" priority="16">
      <formula>K6&lt;&gt;SUM(AE6:AJ6)</formula>
    </cfRule>
  </conditionalFormatting>
  <conditionalFormatting sqref="J7">
    <cfRule type="expression" dxfId="504" priority="17">
      <formula>K7&lt;&gt;SUM(AE7:AJ7)</formula>
    </cfRule>
  </conditionalFormatting>
  <conditionalFormatting sqref="J8">
    <cfRule type="expression" dxfId="503" priority="18">
      <formula>K8&lt;&gt;SUM(AE8:AJ8)</formula>
    </cfRule>
  </conditionalFormatting>
  <conditionalFormatting sqref="J9">
    <cfRule type="expression" dxfId="502" priority="19">
      <formula>K9&lt;&gt;SUM(AE9:AJ9)</formula>
    </cfRule>
  </conditionalFormatting>
  <conditionalFormatting sqref="J10">
    <cfRule type="expression" dxfId="501" priority="20">
      <formula>K10&lt;&gt;SUM(AE10:AJ10)</formula>
    </cfRule>
  </conditionalFormatting>
  <conditionalFormatting sqref="J11">
    <cfRule type="expression" dxfId="500" priority="21">
      <formula>K11&lt;&gt;SUM(AE11:AJ11)</formula>
    </cfRule>
  </conditionalFormatting>
  <conditionalFormatting sqref="J11:J12">
    <cfRule type="expression" dxfId="499" priority="22">
      <formula>K11&lt;&gt;SUM(AE11:AJ11)</formula>
    </cfRule>
  </conditionalFormatting>
  <conditionalFormatting sqref="J13">
    <cfRule type="expression" dxfId="498" priority="23">
      <formula>K13&lt;&gt;SUM(AE13:AJ13)</formula>
    </cfRule>
  </conditionalFormatting>
  <conditionalFormatting sqref="J14">
    <cfRule type="expression" dxfId="497" priority="24">
      <formula>K14&lt;&gt;SUM(AE14:AJ14)</formula>
    </cfRule>
  </conditionalFormatting>
  <conditionalFormatting sqref="J15">
    <cfRule type="expression" dxfId="496" priority="25">
      <formula>K15&lt;&gt;SUM(AE15:AJ15)</formula>
    </cfRule>
  </conditionalFormatting>
  <conditionalFormatting sqref="J16">
    <cfRule type="expression" dxfId="495" priority="26">
      <formula>K16&lt;&gt;SUM(AE16:AJ16)</formula>
    </cfRule>
  </conditionalFormatting>
  <conditionalFormatting sqref="J17">
    <cfRule type="expression" dxfId="494" priority="27">
      <formula>K17&lt;&gt;SUM(AE17:AJ17)</formula>
    </cfRule>
  </conditionalFormatting>
  <conditionalFormatting sqref="J18">
    <cfRule type="expression" dxfId="493" priority="28">
      <formula>K18&lt;&gt;SUM(AE18:AJ18)</formula>
    </cfRule>
  </conditionalFormatting>
  <conditionalFormatting sqref="J19">
    <cfRule type="expression" dxfId="492" priority="29">
      <formula>K19&lt;&gt;SUM(AE19:AJ19)</formula>
    </cfRule>
  </conditionalFormatting>
  <dataValidations count="2">
    <dataValidation type="list" allowBlank="1" showErrorMessage="1" sqref="D4:D19">
      <formula1>'FT2'!$D$28:$D$49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scale="72" pageOrder="overThenDown"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389" t="s">
        <v>319</v>
      </c>
      <c r="D4" s="42" t="s">
        <v>320</v>
      </c>
      <c r="E4" s="43">
        <f>IFERROR(VLOOKUP($I$22&amp;$D4,'Database-Hidden'!$C$2:$J$120,4,FALSE)-P4+AG4,"")</f>
        <v>6</v>
      </c>
      <c r="F4" s="44">
        <f>IFERROR(VLOOKUP($I$22&amp;$D4,'Database-Hidden'!$C$2:$J$120,5,FALSE)-Q4+AH4,"")</f>
        <v>5</v>
      </c>
      <c r="G4" s="44">
        <f>IFERROR(VLOOKUP($I$22&amp;$D4,'Database-Hidden'!$C$2:$J$120,6,FALSE)-R4+AI4,"")</f>
        <v>4</v>
      </c>
      <c r="H4" s="45">
        <f>IFERROR(VLOOKUP($I$22&amp;$D4,'Database-Hidden'!$C$2:$J$120,7,FALSE)-S4+AJ4,"")</f>
        <v>8</v>
      </c>
      <c r="I4" s="46" t="str">
        <f>IFERROR(VLOOKUP($I$22&amp;$D4,'Database-Hidden'!$C$2:$J$120,8,FALSE),"")</f>
        <v>Blood Lust, Hypnotic Gaze, Regeneration</v>
      </c>
      <c r="J4" s="47" t="s">
        <v>321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>
        <v>1</v>
      </c>
      <c r="O4" s="50"/>
      <c r="P4" s="51"/>
      <c r="Q4" s="52"/>
      <c r="R4" s="52"/>
      <c r="S4" s="53"/>
      <c r="T4" s="54"/>
      <c r="U4" s="55">
        <v>3</v>
      </c>
      <c r="V4" s="55">
        <v>3</v>
      </c>
      <c r="W4" s="55">
        <v>1</v>
      </c>
      <c r="X4" s="52"/>
      <c r="Y4" s="52"/>
      <c r="Z4" s="56">
        <v>2</v>
      </c>
      <c r="AA4" s="57">
        <f t="shared" ref="AA4:AA19" si="1">2*T4+U4+3*V4+2*W4+5*Z4</f>
        <v>24</v>
      </c>
      <c r="AB4" s="58">
        <f t="shared" ref="AB4:AB17" si="2">IF(L4=1,0,AD4+(20000*O4)+(20000*AE4)+(30000*AF4)+(30000*AG4)+(50000*AH4)+(40000*AI4)+(50000*AJ4)+AK4)</f>
        <v>180000</v>
      </c>
      <c r="AC4" s="4"/>
      <c r="AD4" s="59">
        <f>IFERROR(VLOOKUP($I$22&amp;D4,'Database-Hidden'!$C$2:$E$120,3,FALSE),"")</f>
        <v>110000</v>
      </c>
      <c r="AE4" s="60">
        <v>1</v>
      </c>
      <c r="AF4" s="61"/>
      <c r="AG4" s="61"/>
      <c r="AH4" s="61">
        <v>1</v>
      </c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5</v>
      </c>
      <c r="AW4" s="69"/>
      <c r="AX4" s="69"/>
    </row>
    <row r="5" spans="1:50" ht="12.75">
      <c r="A5" s="2"/>
      <c r="B5" s="70">
        <v>2</v>
      </c>
      <c r="C5" s="390" t="s">
        <v>324</v>
      </c>
      <c r="D5" s="72" t="s">
        <v>320</v>
      </c>
      <c r="E5" s="73">
        <f>IFERROR(VLOOKUP($I$22&amp;$D5,'Database-Hidden'!$C$2:$J$120,4,FALSE)-P5+AG5,"")</f>
        <v>6</v>
      </c>
      <c r="F5" s="74">
        <f>IFERROR(VLOOKUP($I$22&amp;$D5,'Database-Hidden'!$C$2:$J$120,5,FALSE)-Q5+AH5,"")</f>
        <v>4</v>
      </c>
      <c r="G5" s="74">
        <f>IFERROR(VLOOKUP($I$22&amp;$D5,'Database-Hidden'!$C$2:$J$120,6,FALSE)-R5+AI5,"")</f>
        <v>4</v>
      </c>
      <c r="H5" s="75">
        <f>IFERROR(VLOOKUP($I$22&amp;$D5,'Database-Hidden'!$C$2:$J$120,7,FALSE)-S5+AJ5,"")</f>
        <v>8</v>
      </c>
      <c r="I5" s="76" t="str">
        <f>IFERROR(VLOOKUP($I$22&amp;$D5,'Database-Hidden'!$C$2:$J$120,8,FALSE),"")</f>
        <v>Blood Lust, Hypnotic Gaze, Regeneration</v>
      </c>
      <c r="J5" s="77" t="s">
        <v>262</v>
      </c>
      <c r="K5" s="78">
        <f t="shared" si="0"/>
        <v>2</v>
      </c>
      <c r="L5" s="79"/>
      <c r="M5" s="79"/>
      <c r="N5" s="80">
        <v>1</v>
      </c>
      <c r="O5" s="81"/>
      <c r="P5" s="82"/>
      <c r="Q5" s="83"/>
      <c r="R5" s="83"/>
      <c r="S5" s="84"/>
      <c r="T5" s="85"/>
      <c r="U5" s="87">
        <v>1</v>
      </c>
      <c r="V5" s="87">
        <v>1</v>
      </c>
      <c r="W5" s="87">
        <v>3</v>
      </c>
      <c r="X5" s="83"/>
      <c r="Y5" s="83"/>
      <c r="Z5" s="88">
        <v>4</v>
      </c>
      <c r="AA5" s="89">
        <f t="shared" si="1"/>
        <v>30</v>
      </c>
      <c r="AB5" s="58">
        <f t="shared" si="2"/>
        <v>150000</v>
      </c>
      <c r="AC5" s="4"/>
      <c r="AD5" s="90">
        <f>IFERROR(VLOOKUP($I$22&amp;D5,'Database-Hidden'!$C$2:$E$120,3,FALSE),"")</f>
        <v>110000</v>
      </c>
      <c r="AE5" s="91">
        <v>2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365" t="s">
        <v>326</v>
      </c>
      <c r="D6" s="72" t="s">
        <v>320</v>
      </c>
      <c r="E6" s="73">
        <f>IFERROR(VLOOKUP($I$22&amp;$D6,'Database-Hidden'!$C$2:$J$120,4,FALSE)-P6+AG6,"")</f>
        <v>6</v>
      </c>
      <c r="F6" s="74">
        <f>IFERROR(VLOOKUP($I$22&amp;$D6,'Database-Hidden'!$C$2:$J$120,5,FALSE)-Q6+AH6,"")</f>
        <v>4</v>
      </c>
      <c r="G6" s="74">
        <f>IFERROR(VLOOKUP($I$22&amp;$D6,'Database-Hidden'!$C$2:$J$120,6,FALSE)-R6+AI6,"")</f>
        <v>4</v>
      </c>
      <c r="H6" s="75">
        <f>IFERROR(VLOOKUP($I$22&amp;$D6,'Database-Hidden'!$C$2:$J$120,7,FALSE)-S6+AJ6,"")</f>
        <v>8</v>
      </c>
      <c r="I6" s="76" t="str">
        <f>IFERROR(VLOOKUP($I$22&amp;$D6,'Database-Hidden'!$C$2:$J$120,8,FALSE),"")</f>
        <v>Blood Lust, Hypnotic Gaze, Regeneration</v>
      </c>
      <c r="J6" s="77" t="s">
        <v>262</v>
      </c>
      <c r="K6" s="78">
        <f t="shared" si="0"/>
        <v>2</v>
      </c>
      <c r="L6" s="79"/>
      <c r="M6" s="79"/>
      <c r="N6" s="80">
        <v>1</v>
      </c>
      <c r="O6" s="81"/>
      <c r="P6" s="82"/>
      <c r="Q6" s="83"/>
      <c r="R6" s="83"/>
      <c r="S6" s="84"/>
      <c r="T6" s="85"/>
      <c r="U6" s="87">
        <v>2</v>
      </c>
      <c r="V6" s="87">
        <v>3</v>
      </c>
      <c r="W6" s="87">
        <v>2</v>
      </c>
      <c r="X6" s="83"/>
      <c r="Y6" s="83"/>
      <c r="Z6" s="88">
        <v>1</v>
      </c>
      <c r="AA6" s="89">
        <f t="shared" si="1"/>
        <v>20</v>
      </c>
      <c r="AB6" s="58">
        <f t="shared" si="2"/>
        <v>150000</v>
      </c>
      <c r="AC6" s="4"/>
      <c r="AD6" s="90">
        <f>IFERROR(VLOOKUP($I$22&amp;D6,'Database-Hidden'!$C$2:$E$120,3,FALSE),"")</f>
        <v>110000</v>
      </c>
      <c r="AE6" s="91">
        <v>2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/>
      <c r="AP6" s="106"/>
      <c r="AQ6" s="107"/>
      <c r="AR6" s="108"/>
      <c r="AS6" s="110"/>
      <c r="AT6" s="111"/>
      <c r="AU6" s="113"/>
      <c r="AV6" s="136"/>
      <c r="AW6" s="115"/>
      <c r="AX6" s="115"/>
    </row>
    <row r="7" spans="1:50" ht="12.75">
      <c r="A7" s="2"/>
      <c r="B7" s="70">
        <v>4</v>
      </c>
      <c r="C7" s="390" t="s">
        <v>328</v>
      </c>
      <c r="D7" s="72" t="s">
        <v>320</v>
      </c>
      <c r="E7" s="73">
        <f>IFERROR(VLOOKUP($I$22&amp;$D7,'Database-Hidden'!$C$2:$J$120,4,FALSE)-P7+AG7,"")</f>
        <v>6</v>
      </c>
      <c r="F7" s="74">
        <f>IFERROR(VLOOKUP($I$22&amp;$D7,'Database-Hidden'!$C$2:$J$120,5,FALSE)-Q7+AH7,"")</f>
        <v>4</v>
      </c>
      <c r="G7" s="74">
        <f>IFERROR(VLOOKUP($I$22&amp;$D7,'Database-Hidden'!$C$2:$J$120,6,FALSE)-R7+AI7,"")</f>
        <v>4</v>
      </c>
      <c r="H7" s="75">
        <f>IFERROR(VLOOKUP($I$22&amp;$D7,'Database-Hidden'!$C$2:$J$120,7,FALSE)-S7+AJ7,"")</f>
        <v>8</v>
      </c>
      <c r="I7" s="76" t="str">
        <f>IFERROR(VLOOKUP($I$22&amp;$D7,'Database-Hidden'!$C$2:$J$120,8,FALSE),"")</f>
        <v>Blood Lust, Hypnotic Gaze, Regeneration</v>
      </c>
      <c r="J7" s="77"/>
      <c r="K7" s="78">
        <f t="shared" si="0"/>
        <v>0</v>
      </c>
      <c r="L7" s="79"/>
      <c r="M7" s="79"/>
      <c r="N7" s="80">
        <v>1</v>
      </c>
      <c r="O7" s="81"/>
      <c r="P7" s="82"/>
      <c r="Q7" s="83"/>
      <c r="R7" s="83"/>
      <c r="S7" s="84"/>
      <c r="T7" s="85"/>
      <c r="U7" s="87">
        <v>1</v>
      </c>
      <c r="V7" s="86"/>
      <c r="W7" s="87"/>
      <c r="X7" s="83"/>
      <c r="Y7" s="83"/>
      <c r="Z7" s="88"/>
      <c r="AA7" s="89">
        <f t="shared" si="1"/>
        <v>1</v>
      </c>
      <c r="AB7" s="58">
        <f t="shared" si="2"/>
        <v>110000</v>
      </c>
      <c r="AC7" s="4"/>
      <c r="AD7" s="116">
        <f>IFERROR(VLOOKUP($I$22&amp;D7,'Database-Hidden'!$C$2:$E$120,3,FALSE),"")</f>
        <v>110000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7"/>
      <c r="AW7" s="132"/>
      <c r="AX7" s="132"/>
    </row>
    <row r="8" spans="1:50" ht="12.75">
      <c r="A8" s="2"/>
      <c r="B8" s="70">
        <v>5</v>
      </c>
      <c r="C8" s="391"/>
      <c r="D8" s="133"/>
      <c r="E8" s="73" t="str">
        <f>IFERROR(VLOOKUP($I$22&amp;$D8,'Database-Hidden'!$C$2:$J$120,4,FALSE)-P8+AG8,"")</f>
        <v/>
      </c>
      <c r="F8" s="74" t="str">
        <f>IFERROR(VLOOKUP($I$22&amp;$D8,'Database-Hidden'!$C$2:$J$120,5,FALSE)-Q8+AH8,"")</f>
        <v/>
      </c>
      <c r="G8" s="74" t="str">
        <f>IFERROR(VLOOKUP($I$22&amp;$D8,'Database-Hidden'!$C$2:$J$120,6,FALSE)-R8+AI8,"")</f>
        <v/>
      </c>
      <c r="H8" s="75" t="str">
        <f>IFERROR(VLOOKUP($I$22&amp;$D8,'Database-Hidden'!$C$2:$J$120,7,FALSE)-S8+AJ8,"")</f>
        <v/>
      </c>
      <c r="I8" s="76" t="str">
        <f>IFERROR(VLOOKUP($I$22&amp;$D8,'Database-Hidden'!$C$2:$J$120,8,FALSE),"")</f>
        <v/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/>
      <c r="AC8" s="4"/>
      <c r="AD8" s="116" t="str">
        <f>IFERROR(VLOOKUP($I$22&amp;D8,'Database-Hidden'!$C$2:$E$120,3,FALSE),"")</f>
        <v/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7"/>
      <c r="AW8" s="132"/>
      <c r="AX8" s="132"/>
    </row>
    <row r="9" spans="1:50" ht="12.75">
      <c r="A9" s="2"/>
      <c r="B9" s="70">
        <v>6</v>
      </c>
      <c r="C9" s="391"/>
      <c r="D9" s="72"/>
      <c r="E9" s="73" t="str">
        <f>IFERROR(VLOOKUP($I$22&amp;$D9,'Database-Hidden'!$C$2:$J$120,4,FALSE)-P9+AG9,"")</f>
        <v/>
      </c>
      <c r="F9" s="74" t="str">
        <f>IFERROR(VLOOKUP($I$22&amp;$D9,'Database-Hidden'!$C$2:$J$120,5,FALSE)-Q9+AH9,"")</f>
        <v/>
      </c>
      <c r="G9" s="74" t="str">
        <f>IFERROR(VLOOKUP($I$22&amp;$D9,'Database-Hidden'!$C$2:$J$120,6,FALSE)-R9+AI9,"")</f>
        <v/>
      </c>
      <c r="H9" s="75" t="str">
        <f>IFERROR(VLOOKUP($I$22&amp;$D9,'Database-Hidden'!$C$2:$J$120,7,FALSE)-S9+AJ9,"")</f>
        <v/>
      </c>
      <c r="I9" s="76" t="str">
        <f>IFERROR(VLOOKUP($I$22&amp;$D9,'Database-Hidden'!$C$2:$J$120,8,FALSE),"")</f>
        <v/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/>
      <c r="AC9" s="4"/>
      <c r="AD9" s="116" t="str">
        <f>IFERROR(VLOOKUP($I$22&amp;D9,'Database-Hidden'!$C$2:$E$120,3,FALSE),"")</f>
        <v/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7"/>
      <c r="AW9" s="132"/>
      <c r="AX9" s="132"/>
    </row>
    <row r="10" spans="1:50" ht="12.75">
      <c r="A10" s="2"/>
      <c r="B10" s="70">
        <v>7</v>
      </c>
      <c r="C10" s="390" t="s">
        <v>333</v>
      </c>
      <c r="D10" s="72" t="s">
        <v>334</v>
      </c>
      <c r="E10" s="73">
        <f>IFERROR(VLOOKUP($I$22&amp;$D10,'Database-Hidden'!$C$2:$J$120,4,FALSE)-P10+AG10,"")</f>
        <v>6</v>
      </c>
      <c r="F10" s="74">
        <f>IFERROR(VLOOKUP($I$22&amp;$D10,'Database-Hidden'!$C$2:$J$120,5,FALSE)-Q10+AH10,"")</f>
        <v>3</v>
      </c>
      <c r="G10" s="74">
        <f>IFERROR(VLOOKUP($I$22&amp;$D10,'Database-Hidden'!$C$2:$J$120,6,FALSE)-R10+AI10,"")</f>
        <v>3</v>
      </c>
      <c r="H10" s="75">
        <f>IFERROR(VLOOKUP($I$22&amp;$D10,'Database-Hidden'!$C$2:$J$120,7,FALSE)-S10+AJ10,"")</f>
        <v>7</v>
      </c>
      <c r="I10" s="76">
        <f>IFERROR(VLOOKUP($I$22&amp;$D10,'Database-Hidden'!$C$2:$J$120,8,FALSE),"")</f>
        <v>0</v>
      </c>
      <c r="J10" s="77" t="s">
        <v>199</v>
      </c>
      <c r="K10" s="78">
        <f t="shared" si="0"/>
        <v>1</v>
      </c>
      <c r="L10" s="79"/>
      <c r="M10" s="79"/>
      <c r="N10" s="80">
        <v>1</v>
      </c>
      <c r="O10" s="81"/>
      <c r="P10" s="82"/>
      <c r="Q10" s="83"/>
      <c r="R10" s="83"/>
      <c r="S10" s="84"/>
      <c r="T10" s="85"/>
      <c r="U10" s="87">
        <v>1</v>
      </c>
      <c r="V10" s="87">
        <v>1</v>
      </c>
      <c r="W10" s="87">
        <v>1</v>
      </c>
      <c r="X10" s="83"/>
      <c r="Y10" s="83"/>
      <c r="Z10" s="88">
        <v>1</v>
      </c>
      <c r="AA10" s="89">
        <f t="shared" si="1"/>
        <v>11</v>
      </c>
      <c r="AB10" s="58">
        <f t="shared" si="2"/>
        <v>60000</v>
      </c>
      <c r="AC10" s="4"/>
      <c r="AD10" s="116">
        <f>IFERROR(VLOOKUP($I$22&amp;D10,'Database-Hidden'!$C$2:$E$120,3,FALSE),"")</f>
        <v>40000</v>
      </c>
      <c r="AE10" s="91">
        <v>1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7"/>
      <c r="AW10" s="132"/>
      <c r="AX10" s="132"/>
    </row>
    <row r="11" spans="1:50" ht="12.75">
      <c r="A11" s="2"/>
      <c r="B11" s="70">
        <v>8</v>
      </c>
      <c r="C11" s="365" t="s">
        <v>335</v>
      </c>
      <c r="D11" s="72" t="s">
        <v>334</v>
      </c>
      <c r="E11" s="73">
        <f>IFERROR(VLOOKUP($I$22&amp;$D11,'Database-Hidden'!$C$2:$J$120,4,FALSE)-P11+AG11,"")</f>
        <v>6</v>
      </c>
      <c r="F11" s="74">
        <f>IFERROR(VLOOKUP($I$22&amp;$D11,'Database-Hidden'!$C$2:$J$120,5,FALSE)-Q11+AH11,"")</f>
        <v>3</v>
      </c>
      <c r="G11" s="74">
        <f>IFERROR(VLOOKUP($I$22&amp;$D11,'Database-Hidden'!$C$2:$J$120,6,FALSE)-R11+AI11,"")</f>
        <v>3</v>
      </c>
      <c r="H11" s="75">
        <f>IFERROR(VLOOKUP($I$22&amp;$D11,'Database-Hidden'!$C$2:$J$120,7,FALSE)-S11+AJ11,"")</f>
        <v>7</v>
      </c>
      <c r="I11" s="76">
        <f>IFERROR(VLOOKUP($I$22&amp;$D11,'Database-Hidden'!$C$2:$J$120,8,FALSE),"")</f>
        <v>0</v>
      </c>
      <c r="J11" s="102"/>
      <c r="K11" s="78">
        <f t="shared" si="0"/>
        <v>0</v>
      </c>
      <c r="L11" s="79"/>
      <c r="M11" s="79"/>
      <c r="N11" s="80">
        <v>1</v>
      </c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40000</v>
      </c>
      <c r="AC11" s="4"/>
      <c r="AD11" s="116">
        <f>IFERROR(VLOOKUP($I$22&amp;D11,'Database-Hidden'!$C$2:$E$120,3,FALSE),"")</f>
        <v>40000</v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7"/>
      <c r="AW11" s="132"/>
      <c r="AX11" s="132"/>
    </row>
    <row r="12" spans="1:50" ht="12.75">
      <c r="A12" s="2"/>
      <c r="B12" s="70">
        <v>9</v>
      </c>
      <c r="C12" s="390" t="s">
        <v>338</v>
      </c>
      <c r="D12" s="72" t="s">
        <v>334</v>
      </c>
      <c r="E12" s="73">
        <f>IFERROR(VLOOKUP($I$22&amp;$D12,'Database-Hidden'!$C$2:$J$120,4,FALSE)-P12+AG12,"")</f>
        <v>6</v>
      </c>
      <c r="F12" s="74">
        <f>IFERROR(VLOOKUP($I$22&amp;$D12,'Database-Hidden'!$C$2:$J$120,5,FALSE)-Q12+AH12,"")</f>
        <v>3</v>
      </c>
      <c r="G12" s="74">
        <f>IFERROR(VLOOKUP($I$22&amp;$D12,'Database-Hidden'!$C$2:$J$120,6,FALSE)-R12+AI12,"")</f>
        <v>3</v>
      </c>
      <c r="H12" s="75">
        <f>IFERROR(VLOOKUP($I$22&amp;$D12,'Database-Hidden'!$C$2:$J$120,7,FALSE)-S12+AJ12,"")</f>
        <v>7</v>
      </c>
      <c r="I12" s="76">
        <f>IFERROR(VLOOKUP($I$22&amp;$D12,'Database-Hidden'!$C$2:$J$120,8,FALSE),"")</f>
        <v>0</v>
      </c>
      <c r="J12" s="102"/>
      <c r="K12" s="78">
        <f t="shared" si="0"/>
        <v>0</v>
      </c>
      <c r="L12" s="79"/>
      <c r="M12" s="79"/>
      <c r="N12" s="80">
        <v>1</v>
      </c>
      <c r="O12" s="81"/>
      <c r="P12" s="82"/>
      <c r="Q12" s="83"/>
      <c r="R12" s="83"/>
      <c r="S12" s="84"/>
      <c r="T12" s="85"/>
      <c r="U12" s="87">
        <v>1</v>
      </c>
      <c r="V12" s="86"/>
      <c r="W12" s="87">
        <v>1</v>
      </c>
      <c r="X12" s="83"/>
      <c r="Y12" s="83"/>
      <c r="Z12" s="88"/>
      <c r="AA12" s="89">
        <f t="shared" si="1"/>
        <v>3</v>
      </c>
      <c r="AB12" s="58">
        <f t="shared" si="2"/>
        <v>40000</v>
      </c>
      <c r="AC12" s="4"/>
      <c r="AD12" s="116">
        <f>IFERROR(VLOOKUP($I$22&amp;D12,'Database-Hidden'!$C$2:$E$120,3,FALSE),"")</f>
        <v>40000</v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7"/>
      <c r="AW12" s="132"/>
      <c r="AX12" s="132"/>
    </row>
    <row r="13" spans="1:50" ht="12.75">
      <c r="A13" s="2"/>
      <c r="B13" s="70">
        <v>10</v>
      </c>
      <c r="C13" s="392"/>
      <c r="D13" s="72"/>
      <c r="E13" s="73" t="str">
        <f>IFERROR(VLOOKUP($I$22&amp;$D13,'Database-Hidden'!$C$2:$J$120,4,FALSE)-P13+AG13,"")</f>
        <v/>
      </c>
      <c r="F13" s="74" t="str">
        <f>IFERROR(VLOOKUP($I$22&amp;$D13,'Database-Hidden'!$C$2:$J$120,5,FALSE)-Q13+AH13,"")</f>
        <v/>
      </c>
      <c r="G13" s="74" t="str">
        <f>IFERROR(VLOOKUP($I$22&amp;$D13,'Database-Hidden'!$C$2:$J$120,6,FALSE)-R13+AI13,"")</f>
        <v/>
      </c>
      <c r="H13" s="75" t="str">
        <f>IFERROR(VLOOKUP($I$22&amp;$D13,'Database-Hidden'!$C$2:$J$120,7,FALSE)-S13+AJ13,"")</f>
        <v/>
      </c>
      <c r="I13" s="76" t="str">
        <f>IFERROR(VLOOKUP($I$22&amp;$D13,'Database-Hidden'!$C$2:$J$120,8,FALSE),"")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6" t="str">
        <f>IFERROR(VLOOKUP($I$22&amp;D13,'Database-Hidden'!$C$2:$E$120,3,FALSE),"")</f>
        <v/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  <c r="AX13" s="132"/>
    </row>
    <row r="14" spans="1:50" ht="12.75">
      <c r="A14" s="2"/>
      <c r="B14" s="70">
        <v>11</v>
      </c>
      <c r="C14" s="390" t="s">
        <v>343</v>
      </c>
      <c r="D14" s="72" t="s">
        <v>334</v>
      </c>
      <c r="E14" s="73">
        <f>IFERROR(VLOOKUP($I$22&amp;$D14,'Database-Hidden'!$C$2:$J$120,4,FALSE)-P14+AG14,"")</f>
        <v>6</v>
      </c>
      <c r="F14" s="74">
        <f>IFERROR(VLOOKUP($I$22&amp;$D14,'Database-Hidden'!$C$2:$J$120,5,FALSE)-Q14+AH14,"")</f>
        <v>3</v>
      </c>
      <c r="G14" s="74">
        <f>IFERROR(VLOOKUP($I$22&amp;$D14,'Database-Hidden'!$C$2:$J$120,6,FALSE)-R14+AI14,"")</f>
        <v>3</v>
      </c>
      <c r="H14" s="75">
        <f>IFERROR(VLOOKUP($I$22&amp;$D14,'Database-Hidden'!$C$2:$J$120,7,FALSE)-S14+AJ14,"")</f>
        <v>7</v>
      </c>
      <c r="I14" s="76">
        <f>IFERROR(VLOOKUP($I$22&amp;$D14,'Database-Hidden'!$C$2:$J$120,8,FALSE),"")</f>
        <v>0</v>
      </c>
      <c r="J14" s="77"/>
      <c r="K14" s="78">
        <f t="shared" si="0"/>
        <v>0</v>
      </c>
      <c r="L14" s="79"/>
      <c r="M14" s="79"/>
      <c r="N14" s="80">
        <v>1</v>
      </c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40000</v>
      </c>
      <c r="AC14" s="4"/>
      <c r="AD14" s="116">
        <f>IFERROR(VLOOKUP($I$22&amp;D14,'Database-Hidden'!$C$2:$E$120,3,FALSE),"")</f>
        <v>40000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  <c r="AX14" s="132"/>
    </row>
    <row r="15" spans="1:50" ht="12.75">
      <c r="A15" s="2"/>
      <c r="B15" s="70">
        <v>12</v>
      </c>
      <c r="C15" s="390" t="s">
        <v>347</v>
      </c>
      <c r="D15" s="72" t="s">
        <v>334</v>
      </c>
      <c r="E15" s="73">
        <f>IFERROR(VLOOKUP($I$22&amp;$D15,'Database-Hidden'!$C$2:$J$120,4,FALSE)-P15+AG15,"")</f>
        <v>6</v>
      </c>
      <c r="F15" s="74">
        <f>IFERROR(VLOOKUP($I$22&amp;$D15,'Database-Hidden'!$C$2:$J$120,5,FALSE)-Q15+AH15,"")</f>
        <v>3</v>
      </c>
      <c r="G15" s="74">
        <f>IFERROR(VLOOKUP($I$22&amp;$D15,'Database-Hidden'!$C$2:$J$120,6,FALSE)-R15+AI15,"")</f>
        <v>3</v>
      </c>
      <c r="H15" s="75">
        <f>IFERROR(VLOOKUP($I$22&amp;$D15,'Database-Hidden'!$C$2:$J$120,7,FALSE)-S15+AJ15,"")</f>
        <v>7</v>
      </c>
      <c r="I15" s="76">
        <f>IFERROR(VLOOKUP($I$22&amp;$D15,'Database-Hidden'!$C$2:$J$120,8,FALSE),"")</f>
        <v>0</v>
      </c>
      <c r="J15" s="77"/>
      <c r="K15" s="78">
        <f t="shared" si="0"/>
        <v>0</v>
      </c>
      <c r="L15" s="79"/>
      <c r="M15" s="79"/>
      <c r="N15" s="80">
        <v>1</v>
      </c>
      <c r="O15" s="81"/>
      <c r="P15" s="82"/>
      <c r="Q15" s="83"/>
      <c r="R15" s="83"/>
      <c r="S15" s="84"/>
      <c r="T15" s="85"/>
      <c r="U15" s="87"/>
      <c r="V15" s="87"/>
      <c r="W15" s="87">
        <v>1</v>
      </c>
      <c r="X15" s="83"/>
      <c r="Y15" s="83"/>
      <c r="Z15" s="88"/>
      <c r="AA15" s="89">
        <f t="shared" si="1"/>
        <v>2</v>
      </c>
      <c r="AB15" s="58">
        <f t="shared" si="2"/>
        <v>40000</v>
      </c>
      <c r="AC15" s="4"/>
      <c r="AD15" s="116">
        <f>IFERROR(VLOOKUP($I$22&amp;D15,'Database-Hidden'!$C$2:$E$120,3,FALSE),"")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  <c r="AX15" s="132"/>
    </row>
    <row r="16" spans="1:50" ht="12.75">
      <c r="A16" s="2"/>
      <c r="B16" s="70">
        <v>13</v>
      </c>
      <c r="C16" s="390" t="s">
        <v>350</v>
      </c>
      <c r="D16" s="72" t="s">
        <v>334</v>
      </c>
      <c r="E16" s="73">
        <f>IFERROR(VLOOKUP($I$22&amp;$D16,'Database-Hidden'!$C$2:$J$120,4,FALSE)-P16+AG16,"")</f>
        <v>6</v>
      </c>
      <c r="F16" s="74">
        <f>IFERROR(VLOOKUP($I$22&amp;$D16,'Database-Hidden'!$C$2:$J$120,5,FALSE)-Q16+AH16,"")</f>
        <v>3</v>
      </c>
      <c r="G16" s="74">
        <f>IFERROR(VLOOKUP($I$22&amp;$D16,'Database-Hidden'!$C$2:$J$120,6,FALSE)-R16+AI16,"")</f>
        <v>3</v>
      </c>
      <c r="H16" s="75">
        <f>IFERROR(VLOOKUP($I$22&amp;$D16,'Database-Hidden'!$C$2:$J$120,7,FALSE)-S16+AJ16,"")</f>
        <v>7</v>
      </c>
      <c r="I16" s="76">
        <f>IFERROR(VLOOKUP($I$22&amp;$D16,'Database-Hidden'!$C$2:$J$120,8,FALSE),"")</f>
        <v>0</v>
      </c>
      <c r="J16" s="77"/>
      <c r="K16" s="78">
        <f t="shared" si="0"/>
        <v>0</v>
      </c>
      <c r="L16" s="79"/>
      <c r="M16" s="79"/>
      <c r="N16" s="80">
        <v>1</v>
      </c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40000</v>
      </c>
      <c r="AC16" s="4"/>
      <c r="AD16" s="116">
        <f>IFERROR(VLOOKUP($I$22&amp;D16,'Database-Hidden'!$C$2:$E$120,3,FALSE),"")</f>
        <v>40000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  <c r="AX16" s="132"/>
    </row>
    <row r="17" spans="1:50" ht="12.75">
      <c r="A17" s="2"/>
      <c r="B17" s="70">
        <v>14</v>
      </c>
      <c r="C17" s="390" t="s">
        <v>353</v>
      </c>
      <c r="D17" s="72" t="s">
        <v>334</v>
      </c>
      <c r="E17" s="73">
        <f>IFERROR(VLOOKUP($I$22&amp;$D17,'Database-Hidden'!$C$2:$J$120,4,FALSE)-P17+AG17,"")</f>
        <v>6</v>
      </c>
      <c r="F17" s="74">
        <f>IFERROR(VLOOKUP($I$22&amp;$D17,'Database-Hidden'!$C$2:$J$120,5,FALSE)-Q17+AH17,"")</f>
        <v>3</v>
      </c>
      <c r="G17" s="74">
        <f>IFERROR(VLOOKUP($I$22&amp;$D17,'Database-Hidden'!$C$2:$J$120,6,FALSE)-R17+AI17,"")</f>
        <v>3</v>
      </c>
      <c r="H17" s="75">
        <f>IFERROR(VLOOKUP($I$22&amp;$D17,'Database-Hidden'!$C$2:$J$120,7,FALSE)-S17+AJ17,"")</f>
        <v>7</v>
      </c>
      <c r="I17" s="76">
        <f>IFERROR(VLOOKUP($I$22&amp;$D17,'Database-Hidden'!$C$2:$J$120,8,FALSE),"")</f>
        <v>0</v>
      </c>
      <c r="J17" s="77"/>
      <c r="K17" s="78">
        <f t="shared" si="0"/>
        <v>0</v>
      </c>
      <c r="L17" s="79"/>
      <c r="M17" s="79"/>
      <c r="N17" s="80">
        <v>1</v>
      </c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40000</v>
      </c>
      <c r="AC17" s="4"/>
      <c r="AD17" s="116">
        <f>IFERROR(VLOOKUP($I$22&amp;D17,'Database-Hidden'!$C$2:$E$120,3,FALSE),"")</f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IFERROR(VLOOKUP($I$22&amp;$D18,'Database-Hidden'!$C$2:$J$120,4,FALSE)-P18+AG18,"")</f>
        <v/>
      </c>
      <c r="F18" s="74" t="str">
        <f>IFERROR(VLOOKUP($I$22&amp;$D18,'Database-Hidden'!$C$2:$J$120,5,FALSE)-Q18+AH18,"")</f>
        <v/>
      </c>
      <c r="G18" s="74" t="str">
        <f>IFERROR(VLOOKUP($I$22&amp;$D18,'Database-Hidden'!$C$2:$J$120,6,FALSE)-R18+AI18,"")</f>
        <v/>
      </c>
      <c r="H18" s="75" t="str">
        <f>IFERROR(VLOOKUP($I$22&amp;$D18,'Database-Hidden'!$C$2:$J$120,7,FALSE)-S18+AJ18,"")</f>
        <v/>
      </c>
      <c r="I18" s="76" t="str">
        <f>IFERROR(VLOOKUP($I$22&amp;$D18,'Database-Hidden'!$C$2:$J$120,8,FALSE),"")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IFERROR(VLOOKUP($I$22&amp;D18,'Database-Hidden'!$C$2:$E$120,3,FALSE),"")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0</v>
      </c>
      <c r="AP18" s="4"/>
      <c r="AQ18" s="4"/>
      <c r="AR18" s="67"/>
      <c r="AS18" s="148" t="s">
        <v>42</v>
      </c>
      <c r="AT18" s="150">
        <f t="shared" ref="AT18:AU18" si="3">SUM(AT6:AT17)</f>
        <v>0</v>
      </c>
      <c r="AU18" s="151">
        <f t="shared" si="3"/>
        <v>0</v>
      </c>
      <c r="AV18" s="152">
        <f>AV4+SUM(AV6:AV17)</f>
        <v>5</v>
      </c>
      <c r="AW18" s="5"/>
      <c r="AX18" s="5"/>
    </row>
    <row r="19" spans="1:50" ht="12.75">
      <c r="A19" s="2"/>
      <c r="B19" s="153">
        <v>16</v>
      </c>
      <c r="C19" s="154"/>
      <c r="D19" s="155"/>
      <c r="E19" s="156" t="str">
        <f>IFERROR(VLOOKUP($I$22&amp;$D19,'Database-Hidden'!$C$2:$J$120,4,FALSE)-P19+AG19,"")</f>
        <v/>
      </c>
      <c r="F19" s="157" t="str">
        <f>IFERROR(VLOOKUP($I$22&amp;$D19,'Database-Hidden'!$C$2:$J$120,5,FALSE)-Q19+AH19,"")</f>
        <v/>
      </c>
      <c r="G19" s="157" t="str">
        <f>IFERROR(VLOOKUP($I$22&amp;$D19,'Database-Hidden'!$C$2:$J$120,6,FALSE)-R19+AI19,"")</f>
        <v/>
      </c>
      <c r="H19" s="159" t="str">
        <f>IFERROR(VLOOKUP($I$22&amp;$D19,'Database-Hidden'!$C$2:$J$120,7,FALSE)-S19+AJ19,"")</f>
        <v/>
      </c>
      <c r="I19" s="160" t="str">
        <f>IFERROR(VLOOKUP($I$22&amp;$D19,'Database-Hidden'!$C$2:$J$120,8,FALSE),"")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IFERROR(VLOOKUP($I$22&amp;D19,'Database-Hidden'!$C$2:$E$120,3,FALSE),"")</f>
        <v/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890000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355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4</v>
      </c>
      <c r="U21" s="183" t="s">
        <v>47</v>
      </c>
      <c r="V21" s="527">
        <f>IFERROR(VLOOKUP(I22,'Database-Hidden'!N2:O28,2,FALSE),"")</f>
        <v>70000</v>
      </c>
      <c r="W21" s="525"/>
      <c r="X21" s="525"/>
      <c r="Y21" s="525"/>
      <c r="Z21" s="525"/>
      <c r="AA21" s="528"/>
      <c r="AB21" s="184">
        <f t="shared" ref="AB21:AB25" si="4">T21*V21</f>
        <v>280000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320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5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50000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40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1270000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380000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09">
        <f>MATCH(I22,'Database-Hidden'!A2:A120,0)</f>
        <v>113</v>
      </c>
      <c r="D28" s="209" t="str">
        <f t="shared" ref="D28:D37" si="5">I28&amp;IF(COUNTIF(D$4:D$19,I28)&gt;E28," (Too Many)","")</f>
        <v>Thrall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Thrall</v>
      </c>
    </row>
    <row r="29" spans="1:50" ht="17.25" hidden="1" customHeight="1">
      <c r="C29" s="209">
        <f t="shared" ref="C29:C37" si="6">C28+1</f>
        <v>114</v>
      </c>
      <c r="D29" s="209" t="str">
        <f t="shared" si="5"/>
        <v>Vampire</v>
      </c>
      <c r="E29" s="210">
        <f t="array" ref="E29">IFERROR(IF(INDEX('Database-Hidden'!$A$2:$B$120,$C29,1)=$I$22,INDEX('Database-Hidden'!$A$2:$D$120,$C29,4),""),"")</f>
        <v>6</v>
      </c>
      <c r="I29" s="209" t="str">
        <f t="array" ref="I29">IFERROR(IF(INDEX('Database-Hidden'!$A$2:$B$120,$C29,1)=$I$22,INDEX('Database-Hidden'!$A$2:$B$120,$C29,2),""),"")</f>
        <v>Vampire</v>
      </c>
    </row>
    <row r="30" spans="1:50" ht="17.25" hidden="1" customHeight="1">
      <c r="C30" s="209">
        <f t="shared" si="6"/>
        <v>115</v>
      </c>
      <c r="D30" s="209" t="str">
        <f t="shared" si="5"/>
        <v/>
      </c>
      <c r="E30" s="210" t="str">
        <f t="array" ref="E30">IFERROR(IF(INDEX('Database-Hidden'!$A$2:$B$120,$C30,1)=$I$22,INDEX('Database-Hidden'!$A$2:$D$120,$C30,4),""),"")</f>
        <v/>
      </c>
      <c r="I30" s="209" t="str">
        <f t="array" ref="I30">IFERROR(IF(INDEX('Database-Hidden'!$A$2:$B$120,$C30,1)=$I$22,INDEX('Database-Hidden'!$A$2:$B$120,$C30,2),""),"")</f>
        <v/>
      </c>
    </row>
    <row r="31" spans="1:50" ht="17.25" hidden="1" customHeight="1">
      <c r="C31" s="209">
        <f t="shared" si="6"/>
        <v>116</v>
      </c>
      <c r="D31" s="209" t="str">
        <f t="shared" si="5"/>
        <v/>
      </c>
      <c r="E31" s="210" t="str">
        <f t="array" ref="E31">IFERROR(IF(INDEX('Database-Hidden'!$A$2:$B$120,$C31,1)=$I$22,INDEX('Database-Hidden'!$A$2:$D$120,$C31,4),""),"")</f>
        <v/>
      </c>
      <c r="I31" s="209" t="str">
        <f t="array" ref="I31">IFERROR(IF(INDEX('Database-Hidden'!$A$2:$B$120,$C31,1)=$I$22,INDEX('Database-Hidden'!$A$2:$B$120,$C31,2),""),"")</f>
        <v/>
      </c>
    </row>
    <row r="32" spans="1:50" ht="17.25" hidden="1" customHeight="1">
      <c r="C32" s="209">
        <f t="shared" si="6"/>
        <v>117</v>
      </c>
      <c r="D32" s="209" t="str">
        <f t="shared" si="5"/>
        <v/>
      </c>
      <c r="E32" s="210" t="str">
        <f t="array" ref="E32">IFERROR(IF(INDEX('Database-Hidden'!$A$2:$B$120,$C32,1)=$I$22,INDEX('Database-Hidden'!$A$2:$D$120,$C32,4),""),"")</f>
        <v/>
      </c>
      <c r="I32" s="209" t="str">
        <f t="array" ref="I32">IFERROR(IF(INDEX('Database-Hidden'!$A$2:$B$120,$C32,1)=$I$22,INDEX('Database-Hidden'!$A$2:$B$120,$C32,2),""),"")</f>
        <v/>
      </c>
    </row>
    <row r="33" spans="3:9" ht="17.25" hidden="1" customHeight="1">
      <c r="C33" s="209">
        <f t="shared" si="6"/>
        <v>118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</row>
    <row r="34" spans="3:9" ht="17.25" hidden="1" customHeight="1">
      <c r="C34" s="209">
        <f t="shared" si="6"/>
        <v>119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</row>
    <row r="35" spans="3:9" ht="17.25" hidden="1" customHeight="1">
      <c r="C35" s="209">
        <f t="shared" si="6"/>
        <v>120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</row>
    <row r="36" spans="3:9" ht="17.25" hidden="1" customHeight="1">
      <c r="C36" s="209">
        <f t="shared" si="6"/>
        <v>121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</row>
    <row r="37" spans="3:9" ht="17.25" hidden="1" customHeight="1">
      <c r="C37" s="209">
        <f t="shared" si="6"/>
        <v>122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</row>
    <row r="38" spans="3:9" ht="17.25" hidden="1" customHeight="1">
      <c r="C38" s="211">
        <f>MATCH(I22,'Star Players-Hidden'!D2:AD2,0)</f>
        <v>26</v>
      </c>
      <c r="D38" s="211" t="str">
        <f t="shared" ref="D38:D49" ca="1" si="7">I38&amp;IF(COUNTIF(D$4:D$19,I38)&gt;1," (Too Many)","")</f>
        <v>Star: Count Luther Von Drakenborg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Count Luther Von Drakenborg")</f>
        <v>Star: Count Luther Von Drakenborg</v>
      </c>
    </row>
    <row r="39" spans="3:9" ht="17.25" hidden="1" customHeight="1">
      <c r="C39" s="209"/>
      <c r="D39" s="209" t="str">
        <f t="shared" si="7"/>
        <v>Star: Crazy Igor</v>
      </c>
      <c r="I39" s="213" t="s">
        <v>363</v>
      </c>
    </row>
    <row r="40" spans="3:9" ht="17.25" hidden="1" customHeight="1">
      <c r="C40" s="209"/>
      <c r="D40" s="209" t="str">
        <f t="shared" si="7"/>
        <v>Star: Helmut Wulf</v>
      </c>
      <c r="I40" s="209" t="s">
        <v>232</v>
      </c>
    </row>
    <row r="41" spans="3:9" ht="17.25" hidden="1" customHeight="1">
      <c r="C41" s="209"/>
      <c r="D41" s="209" t="str">
        <f t="shared" si="7"/>
        <v>Star: J Earlice</v>
      </c>
      <c r="I41" s="209" t="s">
        <v>137</v>
      </c>
    </row>
    <row r="42" spans="3:9" ht="17.25" hidden="1" customHeight="1">
      <c r="C42" s="209"/>
      <c r="D42" s="209" t="str">
        <f t="shared" si="7"/>
        <v>Star: Morg'n'Thorg</v>
      </c>
      <c r="I42" s="209" t="s">
        <v>144</v>
      </c>
    </row>
    <row r="43" spans="3:9" ht="17.25" hidden="1" customHeight="1">
      <c r="C43" s="209"/>
      <c r="D43" s="209" t="str">
        <f t="shared" si="7"/>
        <v>Star: Wilhelm Chaney</v>
      </c>
      <c r="I43" s="209" t="s">
        <v>234</v>
      </c>
    </row>
    <row r="44" spans="3:9" ht="17.25" hidden="1" customHeight="1">
      <c r="C44" s="209"/>
      <c r="D44" s="209" t="str">
        <f t="shared" si="7"/>
        <v/>
      </c>
      <c r="I44" s="209"/>
    </row>
    <row r="45" spans="3:9" ht="17.25" hidden="1" customHeight="1">
      <c r="C45" s="209"/>
      <c r="D45" s="209" t="str">
        <f t="shared" si="7"/>
        <v/>
      </c>
      <c r="I45" s="209"/>
    </row>
    <row r="46" spans="3:9" ht="17.25" hidden="1" customHeight="1">
      <c r="C46" s="209"/>
      <c r="D46" s="209" t="str">
        <f t="shared" si="7"/>
        <v/>
      </c>
      <c r="I46" s="209"/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</sheetData>
  <mergeCells count="27">
    <mergeCell ref="AN3:AQ3"/>
    <mergeCell ref="P2:S2"/>
    <mergeCell ref="AR3:AV3"/>
    <mergeCell ref="V21:AA21"/>
    <mergeCell ref="AN21:AO21"/>
    <mergeCell ref="E20:AA20"/>
    <mergeCell ref="L21:S21"/>
    <mergeCell ref="L25:S25"/>
    <mergeCell ref="E26:AA26"/>
    <mergeCell ref="V24:AA24"/>
    <mergeCell ref="V23:AA23"/>
    <mergeCell ref="V22:AA22"/>
    <mergeCell ref="V25:AA25"/>
    <mergeCell ref="L23:S23"/>
    <mergeCell ref="L24:S24"/>
    <mergeCell ref="L22:S22"/>
    <mergeCell ref="E24:H24"/>
    <mergeCell ref="B20:D26"/>
    <mergeCell ref="I22:K22"/>
    <mergeCell ref="E22:H22"/>
    <mergeCell ref="E25:H25"/>
    <mergeCell ref="I25:K25"/>
    <mergeCell ref="I23:K23"/>
    <mergeCell ref="E23:H23"/>
    <mergeCell ref="I24:K24"/>
    <mergeCell ref="E21:H21"/>
    <mergeCell ref="I21:K21"/>
  </mergeCells>
  <conditionalFormatting sqref="J4">
    <cfRule type="expression" dxfId="491" priority="1">
      <formula>K4&lt;&gt;SUM(AE4:AJ4)</formula>
    </cfRule>
  </conditionalFormatting>
  <conditionalFormatting sqref="K4:K19">
    <cfRule type="cellIs" dxfId="490" priority="2" operator="equal">
      <formula>0</formula>
    </cfRule>
  </conditionalFormatting>
  <conditionalFormatting sqref="AB4:AB19">
    <cfRule type="cellIs" dxfId="489" priority="3" operator="equal">
      <formula>0</formula>
    </cfRule>
  </conditionalFormatting>
  <conditionalFormatting sqref="E4:H19">
    <cfRule type="expression" dxfId="488" priority="4">
      <formula>AG4&gt;0</formula>
    </cfRule>
  </conditionalFormatting>
  <conditionalFormatting sqref="E4:H19">
    <cfRule type="expression" dxfId="487" priority="5">
      <formula>P4&gt;0</formula>
    </cfRule>
  </conditionalFormatting>
  <conditionalFormatting sqref="T4:T19 U4:U19 V4:W19 Z4:Z19 U27">
    <cfRule type="cellIs" dxfId="486" priority="6" stopIfTrue="1" operator="equal">
      <formula>0</formula>
    </cfRule>
  </conditionalFormatting>
  <conditionalFormatting sqref="K4:K19">
    <cfRule type="cellIs" dxfId="485" priority="7" stopIfTrue="1" operator="equal">
      <formula>"n/a"</formula>
    </cfRule>
  </conditionalFormatting>
  <conditionalFormatting sqref="P4:S19">
    <cfRule type="cellIs" dxfId="484" priority="8" stopIfTrue="1" operator="lessThanOrEqual">
      <formula>-1</formula>
    </cfRule>
  </conditionalFormatting>
  <conditionalFormatting sqref="V25:W25">
    <cfRule type="cellIs" dxfId="483" priority="9" stopIfTrue="1" operator="equal">
      <formula>-500</formula>
    </cfRule>
  </conditionalFormatting>
  <conditionalFormatting sqref="T25">
    <cfRule type="cellIs" dxfId="482" priority="10" stopIfTrue="1" operator="greaterThan">
      <formula>$V$25</formula>
    </cfRule>
  </conditionalFormatting>
  <conditionalFormatting sqref="AA4:AA19">
    <cfRule type="cellIs" dxfId="481" priority="11" stopIfTrue="1" operator="equal">
      <formula>"Star"</formula>
    </cfRule>
  </conditionalFormatting>
  <conditionalFormatting sqref="AA4:AA19">
    <cfRule type="cellIs" dxfId="480" priority="12" stopIfTrue="1" operator="equal">
      <formula>AB4</formula>
    </cfRule>
  </conditionalFormatting>
  <conditionalFormatting sqref="I4:I19">
    <cfRule type="cellIs" dxfId="479" priority="13" stopIfTrue="1" operator="equal">
      <formula>0</formula>
    </cfRule>
  </conditionalFormatting>
  <conditionalFormatting sqref="I4:I19">
    <cfRule type="cellIs" dxfId="478" priority="14" stopIfTrue="1" operator="equal">
      <formula>"Player type quantity surpassed"</formula>
    </cfRule>
  </conditionalFormatting>
  <conditionalFormatting sqref="J5">
    <cfRule type="expression" dxfId="477" priority="15">
      <formula>K5&lt;&gt;SUM(AE5:AJ5)</formula>
    </cfRule>
  </conditionalFormatting>
  <conditionalFormatting sqref="J6">
    <cfRule type="expression" dxfId="476" priority="16">
      <formula>K6&lt;&gt;SUM(AE6:AJ6)</formula>
    </cfRule>
  </conditionalFormatting>
  <conditionalFormatting sqref="J7">
    <cfRule type="expression" dxfId="475" priority="17">
      <formula>K7&lt;&gt;SUM(AE7:AJ7)</formula>
    </cfRule>
  </conditionalFormatting>
  <conditionalFormatting sqref="J8">
    <cfRule type="expression" dxfId="474" priority="18">
      <formula>K8&lt;&gt;SUM(AE8:AJ8)</formula>
    </cfRule>
  </conditionalFormatting>
  <conditionalFormatting sqref="J9">
    <cfRule type="expression" dxfId="473" priority="19">
      <formula>K9&lt;&gt;SUM(AE9:AJ9)</formula>
    </cfRule>
  </conditionalFormatting>
  <conditionalFormatting sqref="J10">
    <cfRule type="expression" dxfId="472" priority="20">
      <formula>K10&lt;&gt;SUM(AE10:AJ10)</formula>
    </cfRule>
  </conditionalFormatting>
  <conditionalFormatting sqref="J11">
    <cfRule type="expression" dxfId="471" priority="21">
      <formula>K11&lt;&gt;SUM(AE11:AJ11)</formula>
    </cfRule>
  </conditionalFormatting>
  <conditionalFormatting sqref="J12">
    <cfRule type="expression" dxfId="470" priority="22">
      <formula>K12&lt;&gt;SUM(AE12:AJ12)</formula>
    </cfRule>
  </conditionalFormatting>
  <conditionalFormatting sqref="J13">
    <cfRule type="expression" dxfId="469" priority="23">
      <formula>K13&lt;&gt;SUM(AE13:AJ13)</formula>
    </cfRule>
  </conditionalFormatting>
  <conditionalFormatting sqref="J14">
    <cfRule type="expression" dxfId="468" priority="24">
      <formula>K14&lt;&gt;SUM(AE14:AJ14)</formula>
    </cfRule>
  </conditionalFormatting>
  <conditionalFormatting sqref="J15">
    <cfRule type="expression" dxfId="467" priority="25">
      <formula>K15&lt;&gt;SUM(AE15:AJ15)</formula>
    </cfRule>
  </conditionalFormatting>
  <conditionalFormatting sqref="J16">
    <cfRule type="expression" dxfId="466" priority="26">
      <formula>K16&lt;&gt;SUM(AE16:AJ16)</formula>
    </cfRule>
  </conditionalFormatting>
  <conditionalFormatting sqref="J17">
    <cfRule type="expression" dxfId="465" priority="27">
      <formula>K17&lt;&gt;SUM(AE17:AJ17)</formula>
    </cfRule>
  </conditionalFormatting>
  <conditionalFormatting sqref="J18">
    <cfRule type="expression" dxfId="464" priority="28">
      <formula>K18&lt;&gt;SUM(AE18:AJ18)</formula>
    </cfRule>
  </conditionalFormatting>
  <conditionalFormatting sqref="J19">
    <cfRule type="expression" dxfId="463" priority="29">
      <formula>K19&lt;&gt;SUM(AE19:AJ19)</formula>
    </cfRule>
  </conditionalFormatting>
  <dataValidations count="2">
    <dataValidation type="list" allowBlank="1" showErrorMessage="1" sqref="I22">
      <formula1>'Database-Hidden'!$N$2:$N$28</formula1>
    </dataValidation>
    <dataValidation type="list" allowBlank="1" showErrorMessage="1" sqref="D4:D19">
      <formula1>'JR1'!$D$28:$D$49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 t="s">
        <v>364</v>
      </c>
      <c r="D4" s="42" t="s">
        <v>101</v>
      </c>
      <c r="E4" s="43">
        <f>IFERROR(VLOOKUP($I$22&amp;$D4,'Database-Hidden'!$C$2:$J$120,4,FALSE)-P4+AG4,"")</f>
        <v>6</v>
      </c>
      <c r="F4" s="44">
        <f>IFERROR(VLOOKUP($I$22&amp;$D4,'Database-Hidden'!$C$2:$J$120,5,FALSE)-Q4+AH4,"")</f>
        <v>3</v>
      </c>
      <c r="G4" s="44">
        <f>IFERROR(VLOOKUP($I$22&amp;$D4,'Database-Hidden'!$C$2:$J$120,6,FALSE)-R4+AI4,"")</f>
        <v>3</v>
      </c>
      <c r="H4" s="45">
        <f>IFERROR(VLOOKUP($I$22&amp;$D4,'Database-Hidden'!$C$2:$J$120,7,FALSE)-S4+AJ4,"")</f>
        <v>9</v>
      </c>
      <c r="I4" s="46" t="str">
        <f>IFERROR(VLOOKUP($I$22&amp;$D4,'Database-Hidden'!$C$2:$J$120,8,FALSE),"")</f>
        <v>Block</v>
      </c>
      <c r="J4" s="47" t="s">
        <v>82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2</v>
      </c>
      <c r="W4" s="55"/>
      <c r="X4" s="52"/>
      <c r="Y4" s="52"/>
      <c r="Z4" s="56"/>
      <c r="AA4" s="57">
        <f t="shared" ref="AA4:AA19" si="1">2*T4+U4+3*V4+2*W4+5*Z4</f>
        <v>6</v>
      </c>
      <c r="AB4" s="58">
        <f t="shared" ref="AB4:AB18" si="2">IF(L4=1,0,AD4+(20000*O4)+(20000*AE4)+(30000*AF4)+(30000*AG4)+(50000*AH4)+(40000*AI4)+(50000*AJ4)+AK4)</f>
        <v>100000</v>
      </c>
      <c r="AC4" s="4"/>
      <c r="AD4" s="59">
        <f>IFERROR(VLOOKUP($I$22&amp;D4,'Database-Hidden'!$C$2:$E$120,3,FALSE),"")</f>
        <v>80000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10000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  <c r="AX4" s="69"/>
    </row>
    <row r="5" spans="1:50" ht="12.75">
      <c r="A5" s="2"/>
      <c r="B5" s="70">
        <v>2</v>
      </c>
      <c r="C5" s="71" t="s">
        <v>370</v>
      </c>
      <c r="D5" s="72" t="s">
        <v>101</v>
      </c>
      <c r="E5" s="73">
        <f>IFERROR(VLOOKUP($I$22&amp;$D5,'Database-Hidden'!$C$2:$J$120,4,FALSE)-P5+AG5,"")</f>
        <v>6</v>
      </c>
      <c r="F5" s="74">
        <f>IFERROR(VLOOKUP($I$22&amp;$D5,'Database-Hidden'!$C$2:$J$120,5,FALSE)-Q5+AH5,"")</f>
        <v>3</v>
      </c>
      <c r="G5" s="74">
        <f>IFERROR(VLOOKUP($I$22&amp;$D5,'Database-Hidden'!$C$2:$J$120,6,FALSE)-R5+AI5,"")</f>
        <v>3</v>
      </c>
      <c r="H5" s="75">
        <f>IFERROR(VLOOKUP($I$22&amp;$D5,'Database-Hidden'!$C$2:$J$120,7,FALSE)-S5+AJ5,"")</f>
        <v>9</v>
      </c>
      <c r="I5" s="76" t="str">
        <f>IFERROR(VLOOKUP($I$22&amp;$D5,'Database-Hidden'!$C$2:$J$120,8,FALSE),"")</f>
        <v>Block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80000</v>
      </c>
      <c r="AC5" s="4"/>
      <c r="AD5" s="90">
        <f>IFERROR(VLOOKUP($I$22&amp;D5,'Database-Hidden'!$C$2:$E$120,3,FALSE),"")</f>
        <v>80000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372</v>
      </c>
      <c r="D6" s="72" t="s">
        <v>101</v>
      </c>
      <c r="E6" s="73">
        <f>IFERROR(VLOOKUP($I$22&amp;$D6,'Database-Hidden'!$C$2:$J$120,4,FALSE)-P6+AG6,"")</f>
        <v>6</v>
      </c>
      <c r="F6" s="74">
        <f>IFERROR(VLOOKUP($I$22&amp;$D6,'Database-Hidden'!$C$2:$J$120,5,FALSE)-Q6+AH6,"")</f>
        <v>3</v>
      </c>
      <c r="G6" s="74">
        <f>IFERROR(VLOOKUP($I$22&amp;$D6,'Database-Hidden'!$C$2:$J$120,6,FALSE)-R6+AI6,"")</f>
        <v>3</v>
      </c>
      <c r="H6" s="75">
        <f>IFERROR(VLOOKUP($I$22&amp;$D6,'Database-Hidden'!$C$2:$J$120,7,FALSE)-S6+AJ6,"")</f>
        <v>9</v>
      </c>
      <c r="I6" s="76" t="str">
        <f>IFERROR(VLOOKUP($I$22&amp;$D6,'Database-Hidden'!$C$2:$J$120,8,FALSE),"")</f>
        <v>Block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80000</v>
      </c>
      <c r="AC6" s="4"/>
      <c r="AD6" s="90">
        <f>IFERROR(VLOOKUP($I$22&amp;D6,'Database-Hidden'!$C$2:$E$120,3,FALSE),"")</f>
        <v>80000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30000</v>
      </c>
      <c r="AP6" s="106">
        <v>0</v>
      </c>
      <c r="AQ6" s="107">
        <v>0</v>
      </c>
      <c r="AR6" s="108" t="s">
        <v>31</v>
      </c>
      <c r="AS6" s="110" t="s">
        <v>87</v>
      </c>
      <c r="AT6" s="112">
        <v>1</v>
      </c>
      <c r="AU6" s="113">
        <v>2</v>
      </c>
      <c r="AV6" s="273">
        <v>1</v>
      </c>
      <c r="AW6" s="115"/>
      <c r="AX6" s="115"/>
    </row>
    <row r="7" spans="1:50" ht="12.75">
      <c r="A7" s="2"/>
      <c r="B7" s="70">
        <v>4</v>
      </c>
      <c r="C7" s="71" t="s">
        <v>377</v>
      </c>
      <c r="D7" s="72" t="s">
        <v>101</v>
      </c>
      <c r="E7" s="73">
        <f>IFERROR(VLOOKUP($I$22&amp;$D7,'Database-Hidden'!$C$2:$J$120,4,FALSE)-P7+AG7,"")</f>
        <v>6</v>
      </c>
      <c r="F7" s="74">
        <f>IFERROR(VLOOKUP($I$22&amp;$D7,'Database-Hidden'!$C$2:$J$120,5,FALSE)-Q7+AH7,"")</f>
        <v>3</v>
      </c>
      <c r="G7" s="74">
        <f>IFERROR(VLOOKUP($I$22&amp;$D7,'Database-Hidden'!$C$2:$J$120,6,FALSE)-R7+AI7,"")</f>
        <v>3</v>
      </c>
      <c r="H7" s="75">
        <f>IFERROR(VLOOKUP($I$22&amp;$D7,'Database-Hidden'!$C$2:$J$120,7,FALSE)-S7+AJ7,"")</f>
        <v>9</v>
      </c>
      <c r="I7" s="76" t="str">
        <f>IFERROR(VLOOKUP($I$22&amp;$D7,'Database-Hidden'!$C$2:$J$120,8,FALSE),"")</f>
        <v>Block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80000</v>
      </c>
      <c r="AC7" s="4"/>
      <c r="AD7" s="116">
        <f>IFERROR(VLOOKUP($I$22&amp;D7,'Database-Hidden'!$C$2:$E$120,3,FALSE),"")</f>
        <v>80000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70000</v>
      </c>
      <c r="AP7" s="121">
        <v>50000</v>
      </c>
      <c r="AQ7" s="289">
        <v>0</v>
      </c>
      <c r="AR7" s="134" t="s">
        <v>265</v>
      </c>
      <c r="AS7" s="126" t="s">
        <v>166</v>
      </c>
      <c r="AT7" s="128">
        <v>1</v>
      </c>
      <c r="AU7" s="130">
        <v>2</v>
      </c>
      <c r="AV7" s="282">
        <v>0</v>
      </c>
      <c r="AW7" s="132"/>
      <c r="AX7" s="132"/>
    </row>
    <row r="8" spans="1:50" ht="12.75">
      <c r="A8" s="2"/>
      <c r="B8" s="70">
        <v>5</v>
      </c>
      <c r="C8" s="71" t="s">
        <v>380</v>
      </c>
      <c r="D8" s="72" t="s">
        <v>108</v>
      </c>
      <c r="E8" s="73">
        <f>IFERROR(VLOOKUP($I$22&amp;$D8,'Database-Hidden'!$C$2:$J$120,4,FALSE)-P8+AG8,"")</f>
        <v>5</v>
      </c>
      <c r="F8" s="74">
        <f>IFERROR(VLOOKUP($I$22&amp;$D8,'Database-Hidden'!$C$2:$J$120,5,FALSE)-Q8+AH8,"")</f>
        <v>3</v>
      </c>
      <c r="G8" s="74">
        <f>IFERROR(VLOOKUP($I$22&amp;$D8,'Database-Hidden'!$C$2:$J$120,6,FALSE)-R8+AI8,"")</f>
        <v>3</v>
      </c>
      <c r="H8" s="75">
        <f>IFERROR(VLOOKUP($I$22&amp;$D8,'Database-Hidden'!$C$2:$J$120,7,FALSE)-S8+AJ8,"")</f>
        <v>8</v>
      </c>
      <c r="I8" s="76" t="str">
        <f>IFERROR(VLOOKUP($I$22&amp;$D8,'Database-Hidden'!$C$2:$J$120,8,FALSE),"")</f>
        <v>Sure Hands, Pass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7">
        <v>1</v>
      </c>
      <c r="V8" s="86"/>
      <c r="W8" s="86"/>
      <c r="X8" s="83"/>
      <c r="Y8" s="83"/>
      <c r="Z8" s="88"/>
      <c r="AA8" s="89">
        <f t="shared" si="1"/>
        <v>1</v>
      </c>
      <c r="AB8" s="58">
        <f t="shared" si="2"/>
        <v>70000</v>
      </c>
      <c r="AC8" s="4"/>
      <c r="AD8" s="116">
        <f>IFERROR(VLOOKUP($I$22&amp;D8,'Database-Hidden'!$C$2:$E$120,3,FALSE),"")</f>
        <v>70000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7"/>
      <c r="AW8" s="132"/>
      <c r="AX8" s="132"/>
    </row>
    <row r="9" spans="1:50" ht="12.75">
      <c r="A9" s="2"/>
      <c r="B9" s="70">
        <v>6</v>
      </c>
      <c r="C9" s="101"/>
      <c r="D9" s="72"/>
      <c r="E9" s="73" t="str">
        <f>IFERROR(VLOOKUP($I$22&amp;$D9,'Database-Hidden'!$C$2:$J$120,4,FALSE)-P9+AG9,"")</f>
        <v/>
      </c>
      <c r="F9" s="74" t="str">
        <f>IFERROR(VLOOKUP($I$22&amp;$D9,'Database-Hidden'!$C$2:$J$120,5,FALSE)-Q9+AH9,"")</f>
        <v/>
      </c>
      <c r="G9" s="74" t="str">
        <f>IFERROR(VLOOKUP($I$22&amp;$D9,'Database-Hidden'!$C$2:$J$120,6,FALSE)-R9+AI9,"")</f>
        <v/>
      </c>
      <c r="H9" s="75" t="str">
        <f>IFERROR(VLOOKUP($I$22&amp;$D9,'Database-Hidden'!$C$2:$J$120,7,FALSE)-S9+AJ9,"")</f>
        <v/>
      </c>
      <c r="I9" s="76" t="str">
        <f>IFERROR(VLOOKUP($I$22&amp;$D9,'Database-Hidden'!$C$2:$J$120,8,FALSE),"")</f>
        <v/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/>
      <c r="AC9" s="4"/>
      <c r="AD9" s="116" t="str">
        <f>IFERROR(VLOOKUP($I$22&amp;D9,'Database-Hidden'!$C$2:$E$120,3,FALSE),"")</f>
        <v/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7"/>
      <c r="AW9" s="132"/>
      <c r="AX9" s="132"/>
    </row>
    <row r="10" spans="1:50" ht="12.75">
      <c r="A10" s="2"/>
      <c r="B10" s="70">
        <v>7</v>
      </c>
      <c r="C10" s="71"/>
      <c r="D10" s="72"/>
      <c r="E10" s="73" t="str">
        <f>IFERROR(VLOOKUP($I$22&amp;$D10,'Database-Hidden'!$C$2:$J$120,4,FALSE)-P10+AG10,"")</f>
        <v/>
      </c>
      <c r="F10" s="74" t="str">
        <f>IFERROR(VLOOKUP($I$22&amp;$D10,'Database-Hidden'!$C$2:$J$120,5,FALSE)-Q10+AH10,"")</f>
        <v/>
      </c>
      <c r="G10" s="74" t="str">
        <f>IFERROR(VLOOKUP($I$22&amp;$D10,'Database-Hidden'!$C$2:$J$120,6,FALSE)-R10+AI10,"")</f>
        <v/>
      </c>
      <c r="H10" s="75" t="str">
        <f>IFERROR(VLOOKUP($I$22&amp;$D10,'Database-Hidden'!$C$2:$J$120,7,FALSE)-S10+AJ10,"")</f>
        <v/>
      </c>
      <c r="I10" s="76" t="str">
        <f>IFERROR(VLOOKUP($I$22&amp;$D10,'Database-Hidden'!$C$2:$J$120,8,FALSE),"")</f>
        <v/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/>
      <c r="AC10" s="4"/>
      <c r="AD10" s="116" t="str">
        <f>IFERROR(VLOOKUP($I$22&amp;D10,'Database-Hidden'!$C$2:$E$120,3,FALSE),"")</f>
        <v/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7"/>
      <c r="AW10" s="132"/>
      <c r="AX10" s="132"/>
    </row>
    <row r="11" spans="1:50" ht="12.75">
      <c r="A11" s="2"/>
      <c r="B11" s="70">
        <v>8</v>
      </c>
      <c r="C11" s="71" t="s">
        <v>387</v>
      </c>
      <c r="D11" s="72" t="s">
        <v>68</v>
      </c>
      <c r="E11" s="73">
        <f>IFERROR(VLOOKUP($I$22&amp;$D11,'Database-Hidden'!$C$2:$J$120,4,FALSE)-P11+AG11,"")</f>
        <v>5</v>
      </c>
      <c r="F11" s="74">
        <f>IFERROR(VLOOKUP($I$22&amp;$D11,'Database-Hidden'!$C$2:$J$120,5,FALSE)-Q11+AH11,"")</f>
        <v>3</v>
      </c>
      <c r="G11" s="74">
        <f>IFERROR(VLOOKUP($I$22&amp;$D11,'Database-Hidden'!$C$2:$J$120,6,FALSE)-R11+AI11,"")</f>
        <v>3</v>
      </c>
      <c r="H11" s="75">
        <f>IFERROR(VLOOKUP($I$22&amp;$D11,'Database-Hidden'!$C$2:$J$120,7,FALSE)-S11+AJ11,"")</f>
        <v>9</v>
      </c>
      <c r="I11" s="76">
        <f>IFERROR(VLOOKUP($I$22&amp;$D11,'Database-Hidden'!$C$2:$J$120,8,FALSE),"")</f>
        <v>0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50000</v>
      </c>
      <c r="AC11" s="4"/>
      <c r="AD11" s="116">
        <f>IFERROR(VLOOKUP($I$22&amp;D11,'Database-Hidden'!$C$2:$E$120,3,FALSE),"")</f>
        <v>50000</v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7"/>
      <c r="AW11" s="132"/>
      <c r="AX11" s="132"/>
    </row>
    <row r="12" spans="1:50" ht="12.75">
      <c r="A12" s="2"/>
      <c r="B12" s="70">
        <v>9</v>
      </c>
      <c r="C12" s="71" t="s">
        <v>389</v>
      </c>
      <c r="D12" s="72" t="s">
        <v>68</v>
      </c>
      <c r="E12" s="73">
        <f>IFERROR(VLOOKUP($I$22&amp;$D12,'Database-Hidden'!$C$2:$J$120,4,FALSE)-P12+AG12,"")</f>
        <v>5</v>
      </c>
      <c r="F12" s="74">
        <f>IFERROR(VLOOKUP($I$22&amp;$D12,'Database-Hidden'!$C$2:$J$120,5,FALSE)-Q12+AH12,"")</f>
        <v>3</v>
      </c>
      <c r="G12" s="74">
        <f>IFERROR(VLOOKUP($I$22&amp;$D12,'Database-Hidden'!$C$2:$J$120,6,FALSE)-R12+AI12,"")</f>
        <v>3</v>
      </c>
      <c r="H12" s="75">
        <f>IFERROR(VLOOKUP($I$22&amp;$D12,'Database-Hidden'!$C$2:$J$120,7,FALSE)-S12+AJ12,"")</f>
        <v>9</v>
      </c>
      <c r="I12" s="76">
        <f>IFERROR(VLOOKUP($I$22&amp;$D12,'Database-Hidden'!$C$2:$J$120,8,FALSE),"")</f>
        <v>0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50000</v>
      </c>
      <c r="AC12" s="4"/>
      <c r="AD12" s="116">
        <f>IFERROR(VLOOKUP($I$22&amp;D12,'Database-Hidden'!$C$2:$E$120,3,FALSE),"")</f>
        <v>50000</v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7"/>
      <c r="AW12" s="132"/>
      <c r="AX12" s="132"/>
    </row>
    <row r="13" spans="1:50" ht="12.75">
      <c r="A13" s="2"/>
      <c r="B13" s="70">
        <v>10</v>
      </c>
      <c r="C13" s="71"/>
      <c r="D13" s="72"/>
      <c r="E13" s="73" t="str">
        <f>IFERROR(VLOOKUP($I$22&amp;$D13,'Database-Hidden'!$C$2:$J$120,4,FALSE)-P13+AG13,"")</f>
        <v/>
      </c>
      <c r="F13" s="74" t="str">
        <f>IFERROR(VLOOKUP($I$22&amp;$D13,'Database-Hidden'!$C$2:$J$120,5,FALSE)-Q13+AH13,"")</f>
        <v/>
      </c>
      <c r="G13" s="74" t="str">
        <f>IFERROR(VLOOKUP($I$22&amp;$D13,'Database-Hidden'!$C$2:$J$120,6,FALSE)-R13+AI13,"")</f>
        <v/>
      </c>
      <c r="H13" s="75" t="str">
        <f>IFERROR(VLOOKUP($I$22&amp;$D13,'Database-Hidden'!$C$2:$J$120,7,FALSE)-S13+AJ13,"")</f>
        <v/>
      </c>
      <c r="I13" s="76" t="str">
        <f>IFERROR(VLOOKUP($I$22&amp;$D13,'Database-Hidden'!$C$2:$J$120,8,FALSE),"")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6" t="str">
        <f>IFERROR(VLOOKUP($I$22&amp;D13,'Database-Hidden'!$C$2:$E$120,3,FALSE),"")</f>
        <v/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  <c r="AX13" s="132"/>
    </row>
    <row r="14" spans="1:50" ht="12.75">
      <c r="A14" s="2"/>
      <c r="B14" s="70">
        <v>11</v>
      </c>
      <c r="C14" s="71"/>
      <c r="D14" s="72"/>
      <c r="E14" s="73" t="str">
        <f>IFERROR(VLOOKUP($I$22&amp;$D14,'Database-Hidden'!$C$2:$J$120,4,FALSE)-P14+AG14,"")</f>
        <v/>
      </c>
      <c r="F14" s="74" t="str">
        <f>IFERROR(VLOOKUP($I$22&amp;$D14,'Database-Hidden'!$C$2:$J$120,5,FALSE)-Q14+AH14,"")</f>
        <v/>
      </c>
      <c r="G14" s="74" t="str">
        <f>IFERROR(VLOOKUP($I$22&amp;$D14,'Database-Hidden'!$C$2:$J$120,6,FALSE)-R14+AI14,"")</f>
        <v/>
      </c>
      <c r="H14" s="75" t="str">
        <f>IFERROR(VLOOKUP($I$22&amp;$D14,'Database-Hidden'!$C$2:$J$120,7,FALSE)-S14+AJ14,"")</f>
        <v/>
      </c>
      <c r="I14" s="76" t="str">
        <f>IFERROR(VLOOKUP($I$22&amp;$D14,'Database-Hidden'!$C$2:$J$120,8,FALSE),"")</f>
        <v/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/>
      <c r="AC14" s="4"/>
      <c r="AD14" s="116" t="str">
        <f>IFERROR(VLOOKUP($I$22&amp;D14,'Database-Hidden'!$C$2:$E$120,3,FALSE),"")</f>
        <v/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  <c r="AX14" s="132"/>
    </row>
    <row r="15" spans="1:50" ht="12.75">
      <c r="A15" s="2"/>
      <c r="B15" s="70">
        <v>12</v>
      </c>
      <c r="C15" s="71" t="s">
        <v>393</v>
      </c>
      <c r="D15" s="72" t="s">
        <v>394</v>
      </c>
      <c r="E15" s="73">
        <f>IFERROR(VLOOKUP($I$22&amp;$D15,'Database-Hidden'!$C$2:$J$120,4,FALSE)-P15+AG15,"")</f>
        <v>4</v>
      </c>
      <c r="F15" s="74">
        <f>IFERROR(VLOOKUP($I$22&amp;$D15,'Database-Hidden'!$C$2:$J$120,5,FALSE)-Q15+AH15,"")</f>
        <v>4</v>
      </c>
      <c r="G15" s="74">
        <f>IFERROR(VLOOKUP($I$22&amp;$D15,'Database-Hidden'!$C$2:$J$120,6,FALSE)-R15+AI15,"")</f>
        <v>2</v>
      </c>
      <c r="H15" s="75">
        <f>IFERROR(VLOOKUP($I$22&amp;$D15,'Database-Hidden'!$C$2:$J$120,7,FALSE)-S15+AJ15,"")</f>
        <v>9</v>
      </c>
      <c r="I15" s="76">
        <f>IFERROR(VLOOKUP($I$22&amp;$D15,'Database-Hidden'!$C$2:$J$120,8,FALSE),"")</f>
        <v>0</v>
      </c>
      <c r="J15" s="77" t="s">
        <v>155</v>
      </c>
      <c r="K15" s="78">
        <f t="shared" si="0"/>
        <v>1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>
        <v>1</v>
      </c>
      <c r="X15" s="83"/>
      <c r="Y15" s="83"/>
      <c r="Z15" s="88">
        <v>1</v>
      </c>
      <c r="AA15" s="89">
        <f t="shared" si="1"/>
        <v>7</v>
      </c>
      <c r="AB15" s="58">
        <f t="shared" si="2"/>
        <v>100000</v>
      </c>
      <c r="AC15" s="4"/>
      <c r="AD15" s="116">
        <f>IFERROR(VLOOKUP($I$22&amp;D15,'Database-Hidden'!$C$2:$E$120,3,FALSE),"")</f>
        <v>80000</v>
      </c>
      <c r="AE15" s="91">
        <v>1</v>
      </c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  <c r="AX15" s="132"/>
    </row>
    <row r="16" spans="1:50" ht="12.75">
      <c r="A16" s="2"/>
      <c r="B16" s="70">
        <v>13</v>
      </c>
      <c r="C16" s="71" t="s">
        <v>396</v>
      </c>
      <c r="D16" s="72" t="s">
        <v>394</v>
      </c>
      <c r="E16" s="73">
        <f>IFERROR(VLOOKUP($I$22&amp;$D16,'Database-Hidden'!$C$2:$J$120,4,FALSE)-P16+AG16,"")</f>
        <v>4</v>
      </c>
      <c r="F16" s="74">
        <f>IFERROR(VLOOKUP($I$22&amp;$D16,'Database-Hidden'!$C$2:$J$120,5,FALSE)-Q16+AH16,"")</f>
        <v>4</v>
      </c>
      <c r="G16" s="74">
        <f>IFERROR(VLOOKUP($I$22&amp;$D16,'Database-Hidden'!$C$2:$J$120,6,FALSE)-R16+AI16,"")</f>
        <v>2</v>
      </c>
      <c r="H16" s="75">
        <f>IFERROR(VLOOKUP($I$22&amp;$D16,'Database-Hidden'!$C$2:$J$120,7,FALSE)-S16+AJ16,"")</f>
        <v>9</v>
      </c>
      <c r="I16" s="76">
        <f>IFERROR(VLOOKUP($I$22&amp;$D16,'Database-Hidden'!$C$2:$J$120,8,FALSE),"")</f>
        <v>0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>
        <v>1</v>
      </c>
      <c r="X16" s="83"/>
      <c r="Y16" s="83"/>
      <c r="Z16" s="88"/>
      <c r="AA16" s="89">
        <f t="shared" si="1"/>
        <v>2</v>
      </c>
      <c r="AB16" s="58">
        <f t="shared" si="2"/>
        <v>80000</v>
      </c>
      <c r="AC16" s="4"/>
      <c r="AD16" s="116">
        <f>IFERROR(VLOOKUP($I$22&amp;D16,'Database-Hidden'!$C$2:$E$120,3,FALSE),"")</f>
        <v>80000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  <c r="AX16" s="132"/>
    </row>
    <row r="17" spans="1:50" ht="12.75">
      <c r="A17" s="2"/>
      <c r="B17" s="70">
        <v>14</v>
      </c>
      <c r="C17" s="71" t="s">
        <v>398</v>
      </c>
      <c r="D17" s="72" t="s">
        <v>394</v>
      </c>
      <c r="E17" s="73">
        <f>IFERROR(VLOOKUP($I$22&amp;$D17,'Database-Hidden'!$C$2:$J$120,4,FALSE)-P17+AG17,"")</f>
        <v>4</v>
      </c>
      <c r="F17" s="74">
        <f>IFERROR(VLOOKUP($I$22&amp;$D17,'Database-Hidden'!$C$2:$J$120,5,FALSE)-Q17+AH17,"")</f>
        <v>4</v>
      </c>
      <c r="G17" s="74">
        <f>IFERROR(VLOOKUP($I$22&amp;$D17,'Database-Hidden'!$C$2:$J$120,6,FALSE)-R17+AI17,"")</f>
        <v>2</v>
      </c>
      <c r="H17" s="75">
        <f>IFERROR(VLOOKUP($I$22&amp;$D17,'Database-Hidden'!$C$2:$J$120,7,FALSE)-S17+AJ17,"")</f>
        <v>9</v>
      </c>
      <c r="I17" s="76">
        <f>IFERROR(VLOOKUP($I$22&amp;$D17,'Database-Hidden'!$C$2:$J$120,8,FALSE),"")</f>
        <v>0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80000</v>
      </c>
      <c r="AC17" s="4"/>
      <c r="AD17" s="116">
        <f>IFERROR(VLOOKUP($I$22&amp;D17,'Database-Hidden'!$C$2:$E$120,3,FALSE),"")</f>
        <v>80000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  <c r="AX17" s="132"/>
    </row>
    <row r="18" spans="1:50" ht="12.75">
      <c r="A18" s="2"/>
      <c r="B18" s="70">
        <v>15</v>
      </c>
      <c r="C18" s="71" t="s">
        <v>399</v>
      </c>
      <c r="D18" s="72" t="s">
        <v>394</v>
      </c>
      <c r="E18" s="73">
        <f>IFERROR(VLOOKUP($I$22&amp;$D18,'Database-Hidden'!$C$2:$J$120,4,FALSE)-P18+AG18,"")</f>
        <v>4</v>
      </c>
      <c r="F18" s="74">
        <f>IFERROR(VLOOKUP($I$22&amp;$D18,'Database-Hidden'!$C$2:$J$120,5,FALSE)-Q18+AH18,"")</f>
        <v>4</v>
      </c>
      <c r="G18" s="74">
        <f>IFERROR(VLOOKUP($I$22&amp;$D18,'Database-Hidden'!$C$2:$J$120,6,FALSE)-R18+AI18,"")</f>
        <v>2</v>
      </c>
      <c r="H18" s="75">
        <f>IFERROR(VLOOKUP($I$22&amp;$D18,'Database-Hidden'!$C$2:$J$120,7,FALSE)-S18+AJ18,"")</f>
        <v>9</v>
      </c>
      <c r="I18" s="76">
        <f>IFERROR(VLOOKUP($I$22&amp;$D18,'Database-Hidden'!$C$2:$J$120,8,FALSE),"")</f>
        <v>0</v>
      </c>
      <c r="J18" s="77" t="s">
        <v>155</v>
      </c>
      <c r="K18" s="78">
        <f t="shared" si="0"/>
        <v>1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>
        <v>2</v>
      </c>
      <c r="X18" s="303">
        <v>1</v>
      </c>
      <c r="Y18" s="83"/>
      <c r="Z18" s="88">
        <v>1</v>
      </c>
      <c r="AA18" s="89">
        <f t="shared" si="1"/>
        <v>9</v>
      </c>
      <c r="AB18" s="58">
        <f t="shared" si="2"/>
        <v>100000</v>
      </c>
      <c r="AC18" s="4"/>
      <c r="AD18" s="116">
        <f>IFERROR(VLOOKUP($I$22&amp;D18,'Database-Hidden'!$C$2:$E$120,3,FALSE),"")</f>
        <v>80000</v>
      </c>
      <c r="AE18" s="91">
        <v>1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60000</v>
      </c>
      <c r="AP18" s="4"/>
      <c r="AQ18" s="4"/>
      <c r="AR18" s="67"/>
      <c r="AS18" s="148" t="s">
        <v>42</v>
      </c>
      <c r="AT18" s="150">
        <f t="shared" ref="AT18:AU18" si="3">SUM(AT6:AT17)</f>
        <v>2</v>
      </c>
      <c r="AU18" s="151">
        <f t="shared" si="3"/>
        <v>4</v>
      </c>
      <c r="AV18" s="152">
        <f>AV4+SUM(AV6:AV17)</f>
        <v>1</v>
      </c>
      <c r="AW18" s="5"/>
      <c r="AX18" s="5"/>
    </row>
    <row r="19" spans="1:50" ht="12.75">
      <c r="A19" s="2"/>
      <c r="B19" s="153">
        <v>16</v>
      </c>
      <c r="C19" s="154"/>
      <c r="D19" s="155"/>
      <c r="E19" s="156" t="str">
        <f>IFERROR(VLOOKUP($I$22&amp;$D19,'Database-Hidden'!$C$2:$J$120,4,FALSE)-P19+AG19,"")</f>
        <v/>
      </c>
      <c r="F19" s="157" t="str">
        <f>IFERROR(VLOOKUP($I$22&amp;$D19,'Database-Hidden'!$C$2:$J$120,5,FALSE)-Q19+AH19,"")</f>
        <v/>
      </c>
      <c r="G19" s="157" t="str">
        <f>IFERROR(VLOOKUP($I$22&amp;$D19,'Database-Hidden'!$C$2:$J$120,6,FALSE)-R19+AI19,"")</f>
        <v/>
      </c>
      <c r="H19" s="159" t="str">
        <f>IFERROR(VLOOKUP($I$22&amp;$D19,'Database-Hidden'!$C$2:$J$120,7,FALSE)-S19+AJ19,"")</f>
        <v/>
      </c>
      <c r="I19" s="160" t="str">
        <f>IFERROR(VLOOKUP($I$22&amp;$D19,'Database-Hidden'!$C$2:$J$120,8,FALSE),"")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IFERROR(VLOOKUP($I$22&amp;D19,'Database-Hidden'!$C$2:$E$120,3,FALSE),"")</f>
        <v/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870000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180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60000</v>
      </c>
      <c r="W21" s="525"/>
      <c r="X21" s="525"/>
      <c r="Y21" s="525"/>
      <c r="Z21" s="525"/>
      <c r="AA21" s="528"/>
      <c r="AB21" s="184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64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1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60000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400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20000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1110000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10000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60000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20000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240000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110000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09">
        <f>MATCH(I22,'Database-Hidden'!A2:A120,0)</f>
        <v>83</v>
      </c>
      <c r="D28" s="209" t="str">
        <f t="shared" ref="D28:D37" si="5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</row>
    <row r="29" spans="1:50" ht="17.25" hidden="1" customHeight="1">
      <c r="C29" s="209">
        <f t="shared" ref="C29:C37" si="6">C28+1</f>
        <v>84</v>
      </c>
      <c r="D29" s="209" t="str">
        <f t="shared" si="5"/>
        <v>Goblin</v>
      </c>
      <c r="E29" s="210">
        <f t="array" ref="E29">IFERROR(IF(INDEX('Database-Hidden'!$A$2:$B$120,$C29,1)=$I$22,INDEX('Database-Hidden'!$A$2:$D$120,$C29,4),""),"")</f>
        <v>4</v>
      </c>
      <c r="I29" s="209" t="str">
        <f t="array" ref="I29">IFERROR(IF(INDEX('Database-Hidden'!$A$2:$B$120,$C29,1)=$I$22,INDEX('Database-Hidden'!$A$2:$B$120,$C29,2),""),"")</f>
        <v>Goblin</v>
      </c>
    </row>
    <row r="30" spans="1:50" ht="17.25" hidden="1" customHeight="1">
      <c r="C30" s="209">
        <f t="shared" si="6"/>
        <v>85</v>
      </c>
      <c r="D30" s="209" t="str">
        <f t="shared" si="5"/>
        <v>Thrower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Thrower</v>
      </c>
    </row>
    <row r="31" spans="1:50" ht="17.25" hidden="1" customHeight="1">
      <c r="C31" s="209">
        <f t="shared" si="6"/>
        <v>86</v>
      </c>
      <c r="D31" s="209" t="str">
        <f t="shared" si="5"/>
        <v>Black Orc Blocker</v>
      </c>
      <c r="E31" s="210">
        <f t="array" ref="E31">IFERROR(IF(INDEX('Database-Hidden'!$A$2:$B$120,$C31,1)=$I$22,INDEX('Database-Hidden'!$A$2:$D$120,$C31,4),""),"")</f>
        <v>4</v>
      </c>
      <c r="I31" s="209" t="str">
        <f t="array" ref="I31">IFERROR(IF(INDEX('Database-Hidden'!$A$2:$B$120,$C31,1)=$I$22,INDEX('Database-Hidden'!$A$2:$B$120,$C31,2),""),"")</f>
        <v>Black Orc Blocker</v>
      </c>
    </row>
    <row r="32" spans="1:50" ht="17.25" hidden="1" customHeight="1">
      <c r="C32" s="209">
        <f t="shared" si="6"/>
        <v>87</v>
      </c>
      <c r="D32" s="209" t="str">
        <f t="shared" si="5"/>
        <v>Blitzer</v>
      </c>
      <c r="E32" s="210">
        <f t="array" ref="E32">IFERROR(IF(INDEX('Database-Hidden'!$A$2:$B$120,$C32,1)=$I$22,INDEX('Database-Hidden'!$A$2:$D$120,$C32,4),""),"")</f>
        <v>4</v>
      </c>
      <c r="I32" s="209" t="str">
        <f t="array" ref="I32">IFERROR(IF(INDEX('Database-Hidden'!$A$2:$B$120,$C32,1)=$I$22,INDEX('Database-Hidden'!$A$2:$B$120,$C32,2),""),"")</f>
        <v>Blitzer</v>
      </c>
    </row>
    <row r="33" spans="3:9" ht="17.25" hidden="1" customHeight="1">
      <c r="C33" s="209">
        <f t="shared" si="6"/>
        <v>88</v>
      </c>
      <c r="D33" s="209" t="str">
        <f t="shared" si="5"/>
        <v>Troll</v>
      </c>
      <c r="E33" s="210">
        <f t="array" ref="E33">IFERROR(IF(INDEX('Database-Hidden'!$A$2:$B$120,$C33,1)=$I$22,INDEX('Database-Hidden'!$A$2:$D$120,$C33,4),""),"")</f>
        <v>1</v>
      </c>
      <c r="I33" s="209" t="str">
        <f t="array" ref="I33">IFERROR(IF(INDEX('Database-Hidden'!$A$2:$B$120,$C33,1)=$I$22,INDEX('Database-Hidden'!$A$2:$B$120,$C33,2),""),"")</f>
        <v>Troll</v>
      </c>
    </row>
    <row r="34" spans="3:9" ht="17.25" hidden="1" customHeight="1">
      <c r="C34" s="209">
        <f t="shared" si="6"/>
        <v>89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</row>
    <row r="35" spans="3:9" ht="17.25" hidden="1" customHeight="1">
      <c r="C35" s="209">
        <f t="shared" si="6"/>
        <v>90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</row>
    <row r="36" spans="3:9" ht="17.25" hidden="1" customHeight="1">
      <c r="C36" s="209">
        <f t="shared" si="6"/>
        <v>91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</row>
    <row r="37" spans="3:9" ht="17.25" hidden="1" customHeight="1">
      <c r="C37" s="209">
        <f t="shared" si="6"/>
        <v>92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</row>
    <row r="38" spans="3:9" ht="17.25" hidden="1" customHeight="1">
      <c r="C38" s="211">
        <f>MATCH(I22,'Star Players-Hidden'!D2:AD2,0)</f>
        <v>20</v>
      </c>
      <c r="D38" s="211" t="str">
        <f t="shared" ref="D38:D49" ca="1" si="7">I38&amp;IF(COUNTIF(D$4:D$19,I38)&gt;1," (Too Many)","")</f>
        <v>Star: Bomber Dribblesnot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Bomber Dribblesnot")</f>
        <v>Star: Bomber Dribblesnot</v>
      </c>
    </row>
    <row r="39" spans="3:9" ht="17.25" hidden="1" customHeight="1">
      <c r="C39" s="209"/>
      <c r="D39" s="209" t="str">
        <f t="shared" si="7"/>
        <v>Star: Morg'n'Thorg</v>
      </c>
      <c r="I39" s="213" t="s">
        <v>144</v>
      </c>
    </row>
    <row r="40" spans="3:9" ht="17.25" hidden="1" customHeight="1">
      <c r="C40" s="209"/>
      <c r="D40" s="209" t="str">
        <f t="shared" si="7"/>
        <v>Star: Scrappa Sorehead</v>
      </c>
      <c r="I40" s="209" t="s">
        <v>231</v>
      </c>
    </row>
    <row r="41" spans="3:9" ht="17.25" hidden="1" customHeight="1">
      <c r="C41" s="209"/>
      <c r="D41" s="209" t="str">
        <f t="shared" si="7"/>
        <v>Star: Ugroth Bolgrot</v>
      </c>
      <c r="I41" s="209" t="s">
        <v>402</v>
      </c>
    </row>
    <row r="42" spans="3:9" ht="17.25" hidden="1" customHeight="1">
      <c r="C42" s="209"/>
      <c r="D42" s="209" t="str">
        <f t="shared" si="7"/>
        <v>Star: Varag Ghoul-Chewer</v>
      </c>
      <c r="I42" s="209" t="s">
        <v>403</v>
      </c>
    </row>
    <row r="43" spans="3:9" ht="17.25" hidden="1" customHeight="1">
      <c r="C43" s="209"/>
      <c r="D43" s="209" t="str">
        <f t="shared" si="7"/>
        <v/>
      </c>
      <c r="I43" s="209"/>
    </row>
    <row r="44" spans="3:9" ht="17.25" hidden="1" customHeight="1">
      <c r="C44" s="209"/>
      <c r="D44" s="209" t="str">
        <f t="shared" si="7"/>
        <v/>
      </c>
      <c r="I44" s="209"/>
    </row>
    <row r="45" spans="3:9" ht="17.25" hidden="1" customHeight="1">
      <c r="C45" s="209"/>
      <c r="D45" s="209" t="str">
        <f t="shared" si="7"/>
        <v/>
      </c>
      <c r="I45" s="209"/>
    </row>
    <row r="46" spans="3:9" ht="17.25" hidden="1" customHeight="1">
      <c r="C46" s="209"/>
      <c r="D46" s="209" t="str">
        <f t="shared" si="7"/>
        <v/>
      </c>
      <c r="I46" s="209"/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</sheetData>
  <mergeCells count="27">
    <mergeCell ref="AN3:AQ3"/>
    <mergeCell ref="P2:S2"/>
    <mergeCell ref="AR3:AV3"/>
    <mergeCell ref="V21:AA21"/>
    <mergeCell ref="AN21:AO21"/>
    <mergeCell ref="E20:AA20"/>
    <mergeCell ref="L21:S21"/>
    <mergeCell ref="L25:S25"/>
    <mergeCell ref="E26:AA26"/>
    <mergeCell ref="V24:AA24"/>
    <mergeCell ref="V23:AA23"/>
    <mergeCell ref="V22:AA22"/>
    <mergeCell ref="V25:AA25"/>
    <mergeCell ref="L23:S23"/>
    <mergeCell ref="L24:S24"/>
    <mergeCell ref="L22:S22"/>
    <mergeCell ref="E24:H24"/>
    <mergeCell ref="B20:D26"/>
    <mergeCell ref="I22:K22"/>
    <mergeCell ref="E22:H22"/>
    <mergeCell ref="E25:H25"/>
    <mergeCell ref="I25:K25"/>
    <mergeCell ref="I23:K23"/>
    <mergeCell ref="E23:H23"/>
    <mergeCell ref="I24:K24"/>
    <mergeCell ref="E21:H21"/>
    <mergeCell ref="I21:K21"/>
  </mergeCells>
  <conditionalFormatting sqref="J4">
    <cfRule type="expression" dxfId="462" priority="1">
      <formula>K4&lt;&gt;SUM(AE4:AJ4)</formula>
    </cfRule>
  </conditionalFormatting>
  <conditionalFormatting sqref="K4:K19">
    <cfRule type="cellIs" dxfId="461" priority="2" operator="equal">
      <formula>0</formula>
    </cfRule>
  </conditionalFormatting>
  <conditionalFormatting sqref="AB4:AB19">
    <cfRule type="cellIs" dxfId="460" priority="3" operator="equal">
      <formula>0</formula>
    </cfRule>
  </conditionalFormatting>
  <conditionalFormatting sqref="E4:H19">
    <cfRule type="expression" dxfId="459" priority="4">
      <formula>AG4&gt;0</formula>
    </cfRule>
  </conditionalFormatting>
  <conditionalFormatting sqref="E4:H19">
    <cfRule type="expression" dxfId="458" priority="5">
      <formula>P4&gt;0</formula>
    </cfRule>
  </conditionalFormatting>
  <conditionalFormatting sqref="T4:T19 U4:U19 V4:W19 Z4:Z19 U27">
    <cfRule type="cellIs" dxfId="457" priority="6" stopIfTrue="1" operator="equal">
      <formula>0</formula>
    </cfRule>
  </conditionalFormatting>
  <conditionalFormatting sqref="K4:K19">
    <cfRule type="cellIs" dxfId="456" priority="7" stopIfTrue="1" operator="equal">
      <formula>"n/a"</formula>
    </cfRule>
  </conditionalFormatting>
  <conditionalFormatting sqref="P4:S19">
    <cfRule type="cellIs" dxfId="455" priority="8" stopIfTrue="1" operator="lessThanOrEqual">
      <formula>-1</formula>
    </cfRule>
  </conditionalFormatting>
  <conditionalFormatting sqref="V25:W25">
    <cfRule type="cellIs" dxfId="454" priority="9" stopIfTrue="1" operator="equal">
      <formula>-500</formula>
    </cfRule>
  </conditionalFormatting>
  <conditionalFormatting sqref="T25">
    <cfRule type="cellIs" dxfId="453" priority="10" stopIfTrue="1" operator="greaterThan">
      <formula>$V$25</formula>
    </cfRule>
  </conditionalFormatting>
  <conditionalFormatting sqref="AA4:AA19">
    <cfRule type="cellIs" dxfId="452" priority="11" stopIfTrue="1" operator="equal">
      <formula>"Star"</formula>
    </cfRule>
  </conditionalFormatting>
  <conditionalFormatting sqref="AA4:AA19">
    <cfRule type="cellIs" dxfId="451" priority="12" stopIfTrue="1" operator="equal">
      <formula>AB4</formula>
    </cfRule>
  </conditionalFormatting>
  <conditionalFormatting sqref="I4:I19">
    <cfRule type="cellIs" dxfId="450" priority="13" stopIfTrue="1" operator="equal">
      <formula>0</formula>
    </cfRule>
  </conditionalFormatting>
  <conditionalFormatting sqref="I4:I19">
    <cfRule type="cellIs" dxfId="449" priority="14" stopIfTrue="1" operator="equal">
      <formula>"Player type quantity surpassed"</formula>
    </cfRule>
  </conditionalFormatting>
  <conditionalFormatting sqref="J5">
    <cfRule type="expression" dxfId="448" priority="15">
      <formula>K5&lt;&gt;SUM(AE5:AJ5)</formula>
    </cfRule>
  </conditionalFormatting>
  <conditionalFormatting sqref="J6">
    <cfRule type="expression" dxfId="447" priority="16">
      <formula>K6&lt;&gt;SUM(AE6:AJ6)</formula>
    </cfRule>
  </conditionalFormatting>
  <conditionalFormatting sqref="J7">
    <cfRule type="expression" dxfId="446" priority="17">
      <formula>K7&lt;&gt;SUM(AE7:AJ7)</formula>
    </cfRule>
  </conditionalFormatting>
  <conditionalFormatting sqref="J8">
    <cfRule type="expression" dxfId="445" priority="18">
      <formula>K8&lt;&gt;SUM(AE8:AJ8)</formula>
    </cfRule>
  </conditionalFormatting>
  <conditionalFormatting sqref="J9">
    <cfRule type="expression" dxfId="444" priority="19">
      <formula>K9&lt;&gt;SUM(AE9:AJ9)</formula>
    </cfRule>
  </conditionalFormatting>
  <conditionalFormatting sqref="J10">
    <cfRule type="expression" dxfId="443" priority="20">
      <formula>K10&lt;&gt;SUM(AE10:AJ10)</formula>
    </cfRule>
  </conditionalFormatting>
  <conditionalFormatting sqref="J11">
    <cfRule type="expression" dxfId="442" priority="21">
      <formula>K11&lt;&gt;SUM(AE11:AJ11)</formula>
    </cfRule>
  </conditionalFormatting>
  <conditionalFormatting sqref="J12">
    <cfRule type="expression" dxfId="441" priority="22">
      <formula>K12&lt;&gt;SUM(AE12:AJ12)</formula>
    </cfRule>
  </conditionalFormatting>
  <conditionalFormatting sqref="J13">
    <cfRule type="expression" dxfId="440" priority="23">
      <formula>K13&lt;&gt;SUM(AE13:AJ13)</formula>
    </cfRule>
  </conditionalFormatting>
  <conditionalFormatting sqref="J14">
    <cfRule type="expression" dxfId="439" priority="24">
      <formula>K14&lt;&gt;SUM(AE14:AJ14)</formula>
    </cfRule>
  </conditionalFormatting>
  <conditionalFormatting sqref="J15">
    <cfRule type="expression" dxfId="438" priority="25">
      <formula>K15&lt;&gt;SUM(AE15:AJ15)</formula>
    </cfRule>
  </conditionalFormatting>
  <conditionalFormatting sqref="J16">
    <cfRule type="expression" dxfId="437" priority="26">
      <formula>K16&lt;&gt;SUM(AE16:AJ16)</formula>
    </cfRule>
  </conditionalFormatting>
  <conditionalFormatting sqref="J17">
    <cfRule type="expression" dxfId="436" priority="27">
      <formula>K17&lt;&gt;SUM(AE17:AJ17)</formula>
    </cfRule>
  </conditionalFormatting>
  <conditionalFormatting sqref="J18">
    <cfRule type="expression" dxfId="435" priority="28">
      <formula>K18&lt;&gt;SUM(AE18:AJ18)</formula>
    </cfRule>
  </conditionalFormatting>
  <conditionalFormatting sqref="J19">
    <cfRule type="expression" dxfId="434" priority="29">
      <formula>K19&lt;&gt;SUM(AE19:AJ19)</formula>
    </cfRule>
  </conditionalFormatting>
  <dataValidations count="2">
    <dataValidation type="list" allowBlank="1" showErrorMessage="1" sqref="D4:D19">
      <formula1>'JR2'!$D$28:$D$49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5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3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</row>
    <row r="4" spans="1:49" ht="33.75">
      <c r="A4" s="2"/>
      <c r="B4" s="40">
        <v>1</v>
      </c>
      <c r="C4" s="41" t="s">
        <v>365</v>
      </c>
      <c r="D4" s="42" t="s">
        <v>366</v>
      </c>
      <c r="E4" s="43">
        <f>IFERROR(VLOOKUP($I$24&amp;$D4,'Database-Hidden'!$C$2:$J$120,4,FALSE)-P4+AG4,"")</f>
        <v>2</v>
      </c>
      <c r="F4" s="44">
        <f>IFERROR(VLOOKUP($I$24&amp;$D4,'Database-Hidden'!$C$2:$J$120,5,FALSE)-Q4+AH4,"")</f>
        <v>6</v>
      </c>
      <c r="G4" s="44">
        <f>IFERROR(VLOOKUP($I$24&amp;$D4,'Database-Hidden'!$C$2:$J$120,6,FALSE)-R4+AI4,"")</f>
        <v>1</v>
      </c>
      <c r="H4" s="45">
        <f>IFERROR(VLOOKUP($I$24&amp;$D4,'Database-Hidden'!$C$2:$J$120,7,FALSE)-S4+AJ4,"")</f>
        <v>10</v>
      </c>
      <c r="I4" s="46" t="str">
        <f>IFERROR(VLOOKUP($I$24&amp;$D4,'Database-Hidden'!$C$2:$J$120,8,FALSE),"")</f>
        <v>Mighty Blow, Stand Firm, Strong Arm, Take Root, Thick Skull, Throw Team-mate, Timmm-ber!</v>
      </c>
      <c r="J4" s="47" t="s">
        <v>367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3</v>
      </c>
      <c r="X4" s="52"/>
      <c r="Y4" s="52"/>
      <c r="Z4" s="56"/>
      <c r="AA4" s="57">
        <f t="shared" ref="AA4:AA19" si="1">2*T4+U4+3*V4+2*W4+5*Z4</f>
        <v>6</v>
      </c>
      <c r="AB4" s="58">
        <f t="shared" ref="AB4:AB17" si="2">IF(L4=1,0,AD4+(20000*O4)+(20000*AE4)+(30000*AF4)+(30000*AG4)+(50000*AH4)+(40000*AI4)+(50000*AJ4)+AK4)</f>
        <v>140000</v>
      </c>
      <c r="AC4" s="4"/>
      <c r="AD4" s="59">
        <f>IFERROR(VLOOKUP($I$24&amp;D4,'Database-Hidden'!$C$2:$E$120,3,FALSE),"")</f>
        <v>120000</v>
      </c>
      <c r="AE4" s="60">
        <v>1</v>
      </c>
      <c r="AF4" s="61"/>
      <c r="AG4" s="61"/>
      <c r="AH4" s="61"/>
      <c r="AI4" s="61"/>
      <c r="AJ4" s="61"/>
      <c r="AK4" s="62"/>
      <c r="AL4" s="394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</row>
    <row r="5" spans="1:49" ht="33.75">
      <c r="A5" s="2"/>
      <c r="B5" s="70">
        <v>2</v>
      </c>
      <c r="C5" s="71" t="s">
        <v>371</v>
      </c>
      <c r="D5" s="72" t="s">
        <v>366</v>
      </c>
      <c r="E5" s="73">
        <f>IFERROR(VLOOKUP($I$24&amp;$D5,'Database-Hidden'!$C$2:$J$120,4,FALSE)-P5+AG5,"")</f>
        <v>2</v>
      </c>
      <c r="F5" s="74">
        <f>IFERROR(VLOOKUP($I$24&amp;$D5,'Database-Hidden'!$C$2:$J$120,5,FALSE)-Q5+AH5,"")</f>
        <v>6</v>
      </c>
      <c r="G5" s="74">
        <f>IFERROR(VLOOKUP($I$24&amp;$D5,'Database-Hidden'!$C$2:$J$120,6,FALSE)-R5+AI5,"")</f>
        <v>1</v>
      </c>
      <c r="H5" s="75">
        <f>IFERROR(VLOOKUP($I$24&amp;$D5,'Database-Hidden'!$C$2:$J$120,7,FALSE)-S5+AJ5,"")</f>
        <v>10</v>
      </c>
      <c r="I5" s="76" t="str">
        <f>IFERROR(VLOOKUP($I$24&amp;$D5,'Database-Hidden'!$C$2:$J$120,8,FALSE),"")</f>
        <v>Mighty Blow, Stand Firm, Strong Arm, Take Root, Thick Skull, Throw Team-mate, Timmm-ber!</v>
      </c>
      <c r="J5" s="77" t="s">
        <v>155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4</v>
      </c>
      <c r="X5" s="83"/>
      <c r="Y5" s="83"/>
      <c r="Z5" s="88">
        <v>1</v>
      </c>
      <c r="AA5" s="89">
        <f t="shared" si="1"/>
        <v>13</v>
      </c>
      <c r="AB5" s="58">
        <f t="shared" si="2"/>
        <v>150000</v>
      </c>
      <c r="AC5" s="4"/>
      <c r="AD5" s="90">
        <f>IFERROR(VLOOKUP($I$24&amp;D5,'Database-Hidden'!$C$2:$E$120,3,FALSE),"")</f>
        <v>120000</v>
      </c>
      <c r="AE5" s="91"/>
      <c r="AF5" s="92">
        <v>1</v>
      </c>
      <c r="AG5" s="92"/>
      <c r="AH5" s="92"/>
      <c r="AI5" s="92"/>
      <c r="AJ5" s="92"/>
      <c r="AK5" s="62"/>
      <c r="AL5" s="394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</row>
    <row r="6" spans="1:49" ht="12.75">
      <c r="A6" s="2"/>
      <c r="B6" s="70">
        <v>3</v>
      </c>
      <c r="C6" s="71" t="s">
        <v>373</v>
      </c>
      <c r="D6" s="72" t="s">
        <v>374</v>
      </c>
      <c r="E6" s="73">
        <f>IFERROR(VLOOKUP($I$24&amp;$D6,'Database-Hidden'!$C$2:$J$120,4,FALSE)-P6+AG6,"")</f>
        <v>5</v>
      </c>
      <c r="F6" s="74">
        <f>IFERROR(VLOOKUP($I$24&amp;$D6,'Database-Hidden'!$C$2:$J$120,5,FALSE)-Q6+AH6,"")</f>
        <v>2</v>
      </c>
      <c r="G6" s="74">
        <f>IFERROR(VLOOKUP($I$24&amp;$D6,'Database-Hidden'!$C$2:$J$120,6,FALSE)-R6+AI6,"")</f>
        <v>3</v>
      </c>
      <c r="H6" s="75">
        <f>IFERROR(VLOOKUP($I$24&amp;$D6,'Database-Hidden'!$C$2:$J$120,7,FALSE)-S6+AJ6,"")</f>
        <v>6</v>
      </c>
      <c r="I6" s="76" t="str">
        <f>IFERROR(VLOOKUP($I$24&amp;$D6,'Database-Hidden'!$C$2:$J$120,8,FALSE),"")</f>
        <v>Dodge, Right Stuff, Stunty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30000</v>
      </c>
      <c r="AC6" s="4"/>
      <c r="AD6" s="90">
        <f>IFERROR(VLOOKUP($I$24&amp;D6,'Database-Hidden'!$C$2:$E$120,3,FALSE),"")</f>
        <v>30000</v>
      </c>
      <c r="AE6" s="91"/>
      <c r="AF6" s="103"/>
      <c r="AG6" s="103"/>
      <c r="AH6" s="103"/>
      <c r="AI6" s="103"/>
      <c r="AJ6" s="103"/>
      <c r="AK6" s="62"/>
      <c r="AL6" s="394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70000</v>
      </c>
      <c r="AP6" s="106">
        <v>0</v>
      </c>
      <c r="AQ6" s="107">
        <v>0</v>
      </c>
      <c r="AR6" s="108" t="s">
        <v>46</v>
      </c>
      <c r="AS6" s="110" t="s">
        <v>375</v>
      </c>
      <c r="AT6" s="112">
        <v>1</v>
      </c>
      <c r="AU6" s="113">
        <v>5</v>
      </c>
      <c r="AV6" s="281">
        <v>1</v>
      </c>
      <c r="AW6" s="115"/>
    </row>
    <row r="7" spans="1:49" ht="12.75">
      <c r="A7" s="2"/>
      <c r="B7" s="70">
        <v>4</v>
      </c>
      <c r="C7" s="71" t="s">
        <v>376</v>
      </c>
      <c r="D7" s="72" t="s">
        <v>374</v>
      </c>
      <c r="E7" s="73">
        <f>IFERROR(VLOOKUP($I$24&amp;$D7,'Database-Hidden'!$C$2:$J$120,4,FALSE)-P7+AG7,"")</f>
        <v>5</v>
      </c>
      <c r="F7" s="74">
        <f>IFERROR(VLOOKUP($I$24&amp;$D7,'Database-Hidden'!$C$2:$J$120,5,FALSE)-Q7+AH7,"")</f>
        <v>2</v>
      </c>
      <c r="G7" s="74">
        <f>IFERROR(VLOOKUP($I$24&amp;$D7,'Database-Hidden'!$C$2:$J$120,6,FALSE)-R7+AI7,"")</f>
        <v>3</v>
      </c>
      <c r="H7" s="75">
        <f>IFERROR(VLOOKUP($I$24&amp;$D7,'Database-Hidden'!$C$2:$J$120,7,FALSE)-S7+AJ7,"")</f>
        <v>6</v>
      </c>
      <c r="I7" s="76" t="str">
        <f>IFERROR(VLOOKUP($I$24&amp;$D7,'Database-Hidden'!$C$2:$J$120,8,FALSE),"")</f>
        <v>Dodge, Right Stuff, Stunty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7">
        <v>1</v>
      </c>
      <c r="W7" s="87"/>
      <c r="X7" s="83"/>
      <c r="Y7" s="83"/>
      <c r="Z7" s="88"/>
      <c r="AA7" s="89">
        <f t="shared" si="1"/>
        <v>3</v>
      </c>
      <c r="AB7" s="58">
        <f t="shared" si="2"/>
        <v>30000</v>
      </c>
      <c r="AC7" s="4"/>
      <c r="AD7" s="116">
        <f>IFERROR(VLOOKUP($I$24&amp;D7,'Database-Hidden'!$C$2:$E$120,3,FALSE),"")</f>
        <v>30000</v>
      </c>
      <c r="AE7" s="91"/>
      <c r="AF7" s="103"/>
      <c r="AG7" s="103"/>
      <c r="AH7" s="103"/>
      <c r="AI7" s="103"/>
      <c r="AJ7" s="103"/>
      <c r="AK7" s="62"/>
      <c r="AL7" s="394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20000</v>
      </c>
      <c r="AP7" s="121">
        <v>50000</v>
      </c>
      <c r="AQ7" s="289">
        <v>0</v>
      </c>
      <c r="AR7" s="134" t="s">
        <v>26</v>
      </c>
      <c r="AS7" s="126" t="s">
        <v>378</v>
      </c>
      <c r="AT7" s="128">
        <v>2</v>
      </c>
      <c r="AU7" s="130">
        <v>3</v>
      </c>
      <c r="AV7" s="131">
        <f>1</f>
        <v>1</v>
      </c>
      <c r="AW7" s="132"/>
    </row>
    <row r="8" spans="1:49" ht="12.75">
      <c r="A8" s="2"/>
      <c r="B8" s="70">
        <v>5</v>
      </c>
      <c r="C8" s="71" t="s">
        <v>379</v>
      </c>
      <c r="D8" s="72" t="s">
        <v>374</v>
      </c>
      <c r="E8" s="73">
        <f>IFERROR(VLOOKUP($I$24&amp;$D8,'Database-Hidden'!$C$2:$J$120,4,FALSE)-P8+AG8,"")</f>
        <v>5</v>
      </c>
      <c r="F8" s="74">
        <f>IFERROR(VLOOKUP($I$24&amp;$D8,'Database-Hidden'!$C$2:$J$120,5,FALSE)-Q8+AH8,"")</f>
        <v>2</v>
      </c>
      <c r="G8" s="74">
        <f>IFERROR(VLOOKUP($I$24&amp;$D8,'Database-Hidden'!$C$2:$J$120,6,FALSE)-R8+AI8,"")</f>
        <v>3</v>
      </c>
      <c r="H8" s="75">
        <f>IFERROR(VLOOKUP($I$24&amp;$D8,'Database-Hidden'!$C$2:$J$120,7,FALSE)-S8+AJ8,"")</f>
        <v>6</v>
      </c>
      <c r="I8" s="76" t="str">
        <f>IFERROR(VLOOKUP($I$24&amp;$D8,'Database-Hidden'!$C$2:$J$120,8,FALSE),"")</f>
        <v>Dodge, Right Stuff, Stunty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30000</v>
      </c>
      <c r="AC8" s="4"/>
      <c r="AD8" s="116">
        <f>IFERROR(VLOOKUP($I$24&amp;D8,'Database-Hidden'!$C$2:$E$120,3,FALSE),"")</f>
        <v>30000</v>
      </c>
      <c r="AE8" s="91"/>
      <c r="AF8" s="103"/>
      <c r="AG8" s="103"/>
      <c r="AH8" s="103"/>
      <c r="AI8" s="103"/>
      <c r="AJ8" s="103"/>
      <c r="AK8" s="62"/>
      <c r="AL8" s="394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20000</v>
      </c>
      <c r="AP8" s="121">
        <v>30000</v>
      </c>
      <c r="AQ8" s="289">
        <v>0</v>
      </c>
      <c r="AR8" s="134" t="s">
        <v>381</v>
      </c>
      <c r="AS8" s="126" t="s">
        <v>382</v>
      </c>
      <c r="AT8" s="128">
        <v>1</v>
      </c>
      <c r="AU8" s="130">
        <v>3</v>
      </c>
      <c r="AV8" s="135">
        <v>0</v>
      </c>
      <c r="AW8" s="132"/>
    </row>
    <row r="9" spans="1:49" ht="12.75">
      <c r="A9" s="2"/>
      <c r="B9" s="70">
        <v>6</v>
      </c>
      <c r="C9" s="71" t="s">
        <v>383</v>
      </c>
      <c r="D9" s="72" t="s">
        <v>374</v>
      </c>
      <c r="E9" s="73">
        <f>IFERROR(VLOOKUP($I$24&amp;$D9,'Database-Hidden'!$C$2:$J$120,4,FALSE)-P9+AG9,"")</f>
        <v>5</v>
      </c>
      <c r="F9" s="74">
        <f>IFERROR(VLOOKUP($I$24&amp;$D9,'Database-Hidden'!$C$2:$J$120,5,FALSE)-Q9+AH9,"")</f>
        <v>2</v>
      </c>
      <c r="G9" s="74">
        <f>IFERROR(VLOOKUP($I$24&amp;$D9,'Database-Hidden'!$C$2:$J$120,6,FALSE)-R9+AI9,"")</f>
        <v>3</v>
      </c>
      <c r="H9" s="75">
        <f>IFERROR(VLOOKUP($I$24&amp;$D9,'Database-Hidden'!$C$2:$J$120,7,FALSE)-S9+AJ9,"")</f>
        <v>6</v>
      </c>
      <c r="I9" s="76" t="str">
        <f>IFERROR(VLOOKUP($I$24&amp;$D9,'Database-Hidden'!$C$2:$J$120,8,FALSE),"")</f>
        <v>Dodge, Right Stuff, Stunty</v>
      </c>
      <c r="J9" s="77" t="s">
        <v>384</v>
      </c>
      <c r="K9" s="78">
        <f t="shared" si="0"/>
        <v>2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7">
        <v>3</v>
      </c>
      <c r="W9" s="87">
        <v>1</v>
      </c>
      <c r="X9" s="83"/>
      <c r="Y9" s="83"/>
      <c r="Z9" s="88">
        <v>1</v>
      </c>
      <c r="AA9" s="89">
        <f t="shared" si="1"/>
        <v>16</v>
      </c>
      <c r="AB9" s="58">
        <f t="shared" si="2"/>
        <v>70000</v>
      </c>
      <c r="AC9" s="4"/>
      <c r="AD9" s="116">
        <f>IFERROR(VLOOKUP($I$24&amp;D9,'Database-Hidden'!$C$2:$E$120,3,FALSE),"")</f>
        <v>30000</v>
      </c>
      <c r="AE9" s="91">
        <v>2</v>
      </c>
      <c r="AF9" s="92"/>
      <c r="AG9" s="103"/>
      <c r="AH9" s="103"/>
      <c r="AI9" s="103"/>
      <c r="AJ9" s="103"/>
      <c r="AK9" s="62"/>
      <c r="AL9" s="394" t="str">
        <f>IF(LEFT($D9,6)&lt;&gt;"Star: ","",VLOOKUP(RIGHT($D9,LEN($D9)-6),'Star Players-Hidden'!$A$3:$AK$87,37,FALSE))</f>
        <v/>
      </c>
      <c r="AM9" s="4"/>
      <c r="AN9" s="117" t="s">
        <v>94</v>
      </c>
      <c r="AO9" s="119">
        <v>70000</v>
      </c>
      <c r="AP9" s="121">
        <v>0</v>
      </c>
      <c r="AQ9" s="289">
        <v>10000</v>
      </c>
      <c r="AR9" s="134" t="s">
        <v>2</v>
      </c>
      <c r="AS9" s="126" t="s">
        <v>375</v>
      </c>
      <c r="AT9" s="128">
        <v>2</v>
      </c>
      <c r="AU9" s="130">
        <v>0</v>
      </c>
      <c r="AV9" s="131">
        <f>1</f>
        <v>1</v>
      </c>
      <c r="AW9" s="132"/>
    </row>
    <row r="10" spans="1:49" ht="12.75">
      <c r="A10" s="2"/>
      <c r="B10" s="70">
        <v>7</v>
      </c>
      <c r="C10" s="71" t="s">
        <v>385</v>
      </c>
      <c r="D10" s="72" t="s">
        <v>374</v>
      </c>
      <c r="E10" s="73">
        <f>IFERROR(VLOOKUP($I$24&amp;$D10,'Database-Hidden'!$C$2:$J$120,4,FALSE)-P10+AG10,"")</f>
        <v>5</v>
      </c>
      <c r="F10" s="74">
        <f>IFERROR(VLOOKUP($I$24&amp;$D10,'Database-Hidden'!$C$2:$J$120,5,FALSE)-Q10+AH10,"")</f>
        <v>2</v>
      </c>
      <c r="G10" s="74">
        <f>IFERROR(VLOOKUP($I$24&amp;$D10,'Database-Hidden'!$C$2:$J$120,6,FALSE)-R10+AI10,"")</f>
        <v>3</v>
      </c>
      <c r="H10" s="75">
        <f>IFERROR(VLOOKUP($I$24&amp;$D10,'Database-Hidden'!$C$2:$J$120,7,FALSE)-S10+AJ10,"")</f>
        <v>6</v>
      </c>
      <c r="I10" s="76" t="str">
        <f>IFERROR(VLOOKUP($I$24&amp;$D10,'Database-Hidden'!$C$2:$J$120,8,FALSE),"")</f>
        <v>Dodge, Right Stuff, Stunty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>
        <v>1</v>
      </c>
      <c r="AA10" s="89">
        <f t="shared" si="1"/>
        <v>5</v>
      </c>
      <c r="AB10" s="58">
        <f t="shared" si="2"/>
        <v>30000</v>
      </c>
      <c r="AC10" s="4"/>
      <c r="AD10" s="116">
        <f>IFERROR(VLOOKUP($I$24&amp;D10,'Database-Hidden'!$C$2:$E$120,3,FALSE),"")</f>
        <v>30000</v>
      </c>
      <c r="AE10" s="91"/>
      <c r="AF10" s="92"/>
      <c r="AG10" s="103"/>
      <c r="AH10" s="103"/>
      <c r="AI10" s="103"/>
      <c r="AJ10" s="103"/>
      <c r="AK10" s="62"/>
      <c r="AL10" s="394" t="str">
        <f>IF(LEFT($D10,6)&lt;&gt;"Star: ","",VLOOKUP(RIGHT($D10,LEN($D10)-6),'Star Players-Hidden'!$A$3:$AK$87,37,FALSE))</f>
        <v/>
      </c>
      <c r="AM10" s="4"/>
      <c r="AN10" s="117" t="s">
        <v>96</v>
      </c>
      <c r="AO10" s="119"/>
      <c r="AP10" s="120"/>
      <c r="AQ10" s="289"/>
      <c r="AR10" s="134"/>
      <c r="AS10" s="126"/>
      <c r="AT10" s="128"/>
      <c r="AU10" s="130"/>
      <c r="AV10" s="135"/>
      <c r="AW10" s="132"/>
    </row>
    <row r="11" spans="1:49" ht="12.75">
      <c r="A11" s="2"/>
      <c r="B11" s="70">
        <v>8</v>
      </c>
      <c r="C11" s="71" t="s">
        <v>386</v>
      </c>
      <c r="D11" s="72" t="s">
        <v>374</v>
      </c>
      <c r="E11" s="73">
        <f>IFERROR(VLOOKUP($I$24&amp;$D11,'Database-Hidden'!$C$2:$J$120,4,FALSE)-P11+AG11,"")</f>
        <v>5</v>
      </c>
      <c r="F11" s="74">
        <f>IFERROR(VLOOKUP($I$24&amp;$D11,'Database-Hidden'!$C$2:$J$120,5,FALSE)-Q11+AH11,"")</f>
        <v>2</v>
      </c>
      <c r="G11" s="74">
        <f>IFERROR(VLOOKUP($I$24&amp;$D11,'Database-Hidden'!$C$2:$J$120,6,FALSE)-R11+AI11,"")</f>
        <v>3</v>
      </c>
      <c r="H11" s="75">
        <f>IFERROR(VLOOKUP($I$24&amp;$D11,'Database-Hidden'!$C$2:$J$120,7,FALSE)-S11+AJ11,"")</f>
        <v>6</v>
      </c>
      <c r="I11" s="76" t="str">
        <f>IFERROR(VLOOKUP($I$24&amp;$D11,'Database-Hidden'!$C$2:$J$120,8,FALSE),"")</f>
        <v>Dodge, Right Stuff, Stunty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30000</v>
      </c>
      <c r="AC11" s="4"/>
      <c r="AD11" s="116">
        <f>IFERROR(VLOOKUP($I$24&amp;D11,'Database-Hidden'!$C$2:$E$120,3,FALSE),"")</f>
        <v>30000</v>
      </c>
      <c r="AE11" s="138"/>
      <c r="AF11" s="103"/>
      <c r="AG11" s="103"/>
      <c r="AH11" s="103"/>
      <c r="AI11" s="103"/>
      <c r="AJ11" s="103"/>
      <c r="AK11" s="62"/>
      <c r="AL11" s="394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</row>
    <row r="12" spans="1:49" ht="12.75">
      <c r="A12" s="2"/>
      <c r="B12" s="70">
        <v>9</v>
      </c>
      <c r="C12" s="71" t="s">
        <v>388</v>
      </c>
      <c r="D12" s="72" t="s">
        <v>374</v>
      </c>
      <c r="E12" s="73">
        <f>IFERROR(VLOOKUP($I$24&amp;$D12,'Database-Hidden'!$C$2:$J$120,4,FALSE)-P12+AG12,"")</f>
        <v>5</v>
      </c>
      <c r="F12" s="74">
        <f>IFERROR(VLOOKUP($I$24&amp;$D12,'Database-Hidden'!$C$2:$J$120,5,FALSE)-Q12+AH12,"")</f>
        <v>2</v>
      </c>
      <c r="G12" s="74">
        <f>IFERROR(VLOOKUP($I$24&amp;$D12,'Database-Hidden'!$C$2:$J$120,6,FALSE)-R12+AI12,"")</f>
        <v>3</v>
      </c>
      <c r="H12" s="75">
        <f>IFERROR(VLOOKUP($I$24&amp;$D12,'Database-Hidden'!$C$2:$J$120,7,FALSE)-S12+AJ12,"")</f>
        <v>6</v>
      </c>
      <c r="I12" s="76" t="str">
        <f>IFERROR(VLOOKUP($I$24&amp;$D12,'Database-Hidden'!$C$2:$J$120,8,FALSE),"")</f>
        <v>Dodge, Right Stuff, Stunty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30000</v>
      </c>
      <c r="AC12" s="4"/>
      <c r="AD12" s="116">
        <f>IFERROR(VLOOKUP($I$24&amp;D12,'Database-Hidden'!$C$2:$E$120,3,FALSE),"")</f>
        <v>30000</v>
      </c>
      <c r="AE12" s="138"/>
      <c r="AF12" s="103"/>
      <c r="AG12" s="103"/>
      <c r="AH12" s="103"/>
      <c r="AI12" s="103"/>
      <c r="AJ12" s="103"/>
      <c r="AK12" s="62"/>
      <c r="AL12" s="394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</row>
    <row r="13" spans="1:49" ht="12.75">
      <c r="A13" s="2"/>
      <c r="B13" s="70">
        <v>10</v>
      </c>
      <c r="C13" s="71" t="s">
        <v>390</v>
      </c>
      <c r="D13" s="72" t="s">
        <v>374</v>
      </c>
      <c r="E13" s="73">
        <f>IFERROR(VLOOKUP($I$24&amp;$D13,'Database-Hidden'!$C$2:$J$120,4,FALSE)-P13+AG13,"")</f>
        <v>5</v>
      </c>
      <c r="F13" s="74">
        <f>IFERROR(VLOOKUP($I$24&amp;$D13,'Database-Hidden'!$C$2:$J$120,5,FALSE)-Q13+AH13,"")</f>
        <v>2</v>
      </c>
      <c r="G13" s="74">
        <f>IFERROR(VLOOKUP($I$24&amp;$D13,'Database-Hidden'!$C$2:$J$120,6,FALSE)-R13+AI13,"")</f>
        <v>3</v>
      </c>
      <c r="H13" s="75">
        <f>IFERROR(VLOOKUP($I$24&amp;$D13,'Database-Hidden'!$C$2:$J$120,7,FALSE)-S13+AJ13,"")</f>
        <v>6</v>
      </c>
      <c r="I13" s="76" t="str">
        <f>IFERROR(VLOOKUP($I$24&amp;$D13,'Database-Hidden'!$C$2:$J$120,8,FALSE),"")</f>
        <v>Dodge, Right Stuff, Stunty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30000</v>
      </c>
      <c r="AC13" s="4"/>
      <c r="AD13" s="116">
        <f>IFERROR(VLOOKUP($I$24&amp;D13,'Database-Hidden'!$C$2:$E$120,3,FALSE),"")</f>
        <v>30000</v>
      </c>
      <c r="AE13" s="138"/>
      <c r="AF13" s="92"/>
      <c r="AG13" s="103"/>
      <c r="AH13" s="103"/>
      <c r="AI13" s="103"/>
      <c r="AJ13" s="103"/>
      <c r="AK13" s="62"/>
      <c r="AL13" s="394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</row>
    <row r="14" spans="1:49" ht="12.75">
      <c r="A14" s="2"/>
      <c r="B14" s="70">
        <v>11</v>
      </c>
      <c r="C14" s="71" t="s">
        <v>391</v>
      </c>
      <c r="D14" s="72" t="s">
        <v>374</v>
      </c>
      <c r="E14" s="73">
        <f>IFERROR(VLOOKUP($I$24&amp;$D14,'Database-Hidden'!$C$2:$J$120,4,FALSE)-P14+AG14,"")</f>
        <v>5</v>
      </c>
      <c r="F14" s="74">
        <f>IFERROR(VLOOKUP($I$24&amp;$D14,'Database-Hidden'!$C$2:$J$120,5,FALSE)-Q14+AH14,"")</f>
        <v>2</v>
      </c>
      <c r="G14" s="74">
        <f>IFERROR(VLOOKUP($I$24&amp;$D14,'Database-Hidden'!$C$2:$J$120,6,FALSE)-R14+AI14,"")</f>
        <v>3</v>
      </c>
      <c r="H14" s="75">
        <f>IFERROR(VLOOKUP($I$24&amp;$D14,'Database-Hidden'!$C$2:$J$120,7,FALSE)-S14+AJ14,"")</f>
        <v>6</v>
      </c>
      <c r="I14" s="76" t="str">
        <f>IFERROR(VLOOKUP($I$24&amp;$D14,'Database-Hidden'!$C$2:$J$120,8,FALSE),"")</f>
        <v>Dodge, Right Stuff, Stunty</v>
      </c>
      <c r="J14" s="77" t="s">
        <v>163</v>
      </c>
      <c r="K14" s="78">
        <f t="shared" si="0"/>
        <v>1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7">
        <v>1</v>
      </c>
      <c r="W14" s="87">
        <v>1</v>
      </c>
      <c r="X14" s="83"/>
      <c r="Y14" s="303">
        <v>8</v>
      </c>
      <c r="Z14" s="88">
        <v>1</v>
      </c>
      <c r="AA14" s="89">
        <f t="shared" si="1"/>
        <v>10</v>
      </c>
      <c r="AB14" s="58">
        <f t="shared" si="2"/>
        <v>50000</v>
      </c>
      <c r="AC14" s="4"/>
      <c r="AD14" s="116">
        <f>IFERROR(VLOOKUP($I$24&amp;D14,'Database-Hidden'!$C$2:$E$120,3,FALSE),"")</f>
        <v>30000</v>
      </c>
      <c r="AE14" s="91">
        <v>1</v>
      </c>
      <c r="AF14" s="103"/>
      <c r="AG14" s="103"/>
      <c r="AH14" s="103"/>
      <c r="AI14" s="103"/>
      <c r="AJ14" s="103"/>
      <c r="AK14" s="62"/>
      <c r="AL14" s="394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</row>
    <row r="15" spans="1:49" ht="12.75">
      <c r="A15" s="2"/>
      <c r="B15" s="70">
        <v>12</v>
      </c>
      <c r="C15" s="71" t="s">
        <v>392</v>
      </c>
      <c r="D15" s="72" t="s">
        <v>374</v>
      </c>
      <c r="E15" s="73">
        <f>IFERROR(VLOOKUP($I$24&amp;$D15,'Database-Hidden'!$C$2:$J$120,4,FALSE)-P15+AG15,"")</f>
        <v>5</v>
      </c>
      <c r="F15" s="74">
        <f>IFERROR(VLOOKUP($I$24&amp;$D15,'Database-Hidden'!$C$2:$J$120,5,FALSE)-Q15+AH15,"")</f>
        <v>2</v>
      </c>
      <c r="G15" s="74">
        <f>IFERROR(VLOOKUP($I$24&amp;$D15,'Database-Hidden'!$C$2:$J$120,6,FALSE)-R15+AI15,"")</f>
        <v>3</v>
      </c>
      <c r="H15" s="75">
        <f>IFERROR(VLOOKUP($I$24&amp;$D15,'Database-Hidden'!$C$2:$J$120,7,FALSE)-S15+AJ15,"")</f>
        <v>6</v>
      </c>
      <c r="I15" s="76" t="str">
        <f>IFERROR(VLOOKUP($I$24&amp;$D15,'Database-Hidden'!$C$2:$J$120,8,FALSE),"")</f>
        <v>Dodge, Right Stuff, Stunty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303">
        <v>1</v>
      </c>
      <c r="Z15" s="88"/>
      <c r="AA15" s="89">
        <f t="shared" si="1"/>
        <v>0</v>
      </c>
      <c r="AB15" s="58">
        <f t="shared" si="2"/>
        <v>30000</v>
      </c>
      <c r="AC15" s="4"/>
      <c r="AD15" s="116">
        <f>IFERROR(VLOOKUP($I$24&amp;D15,'Database-Hidden'!$C$2:$E$120,3,FALSE),"")</f>
        <v>30000</v>
      </c>
      <c r="AE15" s="91"/>
      <c r="AF15" s="103"/>
      <c r="AG15" s="103"/>
      <c r="AH15" s="103"/>
      <c r="AI15" s="103"/>
      <c r="AJ15" s="103"/>
      <c r="AK15" s="62"/>
      <c r="AL15" s="394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</row>
    <row r="16" spans="1:49" ht="12.75">
      <c r="A16" s="2"/>
      <c r="B16" s="70">
        <v>13</v>
      </c>
      <c r="C16" s="71" t="s">
        <v>395</v>
      </c>
      <c r="D16" s="72" t="s">
        <v>374</v>
      </c>
      <c r="E16" s="73">
        <f>IFERROR(VLOOKUP($I$24&amp;$D16,'Database-Hidden'!$C$2:$J$120,4,FALSE)-P16+AG16,"")</f>
        <v>5</v>
      </c>
      <c r="F16" s="74">
        <f>IFERROR(VLOOKUP($I$24&amp;$D16,'Database-Hidden'!$C$2:$J$120,5,FALSE)-Q16+AH16,"")</f>
        <v>2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6</v>
      </c>
      <c r="I16" s="76" t="str">
        <f>IFERROR(VLOOKUP($I$24&amp;$D16,'Database-Hidden'!$C$2:$J$120,8,FALSE),"")</f>
        <v>Dodge, Right Stuff,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30000</v>
      </c>
      <c r="AC16" s="4"/>
      <c r="AD16" s="116">
        <f>IFERROR(VLOOKUP($I$24&amp;D16,'Database-Hidden'!$C$2:$E$120,3,FALSE),"")</f>
        <v>30000</v>
      </c>
      <c r="AE16" s="91"/>
      <c r="AF16" s="103"/>
      <c r="AG16" s="103"/>
      <c r="AH16" s="103"/>
      <c r="AI16" s="103"/>
      <c r="AJ16" s="103"/>
      <c r="AK16" s="62"/>
      <c r="AL16" s="394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</row>
    <row r="17" spans="1:49" ht="12.75">
      <c r="A17" s="2"/>
      <c r="B17" s="70">
        <v>14</v>
      </c>
      <c r="C17" s="71" t="s">
        <v>397</v>
      </c>
      <c r="D17" s="72" t="s">
        <v>374</v>
      </c>
      <c r="E17" s="73">
        <f>IFERROR(VLOOKUP($I$24&amp;$D17,'Database-Hidden'!$C$2:$J$120,4,FALSE)-P17+AG17,"")</f>
        <v>5</v>
      </c>
      <c r="F17" s="74">
        <f>IFERROR(VLOOKUP($I$24&amp;$D17,'Database-Hidden'!$C$2:$J$120,5,FALSE)-Q17+AH17,"")</f>
        <v>2</v>
      </c>
      <c r="G17" s="74">
        <f>IFERROR(VLOOKUP($I$24&amp;$D17,'Database-Hidden'!$C$2:$J$120,6,FALSE)-R17+AI17,"")</f>
        <v>3</v>
      </c>
      <c r="H17" s="75">
        <f>IFERROR(VLOOKUP($I$24&amp;$D17,'Database-Hidden'!$C$2:$J$120,7,FALSE)-S17+AJ17,"")</f>
        <v>6</v>
      </c>
      <c r="I17" s="76" t="str">
        <f>IFERROR(VLOOKUP($I$24&amp;$D17,'Database-Hidden'!$C$2:$J$120,8,FALSE),"")</f>
        <v>Dodge, Right Stuff, Stunty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30000</v>
      </c>
      <c r="AC17" s="4"/>
      <c r="AD17" s="116">
        <f>IFERROR(VLOOKUP($I$24&amp;D17,'Database-Hidden'!$C$2:$E$120,3,FALSE),"")</f>
        <v>30000</v>
      </c>
      <c r="AE17" s="91"/>
      <c r="AF17" s="103"/>
      <c r="AG17" s="103"/>
      <c r="AH17" s="103"/>
      <c r="AI17" s="103"/>
      <c r="AJ17" s="103"/>
      <c r="AK17" s="62"/>
      <c r="AL17" s="394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</row>
    <row r="18" spans="1:49" ht="12.75">
      <c r="A18" s="2"/>
      <c r="B18" s="70">
        <v>15</v>
      </c>
      <c r="C18" s="71"/>
      <c r="D18" s="72"/>
      <c r="E18" s="73" t="str">
        <f>IFERROR(VLOOKUP($I$24&amp;$D18,'Database-Hidden'!$C$2:$J$120,4,FALSE)-P18+AG18,"")</f>
        <v/>
      </c>
      <c r="F18" s="74" t="str">
        <f>IFERROR(VLOOKUP($I$24&amp;$D18,'Database-Hidden'!$C$2:$J$120,5,FALSE)-Q18+AH18,"")</f>
        <v/>
      </c>
      <c r="G18" s="74" t="str">
        <f>IFERROR(VLOOKUP($I$24&amp;$D18,'Database-Hidden'!$C$2:$J$120,6,FALSE)-R18+AI18,"")</f>
        <v/>
      </c>
      <c r="H18" s="75" t="str">
        <f>IFERROR(VLOOKUP($I$24&amp;$D18,'Database-Hidden'!$C$2:$J$120,7,FALSE)-S18+AJ18,"")</f>
        <v/>
      </c>
      <c r="I18" s="76" t="str">
        <f>IFERROR(VLOOKUP($I$24&amp;$D18,'Database-Hidden'!$C$2:$J$120,8,FALSE),"")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IFERROR(VLOOKUP($I$24&amp;D18,'Database-Hidden'!$C$2:$E$120,3,FALSE),"")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394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90000</v>
      </c>
      <c r="AP18" s="4"/>
      <c r="AQ18" s="4"/>
      <c r="AR18" s="67"/>
      <c r="AS18" s="148" t="s">
        <v>42</v>
      </c>
      <c r="AT18" s="150">
        <f t="shared" ref="AT18:AU18" si="3">SUM(AT6:AT17)</f>
        <v>6</v>
      </c>
      <c r="AU18" s="151">
        <f t="shared" si="3"/>
        <v>11</v>
      </c>
      <c r="AV18" s="152">
        <f>AV4+SUM(AV6:AV17)</f>
        <v>3</v>
      </c>
      <c r="AW18" s="5"/>
    </row>
    <row r="19" spans="1:49" ht="12.75">
      <c r="A19" s="2"/>
      <c r="B19" s="153">
        <v>16</v>
      </c>
      <c r="C19" s="154"/>
      <c r="D19" s="155"/>
      <c r="E19" s="73" t="str">
        <f>IFERROR(VLOOKUP($I$24&amp;$D19,'Database-Hidden'!$C$2:$J$120,4,FALSE)-P19+AG19,"")</f>
        <v/>
      </c>
      <c r="F19" s="74" t="str">
        <f>IFERROR(VLOOKUP($I$24&amp;$D19,'Database-Hidden'!$C$2:$J$120,5,FALSE)-Q19+AH19,"")</f>
        <v/>
      </c>
      <c r="G19" s="74" t="str">
        <f>IFERROR(VLOOKUP($I$24&amp;$D19,'Database-Hidden'!$C$2:$J$120,6,FALSE)-R19+AI19,"")</f>
        <v/>
      </c>
      <c r="H19" s="75" t="str">
        <f>IFERROR(VLOOKUP($I$24&amp;$D19,'Database-Hidden'!$C$2:$J$120,7,FALSE)-S19+AJ19,"")</f>
        <v/>
      </c>
      <c r="I19" s="76" t="str">
        <f>IFERROR(VLOOKUP($I$24&amp;$D19,'Database-Hidden'!$C$2:$J$120,8,FALSE),"")</f>
        <v/>
      </c>
      <c r="J19" s="77"/>
      <c r="K19" s="78">
        <f t="shared" si="0"/>
        <v>0</v>
      </c>
      <c r="L19" s="79"/>
      <c r="M19" s="79"/>
      <c r="N19" s="80"/>
      <c r="O19" s="81"/>
      <c r="P19" s="82"/>
      <c r="Q19" s="83"/>
      <c r="R19" s="83"/>
      <c r="S19" s="84"/>
      <c r="T19" s="85"/>
      <c r="U19" s="86"/>
      <c r="V19" s="86"/>
      <c r="W19" s="87"/>
      <c r="X19" s="83"/>
      <c r="Y19" s="83"/>
      <c r="Z19" s="88"/>
      <c r="AA19" s="89">
        <f t="shared" si="1"/>
        <v>0</v>
      </c>
      <c r="AB19" s="58"/>
      <c r="AC19" s="4"/>
      <c r="AD19" s="174" t="str">
        <f>IFERROR(VLOOKUP($I$24&amp;D19,'Database-Hidden'!$C$2:$E$120,3,FALSE),"")</f>
        <v/>
      </c>
      <c r="AE19" s="175"/>
      <c r="AF19" s="176"/>
      <c r="AG19" s="176"/>
      <c r="AH19" s="176"/>
      <c r="AI19" s="176"/>
      <c r="AJ19" s="176"/>
      <c r="AK19" s="177"/>
      <c r="AL19" s="395" t="str">
        <f>IF(LEFT($D19,6)&lt;&gt;"Star: ","",VLOOKUP(RIGHT($D19,LEN($D19)-6),'Star Players-Hidden'!$A$3:$AK$87,37,FALSE))</f>
        <v/>
      </c>
      <c r="AM19" s="4"/>
      <c r="AV19" s="179"/>
    </row>
    <row r="20" spans="1:49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710000</v>
      </c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</row>
    <row r="21" spans="1:49" ht="12.75">
      <c r="A21" s="2"/>
      <c r="B21" s="531"/>
      <c r="C21" s="507"/>
      <c r="D21" s="532"/>
      <c r="E21" s="538" t="s">
        <v>117</v>
      </c>
      <c r="F21" s="507"/>
      <c r="G21" s="507"/>
      <c r="H21" s="539"/>
      <c r="I21" s="536" t="s">
        <v>39</v>
      </c>
      <c r="J21" s="507"/>
      <c r="K21" s="53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IFERROR(VLOOKUP(I24,'Database-Hidden'!N2:O28,2,FALSE),"")</f>
        <v>60000</v>
      </c>
      <c r="W21" s="525"/>
      <c r="X21" s="525"/>
      <c r="Y21" s="525"/>
      <c r="Z21" s="525"/>
      <c r="AA21" s="528"/>
      <c r="AB21" s="184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531"/>
      <c r="C22" s="507"/>
      <c r="D22" s="532"/>
      <c r="E22" s="507"/>
      <c r="F22" s="507"/>
      <c r="G22" s="507"/>
      <c r="H22" s="539"/>
      <c r="I22" s="531"/>
      <c r="J22" s="507"/>
      <c r="K22" s="532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3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30000</v>
      </c>
      <c r="AC22" s="4"/>
      <c r="AD22" s="1"/>
      <c r="AE22" s="4"/>
      <c r="AF22" s="4"/>
      <c r="AG22" s="4"/>
      <c r="AH22" s="4"/>
      <c r="AI22" s="4"/>
      <c r="AJ22" s="4"/>
      <c r="AK22" s="4"/>
      <c r="AL22" s="5"/>
      <c r="AM22" s="4"/>
      <c r="AN22" s="188" t="s">
        <v>123</v>
      </c>
      <c r="AO22" s="189">
        <f>AO18</f>
        <v>90000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531"/>
      <c r="C23" s="507"/>
      <c r="D23" s="532"/>
      <c r="E23" s="525"/>
      <c r="F23" s="525"/>
      <c r="G23" s="525"/>
      <c r="H23" s="540"/>
      <c r="I23" s="537"/>
      <c r="J23" s="525"/>
      <c r="K23" s="528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1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10000</v>
      </c>
      <c r="AC23" s="4"/>
      <c r="AD23" s="1"/>
      <c r="AE23" s="4"/>
      <c r="AF23" s="1"/>
      <c r="AG23" s="4"/>
      <c r="AH23" s="4"/>
      <c r="AI23" s="4"/>
      <c r="AJ23" s="4"/>
      <c r="AK23" s="4"/>
      <c r="AL23" s="5"/>
      <c r="AM23" s="4"/>
      <c r="AN23" s="192" t="s">
        <v>125</v>
      </c>
      <c r="AO23" s="193">
        <f>COUNTA(AR6:AR17)*10000</f>
        <v>40000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531"/>
      <c r="C24" s="507"/>
      <c r="D24" s="532"/>
      <c r="E24" s="529" t="s">
        <v>126</v>
      </c>
      <c r="F24" s="509"/>
      <c r="G24" s="509"/>
      <c r="H24" s="512"/>
      <c r="I24" s="543" t="s">
        <v>41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1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10000</v>
      </c>
      <c r="AC24" s="4"/>
      <c r="AD24" s="1"/>
      <c r="AE24" s="4"/>
      <c r="AF24" s="4"/>
      <c r="AG24" s="4"/>
      <c r="AH24" s="4"/>
      <c r="AI24" s="4"/>
      <c r="AJ24" s="4"/>
      <c r="AK24" s="4"/>
      <c r="AL24" s="5"/>
      <c r="AM24" s="4"/>
      <c r="AN24" s="192" t="s">
        <v>78</v>
      </c>
      <c r="AO24" s="193">
        <f>AT18*5000</f>
        <v>30000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531"/>
      <c r="C25" s="507"/>
      <c r="D25" s="532"/>
      <c r="E25" s="529" t="str">
        <f>IFERROR(IF(VLOOKUP(I24,'Database-Hidden'!X2:Y28,2,FALSE)="Yes","NECROMANCER","HEAD COACH"),"HEAD COACH")</f>
        <v>HEAD COACH</v>
      </c>
      <c r="F25" s="509"/>
      <c r="G25" s="509"/>
      <c r="H25" s="512"/>
      <c r="I25" s="543" t="s">
        <v>400</v>
      </c>
      <c r="J25" s="509"/>
      <c r="K25" s="510"/>
      <c r="L25" s="511" t="str">
        <f>IFERROR(IF(VLOOKUP(I24,'Database-Hidden'!X2:Y28,1,FALSE)&lt;&gt;"","",""),"APOTHECARY")</f>
        <v>APOTHECARY</v>
      </c>
      <c r="M25" s="509"/>
      <c r="N25" s="509"/>
      <c r="O25" s="509"/>
      <c r="P25" s="509"/>
      <c r="Q25" s="509"/>
      <c r="R25" s="509"/>
      <c r="S25" s="512"/>
      <c r="T25" s="190">
        <v>1</v>
      </c>
      <c r="U25" s="186" t="str">
        <f>IF(L25&lt;&gt;"","x","")</f>
        <v>x</v>
      </c>
      <c r="V25" s="508">
        <f>IF(L25&lt;&gt;"",50000,"")</f>
        <v>50000</v>
      </c>
      <c r="W25" s="509"/>
      <c r="X25" s="509"/>
      <c r="Y25" s="509"/>
      <c r="Z25" s="509"/>
      <c r="AA25" s="510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5"/>
      <c r="AM25" s="4"/>
      <c r="AN25" s="194" t="s">
        <v>130</v>
      </c>
      <c r="AO25" s="195">
        <f>AU18*5000</f>
        <v>55000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531"/>
      <c r="C26" s="507"/>
      <c r="D26" s="532"/>
      <c r="E26" s="529" t="s">
        <v>131</v>
      </c>
      <c r="F26" s="509"/>
      <c r="G26" s="509"/>
      <c r="H26" s="509"/>
      <c r="I26" s="548">
        <f>AB20+AB28</f>
        <v>1090000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1</v>
      </c>
      <c r="U26" s="186" t="s">
        <v>47</v>
      </c>
      <c r="V26" s="508">
        <f>IF(I24="Halfling",200000,600000)</f>
        <v>200000</v>
      </c>
      <c r="W26" s="509"/>
      <c r="X26" s="509"/>
      <c r="Y26" s="509"/>
      <c r="Z26" s="509"/>
      <c r="AA26" s="510"/>
      <c r="AB26" s="187">
        <f t="shared" ref="AB26:AB27" si="5">T26*V26/2</f>
        <v>100000</v>
      </c>
      <c r="AC26" s="4"/>
      <c r="AD26" s="1"/>
      <c r="AE26" s="4"/>
      <c r="AF26" s="4"/>
      <c r="AG26" s="4"/>
      <c r="AH26" s="4"/>
      <c r="AI26" s="4"/>
      <c r="AJ26" s="4"/>
      <c r="AK26" s="4"/>
      <c r="AL26" s="5"/>
      <c r="AM26" s="4"/>
      <c r="AN26" s="196" t="s">
        <v>42</v>
      </c>
      <c r="AO26" s="197">
        <v>210000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531"/>
      <c r="C27" s="507"/>
      <c r="D27" s="532"/>
      <c r="E27" s="541" t="s">
        <v>133</v>
      </c>
      <c r="F27" s="542"/>
      <c r="G27" s="542"/>
      <c r="H27" s="542"/>
      <c r="I27" s="549">
        <f>AO18</f>
        <v>90000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0</v>
      </c>
      <c r="U27" s="199" t="s">
        <v>47</v>
      </c>
      <c r="V27" s="546">
        <f>IF(I24="Goblin",100000,200000)</f>
        <v>200000</v>
      </c>
      <c r="W27" s="542"/>
      <c r="X27" s="542"/>
      <c r="Y27" s="542"/>
      <c r="Z27" s="542"/>
      <c r="AA27" s="547"/>
      <c r="AB27" s="187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5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533"/>
      <c r="C28" s="534"/>
      <c r="D28" s="535"/>
      <c r="E28" s="522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SUM(AB21:AB27)</f>
        <v>380000</v>
      </c>
      <c r="AC28" s="4"/>
      <c r="AD28" s="1"/>
      <c r="AE28" s="4"/>
      <c r="AF28" s="4"/>
      <c r="AG28" s="4"/>
      <c r="AH28" s="4"/>
      <c r="AI28" s="4"/>
      <c r="AJ28" s="4"/>
      <c r="AK28" s="4"/>
      <c r="AL28" s="5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5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09">
        <f>MATCH(I24,'Database-Hidden'!A2:A120,0)</f>
        <v>48</v>
      </c>
      <c r="D30" s="209" t="str">
        <f t="shared" ref="D30:D39" si="6">I30&amp;IF(COUNTIF(D$4:D$19,I30)&gt;E30," (Too Many)","")</f>
        <v>Hopeful</v>
      </c>
      <c r="E30" s="210">
        <f t="array" ref="E30">IFERROR(IF(INDEX('Database-Hidden'!$A$2:$B$120,$C30,1)=$I$24,INDEX('Database-Hidden'!$A$2:$D$120,$C30,4),""),"")</f>
        <v>16</v>
      </c>
      <c r="I30" s="209" t="str">
        <f t="array" ref="I30">IFERROR(IF(INDEX('Database-Hidden'!$A$2:$B$120,$C30,1)=$I$24,INDEX('Database-Hidden'!$A$2:$B$120,$C30,2),""),"")</f>
        <v>Hopeful</v>
      </c>
      <c r="AL30" s="396"/>
      <c r="AV30" s="179"/>
    </row>
    <row r="31" spans="1:49" ht="17.25" hidden="1" customHeight="1">
      <c r="C31" s="209">
        <f t="shared" ref="C31:C39" si="7">C30+1</f>
        <v>49</v>
      </c>
      <c r="D31" s="209" t="str">
        <f t="shared" si="6"/>
        <v>Treeman</v>
      </c>
      <c r="E31" s="210">
        <f t="array" ref="E31">IFERROR(IF(INDEX('Database-Hidden'!$A$2:$B$120,$C31,1)=$I$24,INDEX('Database-Hidden'!$A$2:$D$120,$C31,4),""),"")</f>
        <v>2</v>
      </c>
      <c r="I31" s="209" t="str">
        <f t="array" ref="I31">IFERROR(IF(INDEX('Database-Hidden'!$A$2:$B$120,$C31,1)=$I$24,INDEX('Database-Hidden'!$A$2:$B$120,$C31,2),""),"")</f>
        <v>Treeman</v>
      </c>
      <c r="AL31" s="396"/>
      <c r="AV31" s="179"/>
    </row>
    <row r="32" spans="1:49" ht="17.25" hidden="1" customHeight="1">
      <c r="C32" s="209">
        <f t="shared" si="7"/>
        <v>50</v>
      </c>
      <c r="D32" s="209" t="str">
        <f t="shared" si="6"/>
        <v/>
      </c>
      <c r="E32" s="210" t="str">
        <f t="array" ref="E32">IFERROR(IF(INDEX('Database-Hidden'!$A$2:$B$120,$C32,1)=$I$24,INDEX('Database-Hidden'!$A$2:$D$120,$C32,4),""),"")</f>
        <v/>
      </c>
      <c r="I32" s="209" t="str">
        <f t="array" ref="I32">IFERROR(IF(INDEX('Database-Hidden'!$A$2:$B$120,$C32,1)=$I$24,INDEX('Database-Hidden'!$A$2:$B$120,$C32,2),""),"")</f>
        <v/>
      </c>
      <c r="AL32" s="396"/>
      <c r="AV32" s="179"/>
    </row>
    <row r="33" spans="3:48" ht="17.25" hidden="1" customHeight="1">
      <c r="C33" s="209">
        <f t="shared" si="7"/>
        <v>51</v>
      </c>
      <c r="D33" s="209" t="str">
        <f t="shared" si="6"/>
        <v/>
      </c>
      <c r="E33" s="210" t="str">
        <f t="array" ref="E33">IFERROR(IF(INDEX('Database-Hidden'!$A$2:$B$120,$C33,1)=$I$24,INDEX('Database-Hidden'!$A$2:$D$120,$C33,4),""),"")</f>
        <v/>
      </c>
      <c r="I33" s="209" t="str">
        <f t="array" ref="I33">IFERROR(IF(INDEX('Database-Hidden'!$A$2:$B$120,$C33,1)=$I$24,INDEX('Database-Hidden'!$A$2:$B$120,$C33,2),""),"")</f>
        <v/>
      </c>
      <c r="AL33" s="396"/>
      <c r="AV33" s="179"/>
    </row>
    <row r="34" spans="3:48" ht="17.25" hidden="1" customHeight="1">
      <c r="C34" s="209">
        <f t="shared" si="7"/>
        <v>52</v>
      </c>
      <c r="D34" s="209" t="str">
        <f t="shared" si="6"/>
        <v/>
      </c>
      <c r="E34" s="210" t="str">
        <f t="array" ref="E34">IFERROR(IF(INDEX('Database-Hidden'!$A$2:$B$120,$C34,1)=$I$24,INDEX('Database-Hidden'!$A$2:$D$120,$C34,4),""),"")</f>
        <v/>
      </c>
      <c r="I34" s="209" t="str">
        <f t="array" ref="I34">IFERROR(IF(INDEX('Database-Hidden'!$A$2:$B$120,$C34,1)=$I$24,INDEX('Database-Hidden'!$A$2:$B$120,$C34,2),""),"")</f>
        <v/>
      </c>
      <c r="AL34" s="396"/>
      <c r="AV34" s="179"/>
    </row>
    <row r="35" spans="3:48" ht="17.25" hidden="1" customHeight="1">
      <c r="C35" s="209">
        <f t="shared" si="7"/>
        <v>53</v>
      </c>
      <c r="D35" s="209" t="str">
        <f t="shared" si="6"/>
        <v/>
      </c>
      <c r="E35" s="210" t="str">
        <f t="array" ref="E35">IFERROR(IF(INDEX('Database-Hidden'!$A$2:$B$120,$C35,1)=$I$24,INDEX('Database-Hidden'!$A$2:$D$120,$C35,4),""),"")</f>
        <v/>
      </c>
      <c r="I35" s="209" t="str">
        <f t="array" ref="I35">IFERROR(IF(INDEX('Database-Hidden'!$A$2:$B$120,$C35,1)=$I$24,INDEX('Database-Hidden'!$A$2:$B$120,$C35,2),""),"")</f>
        <v/>
      </c>
      <c r="AL35" s="396"/>
      <c r="AV35" s="179"/>
    </row>
    <row r="36" spans="3:48" ht="17.25" hidden="1" customHeight="1">
      <c r="C36" s="209">
        <f t="shared" si="7"/>
        <v>54</v>
      </c>
      <c r="D36" s="209" t="str">
        <f t="shared" si="6"/>
        <v/>
      </c>
      <c r="E36" s="210" t="str">
        <f t="array" ref="E36">IFERROR(IF(INDEX('Database-Hidden'!$A$2:$B$120,$C36,1)=$I$24,INDEX('Database-Hidden'!$A$2:$D$120,$C36,4),""),"")</f>
        <v/>
      </c>
      <c r="I36" s="209" t="str">
        <f t="array" ref="I36">IFERROR(IF(INDEX('Database-Hidden'!$A$2:$B$120,$C36,1)=$I$24,INDEX('Database-Hidden'!$A$2:$B$120,$C36,2),""),"")</f>
        <v/>
      </c>
      <c r="AL36" s="396"/>
      <c r="AV36" s="179"/>
    </row>
    <row r="37" spans="3:48" ht="17.25" hidden="1" customHeight="1">
      <c r="C37" s="209">
        <f t="shared" si="7"/>
        <v>55</v>
      </c>
      <c r="D37" s="209" t="str">
        <f t="shared" si="6"/>
        <v/>
      </c>
      <c r="E37" s="210" t="str">
        <f t="array" ref="E37">IFERROR(IF(INDEX('Database-Hidden'!$A$2:$B$120,$C37,1)=$I$24,INDEX('Database-Hidden'!$A$2:$D$120,$C37,4),""),"")</f>
        <v/>
      </c>
      <c r="I37" s="209" t="str">
        <f t="array" ref="I37">IFERROR(IF(INDEX('Database-Hidden'!$A$2:$B$120,$C37,1)=$I$24,INDEX('Database-Hidden'!$A$2:$B$120,$C37,2),""),"")</f>
        <v/>
      </c>
      <c r="AL37" s="396"/>
      <c r="AV37" s="179"/>
    </row>
    <row r="38" spans="3:48" ht="17.25" hidden="1" customHeight="1">
      <c r="C38" s="209">
        <f t="shared" si="7"/>
        <v>56</v>
      </c>
      <c r="D38" s="209" t="str">
        <f t="shared" si="6"/>
        <v/>
      </c>
      <c r="E38" s="210" t="str">
        <f t="array" ref="E38">IFERROR(IF(INDEX('Database-Hidden'!$A$2:$B$120,$C38,1)=$I$24,INDEX('Database-Hidden'!$A$2:$D$120,$C38,4),""),"")</f>
        <v/>
      </c>
      <c r="I38" s="209" t="str">
        <f t="array" ref="I38">IFERROR(IF(INDEX('Database-Hidden'!$A$2:$B$120,$C38,1)=$I$24,INDEX('Database-Hidden'!$A$2:$B$120,$C38,2),""),"")</f>
        <v/>
      </c>
      <c r="AL38" s="396"/>
      <c r="AV38" s="179"/>
    </row>
    <row r="39" spans="3:48" ht="17.25" hidden="1" customHeight="1">
      <c r="C39" s="209">
        <f t="shared" si="7"/>
        <v>57</v>
      </c>
      <c r="D39" s="209" t="str">
        <f t="shared" si="6"/>
        <v/>
      </c>
      <c r="E39" s="210" t="str">
        <f t="array" ref="E39">IFERROR(IF(INDEX('Database-Hidden'!$A$2:$B$120,$C39,1)=$I$24,INDEX('Database-Hidden'!$A$2:$D$120,$C39,4),""),"")</f>
        <v/>
      </c>
      <c r="I39" s="209" t="str">
        <f t="array" ref="I39">IFERROR(IF(INDEX('Database-Hidden'!$A$2:$B$120,$C39,1)=$I$24,INDEX('Database-Hidden'!$A$2:$B$120,$C39,2),""),"")</f>
        <v/>
      </c>
      <c r="AL39" s="396"/>
      <c r="AV39" s="179"/>
    </row>
    <row r="40" spans="3:48" ht="17.25" hidden="1" customHeight="1">
      <c r="C40" s="211">
        <f>MATCH(I24,'Star Players-Hidden'!D2:AD2,0)</f>
        <v>10</v>
      </c>
      <c r="D40" s="211" t="str">
        <f t="shared" ref="D40:D51" ca="1" si="8">I40&amp;IF(COUNTIF(D$4:D$19,I40)&gt;1," (Too Many)","")</f>
        <v>Star: Bertha Bigfist</v>
      </c>
      <c r="E40" s="212"/>
      <c r="F40" s="212"/>
      <c r="G40" s="212"/>
      <c r="H40" s="212"/>
      <c r="I40" s="211" t="str">
        <f ca="1">IFERROR(__xludf.DUMMYFUNCTION("FILTER({""Star: ""&amp;'Star Players-Hidden'!A3:A87},INDEX('Star Players-Hidden'!D3:AD87,0,C40)&lt;&gt;"""",{'Star Players-Hidden'!C3:C87=""""}+{'Star Players-Hidden'!C3:C87=I21})"),"Star: Bertha Bigfist")</f>
        <v>Star: Bertha Bigfist</v>
      </c>
      <c r="AL40" s="396"/>
      <c r="AV40" s="179"/>
    </row>
    <row r="41" spans="3:48" ht="17.25" hidden="1" customHeight="1">
      <c r="C41" s="209"/>
      <c r="D41" s="209" t="str">
        <f t="shared" si="8"/>
        <v>Star: Buggy Baconbreath</v>
      </c>
      <c r="I41" s="213" t="s">
        <v>404</v>
      </c>
      <c r="AL41" s="396"/>
      <c r="AV41" s="179"/>
    </row>
    <row r="42" spans="3:48" ht="17.25" hidden="1" customHeight="1">
      <c r="C42" s="209"/>
      <c r="D42" s="209" t="str">
        <f t="shared" si="8"/>
        <v>Star: Deeproot Strongbranch</v>
      </c>
      <c r="I42" s="209" t="s">
        <v>405</v>
      </c>
      <c r="AL42" s="396"/>
      <c r="AV42" s="179"/>
    </row>
    <row r="43" spans="3:48" ht="17.25" hidden="1" customHeight="1">
      <c r="C43" s="209"/>
      <c r="D43" s="209" t="str">
        <f t="shared" si="8"/>
        <v>Star: Karla Von Kill</v>
      </c>
      <c r="I43" s="209" t="s">
        <v>233</v>
      </c>
      <c r="AL43" s="396"/>
      <c r="AV43" s="179"/>
    </row>
    <row r="44" spans="3:48" ht="17.25" hidden="1" customHeight="1">
      <c r="C44" s="209"/>
      <c r="D44" s="209" t="str">
        <f t="shared" si="8"/>
        <v>Star: Morg'n'Thorg</v>
      </c>
      <c r="I44" s="209" t="s">
        <v>144</v>
      </c>
      <c r="AL44" s="396"/>
      <c r="AV44" s="179"/>
    </row>
    <row r="45" spans="3:48" ht="17.25" hidden="1" customHeight="1">
      <c r="C45" s="209"/>
      <c r="D45" s="209" t="str">
        <f t="shared" si="8"/>
        <v>Star: Willow Rosebark</v>
      </c>
      <c r="I45" s="209" t="s">
        <v>406</v>
      </c>
      <c r="AL45" s="396"/>
      <c r="AV45" s="179"/>
    </row>
    <row r="46" spans="3:48" ht="17.25" hidden="1" customHeight="1">
      <c r="C46" s="209"/>
      <c r="D46" s="209" t="str">
        <f t="shared" si="8"/>
        <v>Star: Zara the Slayer</v>
      </c>
      <c r="I46" s="209" t="s">
        <v>148</v>
      </c>
      <c r="AL46" s="396"/>
      <c r="AV46" s="179"/>
    </row>
    <row r="47" spans="3:48" ht="17.25" hidden="1" customHeight="1">
      <c r="C47" s="209"/>
      <c r="D47" s="209" t="str">
        <f t="shared" si="8"/>
        <v/>
      </c>
      <c r="I47" s="209"/>
      <c r="AL47" s="396"/>
      <c r="AV47" s="179"/>
    </row>
    <row r="48" spans="3:48" ht="17.25" hidden="1" customHeight="1">
      <c r="C48" s="209"/>
      <c r="D48" s="209" t="str">
        <f t="shared" si="8"/>
        <v/>
      </c>
      <c r="I48" s="209"/>
      <c r="AL48" s="396"/>
      <c r="AV48" s="179"/>
    </row>
    <row r="49" spans="3:48" ht="17.25" hidden="1" customHeight="1">
      <c r="C49" s="209"/>
      <c r="D49" s="209" t="str">
        <f t="shared" si="8"/>
        <v/>
      </c>
      <c r="I49" s="209"/>
      <c r="AL49" s="396"/>
      <c r="AV49" s="179"/>
    </row>
    <row r="50" spans="3:48" ht="17.25" hidden="1" customHeight="1">
      <c r="C50" s="209"/>
      <c r="D50" s="209" t="str">
        <f t="shared" si="8"/>
        <v/>
      </c>
      <c r="I50" s="209"/>
      <c r="AL50" s="396"/>
      <c r="AV50" s="179"/>
    </row>
    <row r="51" spans="3:48" ht="17.25" hidden="1" customHeight="1">
      <c r="C51" s="209"/>
      <c r="D51" s="209" t="str">
        <f t="shared" si="8"/>
        <v/>
      </c>
      <c r="I51" s="209"/>
      <c r="AL51" s="396"/>
      <c r="AV51" s="179"/>
    </row>
  </sheetData>
  <mergeCells count="31">
    <mergeCell ref="E24:H24"/>
    <mergeCell ref="B20:D28"/>
    <mergeCell ref="I21:K23"/>
    <mergeCell ref="E21:H23"/>
    <mergeCell ref="E26:H26"/>
    <mergeCell ref="E27:H27"/>
    <mergeCell ref="E25:H25"/>
    <mergeCell ref="I25:K25"/>
    <mergeCell ref="E28:AA28"/>
    <mergeCell ref="L26:S26"/>
    <mergeCell ref="L27:S27"/>
    <mergeCell ref="V26:AA26"/>
    <mergeCell ref="V27:AA27"/>
    <mergeCell ref="I24:K24"/>
    <mergeCell ref="I26:K26"/>
    <mergeCell ref="I27:K27"/>
    <mergeCell ref="P2:S2"/>
    <mergeCell ref="AN21:AO21"/>
    <mergeCell ref="V22:AA22"/>
    <mergeCell ref="E20:AA20"/>
    <mergeCell ref="L22:S22"/>
    <mergeCell ref="L21:S21"/>
    <mergeCell ref="V21:AA21"/>
    <mergeCell ref="AR3:AV3"/>
    <mergeCell ref="V23:AA23"/>
    <mergeCell ref="L25:S25"/>
    <mergeCell ref="L23:S23"/>
    <mergeCell ref="L24:S24"/>
    <mergeCell ref="V25:AA25"/>
    <mergeCell ref="V24:AA24"/>
    <mergeCell ref="AN3:AQ3"/>
  </mergeCells>
  <conditionalFormatting sqref="J4">
    <cfRule type="expression" dxfId="433" priority="1">
      <formula>K4&lt;&gt;SUM(AE4:AJ4)</formula>
    </cfRule>
  </conditionalFormatting>
  <conditionalFormatting sqref="K4:K19">
    <cfRule type="cellIs" dxfId="432" priority="2" operator="equal">
      <formula>0</formula>
    </cfRule>
  </conditionalFormatting>
  <conditionalFormatting sqref="AB4:AB19">
    <cfRule type="cellIs" dxfId="431" priority="3" operator="equal">
      <formula>0</formula>
    </cfRule>
  </conditionalFormatting>
  <conditionalFormatting sqref="E4:H19">
    <cfRule type="expression" dxfId="430" priority="4">
      <formula>AG4&gt;0</formula>
    </cfRule>
  </conditionalFormatting>
  <conditionalFormatting sqref="E4:H19">
    <cfRule type="expression" dxfId="429" priority="5">
      <formula>P4&gt;0</formula>
    </cfRule>
  </conditionalFormatting>
  <conditionalFormatting sqref="T4:W19 Z4:Z19 U29">
    <cfRule type="cellIs" dxfId="428" priority="6" stopIfTrue="1" operator="equal">
      <formula>0</formula>
    </cfRule>
  </conditionalFormatting>
  <conditionalFormatting sqref="K4:K19">
    <cfRule type="cellIs" dxfId="427" priority="7" stopIfTrue="1" operator="equal">
      <formula>"n/a"</formula>
    </cfRule>
  </conditionalFormatting>
  <conditionalFormatting sqref="P4:S19">
    <cfRule type="cellIs" dxfId="426" priority="8" stopIfTrue="1" operator="lessThanOrEqual">
      <formula>-1</formula>
    </cfRule>
  </conditionalFormatting>
  <conditionalFormatting sqref="V25:W27">
    <cfRule type="cellIs" dxfId="425" priority="9" stopIfTrue="1" operator="equal">
      <formula>-500</formula>
    </cfRule>
  </conditionalFormatting>
  <conditionalFormatting sqref="T25:T27">
    <cfRule type="cellIs" dxfId="424" priority="10" stopIfTrue="1" operator="greaterThan">
      <formula>$V$25</formula>
    </cfRule>
  </conditionalFormatting>
  <conditionalFormatting sqref="AA4:AA19">
    <cfRule type="cellIs" dxfId="423" priority="11" stopIfTrue="1" operator="equal">
      <formula>"Star"</formula>
    </cfRule>
  </conditionalFormatting>
  <conditionalFormatting sqref="AA4:AA19">
    <cfRule type="cellIs" dxfId="422" priority="12" stopIfTrue="1" operator="equal">
      <formula>AB4</formula>
    </cfRule>
  </conditionalFormatting>
  <conditionalFormatting sqref="I4:I19">
    <cfRule type="cellIs" dxfId="421" priority="13" stopIfTrue="1" operator="equal">
      <formula>0</formula>
    </cfRule>
  </conditionalFormatting>
  <conditionalFormatting sqref="I4:I19">
    <cfRule type="cellIs" dxfId="420" priority="14" stopIfTrue="1" operator="equal">
      <formula>"Player type quantity surpassed"</formula>
    </cfRule>
  </conditionalFormatting>
  <conditionalFormatting sqref="J5">
    <cfRule type="expression" dxfId="419" priority="15">
      <formula>K5&lt;&gt;SUM(AE5:AJ5)</formula>
    </cfRule>
  </conditionalFormatting>
  <conditionalFormatting sqref="J6">
    <cfRule type="expression" dxfId="418" priority="16">
      <formula>K6&lt;&gt;SUM(AE6:AJ6)</formula>
    </cfRule>
  </conditionalFormatting>
  <conditionalFormatting sqref="J7">
    <cfRule type="expression" dxfId="417" priority="17">
      <formula>K7&lt;&gt;SUM(AE7:AJ7)</formula>
    </cfRule>
  </conditionalFormatting>
  <conditionalFormatting sqref="J8">
    <cfRule type="expression" dxfId="416" priority="18">
      <formula>K8&lt;&gt;SUM(AE8:AJ8)</formula>
    </cfRule>
  </conditionalFormatting>
  <conditionalFormatting sqref="J9">
    <cfRule type="expression" dxfId="415" priority="19">
      <formula>K9&lt;&gt;SUM(AE9:AJ9)</formula>
    </cfRule>
  </conditionalFormatting>
  <conditionalFormatting sqref="J10">
    <cfRule type="expression" dxfId="414" priority="20">
      <formula>K10&lt;&gt;SUM(AE10:AJ10)</formula>
    </cfRule>
  </conditionalFormatting>
  <conditionalFormatting sqref="J11">
    <cfRule type="expression" dxfId="413" priority="21">
      <formula>K11&lt;&gt;SUM(AE11:AJ11)</formula>
    </cfRule>
  </conditionalFormatting>
  <conditionalFormatting sqref="J12">
    <cfRule type="expression" dxfId="412" priority="22">
      <formula>K12&lt;&gt;SUM(AE12:AJ12)</formula>
    </cfRule>
  </conditionalFormatting>
  <conditionalFormatting sqref="J13">
    <cfRule type="expression" dxfId="411" priority="23">
      <formula>K13&lt;&gt;SUM(AE13:AJ13)</formula>
    </cfRule>
  </conditionalFormatting>
  <conditionalFormatting sqref="J14">
    <cfRule type="expression" dxfId="410" priority="24">
      <formula>K14&lt;&gt;SUM(AE14:AJ14)</formula>
    </cfRule>
  </conditionalFormatting>
  <conditionalFormatting sqref="J15">
    <cfRule type="expression" dxfId="409" priority="25">
      <formula>K15&lt;&gt;SUM(AE15:AJ15)</formula>
    </cfRule>
  </conditionalFormatting>
  <conditionalFormatting sqref="J16">
    <cfRule type="expression" dxfId="408" priority="26">
      <formula>K16&lt;&gt;SUM(AE16:AJ16)</formula>
    </cfRule>
  </conditionalFormatting>
  <conditionalFormatting sqref="J17">
    <cfRule type="expression" dxfId="407" priority="27">
      <formula>K17&lt;&gt;SUM(AE17:AJ17)</formula>
    </cfRule>
  </conditionalFormatting>
  <conditionalFormatting sqref="J18:J19">
    <cfRule type="expression" dxfId="406" priority="28">
      <formula>K18&lt;&gt;SUM(AE18:AJ18)</formula>
    </cfRule>
  </conditionalFormatting>
  <conditionalFormatting sqref="J19">
    <cfRule type="expression" dxfId="405" priority="29">
      <formula>K19&lt;&gt;SUM(AE19:AJ19)</formula>
    </cfRule>
  </conditionalFormatting>
  <dataValidations count="3">
    <dataValidation type="list" allowBlank="1" showErrorMessage="1" sqref="D4:D19">
      <formula1>'JR3'!$D$28:$D$49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</row>
    <row r="4" spans="1:49" ht="12.75">
      <c r="A4" s="2"/>
      <c r="B4" s="40">
        <v>1</v>
      </c>
      <c r="C4" s="41"/>
      <c r="D4" s="42" t="s">
        <v>93</v>
      </c>
      <c r="E4" s="43">
        <f>IFERROR(VLOOKUP($I$24&amp;$D4,'Database-Hidden'!$C$2:$J$120,4,FALSE)-P4+AG4,"")</f>
        <v>5</v>
      </c>
      <c r="F4" s="44">
        <f>IFERROR(VLOOKUP($I$24&amp;$D4,'Database-Hidden'!$C$2:$J$120,5,FALSE)-Q4+AH4,"")</f>
        <v>3</v>
      </c>
      <c r="G4" s="44">
        <f>IFERROR(VLOOKUP($I$24&amp;$D4,'Database-Hidden'!$C$2:$J$120,6,FALSE)-R4+AI4,"")</f>
        <v>2</v>
      </c>
      <c r="H4" s="45">
        <f>IFERROR(VLOOKUP($I$24&amp;$D4,'Database-Hidden'!$C$2:$J$120,7,FALSE)-S4+AJ4,"")</f>
        <v>7</v>
      </c>
      <c r="I4" s="46" t="str">
        <f>IFERROR(VLOOKUP($I$24&amp;$D4,'Database-Hidden'!$C$2:$J$120,8,FALSE),"")</f>
        <v>Regeneration, Thick Skull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2</v>
      </c>
      <c r="X4" s="52"/>
      <c r="Y4" s="52"/>
      <c r="Z4" s="56"/>
      <c r="AA4" s="57">
        <f t="shared" ref="AA4:AA19" si="1">2*T4+U4+3*V4+2*W4+5*Z4</f>
        <v>4</v>
      </c>
      <c r="AB4" s="58">
        <f t="shared" ref="AB4:AB19" si="2">IF(L4=1,0,AD4+(20000*O4)+(20000*AE4)+(30000*AF4)+(30000*AG4)+(50000*AH4)+(40000*AI4)+(50000*AJ4)+AK4)</f>
        <v>40000</v>
      </c>
      <c r="AC4" s="4"/>
      <c r="AD4" s="59">
        <f>IFERROR(VLOOKUP($I$24&amp;D4,'Database-Hidden'!$C$2:$E$120,3,FALSE),"")</f>
        <v>40000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</row>
    <row r="5" spans="1:49" ht="12.75">
      <c r="A5" s="2"/>
      <c r="B5" s="70">
        <v>2</v>
      </c>
      <c r="C5" s="71"/>
      <c r="D5" s="72" t="s">
        <v>93</v>
      </c>
      <c r="E5" s="73">
        <f>IFERROR(VLOOKUP($I$24&amp;$D5,'Database-Hidden'!$C$2:$J$120,4,FALSE)-P5+AG5,"")</f>
        <v>5</v>
      </c>
      <c r="F5" s="74">
        <f>IFERROR(VLOOKUP($I$24&amp;$D5,'Database-Hidden'!$C$2:$J$120,5,FALSE)-Q5+AH5,"")</f>
        <v>3</v>
      </c>
      <c r="G5" s="74">
        <f>IFERROR(VLOOKUP($I$24&amp;$D5,'Database-Hidden'!$C$2:$J$120,6,FALSE)-R5+AI5,"")</f>
        <v>2</v>
      </c>
      <c r="H5" s="75">
        <f>IFERROR(VLOOKUP($I$24&amp;$D5,'Database-Hidden'!$C$2:$J$120,7,FALSE)-S5+AJ5,"")</f>
        <v>7</v>
      </c>
      <c r="I5" s="76" t="str">
        <f>IFERROR(VLOOKUP($I$24&amp;$D5,'Database-Hidden'!$C$2:$J$120,8,FALSE),"")</f>
        <v>Regeneration, Thick Skull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1</v>
      </c>
      <c r="X5" s="83"/>
      <c r="Y5" s="83"/>
      <c r="Z5" s="88"/>
      <c r="AA5" s="89">
        <f t="shared" si="1"/>
        <v>2</v>
      </c>
      <c r="AB5" s="58">
        <f t="shared" si="2"/>
        <v>40000</v>
      </c>
      <c r="AC5" s="4"/>
      <c r="AD5" s="90">
        <f>IFERROR(VLOOKUP($I$24&amp;D5,'Database-Hidden'!$C$2:$E$120,3,FALSE),"")</f>
        <v>40000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</row>
    <row r="6" spans="1:49" ht="12.75">
      <c r="A6" s="2"/>
      <c r="B6" s="70">
        <v>3</v>
      </c>
      <c r="C6" s="101"/>
      <c r="D6" s="72" t="s">
        <v>93</v>
      </c>
      <c r="E6" s="73">
        <f>IFERROR(VLOOKUP($I$24&amp;$D6,'Database-Hidden'!$C$2:$J$120,4,FALSE)-P6+AG6,"")</f>
        <v>5</v>
      </c>
      <c r="F6" s="74">
        <f>IFERROR(VLOOKUP($I$24&amp;$D6,'Database-Hidden'!$C$2:$J$120,5,FALSE)-Q6+AH6,"")</f>
        <v>3</v>
      </c>
      <c r="G6" s="74">
        <f>IFERROR(VLOOKUP($I$24&amp;$D6,'Database-Hidden'!$C$2:$J$120,6,FALSE)-R6+AI6,"")</f>
        <v>2</v>
      </c>
      <c r="H6" s="75">
        <f>IFERROR(VLOOKUP($I$24&amp;$D6,'Database-Hidden'!$C$2:$J$120,7,FALSE)-S6+AJ6,"")</f>
        <v>7</v>
      </c>
      <c r="I6" s="76" t="str">
        <f>IFERROR(VLOOKUP($I$24&amp;$D6,'Database-Hidden'!$C$2:$J$120,8,FALSE),"")</f>
        <v>Regeneration, Thick Skull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40000</v>
      </c>
      <c r="AC6" s="4"/>
      <c r="AD6" s="90">
        <f>IFERROR(VLOOKUP($I$24&amp;D6,'Database-Hidden'!$C$2:$E$120,3,FALSE),"")</f>
        <v>40000</v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70000</v>
      </c>
      <c r="AP6" s="106"/>
      <c r="AQ6" s="107"/>
      <c r="AR6" s="108" t="s">
        <v>29</v>
      </c>
      <c r="AS6" s="110" t="s">
        <v>84</v>
      </c>
      <c r="AT6" s="112">
        <v>1</v>
      </c>
      <c r="AU6" s="113">
        <v>5</v>
      </c>
      <c r="AV6" s="281">
        <v>1</v>
      </c>
      <c r="AW6" s="115"/>
    </row>
    <row r="7" spans="1:49" ht="12.75">
      <c r="A7" s="2"/>
      <c r="B7" s="70">
        <v>4</v>
      </c>
      <c r="C7" s="71"/>
      <c r="D7" s="72" t="s">
        <v>93</v>
      </c>
      <c r="E7" s="73">
        <f>IFERROR(VLOOKUP($I$24&amp;$D7,'Database-Hidden'!$C$2:$J$120,4,FALSE)-P7+AG7,"")</f>
        <v>5</v>
      </c>
      <c r="F7" s="74">
        <f>IFERROR(VLOOKUP($I$24&amp;$D7,'Database-Hidden'!$C$2:$J$120,5,FALSE)-Q7+AH7,"")</f>
        <v>3</v>
      </c>
      <c r="G7" s="74">
        <f>IFERROR(VLOOKUP($I$24&amp;$D7,'Database-Hidden'!$C$2:$J$120,6,FALSE)-R7+AI7,"")</f>
        <v>2</v>
      </c>
      <c r="H7" s="75">
        <f>IFERROR(VLOOKUP($I$24&amp;$D7,'Database-Hidden'!$C$2:$J$120,7,FALSE)-S7+AJ7,"")</f>
        <v>7</v>
      </c>
      <c r="I7" s="76" t="str">
        <f>IFERROR(VLOOKUP($I$24&amp;$D7,'Database-Hidden'!$C$2:$J$120,8,FALSE),"")</f>
        <v>Regeneration, Thick Skull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6">
        <f>IFERROR(VLOOKUP($I$24&amp;D7,'Database-Hidden'!$C$2:$E$120,3,FALSE),"")</f>
        <v>40000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1"/>
      <c r="AW7" s="132"/>
    </row>
    <row r="8" spans="1:49" ht="12.75">
      <c r="A8" s="2"/>
      <c r="B8" s="70">
        <v>5</v>
      </c>
      <c r="C8" s="101"/>
      <c r="D8" s="72" t="s">
        <v>93</v>
      </c>
      <c r="E8" s="73">
        <f>IFERROR(VLOOKUP($I$24&amp;$D8,'Database-Hidden'!$C$2:$J$120,4,FALSE)-P8+AG8,"")</f>
        <v>5</v>
      </c>
      <c r="F8" s="74">
        <f>IFERROR(VLOOKUP($I$24&amp;$D8,'Database-Hidden'!$C$2:$J$120,5,FALSE)-Q8+AH8,"")</f>
        <v>3</v>
      </c>
      <c r="G8" s="74">
        <f>IFERROR(VLOOKUP($I$24&amp;$D8,'Database-Hidden'!$C$2:$J$120,6,FALSE)-R8+AI8,"")</f>
        <v>2</v>
      </c>
      <c r="H8" s="75">
        <f>IFERROR(VLOOKUP($I$24&amp;$D8,'Database-Hidden'!$C$2:$J$120,7,FALSE)-S8+AJ8,"")</f>
        <v>7</v>
      </c>
      <c r="I8" s="76" t="str">
        <f>IFERROR(VLOOKUP($I$24&amp;$D8,'Database-Hidden'!$C$2:$J$120,8,FALSE),"")</f>
        <v>Regeneration, Thick Skull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40000</v>
      </c>
      <c r="AC8" s="4"/>
      <c r="AD8" s="116">
        <f>IFERROR(VLOOKUP($I$24&amp;D8,'Database-Hidden'!$C$2:$E$120,3,FALSE),"")</f>
        <v>40000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1"/>
      <c r="AW8" s="132"/>
    </row>
    <row r="9" spans="1:49" ht="12.75">
      <c r="A9" s="2"/>
      <c r="B9" s="70">
        <v>6</v>
      </c>
      <c r="C9" s="101"/>
      <c r="D9" s="72"/>
      <c r="E9" s="73" t="str">
        <f>IFERROR(VLOOKUP($I$24&amp;$D9,'Database-Hidden'!$C$2:$J$120,4,FALSE)-P9+AG9,"")</f>
        <v/>
      </c>
      <c r="F9" s="74" t="str">
        <f>IFERROR(VLOOKUP($I$24&amp;$D9,'Database-Hidden'!$C$2:$J$120,5,FALSE)-Q9+AH9,"")</f>
        <v/>
      </c>
      <c r="G9" s="74" t="str">
        <f>IFERROR(VLOOKUP($I$24&amp;$D9,'Database-Hidden'!$C$2:$J$120,6,FALSE)-R9+AI9,"")</f>
        <v/>
      </c>
      <c r="H9" s="75" t="str">
        <f>IFERROR(VLOOKUP($I$24&amp;$D9,'Database-Hidden'!$C$2:$J$120,7,FALSE)-S9+AJ9,"")</f>
        <v/>
      </c>
      <c r="I9" s="76" t="str">
        <f>IFERROR(VLOOKUP($I$24&amp;$D9,'Database-Hidden'!$C$2:$J$120,8,FALSE),"")</f>
        <v/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/>
      <c r="AC9" s="4"/>
      <c r="AD9" s="116" t="str">
        <f>IFERROR(VLOOKUP($I$24&amp;D9,'Database-Hidden'!$C$2:$E$120,3,FALSE),"")</f>
        <v/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</row>
    <row r="10" spans="1:49" ht="12.75">
      <c r="A10" s="2"/>
      <c r="B10" s="70">
        <v>7</v>
      </c>
      <c r="C10" s="71"/>
      <c r="D10" s="72" t="s">
        <v>97</v>
      </c>
      <c r="E10" s="73">
        <f>IFERROR(VLOOKUP($I$24&amp;$D10,'Database-Hidden'!$C$2:$J$120,4,FALSE)-P10+AG10,"")</f>
        <v>7</v>
      </c>
      <c r="F10" s="74">
        <f>IFERROR(VLOOKUP($I$24&amp;$D10,'Database-Hidden'!$C$2:$J$120,5,FALSE)-Q10+AH10,"")</f>
        <v>3</v>
      </c>
      <c r="G10" s="74">
        <f>IFERROR(VLOOKUP($I$24&amp;$D10,'Database-Hidden'!$C$2:$J$120,6,FALSE)-R10+AI10,"")</f>
        <v>3</v>
      </c>
      <c r="H10" s="75">
        <f>IFERROR(VLOOKUP($I$24&amp;$D10,'Database-Hidden'!$C$2:$J$120,7,FALSE)-S10+AJ10,"")</f>
        <v>7</v>
      </c>
      <c r="I10" s="76" t="str">
        <f>IFERROR(VLOOKUP($I$24&amp;$D10,'Database-Hidden'!$C$2:$J$120,8,FALSE),"")</f>
        <v>Dodge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70000</v>
      </c>
      <c r="AC10" s="4"/>
      <c r="AD10" s="116">
        <f>IFERROR(VLOOKUP($I$24&amp;D10,'Database-Hidden'!$C$2:$E$120,3,FALSE),"")</f>
        <v>70000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</row>
    <row r="11" spans="1:49" ht="12.75">
      <c r="A11" s="2"/>
      <c r="B11" s="70">
        <v>8</v>
      </c>
      <c r="C11" s="101"/>
      <c r="D11" s="72" t="s">
        <v>97</v>
      </c>
      <c r="E11" s="73">
        <f>IFERROR(VLOOKUP($I$24&amp;$D11,'Database-Hidden'!$C$2:$J$120,4,FALSE)-P11+AG11,"")</f>
        <v>7</v>
      </c>
      <c r="F11" s="74">
        <f>IFERROR(VLOOKUP($I$24&amp;$D11,'Database-Hidden'!$C$2:$J$120,5,FALSE)-Q11+AH11,"")</f>
        <v>3</v>
      </c>
      <c r="G11" s="74">
        <f>IFERROR(VLOOKUP($I$24&amp;$D11,'Database-Hidden'!$C$2:$J$120,6,FALSE)-R11+AI11,"")</f>
        <v>3</v>
      </c>
      <c r="H11" s="75">
        <f>IFERROR(VLOOKUP($I$24&amp;$D11,'Database-Hidden'!$C$2:$J$120,7,FALSE)-S11+AJ11,"")</f>
        <v>7</v>
      </c>
      <c r="I11" s="76" t="str">
        <f>IFERROR(VLOOKUP($I$24&amp;$D11,'Database-Hidden'!$C$2:$J$120,8,FALSE),"")</f>
        <v>Dodge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70000</v>
      </c>
      <c r="AC11" s="4"/>
      <c r="AD11" s="116">
        <f>IFERROR(VLOOKUP($I$24&amp;D11,'Database-Hidden'!$C$2:$E$120,3,FALSE),"")</f>
        <v>70000</v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</row>
    <row r="12" spans="1:49" ht="12.75">
      <c r="A12" s="2"/>
      <c r="B12" s="70">
        <v>9</v>
      </c>
      <c r="C12" s="71"/>
      <c r="D12" s="72"/>
      <c r="E12" s="73" t="str">
        <f>IFERROR(VLOOKUP($I$24&amp;$D12,'Database-Hidden'!$C$2:$J$120,4,FALSE)-P12+AG12,"")</f>
        <v/>
      </c>
      <c r="F12" s="74" t="str">
        <f>IFERROR(VLOOKUP($I$24&amp;$D12,'Database-Hidden'!$C$2:$J$120,5,FALSE)-Q12+AH12,"")</f>
        <v/>
      </c>
      <c r="G12" s="74" t="str">
        <f>IFERROR(VLOOKUP($I$24&amp;$D12,'Database-Hidden'!$C$2:$J$120,6,FALSE)-R12+AI12,"")</f>
        <v/>
      </c>
      <c r="H12" s="75" t="str">
        <f>IFERROR(VLOOKUP($I$24&amp;$D12,'Database-Hidden'!$C$2:$J$120,7,FALSE)-S12+AJ12,"")</f>
        <v/>
      </c>
      <c r="I12" s="76" t="str">
        <f>IFERROR(VLOOKUP($I$24&amp;$D12,'Database-Hidden'!$C$2:$J$120,8,FALSE),"")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/>
      <c r="AC12" s="4"/>
      <c r="AD12" s="116" t="str">
        <f>IFERROR(VLOOKUP($I$24&amp;D12,'Database-Hidden'!$C$2:$E$120,3,FALSE),"")</f>
        <v/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</row>
    <row r="13" spans="1:49" ht="12.75">
      <c r="A13" s="2"/>
      <c r="B13" s="70">
        <v>10</v>
      </c>
      <c r="C13" s="71"/>
      <c r="D13" s="72" t="s">
        <v>106</v>
      </c>
      <c r="E13" s="73">
        <f>IFERROR(VLOOKUP($I$24&amp;$D13,'Database-Hidden'!$C$2:$J$120,4,FALSE)-P13+AG13,"")</f>
        <v>6</v>
      </c>
      <c r="F13" s="74">
        <f>IFERROR(VLOOKUP($I$24&amp;$D13,'Database-Hidden'!$C$2:$J$120,5,FALSE)-Q13+AH13,"")</f>
        <v>3</v>
      </c>
      <c r="G13" s="74">
        <f>IFERROR(VLOOKUP($I$24&amp;$D13,'Database-Hidden'!$C$2:$J$120,6,FALSE)-R13+AI13,"")</f>
        <v>3</v>
      </c>
      <c r="H13" s="75">
        <f>IFERROR(VLOOKUP($I$24&amp;$D13,'Database-Hidden'!$C$2:$J$120,7,FALSE)-S13+AJ13,"")</f>
        <v>8</v>
      </c>
      <c r="I13" s="76" t="str">
        <f>IFERROR(VLOOKUP($I$24&amp;$D13,'Database-Hidden'!$C$2:$J$120,8,FALSE),"")</f>
        <v>Block, Regeneration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>
        <v>1</v>
      </c>
      <c r="W13" s="87">
        <v>1</v>
      </c>
      <c r="X13" s="83"/>
      <c r="Y13" s="83"/>
      <c r="Z13" s="88"/>
      <c r="AA13" s="89">
        <f t="shared" si="1"/>
        <v>5</v>
      </c>
      <c r="AB13" s="58">
        <f t="shared" si="2"/>
        <v>90000</v>
      </c>
      <c r="AC13" s="4"/>
      <c r="AD13" s="116">
        <f>IFERROR(VLOOKUP($I$24&amp;D13,'Database-Hidden'!$C$2:$E$120,3,FALSE),"")</f>
        <v>90000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</row>
    <row r="14" spans="1:49" ht="12.75">
      <c r="A14" s="2"/>
      <c r="B14" s="70">
        <v>11</v>
      </c>
      <c r="C14" s="71"/>
      <c r="D14" s="72" t="s">
        <v>106</v>
      </c>
      <c r="E14" s="73">
        <f>IFERROR(VLOOKUP($I$24&amp;$D14,'Database-Hidden'!$C$2:$J$120,4,FALSE)-P14+AG14,"")</f>
        <v>6</v>
      </c>
      <c r="F14" s="74">
        <f>IFERROR(VLOOKUP($I$24&amp;$D14,'Database-Hidden'!$C$2:$J$120,5,FALSE)-Q14+AH14,"")</f>
        <v>3</v>
      </c>
      <c r="G14" s="74">
        <f>IFERROR(VLOOKUP($I$24&amp;$D14,'Database-Hidden'!$C$2:$J$120,6,FALSE)-R14+AI14,"")</f>
        <v>3</v>
      </c>
      <c r="H14" s="75">
        <f>IFERROR(VLOOKUP($I$24&amp;$D14,'Database-Hidden'!$C$2:$J$120,7,FALSE)-S14+AJ14,"")</f>
        <v>8</v>
      </c>
      <c r="I14" s="76" t="str">
        <f>IFERROR(VLOOKUP($I$24&amp;$D14,'Database-Hidden'!$C$2:$J$120,8,FALSE),"")</f>
        <v>Block, Regeneration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90000</v>
      </c>
      <c r="AC14" s="4"/>
      <c r="AD14" s="116">
        <f>IFERROR(VLOOKUP($I$24&amp;D14,'Database-Hidden'!$C$2:$E$120,3,FALSE),"")</f>
        <v>90000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</row>
    <row r="15" spans="1:49" ht="12.75">
      <c r="A15" s="2"/>
      <c r="B15" s="70">
        <v>12</v>
      </c>
      <c r="C15" s="71"/>
      <c r="D15" s="72"/>
      <c r="E15" s="73" t="str">
        <f>IFERROR(VLOOKUP($I$24&amp;$D15,'Database-Hidden'!$C$2:$J$120,4,FALSE)-P15+AG15,"")</f>
        <v/>
      </c>
      <c r="F15" s="74" t="str">
        <f>IFERROR(VLOOKUP($I$24&amp;$D15,'Database-Hidden'!$C$2:$J$120,5,FALSE)-Q15+AH15,"")</f>
        <v/>
      </c>
      <c r="G15" s="74" t="str">
        <f>IFERROR(VLOOKUP($I$24&amp;$D15,'Database-Hidden'!$C$2:$J$120,6,FALSE)-R15+AI15,"")</f>
        <v/>
      </c>
      <c r="H15" s="75" t="str">
        <f>IFERROR(VLOOKUP($I$24&amp;$D15,'Database-Hidden'!$C$2:$J$120,7,FALSE)-S15+AJ15,"")</f>
        <v/>
      </c>
      <c r="I15" s="76" t="str">
        <f>IFERROR(VLOOKUP($I$24&amp;$D15,'Database-Hidden'!$C$2:$J$120,8,FALSE),"")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6" t="str">
        <f>IFERROR(VLOOKUP($I$24&amp;D15,'Database-Hidden'!$C$2:$E$120,3,FALSE),"")</f>
        <v/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</row>
    <row r="16" spans="1:49" ht="12.75">
      <c r="A16" s="2"/>
      <c r="B16" s="70">
        <v>13</v>
      </c>
      <c r="C16" s="71"/>
      <c r="D16" s="72"/>
      <c r="E16" s="73" t="str">
        <f>IFERROR(VLOOKUP($I$24&amp;$D16,'Database-Hidden'!$C$2:$J$120,4,FALSE)-P16+AG16,"")</f>
        <v/>
      </c>
      <c r="F16" s="74" t="str">
        <f>IFERROR(VLOOKUP($I$24&amp;$D16,'Database-Hidden'!$C$2:$J$120,5,FALSE)-Q16+AH16,"")</f>
        <v/>
      </c>
      <c r="G16" s="74" t="str">
        <f>IFERROR(VLOOKUP($I$24&amp;$D16,'Database-Hidden'!$C$2:$J$120,6,FALSE)-R16+AI16,"")</f>
        <v/>
      </c>
      <c r="H16" s="75" t="str">
        <f>IFERROR(VLOOKUP($I$24&amp;$D16,'Database-Hidden'!$C$2:$J$120,7,FALSE)-S16+AJ16,"")</f>
        <v/>
      </c>
      <c r="I16" s="76" t="str">
        <f>IFERROR(VLOOKUP($I$24&amp;$D16,'Database-Hidden'!$C$2:$J$120,8,FALSE),"")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6" t="str">
        <f>IFERROR(VLOOKUP($I$24&amp;D16,'Database-Hidden'!$C$2:$E$120,3,FALSE),"")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</row>
    <row r="17" spans="1:49" ht="12.75">
      <c r="A17" s="2"/>
      <c r="B17" s="70">
        <v>14</v>
      </c>
      <c r="C17" s="71"/>
      <c r="D17" s="72"/>
      <c r="E17" s="73" t="str">
        <f>IFERROR(VLOOKUP($I$24&amp;$D17,'Database-Hidden'!$C$2:$J$120,4,FALSE)-P17+AG17,"")</f>
        <v/>
      </c>
      <c r="F17" s="74" t="str">
        <f>IFERROR(VLOOKUP($I$24&amp;$D17,'Database-Hidden'!$C$2:$J$120,5,FALSE)-Q17+AH17,"")</f>
        <v/>
      </c>
      <c r="G17" s="74" t="str">
        <f>IFERROR(VLOOKUP($I$24&amp;$D17,'Database-Hidden'!$C$2:$J$120,6,FALSE)-R17+AI17,"")</f>
        <v/>
      </c>
      <c r="H17" s="75" t="str">
        <f>IFERROR(VLOOKUP($I$24&amp;$D17,'Database-Hidden'!$C$2:$J$120,7,FALSE)-S17+AJ17,"")</f>
        <v/>
      </c>
      <c r="I17" s="76" t="str">
        <f>IFERROR(VLOOKUP($I$24&amp;$D17,'Database-Hidden'!$C$2:$J$120,8,FALSE),"")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IFERROR(VLOOKUP($I$24&amp;D17,'Database-Hidden'!$C$2:$E$120,3,FALSE),"")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</row>
    <row r="18" spans="1:49" ht="12.75">
      <c r="A18" s="2"/>
      <c r="B18" s="70">
        <v>15</v>
      </c>
      <c r="C18" s="71"/>
      <c r="D18" s="72" t="s">
        <v>111</v>
      </c>
      <c r="E18" s="73">
        <f>IFERROR(VLOOKUP($I$24&amp;$D18,'Database-Hidden'!$C$2:$J$120,4,FALSE)-P18+AG18,"")</f>
        <v>3</v>
      </c>
      <c r="F18" s="74">
        <f>IFERROR(VLOOKUP($I$24&amp;$D18,'Database-Hidden'!$C$2:$J$120,5,FALSE)-Q18+AH18,"")</f>
        <v>5</v>
      </c>
      <c r="G18" s="74">
        <f>IFERROR(VLOOKUP($I$24&amp;$D18,'Database-Hidden'!$C$2:$J$120,6,FALSE)-R18+AI18,"")</f>
        <v>1</v>
      </c>
      <c r="H18" s="75">
        <f>IFERROR(VLOOKUP($I$24&amp;$D18,'Database-Hidden'!$C$2:$J$120,7,FALSE)-S18+AJ18,"")</f>
        <v>9</v>
      </c>
      <c r="I18" s="76" t="str">
        <f>IFERROR(VLOOKUP($I$24&amp;$D18,'Database-Hidden'!$C$2:$J$120,8,FALSE),"")</f>
        <v>Mighty Blow, Regeneration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>
        <v>1</v>
      </c>
      <c r="AA18" s="89">
        <f t="shared" si="1"/>
        <v>5</v>
      </c>
      <c r="AB18" s="58">
        <f t="shared" si="2"/>
        <v>120000</v>
      </c>
      <c r="AC18" s="4"/>
      <c r="AD18" s="116">
        <f>IFERROR(VLOOKUP($I$24&amp;D18,'Database-Hidden'!$C$2:$E$120,3,FALSE),"")</f>
        <v>120000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70000</v>
      </c>
      <c r="AP18" s="4"/>
      <c r="AQ18" s="4"/>
      <c r="AR18" s="67"/>
      <c r="AS18" s="148" t="s">
        <v>42</v>
      </c>
      <c r="AT18" s="150">
        <f t="shared" ref="AT18:AU18" si="3">SUM(AT6:AT17)</f>
        <v>1</v>
      </c>
      <c r="AU18" s="151">
        <f t="shared" si="3"/>
        <v>5</v>
      </c>
      <c r="AV18" s="152">
        <f>AV4+SUM(AV6:AV17)</f>
        <v>1</v>
      </c>
      <c r="AW18" s="5"/>
    </row>
    <row r="19" spans="1:49" ht="12.75">
      <c r="A19" s="2"/>
      <c r="B19" s="153">
        <v>16</v>
      </c>
      <c r="C19" s="154"/>
      <c r="D19" s="155" t="s">
        <v>111</v>
      </c>
      <c r="E19" s="156">
        <f>IFERROR(VLOOKUP($I$24&amp;$D19,'Database-Hidden'!$C$2:$J$120,4,FALSE)-P19+AG19,"")</f>
        <v>3</v>
      </c>
      <c r="F19" s="157">
        <f>IFERROR(VLOOKUP($I$24&amp;$D19,'Database-Hidden'!$C$2:$J$120,5,FALSE)-Q19+AH19,"")</f>
        <v>5</v>
      </c>
      <c r="G19" s="157">
        <f>IFERROR(VLOOKUP($I$24&amp;$D19,'Database-Hidden'!$C$2:$J$120,6,FALSE)-R19+AI19,"")</f>
        <v>1</v>
      </c>
      <c r="H19" s="159">
        <f>IFERROR(VLOOKUP($I$24&amp;$D19,'Database-Hidden'!$C$2:$J$120,7,FALSE)-S19+AJ19,"")</f>
        <v>9</v>
      </c>
      <c r="I19" s="160" t="str">
        <f>IFERROR(VLOOKUP($I$24&amp;$D19,'Database-Hidden'!$C$2:$J$120,8,FALSE),"")</f>
        <v>Mighty Blow, Regeneration</v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>
        <v>1</v>
      </c>
      <c r="X19" s="167"/>
      <c r="Y19" s="167"/>
      <c r="Z19" s="172"/>
      <c r="AA19" s="173">
        <f t="shared" si="1"/>
        <v>2</v>
      </c>
      <c r="AB19" s="58">
        <f t="shared" si="2"/>
        <v>120000</v>
      </c>
      <c r="AC19" s="4"/>
      <c r="AD19" s="174">
        <f>IFERROR(VLOOKUP($I$24&amp;D19,'Database-Hidden'!$C$2:$E$120,3,FALSE),"")</f>
        <v>120000</v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  <c r="AV19" s="179"/>
    </row>
    <row r="20" spans="1:49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760000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</row>
    <row r="21" spans="1:49" ht="12.75">
      <c r="A21" s="2"/>
      <c r="B21" s="531"/>
      <c r="C21" s="507"/>
      <c r="D21" s="532"/>
      <c r="E21" s="538" t="s">
        <v>117</v>
      </c>
      <c r="F21" s="507"/>
      <c r="G21" s="507"/>
      <c r="H21" s="539"/>
      <c r="I21" s="536" t="s">
        <v>44</v>
      </c>
      <c r="J21" s="507"/>
      <c r="K21" s="53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IFERROR(VLOOKUP(I24,'Database-Hidden'!N2:O28,2,FALSE),"")</f>
        <v>70000</v>
      </c>
      <c r="W21" s="525"/>
      <c r="X21" s="525"/>
      <c r="Y21" s="525"/>
      <c r="Z21" s="525"/>
      <c r="AA21" s="528"/>
      <c r="AB21" s="184">
        <f t="shared" ref="AB21:AB24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531"/>
      <c r="C22" s="507"/>
      <c r="D22" s="532"/>
      <c r="E22" s="507"/>
      <c r="F22" s="507"/>
      <c r="G22" s="507"/>
      <c r="H22" s="539"/>
      <c r="I22" s="531"/>
      <c r="J22" s="507"/>
      <c r="K22" s="532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1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10000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70000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531"/>
      <c r="C23" s="507"/>
      <c r="D23" s="532"/>
      <c r="E23" s="525"/>
      <c r="F23" s="525"/>
      <c r="G23" s="525"/>
      <c r="H23" s="540"/>
      <c r="I23" s="537"/>
      <c r="J23" s="525"/>
      <c r="K23" s="528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2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20000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10000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531"/>
      <c r="C24" s="507"/>
      <c r="D24" s="532"/>
      <c r="E24" s="529" t="s">
        <v>126</v>
      </c>
      <c r="F24" s="509"/>
      <c r="G24" s="509"/>
      <c r="H24" s="512"/>
      <c r="I24" s="543" t="s">
        <v>32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1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10000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531"/>
      <c r="C25" s="507"/>
      <c r="D25" s="532"/>
      <c r="E25" s="529" t="str">
        <f>IFERROR(IF(VLOOKUP(I24,'Database-Hidden'!X2:Y28,2,FALSE)="Yes","NECROMANCER","HEAD COACH"),"HEAD COACH")</f>
        <v>NECROMANCER</v>
      </c>
      <c r="F25" s="509"/>
      <c r="G25" s="509"/>
      <c r="H25" s="512"/>
      <c r="I25" s="543" t="s">
        <v>401</v>
      </c>
      <c r="J25" s="509"/>
      <c r="K25" s="510"/>
      <c r="L25" s="511" t="str">
        <f>IFERROR(IF(VLOOKUP(I24,'Database-Hidden'!X2:Y28,1,FALSE)&lt;&gt;"","",""),"APOTHECARY")</f>
        <v/>
      </c>
      <c r="M25" s="509"/>
      <c r="N25" s="509"/>
      <c r="O25" s="509"/>
      <c r="P25" s="509"/>
      <c r="Q25" s="509"/>
      <c r="R25" s="509"/>
      <c r="S25" s="512"/>
      <c r="T25" s="190">
        <v>0</v>
      </c>
      <c r="U25" s="186" t="str">
        <f>IF(L25&lt;&gt;"","x","")</f>
        <v/>
      </c>
      <c r="V25" s="508" t="str">
        <f>IF(L25&lt;&gt;"",50000,"")</f>
        <v/>
      </c>
      <c r="W25" s="509"/>
      <c r="X25" s="509"/>
      <c r="Y25" s="509"/>
      <c r="Z25" s="509"/>
      <c r="AA25" s="510"/>
      <c r="AB25" s="187"/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25000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531"/>
      <c r="C26" s="507"/>
      <c r="D26" s="532"/>
      <c r="E26" s="529" t="s">
        <v>131</v>
      </c>
      <c r="F26" s="509"/>
      <c r="G26" s="509"/>
      <c r="H26" s="509"/>
      <c r="I26" s="548">
        <f>AB20+AB28</f>
        <v>1010000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0</v>
      </c>
      <c r="U26" s="186" t="s">
        <v>47</v>
      </c>
      <c r="V26" s="508">
        <f>IF(I24="Halfling",200000,600000)</f>
        <v>600000</v>
      </c>
      <c r="W26" s="509"/>
      <c r="X26" s="509"/>
      <c r="Y26" s="509"/>
      <c r="Z26" s="509"/>
      <c r="AA26" s="510"/>
      <c r="AB26" s="187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110000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531"/>
      <c r="C27" s="507"/>
      <c r="D27" s="532"/>
      <c r="E27" s="541" t="s">
        <v>133</v>
      </c>
      <c r="F27" s="542"/>
      <c r="G27" s="542"/>
      <c r="H27" s="542"/>
      <c r="I27" s="549">
        <f>AO18</f>
        <v>70000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0</v>
      </c>
      <c r="U27" s="199" t="s">
        <v>47</v>
      </c>
      <c r="V27" s="546">
        <f>IF(I24="Goblin",100000,200000)</f>
        <v>200000</v>
      </c>
      <c r="W27" s="542"/>
      <c r="X27" s="542"/>
      <c r="Y27" s="542"/>
      <c r="Z27" s="542"/>
      <c r="AA27" s="547"/>
      <c r="AB27" s="187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533"/>
      <c r="C28" s="534"/>
      <c r="D28" s="535"/>
      <c r="E28" s="522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SUM(AB21:AB25)</f>
        <v>250000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09">
        <f>MATCH(I24,'Database-Hidden'!A2:A120,0)</f>
        <v>103</v>
      </c>
      <c r="D30" s="209" t="str">
        <f t="shared" ref="D30:D39" si="6">I30&amp;IF(COUNTIF(D$4:D$19,I30)&gt;E30," (Too Many)","")</f>
        <v>Skeleton</v>
      </c>
      <c r="E30" s="210">
        <f t="array" ref="E30">IFERROR(IF(INDEX('Database-Hidden'!$A$2:$B$120,$C30,1)=$I$24,INDEX('Database-Hidden'!$A$2:$D$120,$C30,4),""),"")</f>
        <v>16</v>
      </c>
      <c r="I30" s="209" t="str">
        <f t="array" ref="I30">IFERROR(IF(INDEX('Database-Hidden'!$A$2:$B$120,$C30,1)=$I$24,INDEX('Database-Hidden'!$A$2:$B$120,$C30,2),""),"")</f>
        <v>Skeleton</v>
      </c>
      <c r="AV30" s="179"/>
    </row>
    <row r="31" spans="1:49" ht="17.25" hidden="1" customHeight="1">
      <c r="C31" s="209">
        <f t="shared" ref="C31:C39" si="7">C30+1</f>
        <v>104</v>
      </c>
      <c r="D31" s="209" t="str">
        <f t="shared" si="6"/>
        <v>Zombie</v>
      </c>
      <c r="E31" s="210">
        <f t="array" ref="E31">IFERROR(IF(INDEX('Database-Hidden'!$A$2:$B$120,$C31,1)=$I$24,INDEX('Database-Hidden'!$A$2:$D$120,$C31,4),""),"")</f>
        <v>16</v>
      </c>
      <c r="I31" s="209" t="str">
        <f t="array" ref="I31">IFERROR(IF(INDEX('Database-Hidden'!$A$2:$B$120,$C31,1)=$I$24,INDEX('Database-Hidden'!$A$2:$B$120,$C31,2),""),"")</f>
        <v>Zombie</v>
      </c>
      <c r="AV31" s="179"/>
    </row>
    <row r="32" spans="1:49" ht="17.25" hidden="1" customHeight="1">
      <c r="C32" s="209">
        <f t="shared" si="7"/>
        <v>105</v>
      </c>
      <c r="D32" s="209" t="str">
        <f t="shared" si="6"/>
        <v>Ghoul</v>
      </c>
      <c r="E32" s="210">
        <f t="array" ref="E32">IFERROR(IF(INDEX('Database-Hidden'!$A$2:$B$120,$C32,1)=$I$24,INDEX('Database-Hidden'!$A$2:$D$120,$C32,4),""),"")</f>
        <v>4</v>
      </c>
      <c r="I32" s="209" t="str">
        <f t="array" ref="I32">IFERROR(IF(INDEX('Database-Hidden'!$A$2:$B$120,$C32,1)=$I$24,INDEX('Database-Hidden'!$A$2:$B$120,$C32,2),""),"")</f>
        <v>Ghoul</v>
      </c>
      <c r="AV32" s="179"/>
    </row>
    <row r="33" spans="3:48" ht="17.25" hidden="1" customHeight="1">
      <c r="C33" s="209">
        <f t="shared" si="7"/>
        <v>106</v>
      </c>
      <c r="D33" s="209" t="str">
        <f t="shared" si="6"/>
        <v>Wight</v>
      </c>
      <c r="E33" s="210">
        <f t="array" ref="E33">IFERROR(IF(INDEX('Database-Hidden'!$A$2:$B$120,$C33,1)=$I$24,INDEX('Database-Hidden'!$A$2:$D$120,$C33,4),""),"")</f>
        <v>2</v>
      </c>
      <c r="I33" s="209" t="str">
        <f t="array" ref="I33">IFERROR(IF(INDEX('Database-Hidden'!$A$2:$B$120,$C33,1)=$I$24,INDEX('Database-Hidden'!$A$2:$B$120,$C33,2),""),"")</f>
        <v>Wight</v>
      </c>
      <c r="AV33" s="179"/>
    </row>
    <row r="34" spans="3:48" ht="17.25" hidden="1" customHeight="1">
      <c r="C34" s="209">
        <f t="shared" si="7"/>
        <v>107</v>
      </c>
      <c r="D34" s="209" t="str">
        <f t="shared" si="6"/>
        <v>Mummy</v>
      </c>
      <c r="E34" s="210">
        <f t="array" ref="E34">IFERROR(IF(INDEX('Database-Hidden'!$A$2:$B$120,$C34,1)=$I$24,INDEX('Database-Hidden'!$A$2:$D$120,$C34,4),""),"")</f>
        <v>2</v>
      </c>
      <c r="I34" s="209" t="str">
        <f t="array" ref="I34">IFERROR(IF(INDEX('Database-Hidden'!$A$2:$B$120,$C34,1)=$I$24,INDEX('Database-Hidden'!$A$2:$B$120,$C34,2),""),"")</f>
        <v>Mummy</v>
      </c>
      <c r="AV34" s="179"/>
    </row>
    <row r="35" spans="3:48" ht="17.25" hidden="1" customHeight="1">
      <c r="C35" s="209">
        <f t="shared" si="7"/>
        <v>108</v>
      </c>
      <c r="D35" s="209" t="str">
        <f t="shared" si="6"/>
        <v/>
      </c>
      <c r="E35" s="210" t="str">
        <f t="array" ref="E35">IFERROR(IF(INDEX('Database-Hidden'!$A$2:$B$120,$C35,1)=$I$24,INDEX('Database-Hidden'!$A$2:$D$120,$C35,4),""),"")</f>
        <v/>
      </c>
      <c r="I35" s="209" t="str">
        <f t="array" ref="I35">IFERROR(IF(INDEX('Database-Hidden'!$A$2:$B$120,$C35,1)=$I$24,INDEX('Database-Hidden'!$A$2:$B$120,$C35,2),""),"")</f>
        <v/>
      </c>
      <c r="AV35" s="179"/>
    </row>
    <row r="36" spans="3:48" ht="17.25" hidden="1" customHeight="1">
      <c r="C36" s="209">
        <f t="shared" si="7"/>
        <v>109</v>
      </c>
      <c r="D36" s="209" t="str">
        <f t="shared" si="6"/>
        <v/>
      </c>
      <c r="E36" s="210" t="str">
        <f t="array" ref="E36">IFERROR(IF(INDEX('Database-Hidden'!$A$2:$B$120,$C36,1)=$I$24,INDEX('Database-Hidden'!$A$2:$D$120,$C36,4),""),"")</f>
        <v/>
      </c>
      <c r="I36" s="209" t="str">
        <f t="array" ref="I36">IFERROR(IF(INDEX('Database-Hidden'!$A$2:$B$120,$C36,1)=$I$24,INDEX('Database-Hidden'!$A$2:$B$120,$C36,2),""),"")</f>
        <v/>
      </c>
      <c r="AV36" s="179"/>
    </row>
    <row r="37" spans="3:48" ht="17.25" hidden="1" customHeight="1">
      <c r="C37" s="209">
        <f t="shared" si="7"/>
        <v>110</v>
      </c>
      <c r="D37" s="209" t="str">
        <f t="shared" si="6"/>
        <v/>
      </c>
      <c r="E37" s="210" t="str">
        <f t="array" ref="E37">IFERROR(IF(INDEX('Database-Hidden'!$A$2:$B$120,$C37,1)=$I$24,INDEX('Database-Hidden'!$A$2:$D$120,$C37,4),""),"")</f>
        <v/>
      </c>
      <c r="I37" s="209" t="str">
        <f t="array" ref="I37">IFERROR(IF(INDEX('Database-Hidden'!$A$2:$B$120,$C37,1)=$I$24,INDEX('Database-Hidden'!$A$2:$B$120,$C37,2),""),"")</f>
        <v/>
      </c>
      <c r="AV37" s="179"/>
    </row>
    <row r="38" spans="3:48" ht="17.25" hidden="1" customHeight="1">
      <c r="C38" s="209">
        <f t="shared" si="7"/>
        <v>111</v>
      </c>
      <c r="D38" s="209" t="str">
        <f t="shared" si="6"/>
        <v/>
      </c>
      <c r="E38" s="210" t="str">
        <f t="array" ref="E38">IFERROR(IF(INDEX('Database-Hidden'!$A$2:$B$120,$C38,1)=$I$24,INDEX('Database-Hidden'!$A$2:$D$120,$C38,4),""),"")</f>
        <v/>
      </c>
      <c r="I38" s="209" t="str">
        <f t="array" ref="I38">IFERROR(IF(INDEX('Database-Hidden'!$A$2:$B$120,$C38,1)=$I$24,INDEX('Database-Hidden'!$A$2:$B$120,$C38,2),""),"")</f>
        <v/>
      </c>
      <c r="AV38" s="179"/>
    </row>
    <row r="39" spans="3:48" ht="17.25" hidden="1" customHeight="1">
      <c r="C39" s="209">
        <f t="shared" si="7"/>
        <v>112</v>
      </c>
      <c r="D39" s="209" t="str">
        <f t="shared" si="6"/>
        <v/>
      </c>
      <c r="E39" s="210" t="str">
        <f t="array" ref="E39">IFERROR(IF(INDEX('Database-Hidden'!$A$2:$B$120,$C39,1)=$I$24,INDEX('Database-Hidden'!$A$2:$D$120,$C39,4),""),"")</f>
        <v/>
      </c>
      <c r="I39" s="209" t="str">
        <f t="array" ref="I39">IFERROR(IF(INDEX('Database-Hidden'!$A$2:$B$120,$C39,1)=$I$24,INDEX('Database-Hidden'!$A$2:$B$120,$C39,2),""),"")</f>
        <v/>
      </c>
      <c r="AV39" s="179"/>
    </row>
    <row r="40" spans="3:48" ht="17.25" hidden="1" customHeight="1">
      <c r="C40" s="211">
        <f>MATCH(I24,'Star Players-Hidden'!D2:AD2,0)</f>
        <v>24</v>
      </c>
      <c r="D40" s="211" t="str">
        <f t="shared" ref="D40:D51" ca="1" si="8">I40&amp;IF(COUNTIF(D$4:D$19,I40)&gt;1," (Too Many)","")</f>
        <v>Star: Count Luther Von Drakenborg</v>
      </c>
      <c r="E40" s="212"/>
      <c r="F40" s="212"/>
      <c r="G40" s="212"/>
      <c r="H40" s="212"/>
      <c r="I40" s="211" t="str">
        <f ca="1">IFERROR(__xludf.DUMMYFUNCTION("FILTER({""Star: ""&amp;'Star Players-Hidden'!A3:A87},INDEX('Star Players-Hidden'!D3:AD87,0,C40)&lt;&gt;"""",{'Star Players-Hidden'!C3:C87=""""}+{'Star Players-Hidden'!C3:C87=I21})"),"Star: Count Luther Von Drakenborg")</f>
        <v>Star: Count Luther Von Drakenborg</v>
      </c>
      <c r="AV40" s="179"/>
    </row>
    <row r="41" spans="3:48" ht="17.25" hidden="1" customHeight="1">
      <c r="C41" s="209"/>
      <c r="D41" s="209" t="str">
        <f t="shared" si="8"/>
        <v>Star: Hack Enslash</v>
      </c>
      <c r="I41" s="213" t="s">
        <v>136</v>
      </c>
      <c r="AV41" s="179"/>
    </row>
    <row r="42" spans="3:48" ht="17.25" hidden="1" customHeight="1">
      <c r="C42" s="209"/>
      <c r="D42" s="209" t="str">
        <f t="shared" si="8"/>
        <v>Star: J Earlice</v>
      </c>
      <c r="I42" s="209" t="s">
        <v>137</v>
      </c>
      <c r="AV42" s="179"/>
    </row>
    <row r="43" spans="3:48" ht="17.25" hidden="1" customHeight="1">
      <c r="C43" s="209"/>
      <c r="D43" s="209" t="str">
        <f t="shared" si="8"/>
        <v>Star: Ramtut III</v>
      </c>
      <c r="I43" s="209" t="s">
        <v>138</v>
      </c>
      <c r="AV43" s="179"/>
    </row>
    <row r="44" spans="3:48" ht="17.25" hidden="1" customHeight="1">
      <c r="C44" s="209"/>
      <c r="D44" s="209" t="str">
        <f t="shared" si="8"/>
        <v>Star: Setekh</v>
      </c>
      <c r="I44" s="209" t="s">
        <v>140</v>
      </c>
      <c r="AV44" s="179"/>
    </row>
    <row r="45" spans="3:48" ht="17.25" hidden="1" customHeight="1">
      <c r="C45" s="209"/>
      <c r="D45" s="209" t="str">
        <f t="shared" si="8"/>
        <v>Star: Sinnedbad</v>
      </c>
      <c r="I45" s="209" t="s">
        <v>141</v>
      </c>
      <c r="AV45" s="179"/>
    </row>
    <row r="46" spans="3:48" ht="17.25" hidden="1" customHeight="1">
      <c r="C46" s="209"/>
      <c r="D46" s="209" t="str">
        <f t="shared" si="8"/>
        <v/>
      </c>
      <c r="I46" s="209"/>
      <c r="AV46" s="179"/>
    </row>
    <row r="47" spans="3:48" ht="17.25" hidden="1" customHeight="1">
      <c r="C47" s="209"/>
      <c r="D47" s="209" t="str">
        <f t="shared" si="8"/>
        <v/>
      </c>
      <c r="I47" s="209"/>
      <c r="AV47" s="179"/>
    </row>
    <row r="48" spans="3:48" ht="17.25" hidden="1" customHeight="1">
      <c r="C48" s="209"/>
      <c r="D48" s="209" t="str">
        <f t="shared" si="8"/>
        <v/>
      </c>
      <c r="I48" s="209"/>
      <c r="AV48" s="179"/>
    </row>
    <row r="49" spans="3:48" ht="17.25" hidden="1" customHeight="1">
      <c r="C49" s="209"/>
      <c r="D49" s="209" t="str">
        <f t="shared" si="8"/>
        <v/>
      </c>
      <c r="I49" s="209"/>
      <c r="AV49" s="179"/>
    </row>
    <row r="50" spans="3:48" ht="17.25" hidden="1" customHeight="1">
      <c r="C50" s="209"/>
      <c r="D50" s="209" t="str">
        <f t="shared" si="8"/>
        <v/>
      </c>
      <c r="I50" s="209"/>
      <c r="AV50" s="179"/>
    </row>
    <row r="51" spans="3:48" ht="17.25" hidden="1" customHeight="1">
      <c r="C51" s="209"/>
      <c r="D51" s="209" t="str">
        <f t="shared" si="8"/>
        <v/>
      </c>
      <c r="I51" s="209"/>
      <c r="AV51" s="179"/>
    </row>
  </sheetData>
  <mergeCells count="31">
    <mergeCell ref="E24:H24"/>
    <mergeCell ref="B20:D28"/>
    <mergeCell ref="I21:K23"/>
    <mergeCell ref="E21:H23"/>
    <mergeCell ref="E26:H26"/>
    <mergeCell ref="E27:H27"/>
    <mergeCell ref="E25:H25"/>
    <mergeCell ref="I25:K25"/>
    <mergeCell ref="E28:AA28"/>
    <mergeCell ref="L26:S26"/>
    <mergeCell ref="L27:S27"/>
    <mergeCell ref="V26:AA26"/>
    <mergeCell ref="V27:AA27"/>
    <mergeCell ref="I24:K24"/>
    <mergeCell ref="I26:K26"/>
    <mergeCell ref="I27:K27"/>
    <mergeCell ref="P2:S2"/>
    <mergeCell ref="AN21:AO21"/>
    <mergeCell ref="V22:AA22"/>
    <mergeCell ref="E20:AA20"/>
    <mergeCell ref="L22:S22"/>
    <mergeCell ref="L21:S21"/>
    <mergeCell ref="V21:AA21"/>
    <mergeCell ref="AR3:AV3"/>
    <mergeCell ref="V23:AA23"/>
    <mergeCell ref="L25:S25"/>
    <mergeCell ref="L23:S23"/>
    <mergeCell ref="L24:S24"/>
    <mergeCell ref="V25:AA25"/>
    <mergeCell ref="V24:AA24"/>
    <mergeCell ref="AN3:AQ3"/>
  </mergeCells>
  <conditionalFormatting sqref="J4">
    <cfRule type="expression" dxfId="404" priority="1">
      <formula>K4&lt;&gt;SUM(AE4:AJ4)</formula>
    </cfRule>
  </conditionalFormatting>
  <conditionalFormatting sqref="K4:K19">
    <cfRule type="cellIs" dxfId="403" priority="2" operator="equal">
      <formula>0</formula>
    </cfRule>
  </conditionalFormatting>
  <conditionalFormatting sqref="AB4:AB19">
    <cfRule type="cellIs" dxfId="402" priority="3" operator="equal">
      <formula>0</formula>
    </cfRule>
  </conditionalFormatting>
  <conditionalFormatting sqref="E4:H19">
    <cfRule type="expression" dxfId="401" priority="4">
      <formula>AG4&gt;0</formula>
    </cfRule>
  </conditionalFormatting>
  <conditionalFormatting sqref="E4:H19">
    <cfRule type="expression" dxfId="400" priority="5">
      <formula>P4&gt;0</formula>
    </cfRule>
  </conditionalFormatting>
  <conditionalFormatting sqref="T4:T19 U4:U19 V4:W19 Z4:Z19 U29">
    <cfRule type="cellIs" dxfId="399" priority="6" stopIfTrue="1" operator="equal">
      <formula>0</formula>
    </cfRule>
  </conditionalFormatting>
  <conditionalFormatting sqref="K4:K19">
    <cfRule type="cellIs" dxfId="398" priority="7" stopIfTrue="1" operator="equal">
      <formula>"n/a"</formula>
    </cfRule>
  </conditionalFormatting>
  <conditionalFormatting sqref="P4:S19">
    <cfRule type="cellIs" dxfId="397" priority="8" stopIfTrue="1" operator="lessThanOrEqual">
      <formula>-1</formula>
    </cfRule>
  </conditionalFormatting>
  <conditionalFormatting sqref="V25:W27">
    <cfRule type="cellIs" dxfId="396" priority="9" stopIfTrue="1" operator="equal">
      <formula>-500</formula>
    </cfRule>
  </conditionalFormatting>
  <conditionalFormatting sqref="T25:T27">
    <cfRule type="cellIs" dxfId="395" priority="10" stopIfTrue="1" operator="greaterThan">
      <formula>$V$25</formula>
    </cfRule>
  </conditionalFormatting>
  <conditionalFormatting sqref="AA4:AA19">
    <cfRule type="cellIs" dxfId="394" priority="11" stopIfTrue="1" operator="equal">
      <formula>"Star"</formula>
    </cfRule>
  </conditionalFormatting>
  <conditionalFormatting sqref="AA4:AA19">
    <cfRule type="cellIs" dxfId="393" priority="12" stopIfTrue="1" operator="equal">
      <formula>AB4</formula>
    </cfRule>
  </conditionalFormatting>
  <conditionalFormatting sqref="I4:I19">
    <cfRule type="cellIs" dxfId="392" priority="13" stopIfTrue="1" operator="equal">
      <formula>0</formula>
    </cfRule>
  </conditionalFormatting>
  <conditionalFormatting sqref="I4:I19">
    <cfRule type="cellIs" dxfId="391" priority="14" stopIfTrue="1" operator="equal">
      <formula>"Player type quantity surpassed"</formula>
    </cfRule>
  </conditionalFormatting>
  <conditionalFormatting sqref="J5">
    <cfRule type="expression" dxfId="390" priority="15">
      <formula>K5&lt;&gt;SUM(AE5:AJ5)</formula>
    </cfRule>
  </conditionalFormatting>
  <conditionalFormatting sqref="J6">
    <cfRule type="expression" dxfId="389" priority="16">
      <formula>K6&lt;&gt;SUM(AE6:AJ6)</formula>
    </cfRule>
  </conditionalFormatting>
  <conditionalFormatting sqref="J7">
    <cfRule type="expression" dxfId="388" priority="17">
      <formula>K7&lt;&gt;SUM(AE7:AJ7)</formula>
    </cfRule>
  </conditionalFormatting>
  <conditionalFormatting sqref="J8">
    <cfRule type="expression" dxfId="387" priority="18">
      <formula>K8&lt;&gt;SUM(AE8:AJ8)</formula>
    </cfRule>
  </conditionalFormatting>
  <conditionalFormatting sqref="J9">
    <cfRule type="expression" dxfId="386" priority="19">
      <formula>K9&lt;&gt;SUM(AE9:AJ9)</formula>
    </cfRule>
  </conditionalFormatting>
  <conditionalFormatting sqref="J10">
    <cfRule type="expression" dxfId="385" priority="20">
      <formula>K10&lt;&gt;SUM(AE10:AJ10)</formula>
    </cfRule>
  </conditionalFormatting>
  <conditionalFormatting sqref="J11">
    <cfRule type="expression" dxfId="384" priority="21">
      <formula>K11&lt;&gt;SUM(AE11:AJ11)</formula>
    </cfRule>
  </conditionalFormatting>
  <conditionalFormatting sqref="J12">
    <cfRule type="expression" dxfId="383" priority="22">
      <formula>K12&lt;&gt;SUM(AE12:AJ12)</formula>
    </cfRule>
  </conditionalFormatting>
  <conditionalFormatting sqref="J13">
    <cfRule type="expression" dxfId="382" priority="23">
      <formula>K13&lt;&gt;SUM(AE13:AJ13)</formula>
    </cfRule>
  </conditionalFormatting>
  <conditionalFormatting sqref="J14">
    <cfRule type="expression" dxfId="381" priority="24">
      <formula>K14&lt;&gt;SUM(AE14:AJ14)</formula>
    </cfRule>
  </conditionalFormatting>
  <conditionalFormatting sqref="J15">
    <cfRule type="expression" dxfId="380" priority="25">
      <formula>K15&lt;&gt;SUM(AE15:AJ15)</formula>
    </cfRule>
  </conditionalFormatting>
  <conditionalFormatting sqref="J16">
    <cfRule type="expression" dxfId="379" priority="26">
      <formula>K16&lt;&gt;SUM(AE16:AJ16)</formula>
    </cfRule>
  </conditionalFormatting>
  <conditionalFormatting sqref="J17">
    <cfRule type="expression" dxfId="378" priority="27">
      <formula>K17&lt;&gt;SUM(AE17:AJ17)</formula>
    </cfRule>
  </conditionalFormatting>
  <conditionalFormatting sqref="J18">
    <cfRule type="expression" dxfId="377" priority="28">
      <formula>K18&lt;&gt;SUM(AE18:AJ18)</formula>
    </cfRule>
  </conditionalFormatting>
  <conditionalFormatting sqref="J19">
    <cfRule type="expression" dxfId="376" priority="29">
      <formula>K19&lt;&gt;SUM(AE19:AJ19)</formula>
    </cfRule>
  </conditionalFormatting>
  <dataValidations count="3">
    <dataValidation type="list" allowBlank="1" showErrorMessage="1" sqref="I24">
      <formula1>'Database-Hidden'!$N$2:$N$28</formula1>
    </dataValidation>
    <dataValidation type="list" allowBlank="1" showErrorMessage="1" sqref="D4:D19">
      <formula1>'KB1'!$D$28:$D$49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51"/>
  <sheetViews>
    <sheetView showGridLines="0" tabSelected="1" workbookViewId="0">
      <selection activeCell="I21" sqref="I21:K23"/>
    </sheetView>
  </sheetViews>
  <sheetFormatPr defaultColWidth="14.42578125" defaultRowHeight="15.75" customHeight="1"/>
  <cols>
    <col min="1" max="1" width="1.85546875" style="592" customWidth="1"/>
    <col min="2" max="2" width="3.140625" style="592" customWidth="1"/>
    <col min="3" max="3" width="19.28515625" style="592" customWidth="1"/>
    <col min="4" max="4" width="21.28515625" style="592" customWidth="1"/>
    <col min="5" max="8" width="3.42578125" style="592" customWidth="1"/>
    <col min="9" max="9" width="30.85546875" style="592" customWidth="1"/>
    <col min="10" max="10" width="23" style="592" customWidth="1"/>
    <col min="11" max="11" width="1.85546875" style="592" customWidth="1"/>
    <col min="12" max="15" width="2.42578125" style="592" customWidth="1"/>
    <col min="16" max="19" width="2.7109375" style="592" customWidth="1"/>
    <col min="20" max="21" width="3.28515625" style="592" customWidth="1"/>
    <col min="22" max="22" width="2.42578125" style="592" customWidth="1"/>
    <col min="23" max="23" width="3.28515625" style="592" customWidth="1"/>
    <col min="24" max="24" width="2.7109375" style="592" customWidth="1"/>
    <col min="25" max="26" width="3.28515625" style="592" customWidth="1"/>
    <col min="27" max="27" width="4.42578125" style="592" customWidth="1"/>
    <col min="28" max="28" width="10.28515625" style="592" customWidth="1"/>
    <col min="29" max="29" width="5.5703125" style="592" customWidth="1"/>
    <col min="30" max="30" width="8.85546875" style="592" customWidth="1"/>
    <col min="31" max="36" width="4.140625" style="592" customWidth="1"/>
    <col min="37" max="37" width="12.28515625" style="592" customWidth="1"/>
    <col min="38" max="39" width="6.42578125" style="592" customWidth="1"/>
    <col min="40" max="40" width="12.7109375" style="592" customWidth="1"/>
    <col min="41" max="41" width="11.42578125" style="592" customWidth="1"/>
    <col min="42" max="43" width="10.7109375" style="592" customWidth="1"/>
    <col min="44" max="44" width="26.140625" style="592" customWidth="1"/>
    <col min="45" max="46" width="10.7109375" style="592" customWidth="1"/>
    <col min="47" max="47" width="12.28515625" style="592" customWidth="1"/>
    <col min="48" max="48" width="10.7109375" style="592" customWidth="1"/>
    <col min="49" max="49" width="2.28515625" style="592" customWidth="1"/>
    <col min="50" max="16384" width="14.42578125" style="592"/>
  </cols>
  <sheetData>
    <row r="1" spans="1:49" ht="9" customHeight="1" thickBot="1">
      <c r="A1" s="588"/>
      <c r="B1" s="589"/>
      <c r="C1" s="589"/>
      <c r="D1" s="590"/>
      <c r="E1" s="589"/>
      <c r="F1" s="589"/>
      <c r="G1" s="589"/>
      <c r="H1" s="589"/>
      <c r="I1" s="589"/>
      <c r="J1" s="589"/>
      <c r="K1" s="589"/>
      <c r="L1" s="589"/>
      <c r="M1" s="589"/>
      <c r="N1" s="589"/>
      <c r="O1" s="589"/>
      <c r="P1" s="589"/>
      <c r="Q1" s="589"/>
      <c r="R1" s="589"/>
      <c r="S1" s="589"/>
      <c r="T1" s="589"/>
      <c r="U1" s="589"/>
      <c r="V1" s="589"/>
      <c r="W1" s="589"/>
      <c r="X1" s="589"/>
      <c r="Y1" s="589"/>
      <c r="Z1" s="589"/>
      <c r="AA1" s="588"/>
      <c r="AB1" s="588"/>
      <c r="AC1" s="588"/>
      <c r="AD1" s="588"/>
      <c r="AE1" s="588"/>
      <c r="AF1" s="588"/>
      <c r="AG1" s="588"/>
      <c r="AH1" s="588"/>
      <c r="AI1" s="588"/>
      <c r="AJ1" s="588"/>
      <c r="AK1" s="588"/>
      <c r="AL1" s="588"/>
      <c r="AM1" s="588"/>
      <c r="AN1" s="588"/>
      <c r="AO1" s="588"/>
      <c r="AP1" s="588"/>
      <c r="AQ1" s="588"/>
      <c r="AR1" s="588"/>
      <c r="AS1" s="588"/>
      <c r="AT1" s="588"/>
      <c r="AU1" s="588"/>
      <c r="AV1" s="591"/>
      <c r="AW1" s="588"/>
    </row>
    <row r="2" spans="1:49" ht="9.75" customHeight="1" thickBot="1">
      <c r="A2" s="588"/>
      <c r="B2" s="591"/>
      <c r="C2" s="591"/>
      <c r="D2" s="593"/>
      <c r="E2" s="591"/>
      <c r="F2" s="591"/>
      <c r="G2" s="591"/>
      <c r="H2" s="591"/>
      <c r="I2" s="591"/>
      <c r="J2" s="591"/>
      <c r="K2" s="588"/>
      <c r="L2" s="591"/>
      <c r="M2" s="591"/>
      <c r="N2" s="591"/>
      <c r="O2" s="591"/>
      <c r="P2" s="594" t="s">
        <v>1</v>
      </c>
      <c r="Q2" s="595"/>
      <c r="R2" s="595"/>
      <c r="S2" s="596"/>
      <c r="T2" s="597"/>
      <c r="U2" s="597"/>
      <c r="V2" s="597"/>
      <c r="W2" s="597"/>
      <c r="X2" s="598"/>
      <c r="Y2" s="597"/>
      <c r="Z2" s="597"/>
      <c r="AA2" s="591"/>
      <c r="AB2" s="591"/>
      <c r="AC2" s="588"/>
      <c r="AD2" s="591"/>
      <c r="AE2" s="591"/>
      <c r="AF2" s="591"/>
      <c r="AG2" s="599"/>
      <c r="AH2" s="600"/>
      <c r="AI2" s="600"/>
      <c r="AJ2" s="600"/>
      <c r="AK2" s="600"/>
      <c r="AL2" s="588"/>
      <c r="AM2" s="588"/>
      <c r="AN2" s="601"/>
      <c r="AO2" s="601"/>
      <c r="AP2" s="601"/>
      <c r="AQ2" s="601"/>
      <c r="AR2" s="601"/>
      <c r="AS2" s="601"/>
      <c r="AT2" s="601"/>
      <c r="AU2" s="601"/>
      <c r="AV2" s="601"/>
      <c r="AW2" s="601"/>
    </row>
    <row r="3" spans="1:49" ht="8.25" customHeight="1" thickBot="1">
      <c r="A3" s="589"/>
      <c r="B3" s="602" t="s">
        <v>4</v>
      </c>
      <c r="C3" s="603" t="s">
        <v>5</v>
      </c>
      <c r="D3" s="604" t="s">
        <v>14</v>
      </c>
      <c r="E3" s="605" t="s">
        <v>7</v>
      </c>
      <c r="F3" s="606" t="s">
        <v>8</v>
      </c>
      <c r="G3" s="607" t="s">
        <v>9</v>
      </c>
      <c r="H3" s="608" t="s">
        <v>10</v>
      </c>
      <c r="I3" s="609" t="s">
        <v>16</v>
      </c>
      <c r="J3" s="608" t="s">
        <v>19</v>
      </c>
      <c r="K3" s="610" t="s">
        <v>4</v>
      </c>
      <c r="L3" s="611" t="s">
        <v>20</v>
      </c>
      <c r="M3" s="612" t="s">
        <v>23</v>
      </c>
      <c r="N3" s="612" t="s">
        <v>25</v>
      </c>
      <c r="O3" s="613" t="s">
        <v>28</v>
      </c>
      <c r="P3" s="614" t="s">
        <v>7</v>
      </c>
      <c r="Q3" s="615" t="s">
        <v>8</v>
      </c>
      <c r="R3" s="615" t="s">
        <v>9</v>
      </c>
      <c r="S3" s="616" t="s">
        <v>10</v>
      </c>
      <c r="T3" s="617" t="s">
        <v>30</v>
      </c>
      <c r="U3" s="612" t="s">
        <v>33</v>
      </c>
      <c r="V3" s="612" t="s">
        <v>11</v>
      </c>
      <c r="W3" s="612" t="s">
        <v>34</v>
      </c>
      <c r="X3" s="618" t="s">
        <v>35</v>
      </c>
      <c r="Y3" s="613" t="s">
        <v>36</v>
      </c>
      <c r="Z3" s="613" t="s">
        <v>12</v>
      </c>
      <c r="AA3" s="609" t="s">
        <v>13</v>
      </c>
      <c r="AB3" s="619" t="s">
        <v>38</v>
      </c>
      <c r="AC3" s="588"/>
      <c r="AD3" s="602" t="s">
        <v>43</v>
      </c>
      <c r="AE3" s="609" t="s">
        <v>23</v>
      </c>
      <c r="AF3" s="606" t="s">
        <v>45</v>
      </c>
      <c r="AG3" s="620" t="str">
        <f>"+MA"</f>
        <v>+MA</v>
      </c>
      <c r="AH3" s="621" t="str">
        <f>"+ST"</f>
        <v>+ST</v>
      </c>
      <c r="AI3" s="621" t="str">
        <f>"+AG"</f>
        <v>+AG</v>
      </c>
      <c r="AJ3" s="621" t="str">
        <f>"+AV"</f>
        <v>+AV</v>
      </c>
      <c r="AK3" s="622" t="s">
        <v>51</v>
      </c>
      <c r="AL3" s="623" t="s">
        <v>52</v>
      </c>
      <c r="AM3" s="588"/>
      <c r="AN3" s="624" t="s">
        <v>53</v>
      </c>
      <c r="AO3" s="625"/>
      <c r="AP3" s="625"/>
      <c r="AQ3" s="625"/>
      <c r="AR3" s="626" t="s">
        <v>54</v>
      </c>
      <c r="AS3" s="625"/>
      <c r="AT3" s="625"/>
      <c r="AU3" s="625"/>
      <c r="AV3" s="625"/>
      <c r="AW3" s="601"/>
    </row>
    <row r="4" spans="1:49" ht="13.5" thickBot="1">
      <c r="A4" s="589"/>
      <c r="B4" s="627">
        <v>1</v>
      </c>
      <c r="C4" s="628"/>
      <c r="D4" s="629" t="s">
        <v>68</v>
      </c>
      <c r="E4" s="630">
        <f>IFERROR(VLOOKUP($I$24&amp;$D4,'[1]Database-Hidden'!$C$2:$J$120,4,FALSE)-P4+AG4,"")</f>
        <v>6</v>
      </c>
      <c r="F4" s="631">
        <f>IFERROR(VLOOKUP($I$24&amp;$D4,'[1]Database-Hidden'!$C$2:$J$120,5,FALSE)-Q4+AH4,"")</f>
        <v>3</v>
      </c>
      <c r="G4" s="631">
        <f>IFERROR(VLOOKUP($I$24&amp;$D4,'[1]Database-Hidden'!$C$2:$J$120,6,FALSE)-R4+AI4,"")</f>
        <v>2</v>
      </c>
      <c r="H4" s="632">
        <f>IFERROR(VLOOKUP($I$24&amp;$D4,'[1]Database-Hidden'!$C$2:$J$120,7,FALSE)-S4+AJ4,"")</f>
        <v>7</v>
      </c>
      <c r="I4" s="633" t="str">
        <f>IFERROR(VLOOKUP($I$24&amp;$D4,'[1]Database-Hidden'!$C$2:$J$120,8,FALSE),"")</f>
        <v>Fend</v>
      </c>
      <c r="J4" s="634"/>
      <c r="K4" s="635">
        <f t="shared" ref="K4:K19" si="0">IF(AA4&gt;175,6,IF(AA4&gt;75,5,IF(AA4&gt;50,4,IF(AA4&gt;30,3,IF(AA4&gt;15,2,IF(AA4&gt;5,1,0))))))</f>
        <v>0</v>
      </c>
      <c r="L4" s="636"/>
      <c r="M4" s="636"/>
      <c r="N4" s="636"/>
      <c r="O4" s="637"/>
      <c r="P4" s="638"/>
      <c r="Q4" s="639"/>
      <c r="R4" s="639"/>
      <c r="S4" s="640"/>
      <c r="T4" s="641"/>
      <c r="U4" s="642"/>
      <c r="V4" s="642"/>
      <c r="W4" s="642"/>
      <c r="X4" s="639"/>
      <c r="Y4" s="639">
        <v>1</v>
      </c>
      <c r="Z4" s="643"/>
      <c r="AA4" s="644">
        <f t="shared" ref="AA4:AA19" si="1">2*T4+U4+3*V4+2*W4+5*Z4</f>
        <v>0</v>
      </c>
      <c r="AB4" s="645">
        <f t="shared" ref="AB4:AB19" si="2">IF(L4=1,0,AD4+(20000*O4)+(20000*AE4)+(30000*AF4)+(30000*AG4)+(50000*AH4)+(40000*AI4)+(50000*AJ4)+AK4)</f>
        <v>40000</v>
      </c>
      <c r="AC4" s="588"/>
      <c r="AD4" s="646">
        <f>IFERROR(VLOOKUP($I$24&amp;D4,'[1]Database-Hidden'!$C$2:$E$120,3,FALSE),"")</f>
        <v>40000</v>
      </c>
      <c r="AE4" s="647"/>
      <c r="AF4" s="648"/>
      <c r="AG4" s="648"/>
      <c r="AH4" s="648"/>
      <c r="AI4" s="648"/>
      <c r="AJ4" s="648"/>
      <c r="AK4" s="649"/>
      <c r="AL4" s="650" t="str">
        <f>IF(LEFT($D4,6)&lt;&gt;"Star: ","",VLOOKUP(RIGHT($D4,LEN($D4)-6),'[1]Star Players-Hidden'!$A$3:$AK$87,37,FALSE))</f>
        <v/>
      </c>
      <c r="AM4" s="588"/>
      <c r="AN4" s="651" t="s">
        <v>69</v>
      </c>
      <c r="AO4" s="652">
        <v>10000</v>
      </c>
      <c r="AP4" s="588"/>
      <c r="AQ4" s="588"/>
      <c r="AR4" s="653"/>
      <c r="AS4" s="654"/>
      <c r="AT4" s="654"/>
      <c r="AU4" s="651" t="s">
        <v>70</v>
      </c>
      <c r="AV4" s="655">
        <v>0</v>
      </c>
      <c r="AW4" s="656"/>
    </row>
    <row r="5" spans="1:49" ht="13.5" thickBot="1">
      <c r="A5" s="589"/>
      <c r="B5" s="657">
        <v>2</v>
      </c>
      <c r="C5" s="658"/>
      <c r="D5" s="659" t="s">
        <v>68</v>
      </c>
      <c r="E5" s="660">
        <f>IFERROR(VLOOKUP($I$24&amp;$D5,'[1]Database-Hidden'!$C$2:$J$120,4,FALSE)-P5+AG5,"")</f>
        <v>6</v>
      </c>
      <c r="F5" s="661">
        <f>IFERROR(VLOOKUP($I$24&amp;$D5,'[1]Database-Hidden'!$C$2:$J$120,5,FALSE)-Q5+AH5,"")</f>
        <v>3</v>
      </c>
      <c r="G5" s="661">
        <f>IFERROR(VLOOKUP($I$24&amp;$D5,'[1]Database-Hidden'!$C$2:$J$120,6,FALSE)-R5+AI5,"")</f>
        <v>2</v>
      </c>
      <c r="H5" s="662">
        <f>IFERROR(VLOOKUP($I$24&amp;$D5,'[1]Database-Hidden'!$C$2:$J$120,7,FALSE)-S5+AJ5,"")</f>
        <v>7</v>
      </c>
      <c r="I5" s="663" t="str">
        <f>IFERROR(VLOOKUP($I$24&amp;$D5,'[1]Database-Hidden'!$C$2:$J$120,8,FALSE),"")</f>
        <v>Fend</v>
      </c>
      <c r="J5" s="664"/>
      <c r="K5" s="665">
        <f t="shared" si="0"/>
        <v>0</v>
      </c>
      <c r="L5" s="666"/>
      <c r="M5" s="666"/>
      <c r="N5" s="666"/>
      <c r="O5" s="667"/>
      <c r="P5" s="668"/>
      <c r="Q5" s="669"/>
      <c r="R5" s="669"/>
      <c r="S5" s="670"/>
      <c r="T5" s="671"/>
      <c r="U5" s="672"/>
      <c r="V5" s="672"/>
      <c r="W5" s="672">
        <v>1</v>
      </c>
      <c r="X5" s="669"/>
      <c r="Y5" s="669"/>
      <c r="Z5" s="673"/>
      <c r="AA5" s="674">
        <f t="shared" si="1"/>
        <v>2</v>
      </c>
      <c r="AB5" s="645">
        <f t="shared" si="2"/>
        <v>40000</v>
      </c>
      <c r="AC5" s="588"/>
      <c r="AD5" s="675">
        <f>IFERROR(VLOOKUP($I$24&amp;D5,'[1]Database-Hidden'!$C$2:$E$120,3,FALSE),"")</f>
        <v>40000</v>
      </c>
      <c r="AE5" s="676"/>
      <c r="AF5" s="677"/>
      <c r="AG5" s="677"/>
      <c r="AH5" s="677"/>
      <c r="AI5" s="677"/>
      <c r="AJ5" s="677"/>
      <c r="AK5" s="649"/>
      <c r="AL5" s="650" t="str">
        <f>IF(LEFT($D5,6)&lt;&gt;"Star: ","",VLOOKUP(RIGHT($D5,LEN($D5)-6),'[1]Star Players-Hidden'!$A$3:$AK$87,37,FALSE))</f>
        <v/>
      </c>
      <c r="AM5" s="588"/>
      <c r="AN5" s="678" t="s">
        <v>72</v>
      </c>
      <c r="AO5" s="679" t="s">
        <v>73</v>
      </c>
      <c r="AP5" s="680" t="s">
        <v>74</v>
      </c>
      <c r="AQ5" s="681" t="s">
        <v>75</v>
      </c>
      <c r="AR5" s="682" t="s">
        <v>76</v>
      </c>
      <c r="AS5" s="680" t="s">
        <v>77</v>
      </c>
      <c r="AT5" s="683" t="s">
        <v>78</v>
      </c>
      <c r="AU5" s="683" t="s">
        <v>80</v>
      </c>
      <c r="AV5" s="684" t="s">
        <v>49</v>
      </c>
      <c r="AW5" s="685"/>
    </row>
    <row r="6" spans="1:49" ht="12.75">
      <c r="A6" s="589"/>
      <c r="B6" s="657">
        <v>3</v>
      </c>
      <c r="C6" s="658"/>
      <c r="D6" s="659" t="s">
        <v>68</v>
      </c>
      <c r="E6" s="660">
        <f>IFERROR(VLOOKUP($I$24&amp;$D6,'[1]Database-Hidden'!$C$2:$J$120,4,FALSE)-P6+AG6,"")</f>
        <v>6</v>
      </c>
      <c r="F6" s="661">
        <f>IFERROR(VLOOKUP($I$24&amp;$D6,'[1]Database-Hidden'!$C$2:$J$120,5,FALSE)-Q6+AH6,"")</f>
        <v>3</v>
      </c>
      <c r="G6" s="661">
        <f>IFERROR(VLOOKUP($I$24&amp;$D6,'[1]Database-Hidden'!$C$2:$J$120,6,FALSE)-R6+AI6,"")</f>
        <v>2</v>
      </c>
      <c r="H6" s="662">
        <f>IFERROR(VLOOKUP($I$24&amp;$D6,'[1]Database-Hidden'!$C$2:$J$120,7,FALSE)-S6+AJ6,"")</f>
        <v>7</v>
      </c>
      <c r="I6" s="663" t="str">
        <f>IFERROR(VLOOKUP($I$24&amp;$D6,'[1]Database-Hidden'!$C$2:$J$120,8,FALSE),"")</f>
        <v>Fend</v>
      </c>
      <c r="J6" s="664"/>
      <c r="K6" s="665">
        <f t="shared" si="0"/>
        <v>0</v>
      </c>
      <c r="L6" s="666"/>
      <c r="M6" s="666"/>
      <c r="N6" s="666"/>
      <c r="O6" s="667"/>
      <c r="P6" s="668"/>
      <c r="Q6" s="669"/>
      <c r="R6" s="669"/>
      <c r="S6" s="670"/>
      <c r="T6" s="671"/>
      <c r="U6" s="672"/>
      <c r="V6" s="672"/>
      <c r="W6" s="672"/>
      <c r="X6" s="669"/>
      <c r="Y6" s="669"/>
      <c r="Z6" s="673"/>
      <c r="AA6" s="674">
        <f t="shared" si="1"/>
        <v>0</v>
      </c>
      <c r="AB6" s="645">
        <f t="shared" si="2"/>
        <v>40000</v>
      </c>
      <c r="AC6" s="588"/>
      <c r="AD6" s="675">
        <f>IFERROR(VLOOKUP($I$24&amp;D6,'[1]Database-Hidden'!$C$2:$E$120,3,FALSE),"")</f>
        <v>40000</v>
      </c>
      <c r="AE6" s="676"/>
      <c r="AF6" s="677"/>
      <c r="AG6" s="677"/>
      <c r="AH6" s="677"/>
      <c r="AI6" s="677"/>
      <c r="AJ6" s="677"/>
      <c r="AK6" s="649"/>
      <c r="AL6" s="650" t="str">
        <f>IF(LEFT($D6,6)&lt;&gt;"Star: ","",VLOOKUP(RIGHT($D6,LEN($D6)-6),'[1]Star Players-Hidden'!$A$3:$AK$87,37,FALSE))</f>
        <v/>
      </c>
      <c r="AM6" s="588"/>
      <c r="AN6" s="686" t="s">
        <v>83</v>
      </c>
      <c r="AO6" s="687">
        <v>60000</v>
      </c>
      <c r="AP6" s="688"/>
      <c r="AQ6" s="689"/>
      <c r="AR6" s="690" t="s">
        <v>39</v>
      </c>
      <c r="AS6" s="691" t="s">
        <v>84</v>
      </c>
      <c r="AT6" s="692">
        <v>2</v>
      </c>
      <c r="AU6" s="693">
        <v>3</v>
      </c>
      <c r="AV6" s="694">
        <v>1</v>
      </c>
      <c r="AW6" s="588"/>
    </row>
    <row r="7" spans="1:49" ht="12.75">
      <c r="A7" s="589"/>
      <c r="B7" s="657">
        <v>4</v>
      </c>
      <c r="C7" s="658"/>
      <c r="D7" s="659" t="s">
        <v>68</v>
      </c>
      <c r="E7" s="660">
        <f>IFERROR(VLOOKUP($I$24&amp;$D7,'[1]Database-Hidden'!$C$2:$J$120,4,FALSE)-P7+AG7,"")</f>
        <v>6</v>
      </c>
      <c r="F7" s="661">
        <f>IFERROR(VLOOKUP($I$24&amp;$D7,'[1]Database-Hidden'!$C$2:$J$120,5,FALSE)-Q7+AH7,"")</f>
        <v>3</v>
      </c>
      <c r="G7" s="661">
        <f>IFERROR(VLOOKUP($I$24&amp;$D7,'[1]Database-Hidden'!$C$2:$J$120,6,FALSE)-R7+AI7,"")</f>
        <v>2</v>
      </c>
      <c r="H7" s="662">
        <f>IFERROR(VLOOKUP($I$24&amp;$D7,'[1]Database-Hidden'!$C$2:$J$120,7,FALSE)-S7+AJ7,"")</f>
        <v>7</v>
      </c>
      <c r="I7" s="663" t="str">
        <f>IFERROR(VLOOKUP($I$24&amp;$D7,'[1]Database-Hidden'!$C$2:$J$120,8,FALSE),"")</f>
        <v>Fend</v>
      </c>
      <c r="J7" s="664"/>
      <c r="K7" s="665">
        <f t="shared" si="0"/>
        <v>0</v>
      </c>
      <c r="L7" s="666"/>
      <c r="M7" s="666"/>
      <c r="N7" s="666"/>
      <c r="O7" s="667"/>
      <c r="P7" s="668"/>
      <c r="Q7" s="669"/>
      <c r="R7" s="669"/>
      <c r="S7" s="670"/>
      <c r="T7" s="671"/>
      <c r="U7" s="672"/>
      <c r="V7" s="672"/>
      <c r="W7" s="672"/>
      <c r="X7" s="669"/>
      <c r="Y7" s="669"/>
      <c r="Z7" s="673"/>
      <c r="AA7" s="674">
        <f t="shared" si="1"/>
        <v>0</v>
      </c>
      <c r="AB7" s="645">
        <f t="shared" si="2"/>
        <v>40000</v>
      </c>
      <c r="AC7" s="588"/>
      <c r="AD7" s="675">
        <f>IFERROR(VLOOKUP($I$24&amp;D7,'[1]Database-Hidden'!$C$2:$E$120,3,FALSE),"")</f>
        <v>40000</v>
      </c>
      <c r="AE7" s="676"/>
      <c r="AF7" s="677"/>
      <c r="AG7" s="677"/>
      <c r="AH7" s="677"/>
      <c r="AI7" s="677"/>
      <c r="AJ7" s="677"/>
      <c r="AK7" s="649"/>
      <c r="AL7" s="650" t="str">
        <f>IF(LEFT($D7,6)&lt;&gt;"Star: ","",VLOOKUP(RIGHT($D7,LEN($D7)-6),'[1]Star Players-Hidden'!$A$3:$AK$87,37,FALSE))</f>
        <v/>
      </c>
      <c r="AM7" s="588"/>
      <c r="AN7" s="695" t="s">
        <v>86</v>
      </c>
      <c r="AO7" s="696"/>
      <c r="AP7" s="697"/>
      <c r="AQ7" s="698"/>
      <c r="AR7" s="699"/>
      <c r="AS7" s="700"/>
      <c r="AT7" s="701"/>
      <c r="AU7" s="702"/>
      <c r="AV7" s="703"/>
      <c r="AW7" s="588"/>
    </row>
    <row r="8" spans="1:49" ht="12.75">
      <c r="A8" s="589"/>
      <c r="B8" s="657">
        <v>5</v>
      </c>
      <c r="C8" s="658"/>
      <c r="D8" s="659" t="s">
        <v>68</v>
      </c>
      <c r="E8" s="660">
        <f>IFERROR(VLOOKUP($I$24&amp;$D8,'[1]Database-Hidden'!$C$2:$J$120,4,FALSE)-P8+AG8,"")</f>
        <v>6</v>
      </c>
      <c r="F8" s="661">
        <f>IFERROR(VLOOKUP($I$24&amp;$D8,'[1]Database-Hidden'!$C$2:$J$120,5,FALSE)-Q8+AH8,"")</f>
        <v>3</v>
      </c>
      <c r="G8" s="661">
        <f>IFERROR(VLOOKUP($I$24&amp;$D8,'[1]Database-Hidden'!$C$2:$J$120,6,FALSE)-R8+AI8,"")</f>
        <v>2</v>
      </c>
      <c r="H8" s="662">
        <f>IFERROR(VLOOKUP($I$24&amp;$D8,'[1]Database-Hidden'!$C$2:$J$120,7,FALSE)-S8+AJ8,"")</f>
        <v>7</v>
      </c>
      <c r="I8" s="663" t="str">
        <f>IFERROR(VLOOKUP($I$24&amp;$D8,'[1]Database-Hidden'!$C$2:$J$120,8,FALSE),"")</f>
        <v>Fend</v>
      </c>
      <c r="J8" s="664"/>
      <c r="K8" s="665">
        <f t="shared" si="0"/>
        <v>0</v>
      </c>
      <c r="L8" s="666"/>
      <c r="M8" s="666"/>
      <c r="N8" s="666"/>
      <c r="O8" s="667"/>
      <c r="P8" s="668"/>
      <c r="Q8" s="669"/>
      <c r="R8" s="669"/>
      <c r="S8" s="670"/>
      <c r="T8" s="671"/>
      <c r="U8" s="672"/>
      <c r="V8" s="672"/>
      <c r="W8" s="672"/>
      <c r="X8" s="669"/>
      <c r="Y8" s="669"/>
      <c r="Z8" s="673"/>
      <c r="AA8" s="674">
        <f t="shared" si="1"/>
        <v>0</v>
      </c>
      <c r="AB8" s="645">
        <f t="shared" si="2"/>
        <v>40000</v>
      </c>
      <c r="AC8" s="588"/>
      <c r="AD8" s="675">
        <f>IFERROR(VLOOKUP($I$24&amp;D8,'[1]Database-Hidden'!$C$2:$E$120,3,FALSE),"")</f>
        <v>40000</v>
      </c>
      <c r="AE8" s="676"/>
      <c r="AF8" s="677"/>
      <c r="AG8" s="677"/>
      <c r="AH8" s="677"/>
      <c r="AI8" s="677"/>
      <c r="AJ8" s="677"/>
      <c r="AK8" s="649"/>
      <c r="AL8" s="650" t="str">
        <f>IF(LEFT($D8,6)&lt;&gt;"Star: ","",VLOOKUP(RIGHT($D8,LEN($D8)-6),'[1]Star Players-Hidden'!$A$3:$AK$87,37,FALSE))</f>
        <v/>
      </c>
      <c r="AM8" s="588"/>
      <c r="AN8" s="695" t="s">
        <v>90</v>
      </c>
      <c r="AO8" s="696"/>
      <c r="AP8" s="697"/>
      <c r="AQ8" s="698"/>
      <c r="AR8" s="699"/>
      <c r="AS8" s="700"/>
      <c r="AT8" s="701"/>
      <c r="AU8" s="702"/>
      <c r="AV8" s="703"/>
      <c r="AW8" s="588"/>
    </row>
    <row r="9" spans="1:49" ht="12.75">
      <c r="A9" s="589"/>
      <c r="B9" s="657">
        <v>6</v>
      </c>
      <c r="C9" s="658"/>
      <c r="D9" s="659" t="s">
        <v>68</v>
      </c>
      <c r="E9" s="660">
        <f>IFERROR(VLOOKUP($I$24&amp;$D9,'[1]Database-Hidden'!$C$2:$J$120,4,FALSE)-P9+AG9,"")</f>
        <v>6</v>
      </c>
      <c r="F9" s="661">
        <f>IFERROR(VLOOKUP($I$24&amp;$D9,'[1]Database-Hidden'!$C$2:$J$120,5,FALSE)-Q9+AH9,"")</f>
        <v>3</v>
      </c>
      <c r="G9" s="661">
        <f>IFERROR(VLOOKUP($I$24&amp;$D9,'[1]Database-Hidden'!$C$2:$J$120,6,FALSE)-R9+AI9,"")</f>
        <v>2</v>
      </c>
      <c r="H9" s="662">
        <f>IFERROR(VLOOKUP($I$24&amp;$D9,'[1]Database-Hidden'!$C$2:$J$120,7,FALSE)-S9+AJ9,"")</f>
        <v>7</v>
      </c>
      <c r="I9" s="663" t="str">
        <f>IFERROR(VLOOKUP($I$24&amp;$D9,'[1]Database-Hidden'!$C$2:$J$120,8,FALSE),"")</f>
        <v>Fend</v>
      </c>
      <c r="J9" s="664"/>
      <c r="K9" s="665">
        <f t="shared" si="0"/>
        <v>0</v>
      </c>
      <c r="L9" s="666"/>
      <c r="M9" s="666"/>
      <c r="N9" s="666"/>
      <c r="O9" s="667"/>
      <c r="P9" s="668"/>
      <c r="Q9" s="669"/>
      <c r="R9" s="669"/>
      <c r="S9" s="670"/>
      <c r="T9" s="671"/>
      <c r="U9" s="672"/>
      <c r="V9" s="672"/>
      <c r="W9" s="672"/>
      <c r="X9" s="669"/>
      <c r="Y9" s="669"/>
      <c r="Z9" s="673"/>
      <c r="AA9" s="674">
        <f t="shared" si="1"/>
        <v>0</v>
      </c>
      <c r="AB9" s="645">
        <f t="shared" si="2"/>
        <v>40000</v>
      </c>
      <c r="AC9" s="588"/>
      <c r="AD9" s="675">
        <f>IFERROR(VLOOKUP($I$24&amp;D9,'[1]Database-Hidden'!$C$2:$E$120,3,FALSE),"")</f>
        <v>40000</v>
      </c>
      <c r="AE9" s="676"/>
      <c r="AF9" s="677"/>
      <c r="AG9" s="677"/>
      <c r="AH9" s="677"/>
      <c r="AI9" s="677"/>
      <c r="AJ9" s="677"/>
      <c r="AK9" s="649"/>
      <c r="AL9" s="650" t="str">
        <f>IF(LEFT($D9,6)&lt;&gt;"Star: ","",VLOOKUP(RIGHT($D9,LEN($D9)-6),'[1]Star Players-Hidden'!$A$3:$AK$87,37,FALSE))</f>
        <v/>
      </c>
      <c r="AM9" s="588"/>
      <c r="AN9" s="695" t="s">
        <v>94</v>
      </c>
      <c r="AO9" s="696"/>
      <c r="AP9" s="697"/>
      <c r="AQ9" s="698"/>
      <c r="AR9" s="699"/>
      <c r="AS9" s="700"/>
      <c r="AT9" s="701"/>
      <c r="AU9" s="702"/>
      <c r="AV9" s="703"/>
      <c r="AW9" s="588"/>
    </row>
    <row r="10" spans="1:49" ht="12.75">
      <c r="A10" s="589"/>
      <c r="B10" s="657">
        <v>7</v>
      </c>
      <c r="C10" s="658"/>
      <c r="D10" s="659" t="s">
        <v>68</v>
      </c>
      <c r="E10" s="660">
        <f>IFERROR(VLOOKUP($I$24&amp;$D10,'[1]Database-Hidden'!$C$2:$J$120,4,FALSE)-P10+AG10,"")</f>
        <v>6</v>
      </c>
      <c r="F10" s="661">
        <f>IFERROR(VLOOKUP($I$24&amp;$D10,'[1]Database-Hidden'!$C$2:$J$120,5,FALSE)-Q10+AH10,"")</f>
        <v>3</v>
      </c>
      <c r="G10" s="661">
        <f>IFERROR(VLOOKUP($I$24&amp;$D10,'[1]Database-Hidden'!$C$2:$J$120,6,FALSE)-R10+AI10,"")</f>
        <v>2</v>
      </c>
      <c r="H10" s="662">
        <f>IFERROR(VLOOKUP($I$24&amp;$D10,'[1]Database-Hidden'!$C$2:$J$120,7,FALSE)-S10+AJ10,"")</f>
        <v>7</v>
      </c>
      <c r="I10" s="663" t="str">
        <f>IFERROR(VLOOKUP($I$24&amp;$D10,'[1]Database-Hidden'!$C$2:$J$120,8,FALSE),"")</f>
        <v>Fend</v>
      </c>
      <c r="J10" s="664"/>
      <c r="K10" s="665">
        <f t="shared" si="0"/>
        <v>0</v>
      </c>
      <c r="L10" s="666"/>
      <c r="M10" s="666"/>
      <c r="N10" s="666"/>
      <c r="O10" s="667"/>
      <c r="P10" s="668"/>
      <c r="Q10" s="669"/>
      <c r="R10" s="669"/>
      <c r="S10" s="670"/>
      <c r="T10" s="671"/>
      <c r="U10" s="672"/>
      <c r="V10" s="672"/>
      <c r="W10" s="672"/>
      <c r="X10" s="669"/>
      <c r="Y10" s="669"/>
      <c r="Z10" s="673"/>
      <c r="AA10" s="674">
        <f t="shared" si="1"/>
        <v>0</v>
      </c>
      <c r="AB10" s="645">
        <f t="shared" si="2"/>
        <v>40000</v>
      </c>
      <c r="AC10" s="588"/>
      <c r="AD10" s="675">
        <f>IFERROR(VLOOKUP($I$24&amp;D10,'[1]Database-Hidden'!$C$2:$E$120,3,FALSE),"")</f>
        <v>40000</v>
      </c>
      <c r="AE10" s="676"/>
      <c r="AF10" s="677"/>
      <c r="AG10" s="677"/>
      <c r="AH10" s="677"/>
      <c r="AI10" s="677"/>
      <c r="AJ10" s="677"/>
      <c r="AK10" s="649"/>
      <c r="AL10" s="650" t="str">
        <f>IF(LEFT($D10,6)&lt;&gt;"Star: ","",VLOOKUP(RIGHT($D10,LEN($D10)-6),'[1]Star Players-Hidden'!$A$3:$AK$87,37,FALSE))</f>
        <v/>
      </c>
      <c r="AM10" s="588"/>
      <c r="AN10" s="695" t="s">
        <v>96</v>
      </c>
      <c r="AO10" s="696"/>
      <c r="AP10" s="697"/>
      <c r="AQ10" s="698"/>
      <c r="AR10" s="699"/>
      <c r="AS10" s="700"/>
      <c r="AT10" s="701"/>
      <c r="AU10" s="702"/>
      <c r="AV10" s="703"/>
      <c r="AW10" s="588"/>
    </row>
    <row r="11" spans="1:49" ht="12.75">
      <c r="A11" s="589"/>
      <c r="B11" s="657">
        <v>8</v>
      </c>
      <c r="C11" s="658"/>
      <c r="D11" s="659" t="s">
        <v>68</v>
      </c>
      <c r="E11" s="660">
        <f>IFERROR(VLOOKUP($I$24&amp;$D11,'[1]Database-Hidden'!$C$2:$J$120,4,FALSE)-P11+AG11,"")</f>
        <v>6</v>
      </c>
      <c r="F11" s="661">
        <f>IFERROR(VLOOKUP($I$24&amp;$D11,'[1]Database-Hidden'!$C$2:$J$120,5,FALSE)-Q11+AH11,"")</f>
        <v>3</v>
      </c>
      <c r="G11" s="661">
        <f>IFERROR(VLOOKUP($I$24&amp;$D11,'[1]Database-Hidden'!$C$2:$J$120,6,FALSE)-R11+AI11,"")</f>
        <v>2</v>
      </c>
      <c r="H11" s="662">
        <f>IFERROR(VLOOKUP($I$24&amp;$D11,'[1]Database-Hidden'!$C$2:$J$120,7,FALSE)-S11+AJ11,"")</f>
        <v>7</v>
      </c>
      <c r="I11" s="663" t="str">
        <f>IFERROR(VLOOKUP($I$24&amp;$D11,'[1]Database-Hidden'!$C$2:$J$120,8,FALSE),"")</f>
        <v>Fend</v>
      </c>
      <c r="J11" s="664"/>
      <c r="K11" s="665">
        <f t="shared" si="0"/>
        <v>0</v>
      </c>
      <c r="L11" s="666"/>
      <c r="M11" s="666"/>
      <c r="N11" s="666"/>
      <c r="O11" s="667"/>
      <c r="P11" s="668"/>
      <c r="Q11" s="669"/>
      <c r="R11" s="669"/>
      <c r="S11" s="670"/>
      <c r="T11" s="671"/>
      <c r="U11" s="672"/>
      <c r="V11" s="672"/>
      <c r="W11" s="672"/>
      <c r="X11" s="669"/>
      <c r="Y11" s="669"/>
      <c r="Z11" s="673"/>
      <c r="AA11" s="674">
        <f t="shared" si="1"/>
        <v>0</v>
      </c>
      <c r="AB11" s="645">
        <f t="shared" si="2"/>
        <v>40000</v>
      </c>
      <c r="AC11" s="588"/>
      <c r="AD11" s="675">
        <f>IFERROR(VLOOKUP($I$24&amp;D11,'[1]Database-Hidden'!$C$2:$E$120,3,FALSE),"")</f>
        <v>40000</v>
      </c>
      <c r="AE11" s="676"/>
      <c r="AF11" s="677"/>
      <c r="AG11" s="677"/>
      <c r="AH11" s="677"/>
      <c r="AI11" s="677"/>
      <c r="AJ11" s="677"/>
      <c r="AK11" s="649"/>
      <c r="AL11" s="650" t="str">
        <f>IF(LEFT($D11,6)&lt;&gt;"Star: ","",VLOOKUP(RIGHT($D11,LEN($D11)-6),'[1]Star Players-Hidden'!$A$3:$AK$87,37,FALSE))</f>
        <v/>
      </c>
      <c r="AM11" s="588"/>
      <c r="AN11" s="695" t="s">
        <v>99</v>
      </c>
      <c r="AO11" s="696"/>
      <c r="AP11" s="697"/>
      <c r="AQ11" s="698"/>
      <c r="AR11" s="699"/>
      <c r="AS11" s="700"/>
      <c r="AT11" s="701"/>
      <c r="AU11" s="702"/>
      <c r="AV11" s="703"/>
      <c r="AW11" s="588"/>
    </row>
    <row r="12" spans="1:49" ht="12.75">
      <c r="A12" s="589"/>
      <c r="B12" s="657">
        <v>9</v>
      </c>
      <c r="C12" s="658"/>
      <c r="D12" s="659" t="s">
        <v>68</v>
      </c>
      <c r="E12" s="660">
        <f>IFERROR(VLOOKUP($I$24&amp;$D12,'[1]Database-Hidden'!$C$2:$J$120,4,FALSE)-P12+AG12,"")</f>
        <v>6</v>
      </c>
      <c r="F12" s="661">
        <f>IFERROR(VLOOKUP($I$24&amp;$D12,'[1]Database-Hidden'!$C$2:$J$120,5,FALSE)-Q12+AH12,"")</f>
        <v>3</v>
      </c>
      <c r="G12" s="661">
        <f>IFERROR(VLOOKUP($I$24&amp;$D12,'[1]Database-Hidden'!$C$2:$J$120,6,FALSE)-R12+AI12,"")</f>
        <v>2</v>
      </c>
      <c r="H12" s="662">
        <f>IFERROR(VLOOKUP($I$24&amp;$D12,'[1]Database-Hidden'!$C$2:$J$120,7,FALSE)-S12+AJ12,"")</f>
        <v>7</v>
      </c>
      <c r="I12" s="663" t="str">
        <f>IFERROR(VLOOKUP($I$24&amp;$D12,'[1]Database-Hidden'!$C$2:$J$120,8,FALSE),"")</f>
        <v>Fend</v>
      </c>
      <c r="J12" s="664"/>
      <c r="K12" s="665">
        <f t="shared" si="0"/>
        <v>0</v>
      </c>
      <c r="L12" s="666"/>
      <c r="M12" s="666"/>
      <c r="N12" s="666"/>
      <c r="O12" s="667"/>
      <c r="P12" s="668"/>
      <c r="Q12" s="669"/>
      <c r="R12" s="669"/>
      <c r="S12" s="670"/>
      <c r="T12" s="671"/>
      <c r="U12" s="672"/>
      <c r="V12" s="672"/>
      <c r="W12" s="672"/>
      <c r="X12" s="669"/>
      <c r="Y12" s="669"/>
      <c r="Z12" s="673"/>
      <c r="AA12" s="674">
        <f t="shared" si="1"/>
        <v>0</v>
      </c>
      <c r="AB12" s="645">
        <f t="shared" si="2"/>
        <v>40000</v>
      </c>
      <c r="AC12" s="588"/>
      <c r="AD12" s="675">
        <f>IFERROR(VLOOKUP($I$24&amp;D12,'[1]Database-Hidden'!$C$2:$E$120,3,FALSE),"")</f>
        <v>40000</v>
      </c>
      <c r="AE12" s="676"/>
      <c r="AF12" s="677"/>
      <c r="AG12" s="677"/>
      <c r="AH12" s="677"/>
      <c r="AI12" s="677"/>
      <c r="AJ12" s="677"/>
      <c r="AK12" s="649"/>
      <c r="AL12" s="650" t="str">
        <f>IF(LEFT($D12,6)&lt;&gt;"Star: ","",VLOOKUP(RIGHT($D12,LEN($D12)-6),'[1]Star Players-Hidden'!$A$3:$AK$87,37,FALSE))</f>
        <v/>
      </c>
      <c r="AM12" s="588"/>
      <c r="AN12" s="695" t="s">
        <v>102</v>
      </c>
      <c r="AO12" s="696"/>
      <c r="AP12" s="697"/>
      <c r="AQ12" s="698"/>
      <c r="AR12" s="699"/>
      <c r="AS12" s="700"/>
      <c r="AT12" s="701"/>
      <c r="AU12" s="702"/>
      <c r="AV12" s="703"/>
      <c r="AW12" s="588"/>
    </row>
    <row r="13" spans="1:49" ht="12.75">
      <c r="A13" s="589"/>
      <c r="B13" s="657">
        <v>10</v>
      </c>
      <c r="C13" s="658"/>
      <c r="D13" s="659" t="s">
        <v>68</v>
      </c>
      <c r="E13" s="660">
        <f>IFERROR(VLOOKUP($I$24&amp;$D13,'[1]Database-Hidden'!$C$2:$J$120,4,FALSE)-P13+AG13,"")</f>
        <v>6</v>
      </c>
      <c r="F13" s="661">
        <f>IFERROR(VLOOKUP($I$24&amp;$D13,'[1]Database-Hidden'!$C$2:$J$120,5,FALSE)-Q13+AH13,"")</f>
        <v>3</v>
      </c>
      <c r="G13" s="661">
        <f>IFERROR(VLOOKUP($I$24&amp;$D13,'[1]Database-Hidden'!$C$2:$J$120,6,FALSE)-R13+AI13,"")</f>
        <v>2</v>
      </c>
      <c r="H13" s="662">
        <f>IFERROR(VLOOKUP($I$24&amp;$D13,'[1]Database-Hidden'!$C$2:$J$120,7,FALSE)-S13+AJ13,"")</f>
        <v>7</v>
      </c>
      <c r="I13" s="663" t="str">
        <f>IFERROR(VLOOKUP($I$24&amp;$D13,'[1]Database-Hidden'!$C$2:$J$120,8,FALSE),"")</f>
        <v>Fend</v>
      </c>
      <c r="J13" s="664"/>
      <c r="K13" s="665">
        <f t="shared" si="0"/>
        <v>0</v>
      </c>
      <c r="L13" s="666"/>
      <c r="M13" s="666"/>
      <c r="N13" s="666"/>
      <c r="O13" s="667"/>
      <c r="P13" s="668"/>
      <c r="Q13" s="669"/>
      <c r="R13" s="669"/>
      <c r="S13" s="670"/>
      <c r="T13" s="671"/>
      <c r="U13" s="672"/>
      <c r="V13" s="672"/>
      <c r="W13" s="672">
        <v>1</v>
      </c>
      <c r="X13" s="669"/>
      <c r="Y13" s="669"/>
      <c r="Z13" s="673"/>
      <c r="AA13" s="674">
        <f t="shared" si="1"/>
        <v>2</v>
      </c>
      <c r="AB13" s="645">
        <f t="shared" si="2"/>
        <v>40000</v>
      </c>
      <c r="AC13" s="588"/>
      <c r="AD13" s="675">
        <f>IFERROR(VLOOKUP($I$24&amp;D13,'[1]Database-Hidden'!$C$2:$E$120,3,FALSE),"")</f>
        <v>40000</v>
      </c>
      <c r="AE13" s="676"/>
      <c r="AF13" s="677"/>
      <c r="AG13" s="677"/>
      <c r="AH13" s="677"/>
      <c r="AI13" s="677"/>
      <c r="AJ13" s="677"/>
      <c r="AK13" s="649"/>
      <c r="AL13" s="650" t="str">
        <f>IF(LEFT($D13,6)&lt;&gt;"Star: ","",VLOOKUP(RIGHT($D13,LEN($D13)-6),'[1]Star Players-Hidden'!$A$3:$AK$87,37,FALSE))</f>
        <v/>
      </c>
      <c r="AM13" s="588"/>
      <c r="AN13" s="695" t="s">
        <v>105</v>
      </c>
      <c r="AO13" s="696"/>
      <c r="AP13" s="697"/>
      <c r="AQ13" s="698"/>
      <c r="AR13" s="699"/>
      <c r="AS13" s="700"/>
      <c r="AT13" s="701"/>
      <c r="AU13" s="702"/>
      <c r="AV13" s="703"/>
      <c r="AW13" s="588"/>
    </row>
    <row r="14" spans="1:49" ht="12.75">
      <c r="A14" s="589"/>
      <c r="B14" s="657">
        <v>11</v>
      </c>
      <c r="C14" s="658"/>
      <c r="D14" s="659" t="s">
        <v>68</v>
      </c>
      <c r="E14" s="660">
        <f>IFERROR(VLOOKUP($I$24&amp;$D14,'[1]Database-Hidden'!$C$2:$J$120,4,FALSE)-P14+AG14,"")</f>
        <v>6</v>
      </c>
      <c r="F14" s="661">
        <f>IFERROR(VLOOKUP($I$24&amp;$D14,'[1]Database-Hidden'!$C$2:$J$120,5,FALSE)-Q14+AH14,"")</f>
        <v>3</v>
      </c>
      <c r="G14" s="661">
        <f>IFERROR(VLOOKUP($I$24&amp;$D14,'[1]Database-Hidden'!$C$2:$J$120,6,FALSE)-R14+AI14,"")</f>
        <v>2</v>
      </c>
      <c r="H14" s="662">
        <f>IFERROR(VLOOKUP($I$24&amp;$D14,'[1]Database-Hidden'!$C$2:$J$120,7,FALSE)-S14+AJ14,"")</f>
        <v>7</v>
      </c>
      <c r="I14" s="663" t="str">
        <f>IFERROR(VLOOKUP($I$24&amp;$D14,'[1]Database-Hidden'!$C$2:$J$120,8,FALSE),"")</f>
        <v>Fend</v>
      </c>
      <c r="J14" s="664"/>
      <c r="K14" s="665">
        <f t="shared" si="0"/>
        <v>0</v>
      </c>
      <c r="L14" s="666"/>
      <c r="M14" s="666"/>
      <c r="N14" s="666"/>
      <c r="O14" s="667"/>
      <c r="P14" s="668"/>
      <c r="Q14" s="669"/>
      <c r="R14" s="669"/>
      <c r="S14" s="670"/>
      <c r="T14" s="671"/>
      <c r="U14" s="672"/>
      <c r="V14" s="672"/>
      <c r="W14" s="672"/>
      <c r="X14" s="669"/>
      <c r="Y14" s="669"/>
      <c r="Z14" s="673"/>
      <c r="AA14" s="674">
        <f t="shared" si="1"/>
        <v>0</v>
      </c>
      <c r="AB14" s="645">
        <f t="shared" si="2"/>
        <v>40000</v>
      </c>
      <c r="AC14" s="588"/>
      <c r="AD14" s="675">
        <f>IFERROR(VLOOKUP($I$24&amp;D14,'[1]Database-Hidden'!$C$2:$E$120,3,FALSE),"")</f>
        <v>40000</v>
      </c>
      <c r="AE14" s="676"/>
      <c r="AF14" s="677"/>
      <c r="AG14" s="677"/>
      <c r="AH14" s="677"/>
      <c r="AI14" s="677"/>
      <c r="AJ14" s="677"/>
      <c r="AK14" s="649"/>
      <c r="AL14" s="650" t="str">
        <f>IF(LEFT($D14,6)&lt;&gt;"Star: ","",VLOOKUP(RIGHT($D14,LEN($D14)-6),'[1]Star Players-Hidden'!$A$3:$AK$87,37,FALSE))</f>
        <v/>
      </c>
      <c r="AM14" s="588"/>
      <c r="AN14" s="695" t="s">
        <v>109</v>
      </c>
      <c r="AO14" s="696"/>
      <c r="AP14" s="697"/>
      <c r="AQ14" s="698"/>
      <c r="AR14" s="699"/>
      <c r="AS14" s="700"/>
      <c r="AT14" s="701"/>
      <c r="AU14" s="702"/>
      <c r="AV14" s="703"/>
      <c r="AW14" s="588"/>
    </row>
    <row r="15" spans="1:49" ht="12.75">
      <c r="A15" s="589"/>
      <c r="B15" s="657">
        <v>12</v>
      </c>
      <c r="C15" s="658"/>
      <c r="D15" s="659" t="s">
        <v>68</v>
      </c>
      <c r="E15" s="660">
        <f>IFERROR(VLOOKUP($I$24&amp;$D15,'[1]Database-Hidden'!$C$2:$J$120,4,FALSE)-P15+AG15,"")</f>
        <v>6</v>
      </c>
      <c r="F15" s="661">
        <f>IFERROR(VLOOKUP($I$24&amp;$D15,'[1]Database-Hidden'!$C$2:$J$120,5,FALSE)-Q15+AH15,"")</f>
        <v>3</v>
      </c>
      <c r="G15" s="661">
        <f>IFERROR(VLOOKUP($I$24&amp;$D15,'[1]Database-Hidden'!$C$2:$J$120,6,FALSE)-R15+AI15,"")</f>
        <v>2</v>
      </c>
      <c r="H15" s="662">
        <f>IFERROR(VLOOKUP($I$24&amp;$D15,'[1]Database-Hidden'!$C$2:$J$120,7,FALSE)-S15+AJ15,"")</f>
        <v>7</v>
      </c>
      <c r="I15" s="663" t="str">
        <f>IFERROR(VLOOKUP($I$24&amp;$D15,'[1]Database-Hidden'!$C$2:$J$120,8,FALSE),"")</f>
        <v>Fend</v>
      </c>
      <c r="J15" s="664" t="s">
        <v>155</v>
      </c>
      <c r="K15" s="665">
        <f t="shared" si="0"/>
        <v>1</v>
      </c>
      <c r="L15" s="666"/>
      <c r="M15" s="666"/>
      <c r="N15" s="666"/>
      <c r="O15" s="667"/>
      <c r="P15" s="668"/>
      <c r="Q15" s="669"/>
      <c r="R15" s="669"/>
      <c r="S15" s="670"/>
      <c r="T15" s="671"/>
      <c r="U15" s="672"/>
      <c r="V15" s="672"/>
      <c r="W15" s="672">
        <v>1</v>
      </c>
      <c r="X15" s="669"/>
      <c r="Y15" s="669"/>
      <c r="Z15" s="673">
        <v>1</v>
      </c>
      <c r="AA15" s="674">
        <f t="shared" si="1"/>
        <v>7</v>
      </c>
      <c r="AB15" s="645">
        <f t="shared" si="2"/>
        <v>60000</v>
      </c>
      <c r="AC15" s="588"/>
      <c r="AD15" s="675">
        <f>IFERROR(VLOOKUP($I$24&amp;D15,'[1]Database-Hidden'!$C$2:$E$120,3,FALSE),"")</f>
        <v>40000</v>
      </c>
      <c r="AE15" s="676">
        <v>1</v>
      </c>
      <c r="AF15" s="677"/>
      <c r="AG15" s="677"/>
      <c r="AH15" s="677"/>
      <c r="AI15" s="677"/>
      <c r="AJ15" s="677"/>
      <c r="AK15" s="649"/>
      <c r="AL15" s="650" t="str">
        <f>IF(LEFT($D15,6)&lt;&gt;"Star: ","",VLOOKUP(RIGHT($D15,LEN($D15)-6),'[1]Star Players-Hidden'!$A$3:$AK$87,37,FALSE))</f>
        <v/>
      </c>
      <c r="AM15" s="588"/>
      <c r="AN15" s="695" t="s">
        <v>110</v>
      </c>
      <c r="AO15" s="696"/>
      <c r="AP15" s="697"/>
      <c r="AQ15" s="698"/>
      <c r="AR15" s="699"/>
      <c r="AS15" s="700"/>
      <c r="AT15" s="701"/>
      <c r="AU15" s="702"/>
      <c r="AV15" s="703"/>
      <c r="AW15" s="588"/>
    </row>
    <row r="16" spans="1:49" ht="12.75">
      <c r="A16" s="589"/>
      <c r="B16" s="657">
        <v>13</v>
      </c>
      <c r="C16" s="658"/>
      <c r="D16" s="659" t="s">
        <v>68</v>
      </c>
      <c r="E16" s="660">
        <f>IFERROR(VLOOKUP($I$24&amp;$D16,'[1]Database-Hidden'!$C$2:$J$120,4,FALSE)-P16+AG16,"")</f>
        <v>6</v>
      </c>
      <c r="F16" s="661">
        <f>IFERROR(VLOOKUP($I$24&amp;$D16,'[1]Database-Hidden'!$C$2:$J$120,5,FALSE)-Q16+AH16,"")</f>
        <v>3</v>
      </c>
      <c r="G16" s="661">
        <f>IFERROR(VLOOKUP($I$24&amp;$D16,'[1]Database-Hidden'!$C$2:$J$120,6,FALSE)-R16+AI16,"")</f>
        <v>2</v>
      </c>
      <c r="H16" s="662">
        <f>IFERROR(VLOOKUP($I$24&amp;$D16,'[1]Database-Hidden'!$C$2:$J$120,7,FALSE)-S16+AJ16,"")</f>
        <v>7</v>
      </c>
      <c r="I16" s="663" t="str">
        <f>IFERROR(VLOOKUP($I$24&amp;$D16,'[1]Database-Hidden'!$C$2:$J$120,8,FALSE),"")</f>
        <v>Fend</v>
      </c>
      <c r="J16" s="664"/>
      <c r="K16" s="665">
        <f t="shared" si="0"/>
        <v>0</v>
      </c>
      <c r="L16" s="666"/>
      <c r="M16" s="666"/>
      <c r="N16" s="666"/>
      <c r="O16" s="667"/>
      <c r="P16" s="668"/>
      <c r="Q16" s="669"/>
      <c r="R16" s="669"/>
      <c r="S16" s="670"/>
      <c r="T16" s="671"/>
      <c r="U16" s="672"/>
      <c r="V16" s="672"/>
      <c r="W16" s="672"/>
      <c r="X16" s="669"/>
      <c r="Y16" s="669">
        <v>2</v>
      </c>
      <c r="Z16" s="673"/>
      <c r="AA16" s="674">
        <f t="shared" si="1"/>
        <v>0</v>
      </c>
      <c r="AB16" s="645">
        <f t="shared" si="2"/>
        <v>40000</v>
      </c>
      <c r="AC16" s="588"/>
      <c r="AD16" s="675">
        <f>IFERROR(VLOOKUP($I$24&amp;D16,'[1]Database-Hidden'!$C$2:$E$120,3,FALSE),"")</f>
        <v>40000</v>
      </c>
      <c r="AE16" s="676"/>
      <c r="AF16" s="677"/>
      <c r="AG16" s="677"/>
      <c r="AH16" s="677"/>
      <c r="AI16" s="677"/>
      <c r="AJ16" s="677"/>
      <c r="AK16" s="649"/>
      <c r="AL16" s="650" t="str">
        <f>IF(LEFT($D16,6)&lt;&gt;"Star: ","",VLOOKUP(RIGHT($D16,LEN($D16)-6),'[1]Star Players-Hidden'!$A$3:$AK$87,37,FALSE))</f>
        <v/>
      </c>
      <c r="AM16" s="588"/>
      <c r="AN16" s="695" t="s">
        <v>114</v>
      </c>
      <c r="AO16" s="696"/>
      <c r="AP16" s="697"/>
      <c r="AQ16" s="698"/>
      <c r="AR16" s="699"/>
      <c r="AS16" s="700"/>
      <c r="AT16" s="701"/>
      <c r="AU16" s="702"/>
      <c r="AV16" s="703"/>
      <c r="AW16" s="588"/>
    </row>
    <row r="17" spans="1:49" ht="13.5" thickBot="1">
      <c r="A17" s="589"/>
      <c r="B17" s="657">
        <v>14</v>
      </c>
      <c r="C17" s="658"/>
      <c r="D17" s="659" t="s">
        <v>68</v>
      </c>
      <c r="E17" s="660">
        <f>IFERROR(VLOOKUP($I$24&amp;$D17,'[1]Database-Hidden'!$C$2:$J$120,4,FALSE)-P17+AG17,"")</f>
        <v>6</v>
      </c>
      <c r="F17" s="661">
        <f>IFERROR(VLOOKUP($I$24&amp;$D17,'[1]Database-Hidden'!$C$2:$J$120,5,FALSE)-Q17+AH17,"")</f>
        <v>3</v>
      </c>
      <c r="G17" s="661">
        <f>IFERROR(VLOOKUP($I$24&amp;$D17,'[1]Database-Hidden'!$C$2:$J$120,6,FALSE)-R17+AI17,"")</f>
        <v>2</v>
      </c>
      <c r="H17" s="662">
        <f>IFERROR(VLOOKUP($I$24&amp;$D17,'[1]Database-Hidden'!$C$2:$J$120,7,FALSE)-S17+AJ17,"")</f>
        <v>7</v>
      </c>
      <c r="I17" s="663" t="str">
        <f>IFERROR(VLOOKUP($I$24&amp;$D17,'[1]Database-Hidden'!$C$2:$J$120,8,FALSE),"")</f>
        <v>Fend</v>
      </c>
      <c r="J17" s="664"/>
      <c r="K17" s="665">
        <f t="shared" si="0"/>
        <v>0</v>
      </c>
      <c r="L17" s="666"/>
      <c r="M17" s="666"/>
      <c r="N17" s="666"/>
      <c r="O17" s="667"/>
      <c r="P17" s="668"/>
      <c r="Q17" s="669"/>
      <c r="R17" s="669"/>
      <c r="S17" s="670"/>
      <c r="T17" s="671"/>
      <c r="U17" s="672"/>
      <c r="V17" s="672"/>
      <c r="W17" s="672"/>
      <c r="X17" s="669"/>
      <c r="Y17" s="669"/>
      <c r="Z17" s="673"/>
      <c r="AA17" s="674">
        <f t="shared" si="1"/>
        <v>0</v>
      </c>
      <c r="AB17" s="645">
        <f t="shared" si="2"/>
        <v>40000</v>
      </c>
      <c r="AC17" s="588"/>
      <c r="AD17" s="675">
        <f>IFERROR(VLOOKUP($I$24&amp;D17,'[1]Database-Hidden'!$C$2:$E$120,3,FALSE),"")</f>
        <v>40000</v>
      </c>
      <c r="AE17" s="676"/>
      <c r="AF17" s="677"/>
      <c r="AG17" s="677"/>
      <c r="AH17" s="677"/>
      <c r="AI17" s="677"/>
      <c r="AJ17" s="677"/>
      <c r="AK17" s="649"/>
      <c r="AL17" s="650" t="str">
        <f>IF(LEFT($D17,6)&lt;&gt;"Star: ","",VLOOKUP(RIGHT($D17,LEN($D17)-6),'[1]Star Players-Hidden'!$A$3:$AK$87,37,FALSE))</f>
        <v/>
      </c>
      <c r="AM17" s="588"/>
      <c r="AN17" s="704" t="s">
        <v>115</v>
      </c>
      <c r="AO17" s="705"/>
      <c r="AP17" s="706"/>
      <c r="AQ17" s="707"/>
      <c r="AR17" s="708"/>
      <c r="AS17" s="709"/>
      <c r="AT17" s="710"/>
      <c r="AU17" s="711"/>
      <c r="AV17" s="712"/>
      <c r="AW17" s="588"/>
    </row>
    <row r="18" spans="1:49" ht="13.5" thickBot="1">
      <c r="A18" s="589"/>
      <c r="B18" s="657">
        <v>15</v>
      </c>
      <c r="C18" s="658"/>
      <c r="D18" s="659" t="s">
        <v>68</v>
      </c>
      <c r="E18" s="660">
        <f>IFERROR(VLOOKUP($I$24&amp;$D18,'[1]Database-Hidden'!$C$2:$J$120,4,FALSE)-P18+AG18,"")</f>
        <v>6</v>
      </c>
      <c r="F18" s="661">
        <f>IFERROR(VLOOKUP($I$24&amp;$D18,'[1]Database-Hidden'!$C$2:$J$120,5,FALSE)-Q18+AH18,"")</f>
        <v>3</v>
      </c>
      <c r="G18" s="661">
        <f>IFERROR(VLOOKUP($I$24&amp;$D18,'[1]Database-Hidden'!$C$2:$J$120,6,FALSE)-R18+AI18,"")</f>
        <v>2</v>
      </c>
      <c r="H18" s="662">
        <f>IFERROR(VLOOKUP($I$24&amp;$D18,'[1]Database-Hidden'!$C$2:$J$120,7,FALSE)-S18+AJ18,"")</f>
        <v>7</v>
      </c>
      <c r="I18" s="663" t="str">
        <f>IFERROR(VLOOKUP($I$24&amp;$D18,'[1]Database-Hidden'!$C$2:$J$120,8,FALSE),"")</f>
        <v>Fend</v>
      </c>
      <c r="J18" s="664"/>
      <c r="K18" s="665">
        <f t="shared" si="0"/>
        <v>0</v>
      </c>
      <c r="L18" s="666"/>
      <c r="M18" s="666"/>
      <c r="N18" s="666"/>
      <c r="O18" s="667"/>
      <c r="P18" s="668"/>
      <c r="Q18" s="669"/>
      <c r="R18" s="669"/>
      <c r="S18" s="670"/>
      <c r="T18" s="671"/>
      <c r="U18" s="672"/>
      <c r="V18" s="672"/>
      <c r="W18" s="672"/>
      <c r="X18" s="669"/>
      <c r="Y18" s="669"/>
      <c r="Z18" s="673"/>
      <c r="AA18" s="674">
        <f t="shared" si="1"/>
        <v>0</v>
      </c>
      <c r="AB18" s="645">
        <f t="shared" si="2"/>
        <v>40000</v>
      </c>
      <c r="AC18" s="588"/>
      <c r="AD18" s="675">
        <f>IFERROR(VLOOKUP($I$24&amp;D18,'[1]Database-Hidden'!$C$2:$E$120,3,FALSE),"")</f>
        <v>40000</v>
      </c>
      <c r="AE18" s="676"/>
      <c r="AF18" s="677"/>
      <c r="AG18" s="677"/>
      <c r="AH18" s="677"/>
      <c r="AI18" s="677"/>
      <c r="AJ18" s="677"/>
      <c r="AK18" s="649"/>
      <c r="AL18" s="650" t="str">
        <f>IF(LEFT($D18,6)&lt;&gt;"Star: ","",VLOOKUP(RIGHT($D18,LEN($D18)-6),'[1]Star Players-Hidden'!$A$3:$AK$87,37,FALSE))</f>
        <v/>
      </c>
      <c r="AM18" s="588"/>
      <c r="AN18" s="713" t="s">
        <v>42</v>
      </c>
      <c r="AO18" s="714">
        <f>AO4+SUM(AO6:AO17)-SUM(AP6:AP17)-SUM(AQ6:AQ17)</f>
        <v>70000</v>
      </c>
      <c r="AP18" s="588"/>
      <c r="AQ18" s="588"/>
      <c r="AR18" s="654"/>
      <c r="AS18" s="713" t="s">
        <v>42</v>
      </c>
      <c r="AT18" s="715">
        <f t="shared" ref="AT18:AU18" si="3">SUM(AT6:AT17)</f>
        <v>2</v>
      </c>
      <c r="AU18" s="716">
        <f t="shared" si="3"/>
        <v>3</v>
      </c>
      <c r="AV18" s="717">
        <f>AV4+SUM(AV6:AV17)</f>
        <v>1</v>
      </c>
      <c r="AW18" s="591"/>
    </row>
    <row r="19" spans="1:49" ht="13.5" thickBot="1">
      <c r="A19" s="589"/>
      <c r="B19" s="718">
        <v>16</v>
      </c>
      <c r="C19" s="719"/>
      <c r="D19" s="659" t="s">
        <v>68</v>
      </c>
      <c r="E19" s="720">
        <f>IFERROR(VLOOKUP($I$24&amp;$D19,'[1]Database-Hidden'!$C$2:$J$120,4,FALSE)-P19+AG19,"")</f>
        <v>6</v>
      </c>
      <c r="F19" s="721">
        <f>IFERROR(VLOOKUP($I$24&amp;$D19,'[1]Database-Hidden'!$C$2:$J$120,5,FALSE)-Q19+AH19,"")</f>
        <v>3</v>
      </c>
      <c r="G19" s="721">
        <f>IFERROR(VLOOKUP($I$24&amp;$D19,'[1]Database-Hidden'!$C$2:$J$120,6,FALSE)-R19+AI19,"")</f>
        <v>2</v>
      </c>
      <c r="H19" s="722">
        <f>IFERROR(VLOOKUP($I$24&amp;$D19,'[1]Database-Hidden'!$C$2:$J$120,7,FALSE)-S19+AJ19,"")</f>
        <v>7</v>
      </c>
      <c r="I19" s="723" t="str">
        <f>IFERROR(VLOOKUP($I$24&amp;$D19,'[1]Database-Hidden'!$C$2:$J$120,8,FALSE),"")</f>
        <v>Fend</v>
      </c>
      <c r="J19" s="724" t="s">
        <v>191</v>
      </c>
      <c r="K19" s="725">
        <f t="shared" si="0"/>
        <v>1</v>
      </c>
      <c r="L19" s="726"/>
      <c r="M19" s="726"/>
      <c r="N19" s="726"/>
      <c r="O19" s="727"/>
      <c r="P19" s="728"/>
      <c r="Q19" s="729"/>
      <c r="R19" s="729"/>
      <c r="S19" s="730"/>
      <c r="T19" s="731"/>
      <c r="U19" s="732"/>
      <c r="V19" s="732">
        <v>2</v>
      </c>
      <c r="W19" s="732"/>
      <c r="X19" s="729"/>
      <c r="Y19" s="729"/>
      <c r="Z19" s="733"/>
      <c r="AA19" s="734">
        <f t="shared" si="1"/>
        <v>6</v>
      </c>
      <c r="AB19" s="645">
        <f t="shared" si="2"/>
        <v>60000</v>
      </c>
      <c r="AC19" s="588"/>
      <c r="AD19" s="735">
        <f>IFERROR(VLOOKUP($I$24&amp;D19,'[1]Database-Hidden'!$C$2:$E$120,3,FALSE),"")</f>
        <v>40000</v>
      </c>
      <c r="AE19" s="736">
        <v>1</v>
      </c>
      <c r="AF19" s="737"/>
      <c r="AG19" s="737"/>
      <c r="AH19" s="737"/>
      <c r="AI19" s="737"/>
      <c r="AJ19" s="737"/>
      <c r="AK19" s="738"/>
      <c r="AL19" s="739" t="str">
        <f>IF(LEFT($D19,6)&lt;&gt;"Star: ","",VLOOKUP(RIGHT($D19,LEN($D19)-6),'[1]Star Players-Hidden'!$A$3:$AK$87,37,FALSE))</f>
        <v/>
      </c>
      <c r="AM19" s="588"/>
      <c r="AV19" s="740"/>
    </row>
    <row r="20" spans="1:49" ht="13.5" thickBot="1">
      <c r="B20" s="741"/>
      <c r="C20" s="595"/>
      <c r="D20" s="596"/>
      <c r="E20" s="742" t="s">
        <v>116</v>
      </c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  <c r="X20" s="743"/>
      <c r="Y20" s="743"/>
      <c r="Z20" s="743"/>
      <c r="AA20" s="744"/>
      <c r="AB20" s="745">
        <f>SUM(AB4:AB19)</f>
        <v>680000</v>
      </c>
      <c r="AC20" s="588"/>
      <c r="AD20" s="588"/>
      <c r="AE20" s="588"/>
      <c r="AF20" s="588"/>
      <c r="AG20" s="588"/>
      <c r="AH20" s="588"/>
      <c r="AI20" s="588"/>
      <c r="AJ20" s="588"/>
      <c r="AK20" s="588"/>
      <c r="AL20" s="588"/>
      <c r="AM20" s="588"/>
      <c r="AN20" s="654"/>
      <c r="AO20" s="654"/>
      <c r="AP20" s="654"/>
      <c r="AQ20" s="654"/>
      <c r="AR20" s="654"/>
      <c r="AS20" s="654"/>
      <c r="AT20" s="654"/>
      <c r="AU20" s="654"/>
      <c r="AV20" s="656"/>
      <c r="AW20" s="654"/>
    </row>
    <row r="21" spans="1:49" ht="13.5" thickBot="1">
      <c r="A21" s="589"/>
      <c r="B21" s="746"/>
      <c r="C21" s="625"/>
      <c r="D21" s="747"/>
      <c r="E21" s="748" t="s">
        <v>117</v>
      </c>
      <c r="F21" s="625"/>
      <c r="G21" s="625"/>
      <c r="H21" s="749"/>
      <c r="I21" s="750" t="s">
        <v>381</v>
      </c>
      <c r="J21" s="625"/>
      <c r="K21" s="747"/>
      <c r="L21" s="751" t="s">
        <v>119</v>
      </c>
      <c r="M21" s="752"/>
      <c r="N21" s="752"/>
      <c r="O21" s="752"/>
      <c r="P21" s="752"/>
      <c r="Q21" s="752"/>
      <c r="R21" s="752"/>
      <c r="S21" s="753"/>
      <c r="T21" s="754">
        <v>5</v>
      </c>
      <c r="U21" s="755" t="s">
        <v>47</v>
      </c>
      <c r="V21" s="756">
        <f>IFERROR(VLOOKUP(I24,'[1]Database-Hidden'!N2:O28,2,FALSE),"")</f>
        <v>70000</v>
      </c>
      <c r="W21" s="752"/>
      <c r="X21" s="752"/>
      <c r="Y21" s="752"/>
      <c r="Z21" s="752"/>
      <c r="AA21" s="757"/>
      <c r="AB21" s="758">
        <f t="shared" ref="AB21:AB25" si="4">T21*V21</f>
        <v>350000</v>
      </c>
      <c r="AC21" s="588"/>
      <c r="AD21" s="588"/>
      <c r="AE21" s="588"/>
      <c r="AF21" s="588"/>
      <c r="AG21" s="588"/>
      <c r="AH21" s="588"/>
      <c r="AI21" s="588"/>
      <c r="AJ21" s="588"/>
      <c r="AK21" s="588"/>
      <c r="AL21" s="588"/>
      <c r="AM21" s="588"/>
      <c r="AN21" s="759" t="s">
        <v>121</v>
      </c>
      <c r="AO21" s="744"/>
      <c r="AP21" s="588"/>
      <c r="AQ21" s="588"/>
      <c r="AR21" s="588"/>
      <c r="AS21" s="588"/>
      <c r="AT21" s="588"/>
      <c r="AU21" s="588"/>
      <c r="AV21" s="591"/>
      <c r="AW21" s="588"/>
    </row>
    <row r="22" spans="1:49" ht="12.75">
      <c r="A22" s="589"/>
      <c r="B22" s="746"/>
      <c r="C22" s="625"/>
      <c r="D22" s="747"/>
      <c r="E22" s="625"/>
      <c r="F22" s="625"/>
      <c r="G22" s="625"/>
      <c r="H22" s="749"/>
      <c r="I22" s="746"/>
      <c r="J22" s="625"/>
      <c r="K22" s="747"/>
      <c r="L22" s="760" t="s">
        <v>122</v>
      </c>
      <c r="M22" s="761"/>
      <c r="N22" s="761"/>
      <c r="O22" s="761"/>
      <c r="P22" s="761"/>
      <c r="Q22" s="761"/>
      <c r="R22" s="761"/>
      <c r="S22" s="762"/>
      <c r="T22" s="763">
        <f>AV18</f>
        <v>1</v>
      </c>
      <c r="U22" s="764" t="s">
        <v>47</v>
      </c>
      <c r="V22" s="765">
        <v>10000</v>
      </c>
      <c r="W22" s="761"/>
      <c r="X22" s="761"/>
      <c r="Y22" s="761"/>
      <c r="Z22" s="761"/>
      <c r="AA22" s="766"/>
      <c r="AB22" s="767">
        <f t="shared" si="4"/>
        <v>10000</v>
      </c>
      <c r="AC22" s="588"/>
      <c r="AD22" s="588"/>
      <c r="AE22" s="588"/>
      <c r="AF22" s="588"/>
      <c r="AG22" s="588"/>
      <c r="AH22" s="588"/>
      <c r="AI22" s="588"/>
      <c r="AJ22" s="588"/>
      <c r="AK22" s="588"/>
      <c r="AL22" s="588"/>
      <c r="AM22" s="588"/>
      <c r="AN22" s="768" t="s">
        <v>123</v>
      </c>
      <c r="AO22" s="769">
        <f>AO18</f>
        <v>70000</v>
      </c>
      <c r="AP22" s="588"/>
      <c r="AQ22" s="588"/>
      <c r="AR22" s="588"/>
      <c r="AS22" s="588"/>
      <c r="AT22" s="588"/>
      <c r="AU22" s="588"/>
      <c r="AV22" s="591"/>
      <c r="AW22" s="588"/>
    </row>
    <row r="23" spans="1:49" ht="12.75">
      <c r="A23" s="589"/>
      <c r="B23" s="746"/>
      <c r="C23" s="625"/>
      <c r="D23" s="747"/>
      <c r="E23" s="752"/>
      <c r="F23" s="752"/>
      <c r="G23" s="752"/>
      <c r="H23" s="752"/>
      <c r="I23" s="770"/>
      <c r="J23" s="752"/>
      <c r="K23" s="757"/>
      <c r="L23" s="760" t="s">
        <v>124</v>
      </c>
      <c r="M23" s="761"/>
      <c r="N23" s="761"/>
      <c r="O23" s="761"/>
      <c r="P23" s="761"/>
      <c r="Q23" s="761"/>
      <c r="R23" s="761"/>
      <c r="S23" s="762"/>
      <c r="T23" s="771">
        <v>0</v>
      </c>
      <c r="U23" s="764" t="s">
        <v>47</v>
      </c>
      <c r="V23" s="765">
        <v>10000</v>
      </c>
      <c r="W23" s="761"/>
      <c r="X23" s="761"/>
      <c r="Y23" s="761"/>
      <c r="Z23" s="761"/>
      <c r="AA23" s="766"/>
      <c r="AB23" s="767">
        <f t="shared" si="4"/>
        <v>0</v>
      </c>
      <c r="AC23" s="588"/>
      <c r="AD23" s="588"/>
      <c r="AE23" s="588"/>
      <c r="AF23" s="588"/>
      <c r="AG23" s="588"/>
      <c r="AH23" s="588"/>
      <c r="AI23" s="588"/>
      <c r="AJ23" s="588"/>
      <c r="AK23" s="588"/>
      <c r="AL23" s="588"/>
      <c r="AM23" s="588"/>
      <c r="AN23" s="772" t="s">
        <v>125</v>
      </c>
      <c r="AO23" s="773">
        <f>COUNTA(AR6:AR17)*10000</f>
        <v>10000</v>
      </c>
      <c r="AP23" s="588"/>
      <c r="AQ23" s="588"/>
      <c r="AR23" s="588"/>
      <c r="AS23" s="588"/>
      <c r="AT23" s="588"/>
      <c r="AU23" s="588"/>
      <c r="AV23" s="591"/>
      <c r="AW23" s="588"/>
    </row>
    <row r="24" spans="1:49" ht="12.75">
      <c r="A24" s="589"/>
      <c r="B24" s="746"/>
      <c r="C24" s="625"/>
      <c r="D24" s="747"/>
      <c r="E24" s="774" t="s">
        <v>126</v>
      </c>
      <c r="F24" s="761"/>
      <c r="G24" s="761"/>
      <c r="H24" s="761"/>
      <c r="I24" s="775" t="s">
        <v>63</v>
      </c>
      <c r="J24" s="761"/>
      <c r="K24" s="766"/>
      <c r="L24" s="760" t="s">
        <v>128</v>
      </c>
      <c r="M24" s="761"/>
      <c r="N24" s="761"/>
      <c r="O24" s="761"/>
      <c r="P24" s="761"/>
      <c r="Q24" s="761"/>
      <c r="R24" s="761"/>
      <c r="S24" s="762"/>
      <c r="T24" s="771">
        <v>0</v>
      </c>
      <c r="U24" s="764" t="s">
        <v>47</v>
      </c>
      <c r="V24" s="765">
        <v>10000</v>
      </c>
      <c r="W24" s="761"/>
      <c r="X24" s="761"/>
      <c r="Y24" s="761"/>
      <c r="Z24" s="761"/>
      <c r="AA24" s="766"/>
      <c r="AB24" s="767">
        <f t="shared" si="4"/>
        <v>0</v>
      </c>
      <c r="AC24" s="588"/>
      <c r="AD24" s="588"/>
      <c r="AE24" s="588"/>
      <c r="AF24" s="588"/>
      <c r="AG24" s="588"/>
      <c r="AH24" s="588"/>
      <c r="AI24" s="588"/>
      <c r="AJ24" s="588"/>
      <c r="AK24" s="588"/>
      <c r="AL24" s="588"/>
      <c r="AM24" s="588"/>
      <c r="AN24" s="772" t="s">
        <v>78</v>
      </c>
      <c r="AO24" s="773">
        <f>AT18*5000</f>
        <v>10000</v>
      </c>
      <c r="AP24" s="588"/>
      <c r="AQ24" s="588"/>
      <c r="AR24" s="588"/>
      <c r="AS24" s="588"/>
      <c r="AT24" s="588"/>
      <c r="AU24" s="588"/>
      <c r="AV24" s="591"/>
      <c r="AW24" s="588"/>
    </row>
    <row r="25" spans="1:49" ht="13.5" thickBot="1">
      <c r="A25" s="589"/>
      <c r="B25" s="746"/>
      <c r="C25" s="625"/>
      <c r="D25" s="747"/>
      <c r="E25" s="774" t="str">
        <f>IFERROR(IF(VLOOKUP(I24,'[1]Database-Hidden'!X2:Y28,2,FALSE)="Yes","NECROMANCER","HEAD COACH"),"HEAD COACH")</f>
        <v>HEAD COACH</v>
      </c>
      <c r="F25" s="761"/>
      <c r="G25" s="761"/>
      <c r="H25" s="761"/>
      <c r="I25" s="775" t="s">
        <v>401</v>
      </c>
      <c r="J25" s="761"/>
      <c r="K25" s="766"/>
      <c r="L25" s="776" t="str">
        <f>IFERROR(IF(VLOOKUP(I24,'[1]Database-Hidden'!X2:Y28,1,FALSE)&lt;&gt;"","",""),"APOTHECARY")</f>
        <v>APOTHECARY</v>
      </c>
      <c r="M25" s="761"/>
      <c r="N25" s="761"/>
      <c r="O25" s="761"/>
      <c r="P25" s="761"/>
      <c r="Q25" s="761"/>
      <c r="R25" s="761"/>
      <c r="S25" s="761"/>
      <c r="T25" s="771">
        <v>0</v>
      </c>
      <c r="U25" s="764" t="str">
        <f>IF(L25&lt;&gt;"","x","")</f>
        <v>x</v>
      </c>
      <c r="V25" s="765">
        <f>IF(L25&lt;&gt;"",50000,"")</f>
        <v>50000</v>
      </c>
      <c r="W25" s="761"/>
      <c r="X25" s="761"/>
      <c r="Y25" s="761"/>
      <c r="Z25" s="761"/>
      <c r="AA25" s="766"/>
      <c r="AB25" s="767">
        <f t="shared" si="4"/>
        <v>0</v>
      </c>
      <c r="AC25" s="588"/>
      <c r="AD25" s="588"/>
      <c r="AE25" s="588"/>
      <c r="AF25" s="588"/>
      <c r="AG25" s="588"/>
      <c r="AH25" s="588"/>
      <c r="AI25" s="588"/>
      <c r="AJ25" s="588"/>
      <c r="AK25" s="588"/>
      <c r="AL25" s="588"/>
      <c r="AM25" s="588"/>
      <c r="AN25" s="777" t="s">
        <v>130</v>
      </c>
      <c r="AO25" s="778">
        <f>AU18*5000</f>
        <v>15000</v>
      </c>
      <c r="AP25" s="588"/>
      <c r="AQ25" s="588"/>
      <c r="AR25" s="588"/>
      <c r="AS25" s="588"/>
      <c r="AT25" s="588"/>
      <c r="AU25" s="588"/>
      <c r="AV25" s="591"/>
      <c r="AW25" s="588"/>
    </row>
    <row r="26" spans="1:49" ht="13.5" thickBot="1">
      <c r="A26" s="589"/>
      <c r="B26" s="746"/>
      <c r="C26" s="625"/>
      <c r="D26" s="747"/>
      <c r="E26" s="774" t="s">
        <v>131</v>
      </c>
      <c r="F26" s="761"/>
      <c r="G26" s="761"/>
      <c r="H26" s="761"/>
      <c r="I26" s="779">
        <f>AB20+AB28</f>
        <v>1040000</v>
      </c>
      <c r="J26" s="761"/>
      <c r="K26" s="761"/>
      <c r="L26" s="776" t="s">
        <v>132</v>
      </c>
      <c r="M26" s="761"/>
      <c r="N26" s="761"/>
      <c r="O26" s="761"/>
      <c r="P26" s="761"/>
      <c r="Q26" s="761"/>
      <c r="R26" s="761"/>
      <c r="S26" s="761"/>
      <c r="T26" s="771">
        <v>0</v>
      </c>
      <c r="U26" s="764" t="s">
        <v>47</v>
      </c>
      <c r="V26" s="765">
        <f>IF(I24="Halfling",200000,600000)</f>
        <v>600000</v>
      </c>
      <c r="W26" s="761"/>
      <c r="X26" s="761"/>
      <c r="Y26" s="761"/>
      <c r="Z26" s="761"/>
      <c r="AA26" s="766"/>
      <c r="AB26" s="767">
        <f t="shared" ref="AB26:AB27" si="5">T26*V26/2</f>
        <v>0</v>
      </c>
      <c r="AC26" s="588"/>
      <c r="AD26" s="588"/>
      <c r="AE26" s="588"/>
      <c r="AF26" s="588"/>
      <c r="AG26" s="588"/>
      <c r="AH26" s="588"/>
      <c r="AI26" s="588"/>
      <c r="AJ26" s="588"/>
      <c r="AK26" s="588"/>
      <c r="AL26" s="588"/>
      <c r="AM26" s="588"/>
      <c r="AN26" s="780" t="s">
        <v>42</v>
      </c>
      <c r="AO26" s="781">
        <v>100000</v>
      </c>
      <c r="AP26" s="588"/>
      <c r="AQ26" s="588"/>
      <c r="AR26" s="588"/>
      <c r="AS26" s="588"/>
      <c r="AT26" s="588"/>
      <c r="AU26" s="588"/>
      <c r="AV26" s="591"/>
      <c r="AW26" s="588"/>
    </row>
    <row r="27" spans="1:49" ht="13.5" thickBot="1">
      <c r="A27" s="589"/>
      <c r="B27" s="746"/>
      <c r="C27" s="625"/>
      <c r="D27" s="747"/>
      <c r="E27" s="782" t="s">
        <v>133</v>
      </c>
      <c r="F27" s="783"/>
      <c r="G27" s="783"/>
      <c r="H27" s="783"/>
      <c r="I27" s="784">
        <f>AO18</f>
        <v>70000</v>
      </c>
      <c r="J27" s="783"/>
      <c r="K27" s="783"/>
      <c r="L27" s="785" t="s">
        <v>134</v>
      </c>
      <c r="M27" s="783"/>
      <c r="N27" s="783"/>
      <c r="O27" s="783"/>
      <c r="P27" s="783"/>
      <c r="Q27" s="783"/>
      <c r="R27" s="783"/>
      <c r="S27" s="783"/>
      <c r="T27" s="786">
        <v>0</v>
      </c>
      <c r="U27" s="787" t="s">
        <v>47</v>
      </c>
      <c r="V27" s="788">
        <f>IF(I24="Goblin",100000,200000)</f>
        <v>200000</v>
      </c>
      <c r="W27" s="783"/>
      <c r="X27" s="783"/>
      <c r="Y27" s="783"/>
      <c r="Z27" s="783"/>
      <c r="AA27" s="789"/>
      <c r="AB27" s="767">
        <f t="shared" si="5"/>
        <v>0</v>
      </c>
      <c r="AC27" s="588"/>
      <c r="AD27" s="588"/>
      <c r="AE27" s="588"/>
      <c r="AF27" s="588"/>
      <c r="AG27" s="588"/>
      <c r="AH27" s="588"/>
      <c r="AI27" s="588"/>
      <c r="AJ27" s="588"/>
      <c r="AK27" s="588"/>
      <c r="AL27" s="588"/>
      <c r="AM27" s="588"/>
      <c r="AP27" s="588"/>
      <c r="AQ27" s="588"/>
      <c r="AR27" s="588"/>
      <c r="AS27" s="588"/>
      <c r="AT27" s="588"/>
      <c r="AU27" s="588"/>
      <c r="AV27" s="591"/>
      <c r="AW27" s="588"/>
    </row>
    <row r="28" spans="1:49" ht="13.5" thickBot="1">
      <c r="A28" s="589"/>
      <c r="B28" s="790"/>
      <c r="C28" s="791"/>
      <c r="D28" s="792"/>
      <c r="E28" s="742" t="s">
        <v>135</v>
      </c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  <c r="X28" s="743"/>
      <c r="Y28" s="743"/>
      <c r="Z28" s="743"/>
      <c r="AA28" s="744"/>
      <c r="AB28" s="745">
        <f>SUM(AB21:AB25)</f>
        <v>360000</v>
      </c>
      <c r="AC28" s="588"/>
      <c r="AD28" s="588"/>
      <c r="AE28" s="588"/>
      <c r="AF28" s="588"/>
      <c r="AG28" s="588"/>
      <c r="AH28" s="588"/>
      <c r="AI28" s="588"/>
      <c r="AJ28" s="588"/>
      <c r="AK28" s="588"/>
      <c r="AL28" s="588"/>
      <c r="AM28" s="588"/>
      <c r="AP28" s="588"/>
      <c r="AQ28" s="588"/>
      <c r="AR28" s="588"/>
      <c r="AS28" s="588"/>
      <c r="AT28" s="588"/>
      <c r="AU28" s="588"/>
      <c r="AV28" s="591"/>
      <c r="AW28" s="588"/>
    </row>
    <row r="29" spans="1:49" ht="8.25" customHeight="1">
      <c r="A29" s="588"/>
      <c r="B29" s="591"/>
      <c r="C29" s="793"/>
      <c r="D29" s="793"/>
      <c r="E29" s="794"/>
      <c r="F29" s="588"/>
      <c r="G29" s="588"/>
      <c r="H29" s="588"/>
      <c r="I29" s="795"/>
      <c r="J29" s="796"/>
      <c r="K29" s="588"/>
      <c r="L29" s="797"/>
      <c r="M29" s="797"/>
      <c r="N29" s="797"/>
      <c r="O29" s="797"/>
      <c r="P29" s="797"/>
      <c r="Q29" s="797"/>
      <c r="R29" s="797"/>
      <c r="S29" s="797"/>
      <c r="T29" s="798"/>
      <c r="U29" s="799"/>
      <c r="V29" s="598"/>
      <c r="W29" s="800"/>
      <c r="X29" s="800"/>
      <c r="Y29" s="800"/>
      <c r="Z29" s="800"/>
      <c r="AA29" s="800"/>
      <c r="AB29" s="801"/>
      <c r="AC29" s="588"/>
      <c r="AD29" s="588"/>
      <c r="AE29" s="588"/>
      <c r="AF29" s="588"/>
      <c r="AG29" s="588"/>
      <c r="AH29" s="588"/>
      <c r="AI29" s="588"/>
      <c r="AJ29" s="588"/>
      <c r="AK29" s="588"/>
      <c r="AL29" s="588"/>
      <c r="AM29" s="588"/>
      <c r="AN29" s="588"/>
      <c r="AO29" s="588"/>
      <c r="AP29" s="588"/>
      <c r="AQ29" s="588"/>
      <c r="AR29" s="588"/>
      <c r="AS29" s="588"/>
      <c r="AT29" s="588"/>
      <c r="AU29" s="588"/>
      <c r="AV29" s="591"/>
      <c r="AW29" s="588"/>
    </row>
    <row r="30" spans="1:49" ht="17.25" hidden="1" customHeight="1">
      <c r="C30" s="802">
        <f>MATCH(I24,'[1]Database-Hidden'!A2:A120,0)</f>
        <v>5</v>
      </c>
      <c r="D30" s="802" t="str">
        <f t="shared" ref="D30:D39" si="6">I30&amp;IF(COUNTIF(D$4:D$19,I30)&gt;E30," (Too Many)","")</f>
        <v>Lineman</v>
      </c>
      <c r="E30" s="803">
        <f t="array" ref="E30">IFERROR(IF(INDEX('[1]Database-Hidden'!$A$2:$B$120,$C30,1)=$I$24,INDEX('[1]Database-Hidden'!$A$2:$D$120,$C30,4),""),"")</f>
        <v>16</v>
      </c>
      <c r="I30" s="802" t="str">
        <f t="array" ref="I30">IFERROR(IF(INDEX('[1]Database-Hidden'!$A$2:$B$120,$C30,1)=$I$24,INDEX('[1]Database-Hidden'!$A$2:$B$120,$C30,2),""),"")</f>
        <v>Lineman</v>
      </c>
      <c r="AV30" s="740"/>
    </row>
    <row r="31" spans="1:49" ht="17.25" hidden="1" customHeight="1">
      <c r="C31" s="802">
        <f t="shared" ref="C31:C39" si="7">C30+1</f>
        <v>6</v>
      </c>
      <c r="D31" s="802" t="str">
        <f t="shared" si="6"/>
        <v>Yeoman</v>
      </c>
      <c r="E31" s="803">
        <f t="array" ref="E31">IFERROR(IF(INDEX('[1]Database-Hidden'!$A$2:$B$120,$C31,1)=$I$24,INDEX('[1]Database-Hidden'!$A$2:$D$120,$C31,4),""),"")</f>
        <v>4</v>
      </c>
      <c r="I31" s="802" t="str">
        <f t="array" ref="I31">IFERROR(IF(INDEX('[1]Database-Hidden'!$A$2:$B$120,$C31,1)=$I$24,INDEX('[1]Database-Hidden'!$A$2:$B$120,$C31,2),""),"")</f>
        <v>Yeoman</v>
      </c>
      <c r="AV31" s="740"/>
    </row>
    <row r="32" spans="1:49" ht="17.25" hidden="1" customHeight="1">
      <c r="C32" s="802">
        <f t="shared" si="7"/>
        <v>7</v>
      </c>
      <c r="D32" s="802" t="str">
        <f t="shared" si="6"/>
        <v>Blitzer</v>
      </c>
      <c r="E32" s="803">
        <f t="array" ref="E32">IFERROR(IF(INDEX('[1]Database-Hidden'!$A$2:$B$120,$C32,1)=$I$24,INDEX('[1]Database-Hidden'!$A$2:$D$120,$C32,4),""),"")</f>
        <v>4</v>
      </c>
      <c r="I32" s="802" t="str">
        <f t="array" ref="I32">IFERROR(IF(INDEX('[1]Database-Hidden'!$A$2:$B$120,$C32,1)=$I$24,INDEX('[1]Database-Hidden'!$A$2:$B$120,$C32,2),""),"")</f>
        <v>Blitzer</v>
      </c>
      <c r="AV32" s="740"/>
    </row>
    <row r="33" spans="3:48" ht="17.25" hidden="1" customHeight="1">
      <c r="C33" s="802">
        <f t="shared" si="7"/>
        <v>8</v>
      </c>
      <c r="D33" s="802" t="str">
        <f t="shared" si="6"/>
        <v/>
      </c>
      <c r="E33" s="803" t="str">
        <f t="array" ref="E33">IFERROR(IF(INDEX('[1]Database-Hidden'!$A$2:$B$120,$C33,1)=$I$24,INDEX('[1]Database-Hidden'!$A$2:$D$120,$C33,4),""),"")</f>
        <v/>
      </c>
      <c r="I33" s="802" t="str">
        <f t="array" ref="I33">IFERROR(IF(INDEX('[1]Database-Hidden'!$A$2:$B$120,$C33,1)=$I$24,INDEX('[1]Database-Hidden'!$A$2:$B$120,$C33,2),""),"")</f>
        <v/>
      </c>
      <c r="AV33" s="740"/>
    </row>
    <row r="34" spans="3:48" ht="17.25" hidden="1" customHeight="1">
      <c r="C34" s="802">
        <f t="shared" si="7"/>
        <v>9</v>
      </c>
      <c r="D34" s="802" t="str">
        <f t="shared" si="6"/>
        <v/>
      </c>
      <c r="E34" s="803" t="str">
        <f t="array" ref="E34">IFERROR(IF(INDEX('[1]Database-Hidden'!$A$2:$B$120,$C34,1)=$I$24,INDEX('[1]Database-Hidden'!$A$2:$D$120,$C34,4),""),"")</f>
        <v/>
      </c>
      <c r="I34" s="802" t="str">
        <f t="array" ref="I34">IFERROR(IF(INDEX('[1]Database-Hidden'!$A$2:$B$120,$C34,1)=$I$24,INDEX('[1]Database-Hidden'!$A$2:$B$120,$C34,2),""),"")</f>
        <v/>
      </c>
      <c r="AV34" s="740"/>
    </row>
    <row r="35" spans="3:48" ht="17.25" hidden="1" customHeight="1">
      <c r="C35" s="802">
        <f t="shared" si="7"/>
        <v>10</v>
      </c>
      <c r="D35" s="802" t="str">
        <f t="shared" si="6"/>
        <v/>
      </c>
      <c r="E35" s="803" t="str">
        <f t="array" ref="E35">IFERROR(IF(INDEX('[1]Database-Hidden'!$A$2:$B$120,$C35,1)=$I$24,INDEX('[1]Database-Hidden'!$A$2:$D$120,$C35,4),""),"")</f>
        <v/>
      </c>
      <c r="I35" s="802" t="str">
        <f t="array" ref="I35">IFERROR(IF(INDEX('[1]Database-Hidden'!$A$2:$B$120,$C35,1)=$I$24,INDEX('[1]Database-Hidden'!$A$2:$B$120,$C35,2),""),"")</f>
        <v/>
      </c>
      <c r="AV35" s="740"/>
    </row>
    <row r="36" spans="3:48" ht="17.25" hidden="1" customHeight="1">
      <c r="C36" s="802">
        <f t="shared" si="7"/>
        <v>11</v>
      </c>
      <c r="D36" s="802" t="str">
        <f t="shared" si="6"/>
        <v/>
      </c>
      <c r="E36" s="803" t="str">
        <f t="array" ref="E36">IFERROR(IF(INDEX('[1]Database-Hidden'!$A$2:$B$120,$C36,1)=$I$24,INDEX('[1]Database-Hidden'!$A$2:$D$120,$C36,4),""),"")</f>
        <v/>
      </c>
      <c r="I36" s="802" t="str">
        <f t="array" ref="I36">IFERROR(IF(INDEX('[1]Database-Hidden'!$A$2:$B$120,$C36,1)=$I$24,INDEX('[1]Database-Hidden'!$A$2:$B$120,$C36,2),""),"")</f>
        <v/>
      </c>
      <c r="AV36" s="740"/>
    </row>
    <row r="37" spans="3:48" ht="17.25" hidden="1" customHeight="1">
      <c r="C37" s="802">
        <f t="shared" si="7"/>
        <v>12</v>
      </c>
      <c r="D37" s="802" t="str">
        <f t="shared" si="6"/>
        <v/>
      </c>
      <c r="E37" s="803" t="str">
        <f t="array" ref="E37">IFERROR(IF(INDEX('[1]Database-Hidden'!$A$2:$B$120,$C37,1)=$I$24,INDEX('[1]Database-Hidden'!$A$2:$D$120,$C37,4),""),"")</f>
        <v/>
      </c>
      <c r="I37" s="802" t="str">
        <f t="array" ref="I37">IFERROR(IF(INDEX('[1]Database-Hidden'!$A$2:$B$120,$C37,1)=$I$24,INDEX('[1]Database-Hidden'!$A$2:$B$120,$C37,2),""),"")</f>
        <v/>
      </c>
      <c r="AV37" s="740"/>
    </row>
    <row r="38" spans="3:48" ht="17.25" hidden="1" customHeight="1">
      <c r="C38" s="802">
        <f t="shared" si="7"/>
        <v>13</v>
      </c>
      <c r="D38" s="802" t="str">
        <f t="shared" si="6"/>
        <v/>
      </c>
      <c r="E38" s="803" t="str">
        <f t="array" ref="E38">IFERROR(IF(INDEX('[1]Database-Hidden'!$A$2:$B$120,$C38,1)=$I$24,INDEX('[1]Database-Hidden'!$A$2:$D$120,$C38,4),""),"")</f>
        <v/>
      </c>
      <c r="I38" s="802" t="str">
        <f t="array" ref="I38">IFERROR(IF(INDEX('[1]Database-Hidden'!$A$2:$B$120,$C38,1)=$I$24,INDEX('[1]Database-Hidden'!$A$2:$B$120,$C38,2),""),"")</f>
        <v/>
      </c>
      <c r="AV38" s="740"/>
    </row>
    <row r="39" spans="3:48" ht="17.25" hidden="1" customHeight="1">
      <c r="C39" s="802">
        <f t="shared" si="7"/>
        <v>14</v>
      </c>
      <c r="D39" s="802" t="str">
        <f t="shared" si="6"/>
        <v/>
      </c>
      <c r="E39" s="803" t="str">
        <f t="array" ref="E39">IFERROR(IF(INDEX('[1]Database-Hidden'!$A$2:$B$120,$C39,1)=$I$24,INDEX('[1]Database-Hidden'!$A$2:$D$120,$C39,4),""),"")</f>
        <v/>
      </c>
      <c r="I39" s="802" t="str">
        <f t="array" ref="I39">IFERROR(IF(INDEX('[1]Database-Hidden'!$A$2:$B$120,$C39,1)=$I$24,INDEX('[1]Database-Hidden'!$A$2:$B$120,$C39,2),""),"")</f>
        <v/>
      </c>
      <c r="AV39" s="740"/>
    </row>
    <row r="40" spans="3:48" ht="17.25" hidden="1" customHeight="1">
      <c r="C40" s="804">
        <f>MATCH(I24,'[1]Star Players-Hidden'!D2:AD2,0)</f>
        <v>2</v>
      </c>
      <c r="D40" s="804" t="str">
        <f t="shared" ref="D40:D51" ca="1" si="8">I40&amp;IF(COUNTIF(D$4:D$19,I40)&gt;1," (Too Many)","")</f>
        <v>Star: Dolfar Longstride</v>
      </c>
      <c r="E40" s="805"/>
      <c r="F40" s="805"/>
      <c r="G40" s="805"/>
      <c r="H40" s="805"/>
      <c r="I40" s="804" t="str">
        <f ca="1">IFERROR(__xludf.DUMMYFUNCTION("FILTER({""Star: ""&amp;'Star Players-Hidden'!A3:A87},INDEX('Star Players-Hidden'!D3:AD87,0,C40)&lt;&gt;"""",{'Star Players-Hidden'!C3:C87=""""}+{'Star Players-Hidden'!C3:C87=I21})"),"Star: Dolfar Longstride")</f>
        <v>Star: Dolfar Longstride</v>
      </c>
      <c r="AV40" s="740"/>
    </row>
    <row r="41" spans="3:48" ht="17.25" hidden="1" customHeight="1">
      <c r="C41" s="802"/>
      <c r="D41" s="802" t="str">
        <f t="shared" si="8"/>
        <v>Star: Griff Oberwald</v>
      </c>
      <c r="I41" s="802" t="s">
        <v>368</v>
      </c>
      <c r="AV41" s="740"/>
    </row>
    <row r="42" spans="3:48" ht="17.25" hidden="1" customHeight="1">
      <c r="C42" s="802"/>
      <c r="D42" s="802" t="str">
        <f t="shared" si="8"/>
        <v>Star: Karla Von Kill</v>
      </c>
      <c r="I42" s="802" t="s">
        <v>233</v>
      </c>
      <c r="AV42" s="740"/>
    </row>
    <row r="43" spans="3:48" ht="17.25" hidden="1" customHeight="1">
      <c r="C43" s="802"/>
      <c r="D43" s="802" t="str">
        <f t="shared" si="8"/>
        <v>Star: Mighty Zug</v>
      </c>
      <c r="I43" s="802" t="s">
        <v>369</v>
      </c>
      <c r="AV43" s="740"/>
    </row>
    <row r="44" spans="3:48" ht="17.25" hidden="1" customHeight="1">
      <c r="C44" s="802"/>
      <c r="D44" s="802" t="str">
        <f t="shared" si="8"/>
        <v>Star: Morg'n'Thorg</v>
      </c>
      <c r="I44" s="802" t="s">
        <v>144</v>
      </c>
      <c r="AV44" s="740"/>
    </row>
    <row r="45" spans="3:48" ht="17.25" hidden="1" customHeight="1">
      <c r="C45" s="802"/>
      <c r="D45" s="802" t="str">
        <f t="shared" si="8"/>
        <v>Star: Willow Rosebark</v>
      </c>
      <c r="I45" s="802" t="s">
        <v>406</v>
      </c>
      <c r="AV45" s="740"/>
    </row>
    <row r="46" spans="3:48" ht="17.25" hidden="1" customHeight="1">
      <c r="C46" s="802"/>
      <c r="D46" s="802" t="str">
        <f t="shared" si="8"/>
        <v/>
      </c>
      <c r="I46" s="802"/>
      <c r="AV46" s="740"/>
    </row>
    <row r="47" spans="3:48" ht="17.25" hidden="1" customHeight="1">
      <c r="C47" s="802"/>
      <c r="D47" s="802" t="str">
        <f t="shared" si="8"/>
        <v/>
      </c>
      <c r="I47" s="802"/>
      <c r="AV47" s="740"/>
    </row>
    <row r="48" spans="3:48" ht="17.25" hidden="1" customHeight="1">
      <c r="C48" s="802"/>
      <c r="D48" s="802" t="str">
        <f t="shared" si="8"/>
        <v/>
      </c>
      <c r="I48" s="802"/>
      <c r="AV48" s="740"/>
    </row>
    <row r="49" spans="3:48" ht="17.25" hidden="1" customHeight="1">
      <c r="C49" s="802"/>
      <c r="D49" s="802" t="str">
        <f t="shared" si="8"/>
        <v/>
      </c>
      <c r="I49" s="802"/>
      <c r="AV49" s="740"/>
    </row>
    <row r="50" spans="3:48" ht="17.25" hidden="1" customHeight="1">
      <c r="C50" s="802"/>
      <c r="D50" s="802" t="str">
        <f t="shared" si="8"/>
        <v/>
      </c>
      <c r="I50" s="802"/>
      <c r="AV50" s="740"/>
    </row>
    <row r="51" spans="3:48" ht="17.25" hidden="1" customHeight="1">
      <c r="C51" s="802"/>
      <c r="D51" s="802" t="str">
        <f t="shared" si="8"/>
        <v/>
      </c>
      <c r="I51" s="802"/>
      <c r="AV51" s="740"/>
    </row>
  </sheetData>
  <mergeCells count="31">
    <mergeCell ref="E27:H27"/>
    <mergeCell ref="I27:K27"/>
    <mergeCell ref="L27:S27"/>
    <mergeCell ref="V27:AA27"/>
    <mergeCell ref="E28:AA28"/>
    <mergeCell ref="E25:H25"/>
    <mergeCell ref="I25:K25"/>
    <mergeCell ref="L25:S25"/>
    <mergeCell ref="V25:AA25"/>
    <mergeCell ref="E26:H26"/>
    <mergeCell ref="I26:K26"/>
    <mergeCell ref="L26:S26"/>
    <mergeCell ref="V26:AA26"/>
    <mergeCell ref="L22:S22"/>
    <mergeCell ref="V22:AA22"/>
    <mergeCell ref="L23:S23"/>
    <mergeCell ref="V23:AA23"/>
    <mergeCell ref="E24:H24"/>
    <mergeCell ref="I24:K24"/>
    <mergeCell ref="L24:S24"/>
    <mergeCell ref="V24:AA24"/>
    <mergeCell ref="P2:S2"/>
    <mergeCell ref="AN3:AQ3"/>
    <mergeCell ref="AR3:AV3"/>
    <mergeCell ref="B20:D28"/>
    <mergeCell ref="E20:AA20"/>
    <mergeCell ref="E21:H23"/>
    <mergeCell ref="I21:K23"/>
    <mergeCell ref="L21:S21"/>
    <mergeCell ref="V21:AA21"/>
    <mergeCell ref="AN21:AO21"/>
  </mergeCells>
  <conditionalFormatting sqref="J4">
    <cfRule type="expression" dxfId="28" priority="29">
      <formula>K4&lt;&gt;SUM(AE4:AJ4)</formula>
    </cfRule>
  </conditionalFormatting>
  <conditionalFormatting sqref="K4:K19">
    <cfRule type="cellIs" dxfId="27" priority="28" operator="equal">
      <formula>0</formula>
    </cfRule>
  </conditionalFormatting>
  <conditionalFormatting sqref="AB4:AB19">
    <cfRule type="cellIs" dxfId="26" priority="27" operator="equal">
      <formula>0</formula>
    </cfRule>
  </conditionalFormatting>
  <conditionalFormatting sqref="E4:H19">
    <cfRule type="expression" dxfId="25" priority="26">
      <formula>AG4&gt;0</formula>
    </cfRule>
  </conditionalFormatting>
  <conditionalFormatting sqref="E4:H19">
    <cfRule type="expression" dxfId="24" priority="25">
      <formula>P4&gt;0</formula>
    </cfRule>
  </conditionalFormatting>
  <conditionalFormatting sqref="T4:W19 Z4:Z19 U29">
    <cfRule type="cellIs" dxfId="23" priority="24" stopIfTrue="1" operator="equal">
      <formula>0</formula>
    </cfRule>
  </conditionalFormatting>
  <conditionalFormatting sqref="K4:K19">
    <cfRule type="cellIs" dxfId="22" priority="23" stopIfTrue="1" operator="equal">
      <formula>"n/a"</formula>
    </cfRule>
  </conditionalFormatting>
  <conditionalFormatting sqref="P4:S19">
    <cfRule type="cellIs" dxfId="21" priority="22" stopIfTrue="1" operator="lessThanOrEqual">
      <formula>-1</formula>
    </cfRule>
  </conditionalFormatting>
  <conditionalFormatting sqref="V25:W27">
    <cfRule type="cellIs" dxfId="20" priority="21" stopIfTrue="1" operator="equal">
      <formula>-500</formula>
    </cfRule>
  </conditionalFormatting>
  <conditionalFormatting sqref="T25:T27">
    <cfRule type="cellIs" dxfId="19" priority="20" stopIfTrue="1" operator="greaterThan">
      <formula>$V$25</formula>
    </cfRule>
  </conditionalFormatting>
  <conditionalFormatting sqref="AA4:AA19">
    <cfRule type="cellIs" dxfId="18" priority="19" stopIfTrue="1" operator="equal">
      <formula>"Star"</formula>
    </cfRule>
  </conditionalFormatting>
  <conditionalFormatting sqref="AA4:AA19">
    <cfRule type="cellIs" dxfId="17" priority="18" stopIfTrue="1" operator="equal">
      <formula>AB4</formula>
    </cfRule>
  </conditionalFormatting>
  <conditionalFormatting sqref="I4:I19">
    <cfRule type="cellIs" dxfId="16" priority="17" stopIfTrue="1" operator="equal">
      <formula>0</formula>
    </cfRule>
  </conditionalFormatting>
  <conditionalFormatting sqref="I4:I19">
    <cfRule type="cellIs" dxfId="15" priority="16" stopIfTrue="1" operator="equal">
      <formula>"Player type quantity surpassed"</formula>
    </cfRule>
  </conditionalFormatting>
  <conditionalFormatting sqref="J5">
    <cfRule type="expression" dxfId="14" priority="15">
      <formula>K5&lt;&gt;SUM(AE5:AJ5)</formula>
    </cfRule>
  </conditionalFormatting>
  <conditionalFormatting sqref="J6">
    <cfRule type="expression" dxfId="13" priority="14">
      <formula>K6&lt;&gt;SUM(AE6:AJ6)</formula>
    </cfRule>
  </conditionalFormatting>
  <conditionalFormatting sqref="J7">
    <cfRule type="expression" dxfId="12" priority="13">
      <formula>K7&lt;&gt;SUM(AE7:AJ7)</formula>
    </cfRule>
  </conditionalFormatting>
  <conditionalFormatting sqref="J8">
    <cfRule type="expression" dxfId="11" priority="12">
      <formula>K8&lt;&gt;SUM(AE8:AJ8)</formula>
    </cfRule>
  </conditionalFormatting>
  <conditionalFormatting sqref="J9">
    <cfRule type="expression" dxfId="10" priority="11">
      <formula>K9&lt;&gt;SUM(AE9:AJ9)</formula>
    </cfRule>
  </conditionalFormatting>
  <conditionalFormatting sqref="J10">
    <cfRule type="expression" dxfId="9" priority="10">
      <formula>K10&lt;&gt;SUM(AE10:AJ10)</formula>
    </cfRule>
  </conditionalFormatting>
  <conditionalFormatting sqref="J11">
    <cfRule type="expression" dxfId="8" priority="9">
      <formula>K11&lt;&gt;SUM(AE11:AJ11)</formula>
    </cfRule>
  </conditionalFormatting>
  <conditionalFormatting sqref="J12">
    <cfRule type="expression" dxfId="7" priority="8">
      <formula>K12&lt;&gt;SUM(AE12:AJ12)</formula>
    </cfRule>
  </conditionalFormatting>
  <conditionalFormatting sqref="J13">
    <cfRule type="expression" dxfId="6" priority="7">
      <formula>K13&lt;&gt;SUM(AE13:AJ13)</formula>
    </cfRule>
  </conditionalFormatting>
  <conditionalFormatting sqref="J14">
    <cfRule type="expression" dxfId="5" priority="6">
      <formula>K14&lt;&gt;SUM(AE14:AJ14)</formula>
    </cfRule>
  </conditionalFormatting>
  <conditionalFormatting sqref="J15">
    <cfRule type="expression" dxfId="4" priority="5">
      <formula>K15&lt;&gt;SUM(AE15:AJ15)</formula>
    </cfRule>
  </conditionalFormatting>
  <conditionalFormatting sqref="J16">
    <cfRule type="expression" dxfId="3" priority="4">
      <formula>K16&lt;&gt;SUM(AE16:AJ16)</formula>
    </cfRule>
  </conditionalFormatting>
  <conditionalFormatting sqref="J17">
    <cfRule type="expression" dxfId="2" priority="3">
      <formula>K17&lt;&gt;SUM(AE17:AJ17)</formula>
    </cfRule>
  </conditionalFormatting>
  <conditionalFormatting sqref="J18">
    <cfRule type="expression" dxfId="1" priority="2">
      <formula>K18&lt;&gt;SUM(AE18:AJ18)</formula>
    </cfRule>
  </conditionalFormatting>
  <conditionalFormatting sqref="J19">
    <cfRule type="expression" dxfId="0" priority="1">
      <formula>K19&lt;&gt;SUM(AE19:AJ19)</formula>
    </cfRule>
  </conditionalFormatting>
  <dataValidations count="3">
    <dataValidation type="list" allowBlank="1" showErrorMessage="1" sqref="D4:D19">
      <formula1>'KB2'!$D$28:$D$49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I24">
      <formula1>'[1]Database-Hidden'!$N$2:$N$28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19" t="s">
        <v>20</v>
      </c>
      <c r="M3" s="221" t="s">
        <v>23</v>
      </c>
      <c r="N3" s="221" t="s">
        <v>25</v>
      </c>
      <c r="O3" s="225" t="s">
        <v>28</v>
      </c>
      <c r="P3" s="227" t="s">
        <v>7</v>
      </c>
      <c r="Q3" s="228" t="s">
        <v>8</v>
      </c>
      <c r="R3" s="228" t="s">
        <v>9</v>
      </c>
      <c r="S3" s="230" t="s">
        <v>10</v>
      </c>
      <c r="T3" s="231" t="s">
        <v>30</v>
      </c>
      <c r="U3" s="233" t="s">
        <v>33</v>
      </c>
      <c r="V3" s="233" t="s">
        <v>11</v>
      </c>
      <c r="W3" s="233" t="s">
        <v>34</v>
      </c>
      <c r="X3" s="234" t="s">
        <v>35</v>
      </c>
      <c r="Y3" s="225" t="s">
        <v>36</v>
      </c>
      <c r="Z3" s="235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97" t="s">
        <v>51</v>
      </c>
      <c r="AL3" s="393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</row>
    <row r="4" spans="1:49" ht="12.75">
      <c r="A4" s="2"/>
      <c r="B4" s="40">
        <v>1</v>
      </c>
      <c r="C4" s="41" t="s">
        <v>408</v>
      </c>
      <c r="D4" s="42" t="s">
        <v>101</v>
      </c>
      <c r="E4" s="43">
        <f>IFERROR(VLOOKUP($I$24&amp;$D4,'Database-Hidden'!$C$2:$J$120,4,FALSE)-P4+AG4,"")</f>
        <v>7</v>
      </c>
      <c r="F4" s="44">
        <f>IFERROR(VLOOKUP($I$24&amp;$D4,'Database-Hidden'!$C$2:$J$120,5,FALSE)-Q4+AH4,"")</f>
        <v>3</v>
      </c>
      <c r="G4" s="44">
        <f>IFERROR(VLOOKUP($I$24&amp;$D4,'Database-Hidden'!$C$2:$J$120,6,FALSE)-R4+AI4,"")</f>
        <v>4</v>
      </c>
      <c r="H4" s="45">
        <f>IFERROR(VLOOKUP($I$24&amp;$D4,'Database-Hidden'!$C$2:$J$120,7,FALSE)-S4+AJ4,"")</f>
        <v>8</v>
      </c>
      <c r="I4" s="46" t="str">
        <f>IFERROR(VLOOKUP($I$24&amp;$D4,'Database-Hidden'!$C$2:$J$120,8,FALSE),"")</f>
        <v>Block, Catch, Dauntless</v>
      </c>
      <c r="J4" s="77" t="s">
        <v>409</v>
      </c>
      <c r="K4" s="48">
        <f t="shared" ref="K4:K16" si="0">IF(AA4&gt;175,6,IF(AA4&gt;75,5,IF(AA4&gt;50,4,IF(AA4&gt;30,3,IF(AA4&gt;15,2,IF(AA4&gt;5,1,0))))))</f>
        <v>4</v>
      </c>
      <c r="L4" s="49"/>
      <c r="M4" s="49"/>
      <c r="N4" s="49">
        <v>2</v>
      </c>
      <c r="O4" s="50"/>
      <c r="P4" s="51"/>
      <c r="Q4" s="52"/>
      <c r="R4" s="52"/>
      <c r="S4" s="53"/>
      <c r="T4" s="54"/>
      <c r="U4" s="55">
        <v>7</v>
      </c>
      <c r="V4" s="55">
        <v>13</v>
      </c>
      <c r="W4" s="55">
        <v>2</v>
      </c>
      <c r="X4" s="52">
        <v>1</v>
      </c>
      <c r="Y4" s="52"/>
      <c r="Z4" s="56">
        <v>2</v>
      </c>
      <c r="AA4" s="57">
        <f t="shared" ref="AA4:AA9" si="1">2*T4+U4+3*V4+2*W4+5*Z4</f>
        <v>60</v>
      </c>
      <c r="AB4" s="58">
        <f t="shared" ref="AB4:AB5" si="2">IF(L4=1,0,AD4+(20000*O4)+(20000*AE4)+(30000*AF4)+(30000*AG4)+(50000*AH4)+(40000*AI4)+(50000*AJ4)+AK4)</f>
        <v>210000</v>
      </c>
      <c r="AC4" s="4"/>
      <c r="AD4" s="59">
        <f>IFERROR(VLOOKUP($I$24&amp;D4,'Database-Hidden'!$C$2:$E$120,3,FALSE),"")</f>
        <v>110000</v>
      </c>
      <c r="AE4" s="60">
        <v>3</v>
      </c>
      <c r="AF4" s="61"/>
      <c r="AG4" s="61"/>
      <c r="AH4" s="61"/>
      <c r="AI4" s="61">
        <v>1</v>
      </c>
      <c r="AJ4" s="61"/>
      <c r="AK4" s="398"/>
      <c r="AL4" s="399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30000</v>
      </c>
      <c r="AP4" s="4"/>
      <c r="AQ4" s="4"/>
      <c r="AR4" s="254"/>
      <c r="AS4" s="67"/>
      <c r="AT4" s="67"/>
      <c r="AU4" s="64" t="s">
        <v>70</v>
      </c>
      <c r="AV4" s="68">
        <v>7</v>
      </c>
      <c r="AW4" s="69"/>
    </row>
    <row r="5" spans="1:49" ht="12.75">
      <c r="A5" s="2"/>
      <c r="B5" s="70">
        <v>2</v>
      </c>
      <c r="C5" s="71" t="s">
        <v>410</v>
      </c>
      <c r="D5" s="72" t="s">
        <v>101</v>
      </c>
      <c r="E5" s="73">
        <f>IFERROR(VLOOKUP($I$24&amp;$D5,'Database-Hidden'!$C$2:$J$120,4,FALSE)-P5+AG5,"")</f>
        <v>7</v>
      </c>
      <c r="F5" s="74">
        <f>IFERROR(VLOOKUP($I$24&amp;$D5,'Database-Hidden'!$C$2:$J$120,5,FALSE)-Q5+AH5,"")</f>
        <v>3</v>
      </c>
      <c r="G5" s="74">
        <f>IFERROR(VLOOKUP($I$24&amp;$D5,'Database-Hidden'!$C$2:$J$120,6,FALSE)-R5+AI5,"")</f>
        <v>4</v>
      </c>
      <c r="H5" s="75">
        <f>IFERROR(VLOOKUP($I$24&amp;$D5,'Database-Hidden'!$C$2:$J$120,7,FALSE)-S5+AJ5,"")</f>
        <v>8</v>
      </c>
      <c r="I5" s="76" t="str">
        <f>IFERROR(VLOOKUP($I$24&amp;$D5,'Database-Hidden'!$C$2:$J$120,8,FALSE),"")</f>
        <v>Block, Catch, Dauntless</v>
      </c>
      <c r="J5" s="77" t="s">
        <v>412</v>
      </c>
      <c r="K5" s="78">
        <f t="shared" si="0"/>
        <v>4</v>
      </c>
      <c r="L5" s="79"/>
      <c r="M5" s="79"/>
      <c r="N5" s="80">
        <v>2</v>
      </c>
      <c r="O5" s="81"/>
      <c r="P5" s="82"/>
      <c r="Q5" s="83"/>
      <c r="R5" s="83"/>
      <c r="S5" s="84"/>
      <c r="T5" s="85"/>
      <c r="U5" s="87">
        <v>9</v>
      </c>
      <c r="V5" s="87">
        <v>11</v>
      </c>
      <c r="W5" s="87">
        <v>3</v>
      </c>
      <c r="X5" s="303">
        <v>1</v>
      </c>
      <c r="Y5" s="83"/>
      <c r="Z5" s="88">
        <v>3</v>
      </c>
      <c r="AA5" s="89">
        <f t="shared" si="1"/>
        <v>63</v>
      </c>
      <c r="AB5" s="58">
        <f t="shared" si="2"/>
        <v>210000</v>
      </c>
      <c r="AC5" s="4"/>
      <c r="AD5" s="90">
        <f>IFERROR(VLOOKUP($I$24&amp;D5,'Database-Hidden'!$C$2:$E$120,3,FALSE),"")</f>
        <v>110000</v>
      </c>
      <c r="AE5" s="91">
        <v>3</v>
      </c>
      <c r="AF5" s="92"/>
      <c r="AG5" s="92"/>
      <c r="AH5" s="92"/>
      <c r="AI5" s="92">
        <v>1</v>
      </c>
      <c r="AJ5" s="92"/>
      <c r="AK5" s="398"/>
      <c r="AL5" s="399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</row>
    <row r="6" spans="1:49" ht="12.75">
      <c r="A6" s="2"/>
      <c r="B6" s="70">
        <v>3</v>
      </c>
      <c r="C6" s="71" t="s">
        <v>413</v>
      </c>
      <c r="D6" s="72" t="s">
        <v>414</v>
      </c>
      <c r="E6" s="73">
        <f>IFERROR(VLOOKUP($I$24&amp;$D6,'Database-Hidden'!$C$2:$J$120,4,FALSE)-P6+AG6,"")</f>
        <v>6</v>
      </c>
      <c r="F6" s="74">
        <f>IFERROR(VLOOKUP($I$24&amp;$D6,'Database-Hidden'!$C$2:$J$120,5,FALSE)-Q6+AH6,"")</f>
        <v>3</v>
      </c>
      <c r="G6" s="74">
        <f>IFERROR(VLOOKUP($I$24&amp;$D6,'Database-Hidden'!$C$2:$J$120,6,FALSE)-R6+AI6,"")</f>
        <v>3</v>
      </c>
      <c r="H6" s="75">
        <f>IFERROR(VLOOKUP($I$24&amp;$D6,'Database-Hidden'!$C$2:$J$120,7,FALSE)-S6+AJ6,"")</f>
        <v>8</v>
      </c>
      <c r="I6" s="76" t="str">
        <f>IFERROR(VLOOKUP($I$24&amp;$D6,'Database-Hidden'!$C$2:$J$120,8,FALSE),"")</f>
        <v>Wrestle</v>
      </c>
      <c r="J6" s="77"/>
      <c r="K6" s="78">
        <f t="shared" si="0"/>
        <v>0</v>
      </c>
      <c r="L6" s="79"/>
      <c r="M6" s="79"/>
      <c r="N6" s="80"/>
      <c r="O6" s="400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307">
        <v>70000</v>
      </c>
      <c r="AC6" s="4"/>
      <c r="AD6" s="90">
        <f>IFERROR(VLOOKUP($I$24&amp;D6,'Database-Hidden'!$C$2:$E$120,3,FALSE),"")</f>
        <v>70000</v>
      </c>
      <c r="AE6" s="91"/>
      <c r="AF6" s="103"/>
      <c r="AG6" s="103"/>
      <c r="AH6" s="103"/>
      <c r="AI6" s="103"/>
      <c r="AJ6" s="103"/>
      <c r="AK6" s="401"/>
      <c r="AL6" s="399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70000</v>
      </c>
      <c r="AP6" s="106">
        <v>70000</v>
      </c>
      <c r="AQ6" s="107"/>
      <c r="AR6" s="108" t="s">
        <v>2</v>
      </c>
      <c r="AS6" s="110" t="s">
        <v>84</v>
      </c>
      <c r="AT6" s="112">
        <v>2</v>
      </c>
      <c r="AU6" s="113">
        <v>1</v>
      </c>
      <c r="AV6" s="281">
        <v>1</v>
      </c>
      <c r="AW6" s="115"/>
    </row>
    <row r="7" spans="1:49" ht="12.75">
      <c r="A7" s="2"/>
      <c r="B7" s="70">
        <v>4</v>
      </c>
      <c r="C7" s="71" t="s">
        <v>417</v>
      </c>
      <c r="D7" s="72" t="s">
        <v>68</v>
      </c>
      <c r="E7" s="73">
        <f>IFERROR(VLOOKUP($I$24&amp;$D7,'Database-Hidden'!$C$2:$J$120,4,FALSE)-P7+AG7,"")</f>
        <v>6</v>
      </c>
      <c r="F7" s="74">
        <f>IFERROR(VLOOKUP($I$24&amp;$D7,'Database-Hidden'!$C$2:$J$120,5,FALSE)-Q7+AH7,"")</f>
        <v>3</v>
      </c>
      <c r="G7" s="74">
        <f>IFERROR(VLOOKUP($I$24&amp;$D7,'Database-Hidden'!$C$2:$J$120,6,FALSE)-R7+AI7,"")</f>
        <v>2</v>
      </c>
      <c r="H7" s="75">
        <f>IFERROR(VLOOKUP($I$24&amp;$D7,'Database-Hidden'!$C$2:$J$120,7,FALSE)-S7+AJ7,"")</f>
        <v>7</v>
      </c>
      <c r="I7" s="76" t="str">
        <f>IFERROR(VLOOKUP($I$24&amp;$D7,'Database-Hidden'!$C$2:$J$120,8,FALSE),"")</f>
        <v>Fend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>
        <v>1</v>
      </c>
      <c r="X7" s="83"/>
      <c r="Y7" s="83"/>
      <c r="Z7" s="88"/>
      <c r="AA7" s="89">
        <f t="shared" si="1"/>
        <v>2</v>
      </c>
      <c r="AB7" s="58">
        <f t="shared" ref="AB7:AB9" si="3">IF(L7=1,0,AD7+(20000*O7)+(20000*AE7)+(30000*AF7)+(30000*AG7)+(50000*AH7)+(40000*AI7)+(50000*AJ7)+AK7)</f>
        <v>40000</v>
      </c>
      <c r="AC7" s="4"/>
      <c r="AD7" s="116">
        <f>IFERROR(VLOOKUP($I$24&amp;D7,'Database-Hidden'!$C$2:$E$120,3,FALSE),"")</f>
        <v>40000</v>
      </c>
      <c r="AE7" s="91"/>
      <c r="AF7" s="103"/>
      <c r="AG7" s="103"/>
      <c r="AH7" s="103"/>
      <c r="AI7" s="103"/>
      <c r="AJ7" s="103"/>
      <c r="AK7" s="398"/>
      <c r="AL7" s="399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1"/>
      <c r="AW7" s="132"/>
    </row>
    <row r="8" spans="1:49" ht="12.75">
      <c r="A8" s="2"/>
      <c r="B8" s="70">
        <v>5</v>
      </c>
      <c r="C8" s="71" t="s">
        <v>419</v>
      </c>
      <c r="D8" s="72" t="s">
        <v>68</v>
      </c>
      <c r="E8" s="73">
        <f>IFERROR(VLOOKUP($I$24&amp;$D8,'Database-Hidden'!$C$2:$J$120,4,FALSE)-P8+AG8,"")</f>
        <v>6</v>
      </c>
      <c r="F8" s="74">
        <f>IFERROR(VLOOKUP($I$24&amp;$D8,'Database-Hidden'!$C$2:$J$120,5,FALSE)-Q8+AH8,"")</f>
        <v>3</v>
      </c>
      <c r="G8" s="74">
        <f>IFERROR(VLOOKUP($I$24&amp;$D8,'Database-Hidden'!$C$2:$J$120,6,FALSE)-R8+AI8,"")</f>
        <v>2</v>
      </c>
      <c r="H8" s="75">
        <f>IFERROR(VLOOKUP($I$24&amp;$D8,'Database-Hidden'!$C$2:$J$120,7,FALSE)-S8+AJ8,"")</f>
        <v>7</v>
      </c>
      <c r="I8" s="76" t="str">
        <f>IFERROR(VLOOKUP($I$24&amp;$D8,'Database-Hidden'!$C$2:$J$120,8,FALSE),"")</f>
        <v>Fend</v>
      </c>
      <c r="J8" s="77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3"/>
        <v>40000</v>
      </c>
      <c r="AC8" s="4"/>
      <c r="AD8" s="116">
        <f>IFERROR(VLOOKUP($I$24&amp;D8,'Database-Hidden'!$C$2:$E$120,3,FALSE),"")</f>
        <v>40000</v>
      </c>
      <c r="AE8" s="91"/>
      <c r="AF8" s="103"/>
      <c r="AG8" s="103"/>
      <c r="AH8" s="103"/>
      <c r="AI8" s="103"/>
      <c r="AJ8" s="103"/>
      <c r="AK8" s="398"/>
      <c r="AL8" s="399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1"/>
      <c r="AW8" s="132"/>
    </row>
    <row r="9" spans="1:49" ht="12.75">
      <c r="A9" s="2"/>
      <c r="B9" s="70">
        <v>6</v>
      </c>
      <c r="C9" s="71" t="s">
        <v>420</v>
      </c>
      <c r="D9" s="72" t="s">
        <v>68</v>
      </c>
      <c r="E9" s="73">
        <f>IFERROR(VLOOKUP($I$24&amp;$D9,'Database-Hidden'!$C$2:$J$120,4,FALSE)-P9+AG9,"")</f>
        <v>6</v>
      </c>
      <c r="F9" s="74">
        <f>IFERROR(VLOOKUP($I$24&amp;$D9,'Database-Hidden'!$C$2:$J$120,5,FALSE)-Q9+AH9,"")</f>
        <v>3</v>
      </c>
      <c r="G9" s="74">
        <f>IFERROR(VLOOKUP($I$24&amp;$D9,'Database-Hidden'!$C$2:$J$120,6,FALSE)-R9+AI9,"")</f>
        <v>2</v>
      </c>
      <c r="H9" s="75">
        <f>IFERROR(VLOOKUP($I$24&amp;$D9,'Database-Hidden'!$C$2:$J$120,7,FALSE)-S9+AJ9,"")</f>
        <v>7</v>
      </c>
      <c r="I9" s="76" t="str">
        <f>IFERROR(VLOOKUP($I$24&amp;$D9,'Database-Hidden'!$C$2:$J$120,8,FALSE),"")</f>
        <v>Fend</v>
      </c>
      <c r="J9" s="77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3"/>
        <v>40000</v>
      </c>
      <c r="AC9" s="4"/>
      <c r="AD9" s="116">
        <f>IFERROR(VLOOKUP($I$24&amp;D9,'Database-Hidden'!$C$2:$E$120,3,FALSE),"")</f>
        <v>40000</v>
      </c>
      <c r="AE9" s="91"/>
      <c r="AF9" s="92"/>
      <c r="AG9" s="103"/>
      <c r="AH9" s="103"/>
      <c r="AI9" s="103"/>
      <c r="AJ9" s="103"/>
      <c r="AK9" s="398"/>
      <c r="AL9" s="399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</row>
    <row r="10" spans="1:49" ht="12.75">
      <c r="A10" s="2"/>
      <c r="B10" s="70">
        <v>7</v>
      </c>
      <c r="C10" s="71" t="s">
        <v>422</v>
      </c>
      <c r="D10" s="72" t="s">
        <v>68</v>
      </c>
      <c r="E10" s="73">
        <f>IFERROR(VLOOKUP($I$24&amp;$D10,'Database-Hidden'!$C$2:$J$120,4,FALSE)-P10+AG10,"")</f>
        <v>6</v>
      </c>
      <c r="F10" s="74">
        <f>IFERROR(VLOOKUP($I$24&amp;$D10,'Database-Hidden'!$C$2:$J$120,5,FALSE)-Q10+AH10,"")</f>
        <v>3</v>
      </c>
      <c r="G10" s="74">
        <f>IFERROR(VLOOKUP($I$24&amp;$D10,'Database-Hidden'!$C$2:$J$120,6,FALSE)-R10+AI10,"")</f>
        <v>2</v>
      </c>
      <c r="H10" s="75">
        <f>IFERROR(VLOOKUP($I$24&amp;$D10,'Database-Hidden'!$C$2:$J$120,7,FALSE)-S10+AJ10,"")</f>
        <v>7</v>
      </c>
      <c r="I10" s="76" t="str">
        <f>IFERROR(VLOOKUP($I$24&amp;$D10,'Database-Hidden'!$C$2:$J$120,8,FALSE),"")</f>
        <v>Fend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402">
        <v>0</v>
      </c>
      <c r="AB10" s="307">
        <v>40000</v>
      </c>
      <c r="AC10" s="4"/>
      <c r="AD10" s="116">
        <f>IFERROR(VLOOKUP($I$24&amp;D10,'Database-Hidden'!$C$2:$E$120,3,FALSE),"")</f>
        <v>40000</v>
      </c>
      <c r="AE10" s="91"/>
      <c r="AF10" s="92"/>
      <c r="AG10" s="103"/>
      <c r="AH10" s="103"/>
      <c r="AI10" s="103"/>
      <c r="AJ10" s="103"/>
      <c r="AK10" s="398"/>
      <c r="AL10" s="399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</row>
    <row r="11" spans="1:49" ht="12.75">
      <c r="A11" s="2"/>
      <c r="B11" s="70">
        <v>8</v>
      </c>
      <c r="C11" s="71" t="s">
        <v>426</v>
      </c>
      <c r="D11" s="72" t="s">
        <v>101</v>
      </c>
      <c r="E11" s="73">
        <f>IFERROR(VLOOKUP($I$24&amp;$D11,'Database-Hidden'!$C$2:$J$120,4,FALSE)-P11+AG11,"")</f>
        <v>7</v>
      </c>
      <c r="F11" s="74">
        <f>IFERROR(VLOOKUP($I$24&amp;$D11,'Database-Hidden'!$C$2:$J$120,5,FALSE)-Q11+AH11,"")</f>
        <v>3</v>
      </c>
      <c r="G11" s="74">
        <f>IFERROR(VLOOKUP($I$24&amp;$D11,'Database-Hidden'!$C$2:$J$120,6,FALSE)-R11+AI11,"")</f>
        <v>4</v>
      </c>
      <c r="H11" s="75">
        <f>IFERROR(VLOOKUP($I$24&amp;$D11,'Database-Hidden'!$C$2:$J$120,7,FALSE)-S11+AJ11,"")</f>
        <v>8</v>
      </c>
      <c r="I11" s="76" t="str">
        <f>IFERROR(VLOOKUP($I$24&amp;$D11,'Database-Hidden'!$C$2:$J$120,8,FALSE),"")</f>
        <v>Block, Catch, Dauntless</v>
      </c>
      <c r="J11" s="77" t="s">
        <v>427</v>
      </c>
      <c r="K11" s="78">
        <f t="shared" si="0"/>
        <v>2</v>
      </c>
      <c r="L11" s="79"/>
      <c r="M11" s="79"/>
      <c r="N11" s="80">
        <v>2</v>
      </c>
      <c r="O11" s="81"/>
      <c r="P11" s="82"/>
      <c r="Q11" s="83"/>
      <c r="R11" s="83"/>
      <c r="S11" s="84"/>
      <c r="T11" s="85"/>
      <c r="U11" s="86"/>
      <c r="V11" s="86"/>
      <c r="W11" s="87">
        <v>1</v>
      </c>
      <c r="X11" s="83"/>
      <c r="Y11" s="83"/>
      <c r="Z11" s="88">
        <v>3</v>
      </c>
      <c r="AA11" s="89">
        <f t="shared" ref="AA11:AA15" si="4">2*T11+U11+3*V11+2*W11+5*Z11</f>
        <v>17</v>
      </c>
      <c r="AB11" s="58">
        <f t="shared" ref="AB11:AB17" si="5">IF(L11=1,0,AD11+(20000*O11)+(20000*AE11)+(30000*AF11)+(30000*AG11)+(50000*AH11)+(40000*AI11)+(50000*AJ11)+AK11)</f>
        <v>180000</v>
      </c>
      <c r="AC11" s="4"/>
      <c r="AD11" s="116">
        <f>IFERROR(VLOOKUP($I$24&amp;D11,'Database-Hidden'!$C$2:$E$120,3,FALSE),"")</f>
        <v>110000</v>
      </c>
      <c r="AE11" s="138"/>
      <c r="AF11" s="92">
        <v>1</v>
      </c>
      <c r="AG11" s="103"/>
      <c r="AH11" s="103"/>
      <c r="AI11" s="92">
        <v>1</v>
      </c>
      <c r="AJ11" s="103"/>
      <c r="AK11" s="398"/>
      <c r="AL11" s="399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</row>
    <row r="12" spans="1:49" ht="12.75">
      <c r="A12" s="2"/>
      <c r="B12" s="70">
        <v>9</v>
      </c>
      <c r="C12" s="71" t="s">
        <v>428</v>
      </c>
      <c r="D12" s="72" t="s">
        <v>68</v>
      </c>
      <c r="E12" s="73">
        <f>IFERROR(VLOOKUP($I$24&amp;$D12,'Database-Hidden'!$C$2:$J$120,4,FALSE)-P12+AG12,"")</f>
        <v>6</v>
      </c>
      <c r="F12" s="74">
        <f>IFERROR(VLOOKUP($I$24&amp;$D12,'Database-Hidden'!$C$2:$J$120,5,FALSE)-Q12+AH12,"")</f>
        <v>3</v>
      </c>
      <c r="G12" s="74">
        <f>IFERROR(VLOOKUP($I$24&amp;$D12,'Database-Hidden'!$C$2:$J$120,6,FALSE)-R12+AI12,"")</f>
        <v>2</v>
      </c>
      <c r="H12" s="75">
        <f>IFERROR(VLOOKUP($I$24&amp;$D12,'Database-Hidden'!$C$2:$J$120,7,FALSE)-S12+AJ12,"")</f>
        <v>7</v>
      </c>
      <c r="I12" s="76" t="str">
        <f>IFERROR(VLOOKUP($I$24&amp;$D12,'Database-Hidden'!$C$2:$J$120,8,FALSE),"")</f>
        <v>Fend</v>
      </c>
      <c r="J12" s="77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4"/>
        <v>0</v>
      </c>
      <c r="AB12" s="58">
        <f t="shared" si="5"/>
        <v>40000</v>
      </c>
      <c r="AC12" s="4"/>
      <c r="AD12" s="116">
        <f>IFERROR(VLOOKUP($I$24&amp;D12,'Database-Hidden'!$C$2:$E$120,3,FALSE),"")</f>
        <v>40000</v>
      </c>
      <c r="AE12" s="138"/>
      <c r="AF12" s="103"/>
      <c r="AG12" s="103"/>
      <c r="AH12" s="103"/>
      <c r="AI12" s="103"/>
      <c r="AJ12" s="103"/>
      <c r="AK12" s="398"/>
      <c r="AL12" s="399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</row>
    <row r="13" spans="1:49" ht="12.75">
      <c r="A13" s="2"/>
      <c r="B13" s="70">
        <v>10</v>
      </c>
      <c r="C13" s="71" t="s">
        <v>430</v>
      </c>
      <c r="D13" s="72" t="s">
        <v>68</v>
      </c>
      <c r="E13" s="73">
        <f>IFERROR(VLOOKUP($I$24&amp;$D13,'Database-Hidden'!$C$2:$J$120,4,FALSE)-P13+AG13,"")</f>
        <v>6</v>
      </c>
      <c r="F13" s="74">
        <f>IFERROR(VLOOKUP($I$24&amp;$D13,'Database-Hidden'!$C$2:$J$120,5,FALSE)-Q13+AH13,"")</f>
        <v>3</v>
      </c>
      <c r="G13" s="74">
        <f>IFERROR(VLOOKUP($I$24&amp;$D13,'Database-Hidden'!$C$2:$J$120,6,FALSE)-R13+AI13,"")</f>
        <v>2</v>
      </c>
      <c r="H13" s="75">
        <f>IFERROR(VLOOKUP($I$24&amp;$D13,'Database-Hidden'!$C$2:$J$120,7,FALSE)-S13+AJ13,"")</f>
        <v>7</v>
      </c>
      <c r="I13" s="76" t="str">
        <f>IFERROR(VLOOKUP($I$24&amp;$D13,'Database-Hidden'!$C$2:$J$120,8,FALSE),"")</f>
        <v>Fend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4"/>
        <v>0</v>
      </c>
      <c r="AB13" s="58">
        <f t="shared" si="5"/>
        <v>40000</v>
      </c>
      <c r="AC13" s="4"/>
      <c r="AD13" s="116">
        <f>IFERROR(VLOOKUP($I$24&amp;D13,'Database-Hidden'!$C$2:$E$120,3,FALSE),"")</f>
        <v>40000</v>
      </c>
      <c r="AE13" s="138"/>
      <c r="AF13" s="92"/>
      <c r="AG13" s="103"/>
      <c r="AH13" s="103"/>
      <c r="AI13" s="103"/>
      <c r="AJ13" s="103"/>
      <c r="AK13" s="398"/>
      <c r="AL13" s="399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</row>
    <row r="14" spans="1:49" ht="12.75">
      <c r="A14" s="2"/>
      <c r="B14" s="70">
        <v>11</v>
      </c>
      <c r="C14" s="71" t="s">
        <v>416</v>
      </c>
      <c r="D14" s="72" t="s">
        <v>101</v>
      </c>
      <c r="E14" s="73">
        <f>IFERROR(VLOOKUP($I$24&amp;$D14,'Database-Hidden'!$C$2:$J$120,4,FALSE)-P14+AG14,"")</f>
        <v>7</v>
      </c>
      <c r="F14" s="74">
        <f>IFERROR(VLOOKUP($I$24&amp;$D14,'Database-Hidden'!$C$2:$J$120,5,FALSE)-Q14+AH14,"")</f>
        <v>3</v>
      </c>
      <c r="G14" s="74">
        <f>IFERROR(VLOOKUP($I$24&amp;$D14,'Database-Hidden'!$C$2:$J$120,6,FALSE)-R14+AI14,"")</f>
        <v>3</v>
      </c>
      <c r="H14" s="75">
        <f>IFERROR(VLOOKUP($I$24&amp;$D14,'Database-Hidden'!$C$2:$J$120,7,FALSE)-S14+AJ14,"")</f>
        <v>8</v>
      </c>
      <c r="I14" s="76" t="str">
        <f>IFERROR(VLOOKUP($I$24&amp;$D14,'Database-Hidden'!$C$2:$J$120,8,FALSE),"")</f>
        <v>Block, Catch, Dauntless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>
        <v>1</v>
      </c>
      <c r="AA14" s="89">
        <f t="shared" si="4"/>
        <v>5</v>
      </c>
      <c r="AB14" s="58">
        <f t="shared" si="5"/>
        <v>110000</v>
      </c>
      <c r="AC14" s="4"/>
      <c r="AD14" s="116">
        <f>IFERROR(VLOOKUP($I$24&amp;D14,'Database-Hidden'!$C$2:$E$120,3,FALSE),"")</f>
        <v>110000</v>
      </c>
      <c r="AE14" s="91"/>
      <c r="AF14" s="103"/>
      <c r="AG14" s="103"/>
      <c r="AH14" s="103"/>
      <c r="AI14" s="103"/>
      <c r="AJ14" s="103"/>
      <c r="AK14" s="398"/>
      <c r="AL14" s="399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</row>
    <row r="15" spans="1:49" ht="12.75">
      <c r="A15" s="2"/>
      <c r="B15" s="70">
        <v>12</v>
      </c>
      <c r="C15" s="71" t="s">
        <v>432</v>
      </c>
      <c r="D15" s="72" t="s">
        <v>68</v>
      </c>
      <c r="E15" s="73">
        <f>IFERROR(VLOOKUP($I$24&amp;$D15,'Database-Hidden'!$C$2:$J$120,4,FALSE)-P15+AG15,"")</f>
        <v>6</v>
      </c>
      <c r="F15" s="74">
        <f>IFERROR(VLOOKUP($I$24&amp;$D15,'Database-Hidden'!$C$2:$J$120,5,FALSE)-Q15+AH15,"")</f>
        <v>3</v>
      </c>
      <c r="G15" s="74">
        <f>IFERROR(VLOOKUP($I$24&amp;$D15,'Database-Hidden'!$C$2:$J$120,6,FALSE)-R15+AI15,"")</f>
        <v>2</v>
      </c>
      <c r="H15" s="75">
        <f>IFERROR(VLOOKUP($I$24&amp;$D15,'Database-Hidden'!$C$2:$J$120,7,FALSE)-S15+AJ15,"")</f>
        <v>7</v>
      </c>
      <c r="I15" s="76" t="str">
        <f>IFERROR(VLOOKUP($I$24&amp;$D15,'Database-Hidden'!$C$2:$J$120,8,FALSE),"")</f>
        <v>Fend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4"/>
        <v>0</v>
      </c>
      <c r="AB15" s="58">
        <f t="shared" si="5"/>
        <v>40000</v>
      </c>
      <c r="AC15" s="4"/>
      <c r="AD15" s="116">
        <f>IFERROR(VLOOKUP($I$24&amp;D15,'Database-Hidden'!$C$2:$E$120,3,FALSE),"")</f>
        <v>40000</v>
      </c>
      <c r="AE15" s="91"/>
      <c r="AF15" s="103"/>
      <c r="AG15" s="103"/>
      <c r="AH15" s="103"/>
      <c r="AI15" s="103"/>
      <c r="AJ15" s="103"/>
      <c r="AK15" s="398"/>
      <c r="AL15" s="399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</row>
    <row r="16" spans="1:49" ht="12.75">
      <c r="A16" s="2"/>
      <c r="B16" s="70">
        <v>13</v>
      </c>
      <c r="C16" s="71" t="s">
        <v>435</v>
      </c>
      <c r="D16" s="72" t="s">
        <v>414</v>
      </c>
      <c r="E16" s="73">
        <f>IFERROR(VLOOKUP($I$24&amp;$D16,'Database-Hidden'!$C$2:$J$120,4,FALSE)-P16+AG16,"")</f>
        <v>6</v>
      </c>
      <c r="F16" s="74">
        <f>IFERROR(VLOOKUP($I$24&amp;$D16,'Database-Hidden'!$C$2:$J$120,5,FALSE)-Q16+AH16,"")</f>
        <v>3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8</v>
      </c>
      <c r="I16" s="76" t="str">
        <f>IFERROR(VLOOKUP($I$24&amp;$D16,'Database-Hidden'!$C$2:$J$120,8,FALSE),"")</f>
        <v>Wrestle</v>
      </c>
      <c r="J16" s="403" t="s">
        <v>252</v>
      </c>
      <c r="K16" s="78">
        <f t="shared" si="0"/>
        <v>1</v>
      </c>
      <c r="L16" s="79"/>
      <c r="M16" s="79"/>
      <c r="N16" s="80">
        <v>1</v>
      </c>
      <c r="O16" s="81"/>
      <c r="P16" s="82"/>
      <c r="Q16" s="83"/>
      <c r="R16" s="83"/>
      <c r="S16" s="84"/>
      <c r="T16" s="85"/>
      <c r="U16" s="86"/>
      <c r="V16" s="86"/>
      <c r="W16" s="87">
        <v>1</v>
      </c>
      <c r="X16" s="83"/>
      <c r="Y16" s="83"/>
      <c r="Z16" s="88">
        <v>1</v>
      </c>
      <c r="AA16" s="402">
        <v>7</v>
      </c>
      <c r="AB16" s="58">
        <f t="shared" si="5"/>
        <v>90000</v>
      </c>
      <c r="AC16" s="4"/>
      <c r="AD16" s="116">
        <f>IFERROR(VLOOKUP($I$24&amp;D16,'Database-Hidden'!$C$2:$E$120,3,FALSE),"")</f>
        <v>70000</v>
      </c>
      <c r="AE16" s="91">
        <v>1</v>
      </c>
      <c r="AF16" s="103"/>
      <c r="AG16" s="103"/>
      <c r="AH16" s="103"/>
      <c r="AI16" s="103"/>
      <c r="AJ16" s="103"/>
      <c r="AK16" s="398"/>
      <c r="AL16" s="399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</row>
    <row r="17" spans="1:49" ht="12.75">
      <c r="A17" s="2"/>
      <c r="B17" s="70">
        <v>14</v>
      </c>
      <c r="C17" s="71"/>
      <c r="D17" s="72" t="s">
        <v>414</v>
      </c>
      <c r="E17" s="73">
        <f>IFERROR(VLOOKUP($I$24&amp;$D17,'Database-Hidden'!$C$2:$J$120,4,FALSE)-P17+AG17,"")</f>
        <v>6</v>
      </c>
      <c r="F17" s="74">
        <f>IFERROR(VLOOKUP($I$24&amp;$D17,'Database-Hidden'!$C$2:$J$120,5,FALSE)-Q17+AH17,"")</f>
        <v>3</v>
      </c>
      <c r="G17" s="74">
        <f>IFERROR(VLOOKUP($I$24&amp;$D17,'Database-Hidden'!$C$2:$J$120,6,FALSE)-R17+AI17,"")</f>
        <v>3</v>
      </c>
      <c r="H17" s="75">
        <f>IFERROR(VLOOKUP($I$24&amp;$D17,'Database-Hidden'!$C$2:$J$120,7,FALSE)-S17+AJ17,"")</f>
        <v>8</v>
      </c>
      <c r="I17" s="76" t="str">
        <f>IFERROR(VLOOKUP($I$24&amp;$D17,'Database-Hidden'!$C$2:$J$120,8,FALSE),"")</f>
        <v>Wrestle</v>
      </c>
      <c r="J17" s="77"/>
      <c r="K17" s="78"/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7"/>
      <c r="W17" s="87"/>
      <c r="X17" s="83"/>
      <c r="Y17" s="83"/>
      <c r="Z17" s="88"/>
      <c r="AA17" s="89">
        <f t="shared" ref="AA17:AA19" si="6">2*T17+U17+3*V17+2*W17+5*Z17</f>
        <v>0</v>
      </c>
      <c r="AB17" s="307">
        <f t="shared" si="5"/>
        <v>70000</v>
      </c>
      <c r="AC17" s="4"/>
      <c r="AD17" s="116">
        <f>IFERROR(VLOOKUP($I$24&amp;D17,'Database-Hidden'!$C$2:$E$120,3,FALSE),"")</f>
        <v>70000</v>
      </c>
      <c r="AE17" s="91"/>
      <c r="AF17" s="103"/>
      <c r="AG17" s="103"/>
      <c r="AH17" s="103"/>
      <c r="AI17" s="103"/>
      <c r="AJ17" s="103"/>
      <c r="AK17" s="398"/>
      <c r="AL17" s="399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</row>
    <row r="18" spans="1:49" ht="12.75">
      <c r="A18" s="2"/>
      <c r="B18" s="70">
        <v>15</v>
      </c>
      <c r="C18" s="71"/>
      <c r="D18" s="72"/>
      <c r="E18" s="73" t="str">
        <f>IFERROR(VLOOKUP($I$24&amp;$D18,'Database-Hidden'!$C$2:$J$120,4,FALSE)-P18+AG18,"")</f>
        <v/>
      </c>
      <c r="F18" s="74" t="str">
        <f>IFERROR(VLOOKUP($I$24&amp;$D18,'Database-Hidden'!$C$2:$J$120,5,FALSE)-Q18+AH18,"")</f>
        <v/>
      </c>
      <c r="G18" s="74" t="str">
        <f>IFERROR(VLOOKUP($I$24&amp;$D18,'Database-Hidden'!$C$2:$J$120,6,FALSE)-R18+AI18,"")</f>
        <v/>
      </c>
      <c r="H18" s="75" t="str">
        <f>IFERROR(VLOOKUP($I$24&amp;$D18,'Database-Hidden'!$C$2:$J$120,7,FALSE)-S18+AJ18,"")</f>
        <v/>
      </c>
      <c r="I18" s="76" t="str">
        <f>IFERROR(VLOOKUP($I$24&amp;$D18,'Database-Hidden'!$C$2:$J$120,8,FALSE),"")</f>
        <v/>
      </c>
      <c r="J18" s="77"/>
      <c r="K18" s="78">
        <f t="shared" ref="K18:K19" si="7">IF(AA18&gt;175,6,IF(AA18&gt;75,5,IF(AA18&gt;50,4,IF(AA18&gt;30,3,IF(AA18&gt;15,2,IF(AA18&gt;5,1,0))))))</f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6"/>
        <v>0</v>
      </c>
      <c r="AB18" s="58"/>
      <c r="AC18" s="4"/>
      <c r="AD18" s="116" t="str">
        <f>IFERROR(VLOOKUP($I$24&amp;D18,'Database-Hidden'!$C$2:$E$120,3,FALSE),"")</f>
        <v/>
      </c>
      <c r="AE18" s="91"/>
      <c r="AF18" s="92"/>
      <c r="AG18" s="103"/>
      <c r="AH18" s="103"/>
      <c r="AI18" s="103"/>
      <c r="AJ18" s="103"/>
      <c r="AK18" s="398"/>
      <c r="AL18" s="399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30000</v>
      </c>
      <c r="AP18" s="4"/>
      <c r="AQ18" s="4"/>
      <c r="AR18" s="67"/>
      <c r="AS18" s="148" t="s">
        <v>42</v>
      </c>
      <c r="AT18" s="150">
        <f t="shared" ref="AT18:AU18" si="8">SUM(AT6:AT17)</f>
        <v>2</v>
      </c>
      <c r="AU18" s="151">
        <f t="shared" si="8"/>
        <v>1</v>
      </c>
      <c r="AV18" s="152">
        <f>AV4+SUM(AV6:AV17)</f>
        <v>8</v>
      </c>
      <c r="AW18" s="5"/>
    </row>
    <row r="19" spans="1:49" ht="12.75">
      <c r="A19" s="2"/>
      <c r="B19" s="153">
        <v>16</v>
      </c>
      <c r="C19" s="404"/>
      <c r="D19" s="405"/>
      <c r="E19" s="156" t="str">
        <f>IFERROR(VLOOKUP($I$24&amp;$D19,'Database-Hidden'!$C$2:$J$120,4,FALSE)-P19+AG19,"")</f>
        <v/>
      </c>
      <c r="F19" s="157" t="str">
        <f>IFERROR(VLOOKUP($I$24&amp;$D19,'Database-Hidden'!$C$2:$J$120,5,FALSE)-Q19+AH19,"")</f>
        <v/>
      </c>
      <c r="G19" s="157" t="str">
        <f>IFERROR(VLOOKUP($I$24&amp;$D19,'Database-Hidden'!$C$2:$J$120,6,FALSE)-R19+AI19,"")</f>
        <v/>
      </c>
      <c r="H19" s="159" t="str">
        <f>IFERROR(VLOOKUP($I$24&amp;$D19,'Database-Hidden'!$C$2:$J$120,7,FALSE)-S19+AJ19,"")</f>
        <v/>
      </c>
      <c r="I19" s="160" t="str">
        <f>IFERROR(VLOOKUP($I$24&amp;$D19,'Database-Hidden'!$C$2:$J$120,8,FALSE),"")</f>
        <v/>
      </c>
      <c r="J19" s="161"/>
      <c r="K19" s="162">
        <f t="shared" si="7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6"/>
        <v>0</v>
      </c>
      <c r="AB19" s="58"/>
      <c r="AC19" s="4"/>
      <c r="AD19" s="174" t="str">
        <f>IFERROR(VLOOKUP($I$24&amp;D19,'Database-Hidden'!$C$2:$E$120,3,FALSE),"")</f>
        <v/>
      </c>
      <c r="AE19" s="175"/>
      <c r="AF19" s="176"/>
      <c r="AG19" s="176"/>
      <c r="AH19" s="176"/>
      <c r="AI19" s="176"/>
      <c r="AJ19" s="176"/>
      <c r="AK19" s="406"/>
      <c r="AL19" s="407" t="str">
        <f>IF(LEFT($D19,6)&lt;&gt;"Star: ","",VLOOKUP(RIGHT($D19,LEN($D19)-6),'Star Players-Hidden'!$A$3:$AK$87,37,FALSE))</f>
        <v/>
      </c>
      <c r="AM19" s="4"/>
      <c r="AN19" s="67"/>
      <c r="AO19" s="67"/>
      <c r="AP19" s="67"/>
      <c r="AQ19" s="67"/>
      <c r="AR19" s="67"/>
      <c r="AS19" s="67"/>
      <c r="AT19" s="67"/>
      <c r="AU19" s="67"/>
      <c r="AV19" s="181"/>
      <c r="AW19" s="67"/>
    </row>
    <row r="20" spans="1:49" ht="12.75">
      <c r="A20" s="67"/>
      <c r="B20" s="585"/>
      <c r="C20" s="507"/>
      <c r="D20" s="507"/>
      <c r="E20" s="583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1220000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</row>
    <row r="21" spans="1:49" ht="12.75">
      <c r="A21" s="2"/>
      <c r="B21" s="507"/>
      <c r="C21" s="507"/>
      <c r="D21" s="507"/>
      <c r="E21" s="584" t="s">
        <v>117</v>
      </c>
      <c r="F21" s="507"/>
      <c r="G21" s="507"/>
      <c r="H21" s="539"/>
      <c r="I21" s="536" t="s">
        <v>62</v>
      </c>
      <c r="J21" s="507"/>
      <c r="K21" s="53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IFERROR(VLOOKUP(I24,'Database-Hidden'!N2:O28,2,FALSE),"")</f>
        <v>70000</v>
      </c>
      <c r="W21" s="525"/>
      <c r="X21" s="525"/>
      <c r="Y21" s="525"/>
      <c r="Z21" s="525"/>
      <c r="AA21" s="528"/>
      <c r="AB21" s="184">
        <f t="shared" ref="AB21:AB25" si="9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507"/>
      <c r="C22" s="507"/>
      <c r="D22" s="507"/>
      <c r="E22" s="531"/>
      <c r="F22" s="507"/>
      <c r="G22" s="507"/>
      <c r="H22" s="539"/>
      <c r="I22" s="531"/>
      <c r="J22" s="507"/>
      <c r="K22" s="532"/>
      <c r="L22" s="515" t="s">
        <v>122</v>
      </c>
      <c r="M22" s="509"/>
      <c r="N22" s="509"/>
      <c r="O22" s="509"/>
      <c r="P22" s="509"/>
      <c r="Q22" s="509"/>
      <c r="R22" s="509"/>
      <c r="S22" s="514"/>
      <c r="T22" s="314">
        <v>8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9"/>
        <v>80000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30000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507"/>
      <c r="C23" s="507"/>
      <c r="D23" s="507"/>
      <c r="E23" s="537"/>
      <c r="F23" s="525"/>
      <c r="G23" s="525"/>
      <c r="H23" s="540"/>
      <c r="I23" s="537"/>
      <c r="J23" s="525"/>
      <c r="K23" s="528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9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10000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507"/>
      <c r="C24" s="507"/>
      <c r="D24" s="507"/>
      <c r="E24" s="564" t="s">
        <v>126</v>
      </c>
      <c r="F24" s="509"/>
      <c r="G24" s="509"/>
      <c r="H24" s="512"/>
      <c r="I24" s="543" t="s">
        <v>63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9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10000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507"/>
      <c r="C25" s="507"/>
      <c r="D25" s="507"/>
      <c r="E25" s="564" t="str">
        <f>IFERROR(IF(VLOOKUP(I24,'Database-Hidden'!X2:Y28,2,FALSE)="Yes","NECROMANCER","HEAD COACH"),"HEAD COACH")</f>
        <v>HEAD COACH</v>
      </c>
      <c r="F25" s="509"/>
      <c r="G25" s="509"/>
      <c r="H25" s="512"/>
      <c r="I25" s="543" t="s">
        <v>443</v>
      </c>
      <c r="J25" s="509"/>
      <c r="K25" s="510"/>
      <c r="L25" s="511" t="str">
        <f>IFERROR(IF(VLOOKUP(I24,'Database-Hidden'!X2:Y28,1,FALSE)&lt;&gt;"","",""),"APOTHECARY")</f>
        <v>APOTHECARY</v>
      </c>
      <c r="M25" s="509"/>
      <c r="N25" s="509"/>
      <c r="O25" s="509"/>
      <c r="P25" s="509"/>
      <c r="Q25" s="509"/>
      <c r="R25" s="509"/>
      <c r="S25" s="512"/>
      <c r="T25" s="190">
        <v>1</v>
      </c>
      <c r="U25" s="186" t="str">
        <f>IF(L25&lt;&gt;"","x","")</f>
        <v>x</v>
      </c>
      <c r="V25" s="508">
        <f>IF(L25&lt;&gt;"",50000,"")</f>
        <v>50000</v>
      </c>
      <c r="W25" s="509"/>
      <c r="X25" s="509"/>
      <c r="Y25" s="509"/>
      <c r="Z25" s="509"/>
      <c r="AA25" s="510"/>
      <c r="AB25" s="187">
        <f t="shared" si="9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507"/>
      <c r="C26" s="507"/>
      <c r="D26" s="507"/>
      <c r="E26" s="564" t="s">
        <v>131</v>
      </c>
      <c r="F26" s="509"/>
      <c r="G26" s="509"/>
      <c r="H26" s="509"/>
      <c r="I26" s="548">
        <f>AB20+AB28</f>
        <v>1560000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0</v>
      </c>
      <c r="U26" s="186" t="s">
        <v>47</v>
      </c>
      <c r="V26" s="508">
        <f>IF(I24="Halfling",200000,600000)</f>
        <v>600000</v>
      </c>
      <c r="W26" s="509"/>
      <c r="X26" s="509"/>
      <c r="Y26" s="509"/>
      <c r="Z26" s="509"/>
      <c r="AA26" s="510"/>
      <c r="AB26" s="187">
        <f t="shared" ref="AB26:AB27" si="10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50000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507"/>
      <c r="C27" s="507"/>
      <c r="D27" s="507"/>
      <c r="E27" s="575" t="s">
        <v>133</v>
      </c>
      <c r="F27" s="542"/>
      <c r="G27" s="542"/>
      <c r="H27" s="542"/>
      <c r="I27" s="549">
        <v>30000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0</v>
      </c>
      <c r="U27" s="199" t="s">
        <v>47</v>
      </c>
      <c r="V27" s="546">
        <f>IF(I24="Goblin",100000,200000)</f>
        <v>200000</v>
      </c>
      <c r="W27" s="542"/>
      <c r="X27" s="542"/>
      <c r="Y27" s="542"/>
      <c r="Z27" s="542"/>
      <c r="AA27" s="547"/>
      <c r="AB27" s="187">
        <f t="shared" si="10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N27" s="67"/>
      <c r="AO27" s="67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507"/>
      <c r="C28" s="507"/>
      <c r="D28" s="507"/>
      <c r="E28" s="583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SUM(AB21:AB25)</f>
        <v>340000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N28" s="67"/>
      <c r="AO28" s="67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A30" s="67"/>
      <c r="B30" s="67"/>
      <c r="C30" s="339">
        <f>MATCH(I24,'Database-Hidden'!A2:A120,0)</f>
        <v>5</v>
      </c>
      <c r="D30" s="339" t="str">
        <f t="shared" ref="D30:D39" si="11">I30&amp;IF(COUNTIF(D$4:D$19,I30)&gt;E30," (Too Many)","")</f>
        <v>Lineman</v>
      </c>
      <c r="E30" s="341">
        <f t="array" ref="E30">IFERROR(IF(INDEX('Database-Hidden'!$A$2:$B$120,$C30,1)=$I$24,INDEX('Database-Hidden'!$A$2:$D$120,$C30,4),""),"")</f>
        <v>16</v>
      </c>
      <c r="F30" s="67"/>
      <c r="G30" s="67"/>
      <c r="H30" s="67"/>
      <c r="I30" s="339" t="str">
        <f t="array" ref="I30">IFERROR(IF(INDEX('Database-Hidden'!$A$2:$B$120,$C30,1)=$I$24,INDEX('Database-Hidden'!$A$2:$B$120,$C30,2),""),"")</f>
        <v>Lineman</v>
      </c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181"/>
      <c r="AW30" s="67"/>
    </row>
    <row r="31" spans="1:49" ht="17.25" hidden="1" customHeight="1">
      <c r="A31" s="67"/>
      <c r="B31" s="67"/>
      <c r="C31" s="339">
        <f t="shared" ref="C31:C39" si="12">C30+1</f>
        <v>6</v>
      </c>
      <c r="D31" s="339" t="str">
        <f t="shared" si="11"/>
        <v>Yeoman</v>
      </c>
      <c r="E31" s="341">
        <f t="array" ref="E31">IFERROR(IF(INDEX('Database-Hidden'!$A$2:$B$120,$C31,1)=$I$24,INDEX('Database-Hidden'!$A$2:$D$120,$C31,4),""),"")</f>
        <v>4</v>
      </c>
      <c r="F31" s="67"/>
      <c r="G31" s="67"/>
      <c r="H31" s="67"/>
      <c r="I31" s="339" t="str">
        <f t="array" ref="I31">IFERROR(IF(INDEX('Database-Hidden'!$A$2:$B$120,$C31,1)=$I$24,INDEX('Database-Hidden'!$A$2:$B$120,$C31,2),""),"")</f>
        <v>Yeoman</v>
      </c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181"/>
      <c r="AW31" s="67"/>
    </row>
    <row r="32" spans="1:49" ht="17.25" hidden="1" customHeight="1">
      <c r="A32" s="67"/>
      <c r="B32" s="67"/>
      <c r="C32" s="339">
        <f t="shared" si="12"/>
        <v>7</v>
      </c>
      <c r="D32" s="339" t="str">
        <f t="shared" si="11"/>
        <v>Blitzer</v>
      </c>
      <c r="E32" s="341">
        <f t="array" ref="E32">IFERROR(IF(INDEX('Database-Hidden'!$A$2:$B$120,$C32,1)=$I$24,INDEX('Database-Hidden'!$A$2:$D$120,$C32,4),""),"")</f>
        <v>4</v>
      </c>
      <c r="F32" s="67"/>
      <c r="G32" s="67"/>
      <c r="H32" s="67"/>
      <c r="I32" s="339" t="str">
        <f t="array" ref="I32">IFERROR(IF(INDEX('Database-Hidden'!$A$2:$B$120,$C32,1)=$I$24,INDEX('Database-Hidden'!$A$2:$B$120,$C32,2),""),"")</f>
        <v>Blitzer</v>
      </c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181"/>
      <c r="AW32" s="67"/>
    </row>
    <row r="33" spans="1:49" ht="17.25" hidden="1" customHeight="1">
      <c r="A33" s="67"/>
      <c r="B33" s="67"/>
      <c r="C33" s="339">
        <f t="shared" si="12"/>
        <v>8</v>
      </c>
      <c r="D33" s="339" t="str">
        <f t="shared" si="11"/>
        <v/>
      </c>
      <c r="E33" s="341" t="str">
        <f t="array" ref="E33">IFERROR(IF(INDEX('Database-Hidden'!$A$2:$B$120,$C33,1)=$I$24,INDEX('Database-Hidden'!$A$2:$D$120,$C33,4),""),"")</f>
        <v/>
      </c>
      <c r="F33" s="67"/>
      <c r="G33" s="67"/>
      <c r="H33" s="67"/>
      <c r="I33" s="339" t="str">
        <f t="array" ref="I33">IFERROR(IF(INDEX('Database-Hidden'!$A$2:$B$120,$C33,1)=$I$24,INDEX('Database-Hidden'!$A$2:$B$120,$C33,2),""),"")</f>
        <v/>
      </c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181"/>
      <c r="AW33" s="67"/>
    </row>
    <row r="34" spans="1:49" ht="17.25" hidden="1" customHeight="1">
      <c r="A34" s="67"/>
      <c r="B34" s="67"/>
      <c r="C34" s="339">
        <f t="shared" si="12"/>
        <v>9</v>
      </c>
      <c r="D34" s="339" t="str">
        <f t="shared" si="11"/>
        <v/>
      </c>
      <c r="E34" s="341" t="str">
        <f t="array" ref="E34">IFERROR(IF(INDEX('Database-Hidden'!$A$2:$B$120,$C34,1)=$I$24,INDEX('Database-Hidden'!$A$2:$D$120,$C34,4),""),"")</f>
        <v/>
      </c>
      <c r="F34" s="67"/>
      <c r="G34" s="67"/>
      <c r="H34" s="67"/>
      <c r="I34" s="339" t="str">
        <f t="array" ref="I34">IFERROR(IF(INDEX('Database-Hidden'!$A$2:$B$120,$C34,1)=$I$24,INDEX('Database-Hidden'!$A$2:$B$120,$C34,2),""),"")</f>
        <v/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181"/>
      <c r="AW34" s="67"/>
    </row>
    <row r="35" spans="1:49" ht="17.25" hidden="1" customHeight="1">
      <c r="A35" s="67"/>
      <c r="B35" s="67"/>
      <c r="C35" s="339">
        <f t="shared" si="12"/>
        <v>10</v>
      </c>
      <c r="D35" s="339" t="str">
        <f t="shared" si="11"/>
        <v/>
      </c>
      <c r="E35" s="341" t="str">
        <f t="array" ref="E35">IFERROR(IF(INDEX('Database-Hidden'!$A$2:$B$120,$C35,1)=$I$24,INDEX('Database-Hidden'!$A$2:$D$120,$C35,4),""),"")</f>
        <v/>
      </c>
      <c r="F35" s="67"/>
      <c r="G35" s="67"/>
      <c r="H35" s="67"/>
      <c r="I35" s="339" t="str">
        <f t="array" ref="I35">IFERROR(IF(INDEX('Database-Hidden'!$A$2:$B$120,$C35,1)=$I$24,INDEX('Database-Hidden'!$A$2:$B$120,$C35,2),""),"")</f>
        <v/>
      </c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181"/>
      <c r="AW35" s="67"/>
    </row>
    <row r="36" spans="1:49" ht="17.25" hidden="1" customHeight="1">
      <c r="A36" s="67"/>
      <c r="B36" s="67"/>
      <c r="C36" s="339">
        <f t="shared" si="12"/>
        <v>11</v>
      </c>
      <c r="D36" s="339" t="str">
        <f t="shared" si="11"/>
        <v/>
      </c>
      <c r="E36" s="341" t="str">
        <f t="array" ref="E36">IFERROR(IF(INDEX('Database-Hidden'!$A$2:$B$120,$C36,1)=$I$24,INDEX('Database-Hidden'!$A$2:$D$120,$C36,4),""),"")</f>
        <v/>
      </c>
      <c r="F36" s="67"/>
      <c r="G36" s="67"/>
      <c r="H36" s="67"/>
      <c r="I36" s="339" t="str">
        <f t="array" ref="I36">IFERROR(IF(INDEX('Database-Hidden'!$A$2:$B$120,$C36,1)=$I$24,INDEX('Database-Hidden'!$A$2:$B$120,$C36,2),""),"")</f>
        <v/>
      </c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181"/>
      <c r="AW36" s="67"/>
    </row>
    <row r="37" spans="1:49" ht="17.25" hidden="1" customHeight="1">
      <c r="A37" s="67"/>
      <c r="B37" s="67"/>
      <c r="C37" s="339">
        <f t="shared" si="12"/>
        <v>12</v>
      </c>
      <c r="D37" s="339" t="str">
        <f t="shared" si="11"/>
        <v/>
      </c>
      <c r="E37" s="341" t="str">
        <f t="array" ref="E37">IFERROR(IF(INDEX('Database-Hidden'!$A$2:$B$120,$C37,1)=$I$24,INDEX('Database-Hidden'!$A$2:$D$120,$C37,4),""),"")</f>
        <v/>
      </c>
      <c r="F37" s="67"/>
      <c r="G37" s="67"/>
      <c r="H37" s="67"/>
      <c r="I37" s="339" t="str">
        <f t="array" ref="I37">IFERROR(IF(INDEX('Database-Hidden'!$A$2:$B$120,$C37,1)=$I$24,INDEX('Database-Hidden'!$A$2:$B$120,$C37,2),""),"")</f>
        <v/>
      </c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181"/>
      <c r="AW37" s="67"/>
    </row>
    <row r="38" spans="1:49" ht="17.25" hidden="1" customHeight="1">
      <c r="A38" s="67"/>
      <c r="B38" s="67"/>
      <c r="C38" s="339">
        <f t="shared" si="12"/>
        <v>13</v>
      </c>
      <c r="D38" s="339" t="str">
        <f t="shared" si="11"/>
        <v/>
      </c>
      <c r="E38" s="341" t="str">
        <f t="array" ref="E38">IFERROR(IF(INDEX('Database-Hidden'!$A$2:$B$120,$C38,1)=$I$24,INDEX('Database-Hidden'!$A$2:$D$120,$C38,4),""),"")</f>
        <v/>
      </c>
      <c r="F38" s="67"/>
      <c r="G38" s="67"/>
      <c r="H38" s="67"/>
      <c r="I38" s="339" t="str">
        <f t="array" ref="I38">IFERROR(IF(INDEX('Database-Hidden'!$A$2:$B$120,$C38,1)=$I$24,INDEX('Database-Hidden'!$A$2:$B$120,$C38,2),""),"")</f>
        <v/>
      </c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181"/>
      <c r="AW38" s="67"/>
    </row>
    <row r="39" spans="1:49" ht="17.25" hidden="1" customHeight="1">
      <c r="A39" s="67"/>
      <c r="B39" s="67"/>
      <c r="C39" s="339">
        <f t="shared" si="12"/>
        <v>14</v>
      </c>
      <c r="D39" s="339" t="str">
        <f t="shared" si="11"/>
        <v/>
      </c>
      <c r="E39" s="341" t="str">
        <f t="array" ref="E39">IFERROR(IF(INDEX('Database-Hidden'!$A$2:$B$120,$C39,1)=$I$24,INDEX('Database-Hidden'!$A$2:$D$120,$C39,4),""),"")</f>
        <v/>
      </c>
      <c r="F39" s="67"/>
      <c r="G39" s="67"/>
      <c r="H39" s="67"/>
      <c r="I39" s="339" t="str">
        <f t="array" ref="I39">IFERROR(IF(INDEX('Database-Hidden'!$A$2:$B$120,$C39,1)=$I$24,INDEX('Database-Hidden'!$A$2:$B$120,$C39,2),""),"")</f>
        <v/>
      </c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181"/>
      <c r="AW39" s="67"/>
    </row>
    <row r="40" spans="1:49" ht="17.25" hidden="1" customHeight="1">
      <c r="A40" s="67"/>
      <c r="B40" s="67"/>
      <c r="C40" s="354">
        <f>MATCH(I24,'Star Players-Hidden'!D2:AD2,0)</f>
        <v>2</v>
      </c>
      <c r="D40" s="354" t="str">
        <f t="shared" ref="D40:D51" ca="1" si="13">I40&amp;IF(COUNTIF(D$4:D$19,I40)&gt;1," (Too Many)","")</f>
        <v>Star: Dolfar Longstride</v>
      </c>
      <c r="E40" s="355"/>
      <c r="F40" s="355"/>
      <c r="G40" s="355"/>
      <c r="H40" s="355"/>
      <c r="I40" s="354" t="str">
        <f ca="1">IFERROR(__xludf.DUMMYFUNCTION("FILTER({""Star: ""&amp;'Star Players-Hidden'!A3:A87},INDEX('Star Players-Hidden'!D3:AD87,0,C40)&lt;&gt;"""",{'Star Players-Hidden'!C3:C87=""""}+{'Star Players-Hidden'!C3:C87=I21})"),"Star: Dolfar Longstride")</f>
        <v>Star: Dolfar Longstride</v>
      </c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181"/>
      <c r="AW40" s="67"/>
    </row>
    <row r="41" spans="1:49" ht="17.25" hidden="1" customHeight="1">
      <c r="A41" s="67"/>
      <c r="B41" s="67"/>
      <c r="C41" s="339"/>
      <c r="D41" s="339" t="str">
        <f t="shared" si="13"/>
        <v>Star: Griff Oberwald</v>
      </c>
      <c r="E41" s="67"/>
      <c r="F41" s="67"/>
      <c r="G41" s="67"/>
      <c r="H41" s="67"/>
      <c r="I41" s="356" t="s">
        <v>368</v>
      </c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181"/>
      <c r="AW41" s="67"/>
    </row>
    <row r="42" spans="1:49" ht="17.25" hidden="1" customHeight="1">
      <c r="A42" s="67"/>
      <c r="B42" s="67"/>
      <c r="C42" s="339"/>
      <c r="D42" s="339" t="str">
        <f t="shared" si="13"/>
        <v>Star: Karla Von Kill</v>
      </c>
      <c r="E42" s="67"/>
      <c r="F42" s="67"/>
      <c r="G42" s="67"/>
      <c r="H42" s="67"/>
      <c r="I42" s="339" t="s">
        <v>233</v>
      </c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181"/>
      <c r="AW42" s="67"/>
    </row>
    <row r="43" spans="1:49" ht="17.25" hidden="1" customHeight="1">
      <c r="A43" s="67"/>
      <c r="B43" s="67"/>
      <c r="C43" s="339"/>
      <c r="D43" s="339" t="str">
        <f t="shared" si="13"/>
        <v>Star: Mighty Zug</v>
      </c>
      <c r="E43" s="67"/>
      <c r="F43" s="67"/>
      <c r="G43" s="67"/>
      <c r="H43" s="67"/>
      <c r="I43" s="339" t="s">
        <v>369</v>
      </c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181"/>
      <c r="AW43" s="67"/>
    </row>
    <row r="44" spans="1:49" ht="17.25" hidden="1" customHeight="1">
      <c r="A44" s="67"/>
      <c r="B44" s="67"/>
      <c r="C44" s="339"/>
      <c r="D44" s="339" t="str">
        <f t="shared" si="13"/>
        <v>Star: Morg'n'Thorg</v>
      </c>
      <c r="E44" s="67"/>
      <c r="F44" s="67"/>
      <c r="G44" s="67"/>
      <c r="H44" s="67"/>
      <c r="I44" s="339" t="s">
        <v>144</v>
      </c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181"/>
      <c r="AW44" s="67"/>
    </row>
    <row r="45" spans="1:49" ht="17.25" hidden="1" customHeight="1">
      <c r="A45" s="67"/>
      <c r="B45" s="67"/>
      <c r="C45" s="339"/>
      <c r="D45" s="339" t="str">
        <f t="shared" si="13"/>
        <v>Star: Willow Rosebark</v>
      </c>
      <c r="E45" s="67"/>
      <c r="F45" s="67"/>
      <c r="G45" s="67"/>
      <c r="H45" s="67"/>
      <c r="I45" s="339" t="s">
        <v>406</v>
      </c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181"/>
      <c r="AW45" s="67"/>
    </row>
    <row r="46" spans="1:49" ht="17.25" hidden="1" customHeight="1">
      <c r="A46" s="67"/>
      <c r="B46" s="67"/>
      <c r="C46" s="339"/>
      <c r="D46" s="339" t="str">
        <f t="shared" si="13"/>
        <v/>
      </c>
      <c r="E46" s="67"/>
      <c r="F46" s="67"/>
      <c r="G46" s="67"/>
      <c r="H46" s="67"/>
      <c r="I46" s="339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181"/>
      <c r="AW46" s="67"/>
    </row>
    <row r="47" spans="1:49" ht="17.25" hidden="1" customHeight="1">
      <c r="A47" s="67"/>
      <c r="B47" s="67"/>
      <c r="C47" s="339"/>
      <c r="D47" s="339" t="str">
        <f t="shared" si="13"/>
        <v/>
      </c>
      <c r="E47" s="67"/>
      <c r="F47" s="67"/>
      <c r="G47" s="67"/>
      <c r="H47" s="67"/>
      <c r="I47" s="339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181"/>
      <c r="AW47" s="67"/>
    </row>
    <row r="48" spans="1:49" ht="17.25" hidden="1" customHeight="1">
      <c r="A48" s="67"/>
      <c r="B48" s="67"/>
      <c r="C48" s="339"/>
      <c r="D48" s="339" t="str">
        <f t="shared" si="13"/>
        <v/>
      </c>
      <c r="E48" s="67"/>
      <c r="F48" s="67"/>
      <c r="G48" s="67"/>
      <c r="H48" s="67"/>
      <c r="I48" s="339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181"/>
      <c r="AW48" s="67"/>
    </row>
    <row r="49" spans="1:49" ht="17.25" hidden="1" customHeight="1">
      <c r="A49" s="67"/>
      <c r="B49" s="67"/>
      <c r="C49" s="339"/>
      <c r="D49" s="339" t="str">
        <f t="shared" si="13"/>
        <v/>
      </c>
      <c r="E49" s="67"/>
      <c r="F49" s="67"/>
      <c r="G49" s="67"/>
      <c r="H49" s="67"/>
      <c r="I49" s="339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181"/>
      <c r="AW49" s="67"/>
    </row>
    <row r="50" spans="1:49" ht="17.25" hidden="1" customHeight="1">
      <c r="A50" s="67"/>
      <c r="B50" s="67"/>
      <c r="C50" s="339"/>
      <c r="D50" s="339" t="str">
        <f t="shared" si="13"/>
        <v/>
      </c>
      <c r="E50" s="67"/>
      <c r="F50" s="67"/>
      <c r="G50" s="67"/>
      <c r="H50" s="67"/>
      <c r="I50" s="339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181"/>
      <c r="AW50" s="67"/>
    </row>
    <row r="51" spans="1:49" ht="17.25" hidden="1" customHeight="1">
      <c r="A51" s="67"/>
      <c r="B51" s="67"/>
      <c r="C51" s="339"/>
      <c r="D51" s="339" t="str">
        <f t="shared" si="13"/>
        <v/>
      </c>
      <c r="E51" s="67"/>
      <c r="F51" s="67"/>
      <c r="G51" s="67"/>
      <c r="H51" s="67"/>
      <c r="I51" s="339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181"/>
      <c r="AW51" s="67"/>
    </row>
  </sheetData>
  <mergeCells count="31">
    <mergeCell ref="L27:S27"/>
    <mergeCell ref="E27:H27"/>
    <mergeCell ref="E28:AA28"/>
    <mergeCell ref="E26:H26"/>
    <mergeCell ref="L26:S26"/>
    <mergeCell ref="V26:AA26"/>
    <mergeCell ref="V27:AA27"/>
    <mergeCell ref="B20:D28"/>
    <mergeCell ref="E24:H24"/>
    <mergeCell ref="E25:H25"/>
    <mergeCell ref="I26:K26"/>
    <mergeCell ref="I25:K25"/>
    <mergeCell ref="I27:K27"/>
    <mergeCell ref="I24:K24"/>
    <mergeCell ref="V24:AA24"/>
    <mergeCell ref="L25:S25"/>
    <mergeCell ref="L23:S23"/>
    <mergeCell ref="L24:S24"/>
    <mergeCell ref="V25:AA25"/>
    <mergeCell ref="AN3:AQ3"/>
    <mergeCell ref="P2:S2"/>
    <mergeCell ref="AR3:AV3"/>
    <mergeCell ref="V23:AA23"/>
    <mergeCell ref="AN21:AO21"/>
    <mergeCell ref="V21:AA21"/>
    <mergeCell ref="E20:AA20"/>
    <mergeCell ref="L21:S21"/>
    <mergeCell ref="I21:K23"/>
    <mergeCell ref="L22:S22"/>
    <mergeCell ref="V22:AA22"/>
    <mergeCell ref="E21:H23"/>
  </mergeCells>
  <conditionalFormatting sqref="J4">
    <cfRule type="expression" dxfId="375" priority="1">
      <formula>K4&lt;&gt;SUM(AE4:AJ4)</formula>
    </cfRule>
  </conditionalFormatting>
  <conditionalFormatting sqref="K4:K19">
    <cfRule type="cellIs" dxfId="374" priority="2" operator="equal">
      <formula>0</formula>
    </cfRule>
  </conditionalFormatting>
  <conditionalFormatting sqref="AB4:AB19">
    <cfRule type="cellIs" dxfId="373" priority="3" operator="equal">
      <formula>0</formula>
    </cfRule>
  </conditionalFormatting>
  <conditionalFormatting sqref="E4:H19">
    <cfRule type="expression" dxfId="372" priority="4">
      <formula>AG4&gt;0</formula>
    </cfRule>
  </conditionalFormatting>
  <conditionalFormatting sqref="E4:H19">
    <cfRule type="expression" dxfId="371" priority="5">
      <formula>P4&gt;0</formula>
    </cfRule>
  </conditionalFormatting>
  <conditionalFormatting sqref="T4:T19 U4:U19 V4:W19 Z4:Z19 U29">
    <cfRule type="cellIs" dxfId="370" priority="6" stopIfTrue="1" operator="equal">
      <formula>0</formula>
    </cfRule>
  </conditionalFormatting>
  <conditionalFormatting sqref="K4:K19">
    <cfRule type="cellIs" dxfId="369" priority="7" stopIfTrue="1" operator="equal">
      <formula>"n/a"</formula>
    </cfRule>
  </conditionalFormatting>
  <conditionalFormatting sqref="P4:S19">
    <cfRule type="cellIs" dxfId="368" priority="8" stopIfTrue="1" operator="lessThanOrEqual">
      <formula>-1</formula>
    </cfRule>
  </conditionalFormatting>
  <conditionalFormatting sqref="V25:W27">
    <cfRule type="cellIs" dxfId="367" priority="9" stopIfTrue="1" operator="equal">
      <formula>-500</formula>
    </cfRule>
  </conditionalFormatting>
  <conditionalFormatting sqref="T25:T27">
    <cfRule type="cellIs" dxfId="366" priority="10" stopIfTrue="1" operator="greaterThan">
      <formula>$V$25</formula>
    </cfRule>
  </conditionalFormatting>
  <conditionalFormatting sqref="AA4:AA19">
    <cfRule type="cellIs" dxfId="365" priority="11" stopIfTrue="1" operator="equal">
      <formula>"Star"</formula>
    </cfRule>
  </conditionalFormatting>
  <conditionalFormatting sqref="AA4:AA19">
    <cfRule type="cellIs" dxfId="364" priority="12" stopIfTrue="1" operator="equal">
      <formula>AB4</formula>
    </cfRule>
  </conditionalFormatting>
  <conditionalFormatting sqref="I4:I19">
    <cfRule type="cellIs" dxfId="363" priority="13" stopIfTrue="1" operator="equal">
      <formula>0</formula>
    </cfRule>
  </conditionalFormatting>
  <conditionalFormatting sqref="I4:I19">
    <cfRule type="cellIs" dxfId="362" priority="14" stopIfTrue="1" operator="equal">
      <formula>"Player type quantity surpassed"</formula>
    </cfRule>
  </conditionalFormatting>
  <conditionalFormatting sqref="J5">
    <cfRule type="expression" dxfId="361" priority="15">
      <formula>K5&lt;&gt;SUM(AE5:AJ5)</formula>
    </cfRule>
  </conditionalFormatting>
  <conditionalFormatting sqref="J6">
    <cfRule type="expression" dxfId="360" priority="16">
      <formula>K6&lt;&gt;SUM(AE6:AJ6)</formula>
    </cfRule>
  </conditionalFormatting>
  <conditionalFormatting sqref="J7">
    <cfRule type="expression" dxfId="359" priority="17">
      <formula>K7&lt;&gt;SUM(AE7:AJ7)</formula>
    </cfRule>
  </conditionalFormatting>
  <conditionalFormatting sqref="J8">
    <cfRule type="expression" dxfId="358" priority="18">
      <formula>K8&lt;&gt;SUM(AE8:AJ8)</formula>
    </cfRule>
  </conditionalFormatting>
  <conditionalFormatting sqref="J9">
    <cfRule type="expression" dxfId="357" priority="19">
      <formula>K9&lt;&gt;SUM(AE9:AJ9)</formula>
    </cfRule>
  </conditionalFormatting>
  <conditionalFormatting sqref="J10">
    <cfRule type="expression" dxfId="356" priority="20">
      <formula>K10&lt;&gt;SUM(AE10:AJ10)</formula>
    </cfRule>
  </conditionalFormatting>
  <conditionalFormatting sqref="J11:J12">
    <cfRule type="expression" dxfId="355" priority="21">
      <formula>K11&lt;&gt;SUM(AE11:AJ11)</formula>
    </cfRule>
  </conditionalFormatting>
  <conditionalFormatting sqref="J13">
    <cfRule type="expression" dxfId="354" priority="22">
      <formula>K13&lt;&gt;SUM(AE13:AJ13)</formula>
    </cfRule>
  </conditionalFormatting>
  <conditionalFormatting sqref="J14">
    <cfRule type="expression" dxfId="353" priority="23">
      <formula>K14&lt;&gt;SUM(AE14:AJ14)</formula>
    </cfRule>
  </conditionalFormatting>
  <conditionalFormatting sqref="J15 J17">
    <cfRule type="expression" dxfId="352" priority="24">
      <formula>K15&lt;&gt;SUM(AE15:AJ15)</formula>
    </cfRule>
  </conditionalFormatting>
  <conditionalFormatting sqref="J16:J17">
    <cfRule type="expression" dxfId="351" priority="25">
      <formula>K16&lt;&gt;SUM(AE16:AJ16)</formula>
    </cfRule>
  </conditionalFormatting>
  <conditionalFormatting sqref="J18">
    <cfRule type="expression" dxfId="350" priority="26">
      <formula>K18&lt;&gt;SUM(AE18:AJ18)</formula>
    </cfRule>
  </conditionalFormatting>
  <conditionalFormatting sqref="J19">
    <cfRule type="expression" dxfId="349" priority="27">
      <formula>K19&lt;&gt;SUM(AE19:AJ19)</formula>
    </cfRule>
  </conditionalFormatting>
  <dataValidations count="3">
    <dataValidation type="list" allowBlank="1" showErrorMessage="1" sqref="D4:D19">
      <formula1>'MQ1'!$D$28:$D$49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 t="s">
        <v>407</v>
      </c>
      <c r="D4" s="42" t="s">
        <v>320</v>
      </c>
      <c r="E4" s="73">
        <f>IF(LEFT($D4,6)&lt;&gt;"Star: ",IFERROR(VLOOKUP($I$22&amp;$D4,'Database-Hidden'!$C$2:$J$120,4,FALSE)-P4+AG4,""),VLOOKUP(RIGHT($D4,LEN($D4)-6),'Star Players-Hidden'!$A$3:$AK$87,33,FALSE))</f>
        <v>6</v>
      </c>
      <c r="F4" s="73">
        <f>IF(LEFT($D4,6)&lt;&gt;"Star: ",IFERROR(VLOOKUP($I$22&amp;$D4,'Database-Hidden'!$C$2:$J$120,5,FALSE)-Q4+AH4,""),VLOOKUP(RIGHT($D4,LEN($D4)-6),'Star Players-Hidden'!$A$3:$AK$87,34,FALSE))</f>
        <v>4</v>
      </c>
      <c r="G4" s="73">
        <f>IF(LEFT($D4,6)&lt;&gt;"Star: ",IFERROR(VLOOKUP($I$22&amp;$D4,'Database-Hidden'!$C$2:$J$120,6,FALSE)-R4+AI4,""),VLOOKUP(RIGHT($D4,LEN($D4)-6),'Star Players-Hidden'!$A$3:$AK$87,35,FALSE))</f>
        <v>4</v>
      </c>
      <c r="H4" s="75">
        <f>IF(LEFT($D4,6)&lt;&gt;"Star: ",IFERROR(VLOOKUP($I$22&amp;$D4,'Database-Hidden'!$C$2:$J$120,7,FALSE)-S4+AJ4,""),VLOOKUP(RIGHT($D4,LEN($D4)-6),'Star Players-Hidden'!$A$3:$AK$87,36,FALSE))</f>
        <v>8</v>
      </c>
      <c r="I4" s="76" t="str">
        <f>IF(LEFT($D4,6)&lt;&gt;"Star: ",IFERROR(VLOOKUP($I$22&amp;$D4,'Database-Hidden'!$C$2:$J$120,8,FALSE),""),VLOOKUP(RIGHT($D4,LEN($D4)-6),'Star Players-Hidden'!$A$3:$AK$87,31,FALSE))</f>
        <v>Blood Lust, Hypnotic Gaze, Regeneration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>
        <v>1</v>
      </c>
      <c r="V4" s="55"/>
      <c r="W4" s="55"/>
      <c r="X4" s="52"/>
      <c r="Y4" s="52"/>
      <c r="Z4" s="56"/>
      <c r="AA4" s="57">
        <f t="shared" ref="AA4:AA19" si="1">2*T4+U4+3*V4+2*W4+5*Z4</f>
        <v>1</v>
      </c>
      <c r="AB4" s="58">
        <f t="shared" ref="AB4:AB15" si="2">IF(L4=1,0,AD4+(20000*O4)+(20000*AE4)+(30000*AF4)+(30000*AG4)+(50000*AH4)+(40000*AI4)+(50000*AJ4)+AK4)</f>
        <v>110000</v>
      </c>
      <c r="AC4" s="4"/>
      <c r="AD4" s="116">
        <f>IF(LEFT($D4,6)&lt;&gt;"Star: ",IFERROR(VLOOKUP($I$22&amp;D4,'Database-Hidden'!$C$2:$E$120,3,FALSE),""),VLOOKUP(RIGHT($D4,LEN($D4)-6),'Star Players-Hidden'!$A$3:$AJ$87,32,FALSE))</f>
        <v>110000</v>
      </c>
      <c r="AE4" s="60"/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30000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  <c r="AX4" s="69"/>
    </row>
    <row r="5" spans="1:50" ht="12.75">
      <c r="A5" s="2"/>
      <c r="B5" s="70">
        <v>2</v>
      </c>
      <c r="C5" s="71" t="s">
        <v>411</v>
      </c>
      <c r="D5" s="72" t="s">
        <v>320</v>
      </c>
      <c r="E5" s="73">
        <f>IF(LEFT($D5,6)&lt;&gt;"Star: ",IFERROR(VLOOKUP($I$22&amp;$D5,'Database-Hidden'!$C$2:$J$120,4,FALSE)-P5+AG5,""),VLOOKUP(RIGHT($D5,LEN($D5)-6),'Star Players-Hidden'!$A$3:$AK$87,33,FALSE))</f>
        <v>6</v>
      </c>
      <c r="F5" s="73">
        <f>IF(LEFT($D5,6)&lt;&gt;"Star: ",IFERROR(VLOOKUP($I$22&amp;$D5,'Database-Hidden'!$C$2:$J$120,5,FALSE)-Q5+AH5,""),VLOOKUP(RIGHT($D5,LEN($D5)-6),'Star Players-Hidden'!$A$3:$AK$87,34,FALSE))</f>
        <v>4</v>
      </c>
      <c r="G5" s="73">
        <f>IF(LEFT($D5,6)&lt;&gt;"Star: ",IFERROR(VLOOKUP($I$22&amp;$D5,'Database-Hidden'!$C$2:$J$120,6,FALSE)-R5+AI5,""),VLOOKUP(RIGHT($D5,LEN($D5)-6),'Star Players-Hidden'!$A$3:$AK$87,35,FALSE))</f>
        <v>4</v>
      </c>
      <c r="H5" s="75">
        <f>IF(LEFT($D5,6)&lt;&gt;"Star: ",IFERROR(VLOOKUP($I$22&amp;$D5,'Database-Hidden'!$C$2:$J$120,7,FALSE)-S5+AJ5,""),VLOOKUP(RIGHT($D5,LEN($D5)-6),'Star Players-Hidden'!$A$3:$AK$87,36,FALSE))</f>
        <v>8</v>
      </c>
      <c r="I5" s="76" t="str">
        <f>IF(LEFT($D5,6)&lt;&gt;"Star: ",IFERROR(VLOOKUP($I$22&amp;$D5,'Database-Hidden'!$C$2:$J$120,8,FALSE),""),VLOOKUP(RIGHT($D5,LEN($D5)-6),'Star Players-Hidden'!$A$3:$AK$87,31,FALSE))</f>
        <v>Blood Lust, Hypnotic Gaze, Regeneration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110000</v>
      </c>
      <c r="AC5" s="4"/>
      <c r="AD5" s="116">
        <f>IF(LEFT($D5,6)&lt;&gt;"Star: ",IFERROR(VLOOKUP($I$22&amp;D5,'Database-Hidden'!$C$2:$E$120,3,FALSE),""),VLOOKUP(RIGHT($D5,LEN($D5)-6),'Star Players-Hidden'!$A$3:$AJ$87,32,FALSE))</f>
        <v>110000</v>
      </c>
      <c r="AE5" s="91"/>
      <c r="AF5" s="92"/>
      <c r="AG5" s="92"/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415</v>
      </c>
      <c r="D6" s="72" t="s">
        <v>320</v>
      </c>
      <c r="E6" s="73">
        <f>IF(LEFT($D6,6)&lt;&gt;"Star: ",IFERROR(VLOOKUP($I$22&amp;$D6,'Database-Hidden'!$C$2:$J$120,4,FALSE)-P6+AG6,""),VLOOKUP(RIGHT($D6,LEN($D6)-6),'Star Players-Hidden'!$A$3:$AK$87,33,FALSE))</f>
        <v>6</v>
      </c>
      <c r="F6" s="73">
        <f>IF(LEFT($D6,6)&lt;&gt;"Star: ",IFERROR(VLOOKUP($I$22&amp;$D6,'Database-Hidden'!$C$2:$J$120,5,FALSE)-Q6+AH6,""),VLOOKUP(RIGHT($D6,LEN($D6)-6),'Star Players-Hidden'!$A$3:$AK$87,34,FALSE))</f>
        <v>4</v>
      </c>
      <c r="G6" s="73">
        <f>IF(LEFT($D6,6)&lt;&gt;"Star: ",IFERROR(VLOOKUP($I$22&amp;$D6,'Database-Hidden'!$C$2:$J$120,6,FALSE)-R6+AI6,""),VLOOKUP(RIGHT($D6,LEN($D6)-6),'Star Players-Hidden'!$A$3:$AK$87,35,FALSE))</f>
        <v>4</v>
      </c>
      <c r="H6" s="75">
        <f>IF(LEFT($D6,6)&lt;&gt;"Star: ",IFERROR(VLOOKUP($I$22&amp;$D6,'Database-Hidden'!$C$2:$J$120,7,FALSE)-S6+AJ6,""),VLOOKUP(RIGHT($D6,LEN($D6)-6),'Star Players-Hidden'!$A$3:$AK$87,36,FALSE))</f>
        <v>8</v>
      </c>
      <c r="I6" s="76" t="str">
        <f>IF(LEFT($D6,6)&lt;&gt;"Star: ",IFERROR(VLOOKUP($I$22&amp;$D6,'Database-Hidden'!$C$2:$J$120,8,FALSE),""),VLOOKUP(RIGHT($D6,LEN($D6)-6),'Star Players-Hidden'!$A$3:$AK$87,31,FALSE))</f>
        <v>Blood Lust, Hypnotic Gaze, Regeneration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>
        <v>1</v>
      </c>
      <c r="AA6" s="89">
        <f t="shared" si="1"/>
        <v>5</v>
      </c>
      <c r="AB6" s="58">
        <f t="shared" si="2"/>
        <v>110000</v>
      </c>
      <c r="AC6" s="4"/>
      <c r="AD6" s="116">
        <f>IF(LEFT($D6,6)&lt;&gt;"Star: ",IFERROR(VLOOKUP($I$22&amp;D6,'Database-Hidden'!$C$2:$E$120,3,FALSE),""),VLOOKUP(RIGHT($D6,LEN($D6)-6),'Star Players-Hidden'!$A$3:$AJ$87,32,FALSE))</f>
        <v>110000</v>
      </c>
      <c r="AE6" s="91"/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60000</v>
      </c>
      <c r="AP6" s="106"/>
      <c r="AQ6" s="107"/>
      <c r="AR6" s="108" t="s">
        <v>2</v>
      </c>
      <c r="AS6" s="110" t="s">
        <v>166</v>
      </c>
      <c r="AT6" s="112">
        <v>0</v>
      </c>
      <c r="AU6" s="113">
        <v>0</v>
      </c>
      <c r="AV6" s="281">
        <v>0</v>
      </c>
      <c r="AW6" s="115"/>
      <c r="AX6" s="115"/>
    </row>
    <row r="7" spans="1:50" ht="12.75">
      <c r="A7" s="2"/>
      <c r="B7" s="70">
        <v>4</v>
      </c>
      <c r="C7" s="71" t="s">
        <v>418</v>
      </c>
      <c r="D7" s="72" t="s">
        <v>334</v>
      </c>
      <c r="E7" s="73">
        <f>IF(LEFT($D7,6)&lt;&gt;"Star: ",IFERROR(VLOOKUP($I$22&amp;$D7,'Database-Hidden'!$C$2:$J$120,4,FALSE)-P7+AG7,""),VLOOKUP(RIGHT($D7,LEN($D7)-6),'Star Players-Hidden'!$A$3:$AK$87,33,FALSE))</f>
        <v>6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7</v>
      </c>
      <c r="I7" s="76">
        <f>IF(LEFT($D7,6)&lt;&gt;"Star: ",IFERROR(VLOOKUP($I$22&amp;$D7,'Database-Hidden'!$C$2:$J$120,8,FALSE),""),VLOOKUP(RIGHT($D7,LEN($D7)-6),'Star Players-Hidden'!$A$3:$AK$87,31,FALSE))</f>
        <v>0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6">
        <f>IF(LEFT($D7,6)&lt;&gt;"Star: ",IFERROR(VLOOKUP($I$22&amp;D7,'Database-Hidden'!$C$2:$E$120,3,FALSE),""),VLOOKUP(RIGHT($D7,LEN($D7)-6),'Star Players-Hidden'!$A$3:$AJ$87,32,FALSE))</f>
        <v>40000</v>
      </c>
      <c r="AE7" s="91"/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1"/>
      <c r="AW7" s="132"/>
      <c r="AX7" s="132"/>
    </row>
    <row r="8" spans="1:50" ht="12.75">
      <c r="A8" s="2"/>
      <c r="B8" s="70">
        <v>5</v>
      </c>
      <c r="C8" s="71" t="s">
        <v>419</v>
      </c>
      <c r="D8" s="72" t="s">
        <v>334</v>
      </c>
      <c r="E8" s="73">
        <f>IF(LEFT($D8,6)&lt;&gt;"Star: ",IFERROR(VLOOKUP($I$22&amp;$D8,'Database-Hidden'!$C$2:$J$120,4,FALSE)-P8+AG8,""),VLOOKUP(RIGHT($D8,LEN($D8)-6),'Star Players-Hidden'!$A$3:$AK$87,33,FALSE))</f>
        <v>6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3</v>
      </c>
      <c r="H8" s="75">
        <f>IF(LEFT($D8,6)&lt;&gt;"Star: ",IFERROR(VLOOKUP($I$22&amp;$D8,'Database-Hidden'!$C$2:$J$120,7,FALSE)-S8+AJ8,""),VLOOKUP(RIGHT($D8,LEN($D8)-6),'Star Players-Hidden'!$A$3:$AK$87,36,FALSE))</f>
        <v>7</v>
      </c>
      <c r="I8" s="76">
        <f>IF(LEFT($D8,6)&lt;&gt;"Star: ",IFERROR(VLOOKUP($I$22&amp;$D8,'Database-Hidden'!$C$2:$J$120,8,FALSE),""),VLOOKUP(RIGHT($D8,LEN($D8)-6),'Star Players-Hidden'!$A$3:$AK$87,31,FALSE))</f>
        <v>0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40000</v>
      </c>
      <c r="AC8" s="4"/>
      <c r="AD8" s="116">
        <f>IF(LEFT($D8,6)&lt;&gt;"Star: ",IFERROR(VLOOKUP($I$22&amp;D8,'Database-Hidden'!$C$2:$E$120,3,FALSE),""),VLOOKUP(RIGHT($D8,LEN($D8)-6),'Star Players-Hidden'!$A$3:$AJ$87,32,FALSE))</f>
        <v>40000</v>
      </c>
      <c r="AE8" s="91"/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1"/>
      <c r="AW8" s="132"/>
      <c r="AX8" s="132"/>
    </row>
    <row r="9" spans="1:50" ht="12.75">
      <c r="A9" s="2"/>
      <c r="B9" s="70">
        <v>6</v>
      </c>
      <c r="C9" s="71" t="s">
        <v>424</v>
      </c>
      <c r="D9" s="72" t="s">
        <v>334</v>
      </c>
      <c r="E9" s="73">
        <f>IF(LEFT($D9,6)&lt;&gt;"Star: ",IFERROR(VLOOKUP($I$22&amp;$D9,'Database-Hidden'!$C$2:$J$120,4,FALSE)-P9+AG9,""),VLOOKUP(RIGHT($D9,LEN($D9)-6),'Star Players-Hidden'!$A$3:$AK$87,33,FALSE))</f>
        <v>6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3</v>
      </c>
      <c r="H9" s="75">
        <f>IF(LEFT($D9,6)&lt;&gt;"Star: ",IFERROR(VLOOKUP($I$22&amp;$D9,'Database-Hidden'!$C$2:$J$120,7,FALSE)-S9+AJ9,""),VLOOKUP(RIGHT($D9,LEN($D9)-6),'Star Players-Hidden'!$A$3:$AK$87,36,FALSE))</f>
        <v>7</v>
      </c>
      <c r="I9" s="76">
        <f>IF(LEFT($D9,6)&lt;&gt;"Star: ",IFERROR(VLOOKUP($I$22&amp;$D9,'Database-Hidden'!$C$2:$J$120,8,FALSE),""),VLOOKUP(RIGHT($D9,LEN($D9)-6),'Star Players-Hidden'!$A$3:$AK$87,31,FALSE))</f>
        <v>0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40000</v>
      </c>
      <c r="AC9" s="4"/>
      <c r="AD9" s="116">
        <f>IF(LEFT($D9,6)&lt;&gt;"Star: ",IFERROR(VLOOKUP($I$22&amp;D9,'Database-Hidden'!$C$2:$E$120,3,FALSE),""),VLOOKUP(RIGHT($D9,LEN($D9)-6),'Star Players-Hidden'!$A$3:$AJ$87,32,FALSE))</f>
        <v>40000</v>
      </c>
      <c r="AE9" s="91"/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  <c r="AX9" s="132"/>
    </row>
    <row r="10" spans="1:50" ht="12.75">
      <c r="A10" s="2"/>
      <c r="B10" s="70">
        <v>7</v>
      </c>
      <c r="C10" s="71" t="s">
        <v>422</v>
      </c>
      <c r="D10" s="72" t="s">
        <v>334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7</v>
      </c>
      <c r="I10" s="76">
        <f>IF(LEFT($D10,6)&lt;&gt;"Star: ",IFERROR(VLOOKUP($I$22&amp;$D10,'Database-Hidden'!$C$2:$J$120,8,FALSE),""),VLOOKUP(RIGHT($D10,LEN($D10)-6),'Star Players-Hidden'!$A$3:$AK$87,31,FALSE))</f>
        <v>0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40000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40000</v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  <c r="AX10" s="132"/>
    </row>
    <row r="11" spans="1:50" ht="12.75">
      <c r="A11" s="2"/>
      <c r="B11" s="70">
        <v>8</v>
      </c>
      <c r="C11" s="71" t="s">
        <v>431</v>
      </c>
      <c r="D11" s="72" t="s">
        <v>334</v>
      </c>
      <c r="E11" s="73">
        <f>IF(LEFT($D11,6)&lt;&gt;"Star: ",IFERROR(VLOOKUP($I$22&amp;$D11,'Database-Hidden'!$C$2:$J$120,4,FALSE)-P11+AG11,""),VLOOKUP(RIGHT($D11,LEN($D11)-6),'Star Players-Hidden'!$A$3:$AK$87,33,FALSE))</f>
        <v>6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7</v>
      </c>
      <c r="I11" s="76">
        <f>IF(LEFT($D11,6)&lt;&gt;"Star: ",IFERROR(VLOOKUP($I$22&amp;$D11,'Database-Hidden'!$C$2:$J$120,8,FALSE),""),VLOOKUP(RIGHT($D11,LEN($D11)-6),'Star Players-Hidden'!$A$3:$AK$87,31,FALSE))</f>
        <v>0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40000</v>
      </c>
      <c r="AC11" s="4"/>
      <c r="AD11" s="116">
        <f>IF(LEFT($D11,6)&lt;&gt;"Star: ",IFERROR(VLOOKUP($I$22&amp;D11,'Database-Hidden'!$C$2:$E$120,3,FALSE),""),VLOOKUP(RIGHT($D11,LEN($D11)-6),'Star Players-Hidden'!$A$3:$AJ$87,32,FALSE))</f>
        <v>40000</v>
      </c>
      <c r="AE11" s="138"/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  <c r="AX11" s="132"/>
    </row>
    <row r="12" spans="1:50" ht="12.75">
      <c r="A12" s="2"/>
      <c r="B12" s="70">
        <v>9</v>
      </c>
      <c r="C12" s="71" t="s">
        <v>433</v>
      </c>
      <c r="D12" s="72" t="s">
        <v>334</v>
      </c>
      <c r="E12" s="73">
        <f>IF(LEFT($D12,6)&lt;&gt;"Star: ",IFERROR(VLOOKUP($I$22&amp;$D12,'Database-Hidden'!$C$2:$J$120,4,FALSE)-P12+AG12,""),VLOOKUP(RIGHT($D12,LEN($D12)-6),'Star Players-Hidden'!$A$3:$AK$87,33,FALSE))</f>
        <v>6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7</v>
      </c>
      <c r="I12" s="76">
        <f>IF(LEFT($D12,6)&lt;&gt;"Star: ",IFERROR(VLOOKUP($I$22&amp;$D12,'Database-Hidden'!$C$2:$J$120,8,FALSE),""),VLOOKUP(RIGHT($D12,LEN($D12)-6),'Star Players-Hidden'!$A$3:$AK$87,31,FALSE))</f>
        <v>0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40000</v>
      </c>
      <c r="AC12" s="4"/>
      <c r="AD12" s="116">
        <f>IF(LEFT($D12,6)&lt;&gt;"Star: ",IFERROR(VLOOKUP($I$22&amp;D12,'Database-Hidden'!$C$2:$E$120,3,FALSE),""),VLOOKUP(RIGHT($D12,LEN($D12)-6),'Star Players-Hidden'!$A$3:$AJ$87,32,FALSE))</f>
        <v>40000</v>
      </c>
      <c r="AE12" s="138"/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71" t="s">
        <v>437</v>
      </c>
      <c r="D13" s="72" t="s">
        <v>334</v>
      </c>
      <c r="E13" s="73">
        <f>IF(LEFT($D13,6)&lt;&gt;"Star: ",IFERROR(VLOOKUP($I$22&amp;$D13,'Database-Hidden'!$C$2:$J$120,4,FALSE)-P13+AG13,""),VLOOKUP(RIGHT($D13,LEN($D13)-6),'Star Players-Hidden'!$A$3:$AK$87,33,FALSE))</f>
        <v>6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3</v>
      </c>
      <c r="H13" s="75">
        <f>IF(LEFT($D13,6)&lt;&gt;"Star: ",IFERROR(VLOOKUP($I$22&amp;$D13,'Database-Hidden'!$C$2:$J$120,7,FALSE)-S13+AJ13,""),VLOOKUP(RIGHT($D13,LEN($D13)-6),'Star Players-Hidden'!$A$3:$AK$87,36,FALSE))</f>
        <v>7</v>
      </c>
      <c r="I13" s="76">
        <f>IF(LEFT($D13,6)&lt;&gt;"Star: ",IFERROR(VLOOKUP($I$22&amp;$D13,'Database-Hidden'!$C$2:$J$120,8,FALSE),""),VLOOKUP(RIGHT($D13,LEN($D13)-6),'Star Players-Hidden'!$A$3:$AK$87,31,FALSE))</f>
        <v>0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40000</v>
      </c>
      <c r="AC13" s="4"/>
      <c r="AD13" s="116">
        <f>IF(LEFT($D13,6)&lt;&gt;"Star: ",IFERROR(VLOOKUP($I$22&amp;D13,'Database-Hidden'!$C$2:$E$120,3,FALSE),""),VLOOKUP(RIGHT($D13,LEN($D13)-6),'Star Players-Hidden'!$A$3:$AJ$87,32,FALSE))</f>
        <v>40000</v>
      </c>
      <c r="AE13" s="138"/>
      <c r="AF13" s="92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71" t="s">
        <v>428</v>
      </c>
      <c r="D14" s="72" t="s">
        <v>334</v>
      </c>
      <c r="E14" s="73">
        <f>IF(LEFT($D14,6)&lt;&gt;"Star: ",IFERROR(VLOOKUP($I$22&amp;$D14,'Database-Hidden'!$C$2:$J$120,4,FALSE)-P14+AG14,""),VLOOKUP(RIGHT($D14,LEN($D14)-6),'Star Players-Hidden'!$A$3:$AK$87,33,FALSE))</f>
        <v>6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7</v>
      </c>
      <c r="I14" s="76">
        <f>IF(LEFT($D14,6)&lt;&gt;"Star: ",IFERROR(VLOOKUP($I$22&amp;$D14,'Database-Hidden'!$C$2:$J$120,8,FALSE),""),VLOOKUP(RIGHT($D14,LEN($D14)-6),'Star Players-Hidden'!$A$3:$AK$87,31,FALSE))</f>
        <v>0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40000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40000</v>
      </c>
      <c r="AE14" s="91"/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 t="s">
        <v>420</v>
      </c>
      <c r="D15" s="72" t="s">
        <v>334</v>
      </c>
      <c r="E15" s="73">
        <f>IF(LEFT($D15,6)&lt;&gt;"Star: ",IFERROR(VLOOKUP($I$22&amp;$D15,'Database-Hidden'!$C$2:$J$120,4,FALSE)-P15+AG15,""),VLOOKUP(RIGHT($D15,LEN($D15)-6),'Star Players-Hidden'!$A$3:$AK$87,33,FALSE))</f>
        <v>6</v>
      </c>
      <c r="F15" s="73">
        <f>IF(LEFT($D15,6)&lt;&gt;"Star: ",IFERROR(VLOOKUP($I$22&amp;$D15,'Database-Hidden'!$C$2:$J$120,5,FALSE)-Q15+AH15,""),VLOOKUP(RIGHT($D15,LEN($D15)-6),'Star Players-Hidden'!$A$3:$AK$87,34,FALSE))</f>
        <v>3</v>
      </c>
      <c r="G15" s="73">
        <f>IF(LEFT($D15,6)&lt;&gt;"Star: ",IFERROR(VLOOKUP($I$22&amp;$D15,'Database-Hidden'!$C$2:$J$120,6,FALSE)-R15+AI15,""),VLOOKUP(RIGHT($D15,LEN($D15)-6),'Star Players-Hidden'!$A$3:$AK$87,35,FALSE))</f>
        <v>3</v>
      </c>
      <c r="H15" s="75">
        <f>IF(LEFT($D15,6)&lt;&gt;"Star: ",IFERROR(VLOOKUP($I$22&amp;$D15,'Database-Hidden'!$C$2:$J$120,7,FALSE)-S15+AJ15,""),VLOOKUP(RIGHT($D15,LEN($D15)-6),'Star Players-Hidden'!$A$3:$AK$87,36,FALSE))</f>
        <v>7</v>
      </c>
      <c r="I15" s="76">
        <f>IF(LEFT($D15,6)&lt;&gt;"Star: ",IFERROR(VLOOKUP($I$22&amp;$D15,'Database-Hidden'!$C$2:$J$120,8,FALSE),""),VLOOKUP(RIGHT($D15,LEN($D15)-6),'Star Players-Hidden'!$A$3:$AK$87,31,FALSE))</f>
        <v>0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>
        <f t="shared" si="2"/>
        <v>40000</v>
      </c>
      <c r="AC15" s="4"/>
      <c r="AD15" s="116">
        <f>IF(LEFT($D15,6)&lt;&gt;"Star: ",IFERROR(VLOOKUP($I$22&amp;D15,'Database-Hidden'!$C$2:$E$120,3,FALSE),""),VLOOKUP(RIGHT($D15,LEN($D15)-6),'Star Players-Hidden'!$A$3:$AJ$87,32,FALSE))</f>
        <v>40000</v>
      </c>
      <c r="AE15" s="91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/>
      <c r="D16" s="72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6" t="str">
        <f>IF(LEFT($D16,6)&lt;&gt;"Star: ",IFERROR(VLOOKUP($I$22&amp;D16,'Database-Hidden'!$C$2:$E$120,3,FALSE),""),VLOOKUP(RIGHT($D16,LEN($D16)-6),'Star Players-Hidden'!$A$3:$AJ$87,32,FALSE))</f>
        <v/>
      </c>
      <c r="AE16" s="91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71"/>
      <c r="D17" s="72"/>
      <c r="E17" s="73" t="str">
        <f>IF(LEFT($D17,6)&lt;&gt;"Star: ",IFERROR(VLOOKUP($I$22&amp;$D17,'Database-Hidden'!$C$2:$J$120,4,FALSE)-P17+AG17,""),VLOOKUP(RIGHT($D17,LEN($D17)-6),'Star Players-Hidden'!$A$3:$AK$87,33,FALSE))</f>
        <v/>
      </c>
      <c r="F17" s="73" t="str">
        <f>IF(LEFT($D17,6)&lt;&gt;"Star: ",IFERROR(VLOOKUP($I$22&amp;$D17,'Database-Hidden'!$C$2:$J$120,5,FALSE)-Q17+AH17,""),VLOOKUP(RIGHT($D17,LEN($D17)-6),'Star Players-Hidden'!$A$3:$AK$87,34,FALSE))</f>
        <v/>
      </c>
      <c r="G17" s="73" t="str">
        <f>IF(LEFT($D17,6)&lt;&gt;"Star: ",IFERROR(VLOOKUP($I$22&amp;$D17,'Database-Hidden'!$C$2:$J$120,6,FALSE)-R17+AI17,""),VLOOKUP(RIGHT($D17,LEN($D17)-6),'Star Players-Hidden'!$A$3:$AK$87,35,FALSE))</f>
        <v/>
      </c>
      <c r="H17" s="75" t="str">
        <f>IF(LEFT($D17,6)&lt;&gt;"Star: ",IFERROR(VLOOKUP($I$22&amp;$D17,'Database-Hidden'!$C$2:$J$120,7,FALSE)-S17+AJ17,""),VLOOKUP(RIGHT($D17,LEN($D17)-6),'Star Players-Hidden'!$A$3:$AK$87,36,FALSE))</f>
        <v/>
      </c>
      <c r="I17" s="76" t="str">
        <f>IF(LEFT($D17,6)&lt;&gt;"Star: ",IFERROR(VLOOKUP($I$22&amp;$D17,'Database-Hidden'!$C$2:$J$120,8,FALSE),""),VLOOKUP(RIGHT($D17,LEN($D17)-6),'Star Players-Hidden'!$A$3:$AK$87,31,FALSE))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IF(LEFT($D17,6)&lt;&gt;"Star: ",IFERROR(VLOOKUP($I$22&amp;D17,'Database-Hidden'!$C$2:$E$120,3,FALSE),""),VLOOKUP(RIGHT($D17,LEN($D17)-6),'Star Players-Hidden'!$A$3:$AJ$87,32,FALSE))</f>
        <v/>
      </c>
      <c r="AE17" s="91"/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90000</v>
      </c>
      <c r="AP18" s="4"/>
      <c r="AQ18" s="4"/>
      <c r="AR18" s="67"/>
      <c r="AS18" s="148" t="s">
        <v>42</v>
      </c>
      <c r="AT18" s="150">
        <f t="shared" ref="AT18:AU18" si="3">SUM(AT6:AT17)</f>
        <v>0</v>
      </c>
      <c r="AU18" s="151">
        <f t="shared" si="3"/>
        <v>0</v>
      </c>
      <c r="AV18" s="152">
        <f>AV4+SUM(AV6:AV17)</f>
        <v>0</v>
      </c>
      <c r="AW18" s="5"/>
      <c r="AX18" s="5"/>
    </row>
    <row r="19" spans="1:50" ht="12.75">
      <c r="A19" s="2"/>
      <c r="B19" s="153">
        <v>16</v>
      </c>
      <c r="C19" s="154"/>
      <c r="D19" s="155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690000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50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4</v>
      </c>
      <c r="U21" s="183" t="s">
        <v>47</v>
      </c>
      <c r="V21" s="527">
        <f>IFERROR(VLOOKUP(I22,'Database-Hidden'!N2:O28,2,FALSE),"")</f>
        <v>70000</v>
      </c>
      <c r="W21" s="525"/>
      <c r="X21" s="525"/>
      <c r="Y21" s="525"/>
      <c r="Z21" s="525"/>
      <c r="AA21" s="528"/>
      <c r="AB21" s="184">
        <f t="shared" ref="AB21:AB25" si="4">T21*V21</f>
        <v>280000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320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0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90000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443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10000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970000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90000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/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280000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100000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113</v>
      </c>
      <c r="D28" s="209" t="str">
        <f t="shared" ref="D28:D37" si="5">I28&amp;IF(COUNTIF(D$4:D$19,I28)&gt;E28," (Too Many)","")</f>
        <v>Thrall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Thrall</v>
      </c>
      <c r="AV28" s="179"/>
    </row>
    <row r="29" spans="1:50" ht="17.25" hidden="1" customHeight="1">
      <c r="C29" s="209">
        <f t="shared" ref="C29:C37" si="6">C28+1</f>
        <v>114</v>
      </c>
      <c r="D29" s="209" t="str">
        <f t="shared" si="5"/>
        <v>Vampire</v>
      </c>
      <c r="E29" s="210">
        <f t="array" ref="E29">IFERROR(IF(INDEX('Database-Hidden'!$A$2:$B$120,$C29,1)=$I$22,INDEX('Database-Hidden'!$A$2:$D$120,$C29,4),""),"")</f>
        <v>6</v>
      </c>
      <c r="I29" s="209" t="str">
        <f t="array" ref="I29">IFERROR(IF(INDEX('Database-Hidden'!$A$2:$B$120,$C29,1)=$I$22,INDEX('Database-Hidden'!$A$2:$B$120,$C29,2),""),"")</f>
        <v>Vampire</v>
      </c>
      <c r="AV29" s="179"/>
    </row>
    <row r="30" spans="1:50" ht="17.25" hidden="1" customHeight="1">
      <c r="C30" s="209">
        <f t="shared" si="6"/>
        <v>115</v>
      </c>
      <c r="D30" s="209" t="str">
        <f t="shared" si="5"/>
        <v/>
      </c>
      <c r="E30" s="210" t="str">
        <f t="array" ref="E30">IFERROR(IF(INDEX('Database-Hidden'!$A$2:$B$120,$C30,1)=$I$22,INDEX('Database-Hidden'!$A$2:$D$120,$C30,4),""),"")</f>
        <v/>
      </c>
      <c r="I30" s="209" t="str">
        <f t="array" ref="I30">IFERROR(IF(INDEX('Database-Hidden'!$A$2:$B$120,$C30,1)=$I$22,INDEX('Database-Hidden'!$A$2:$B$120,$C30,2),""),"")</f>
        <v/>
      </c>
      <c r="AV30" s="179"/>
    </row>
    <row r="31" spans="1:50" ht="17.25" hidden="1" customHeight="1">
      <c r="C31" s="209">
        <f t="shared" si="6"/>
        <v>116</v>
      </c>
      <c r="D31" s="209" t="str">
        <f t="shared" si="5"/>
        <v/>
      </c>
      <c r="E31" s="210" t="str">
        <f t="array" ref="E31">IFERROR(IF(INDEX('Database-Hidden'!$A$2:$B$120,$C31,1)=$I$22,INDEX('Database-Hidden'!$A$2:$D$120,$C31,4),""),"")</f>
        <v/>
      </c>
      <c r="I31" s="209" t="str">
        <f t="array" ref="I31">IFERROR(IF(INDEX('Database-Hidden'!$A$2:$B$120,$C31,1)=$I$22,INDEX('Database-Hidden'!$A$2:$B$120,$C31,2),""),"")</f>
        <v/>
      </c>
      <c r="AV31" s="179"/>
    </row>
    <row r="32" spans="1:50" ht="17.25" hidden="1" customHeight="1">
      <c r="C32" s="209">
        <f t="shared" si="6"/>
        <v>117</v>
      </c>
      <c r="D32" s="209" t="str">
        <f t="shared" si="5"/>
        <v/>
      </c>
      <c r="E32" s="210" t="str">
        <f t="array" ref="E32">IFERROR(IF(INDEX('Database-Hidden'!$A$2:$B$120,$C32,1)=$I$22,INDEX('Database-Hidden'!$A$2:$D$120,$C32,4),""),"")</f>
        <v/>
      </c>
      <c r="I32" s="209" t="str">
        <f t="array" ref="I32">IFERROR(IF(INDEX('Database-Hidden'!$A$2:$B$120,$C32,1)=$I$22,INDEX('Database-Hidden'!$A$2:$B$120,$C32,2),""),"")</f>
        <v/>
      </c>
      <c r="AV32" s="179"/>
    </row>
    <row r="33" spans="3:48" ht="17.25" hidden="1" customHeight="1">
      <c r="C33" s="209">
        <f t="shared" si="6"/>
        <v>118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119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120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121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122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26</v>
      </c>
      <c r="D38" s="211" t="str">
        <f t="shared" ref="D38:D49" ca="1" si="7">I38&amp;IF(COUNTIF(D$4:D$19,I38)&gt;1," (Too Many)","")</f>
        <v>Star: Count Luther Von Drakenborg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Count Luther Von Drakenborg")</f>
        <v>Star: Count Luther Von Drakenborg</v>
      </c>
      <c r="AV38" s="179"/>
    </row>
    <row r="39" spans="3:48" ht="17.25" hidden="1" customHeight="1">
      <c r="C39" s="209"/>
      <c r="D39" s="209" t="str">
        <f t="shared" si="7"/>
        <v>Star: Crazy Igor</v>
      </c>
      <c r="I39" s="213" t="s">
        <v>363</v>
      </c>
      <c r="AV39" s="179"/>
    </row>
    <row r="40" spans="3:48" ht="17.25" hidden="1" customHeight="1">
      <c r="C40" s="209"/>
      <c r="D40" s="209" t="str">
        <f t="shared" si="7"/>
        <v>Star: Helmut Wulf</v>
      </c>
      <c r="I40" s="209" t="s">
        <v>232</v>
      </c>
      <c r="AV40" s="179"/>
    </row>
    <row r="41" spans="3:48" ht="17.25" hidden="1" customHeight="1">
      <c r="C41" s="209"/>
      <c r="D41" s="209" t="str">
        <f t="shared" si="7"/>
        <v>Star: J Earlice</v>
      </c>
      <c r="I41" s="209" t="s">
        <v>137</v>
      </c>
      <c r="AV41" s="179"/>
    </row>
    <row r="42" spans="3:48" ht="17.25" hidden="1" customHeight="1">
      <c r="C42" s="209"/>
      <c r="D42" s="209" t="str">
        <f t="shared" si="7"/>
        <v>Star: Morg'n'Thorg</v>
      </c>
      <c r="I42" s="209" t="s">
        <v>144</v>
      </c>
      <c r="AV42" s="179"/>
    </row>
    <row r="43" spans="3:48" ht="17.25" hidden="1" customHeight="1">
      <c r="C43" s="209"/>
      <c r="D43" s="209" t="str">
        <f t="shared" si="7"/>
        <v>Star: Wilhelm Chaney</v>
      </c>
      <c r="I43" s="209" t="s">
        <v>234</v>
      </c>
      <c r="AV43" s="179"/>
    </row>
    <row r="44" spans="3:48" ht="17.25" hidden="1" customHeight="1">
      <c r="C44" s="209"/>
      <c r="D44" s="209" t="str">
        <f t="shared" si="7"/>
        <v/>
      </c>
      <c r="I44" s="209"/>
      <c r="AV44" s="179"/>
    </row>
    <row r="45" spans="3:48" ht="17.25" hidden="1" customHeight="1">
      <c r="C45" s="209"/>
      <c r="D45" s="209" t="str">
        <f t="shared" si="7"/>
        <v/>
      </c>
      <c r="I45" s="209"/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L21:S21"/>
    <mergeCell ref="AN3:AQ3"/>
    <mergeCell ref="AR3:AV3"/>
    <mergeCell ref="P2:S2"/>
    <mergeCell ref="V21:AA21"/>
    <mergeCell ref="AN21:AO21"/>
    <mergeCell ref="I23:K23"/>
    <mergeCell ref="L22:S22"/>
    <mergeCell ref="I22:K22"/>
    <mergeCell ref="L23:S23"/>
    <mergeCell ref="E22:H22"/>
    <mergeCell ref="E21:H21"/>
    <mergeCell ref="B20:D26"/>
    <mergeCell ref="E23:H23"/>
    <mergeCell ref="E24:H24"/>
    <mergeCell ref="E20:AA20"/>
    <mergeCell ref="I21:K21"/>
    <mergeCell ref="E26:AA26"/>
    <mergeCell ref="V22:AA22"/>
    <mergeCell ref="L24:S24"/>
    <mergeCell ref="I24:K24"/>
    <mergeCell ref="E25:H25"/>
    <mergeCell ref="L25:S25"/>
    <mergeCell ref="I25:K25"/>
    <mergeCell ref="V23:AA23"/>
    <mergeCell ref="V25:AA25"/>
    <mergeCell ref="V24:AA24"/>
  </mergeCells>
  <conditionalFormatting sqref="J4">
    <cfRule type="expression" dxfId="348" priority="1">
      <formula>K4&lt;&gt;SUM(AE4:AJ4)</formula>
    </cfRule>
  </conditionalFormatting>
  <conditionalFormatting sqref="K4:K19">
    <cfRule type="cellIs" dxfId="347" priority="2" operator="equal">
      <formula>0</formula>
    </cfRule>
  </conditionalFormatting>
  <conditionalFormatting sqref="AB4:AB19">
    <cfRule type="cellIs" dxfId="346" priority="3" operator="equal">
      <formula>0</formula>
    </cfRule>
  </conditionalFormatting>
  <conditionalFormatting sqref="E4:I19">
    <cfRule type="expression" dxfId="345" priority="4">
      <formula>AG4&gt;0</formula>
    </cfRule>
  </conditionalFormatting>
  <conditionalFormatting sqref="E4:I19">
    <cfRule type="expression" dxfId="344" priority="5">
      <formula>P4&gt;0</formula>
    </cfRule>
  </conditionalFormatting>
  <conditionalFormatting sqref="T4:T19 U4:U19 V4:W19 Z4:Z19 U27">
    <cfRule type="cellIs" dxfId="343" priority="6" stopIfTrue="1" operator="equal">
      <formula>0</formula>
    </cfRule>
  </conditionalFormatting>
  <conditionalFormatting sqref="K4:K19">
    <cfRule type="cellIs" dxfId="342" priority="7" stopIfTrue="1" operator="equal">
      <formula>"n/a"</formula>
    </cfRule>
  </conditionalFormatting>
  <conditionalFormatting sqref="P4:S19">
    <cfRule type="cellIs" dxfId="341" priority="8" stopIfTrue="1" operator="lessThanOrEqual">
      <formula>-1</formula>
    </cfRule>
  </conditionalFormatting>
  <conditionalFormatting sqref="V25:W25">
    <cfRule type="cellIs" dxfId="340" priority="9" stopIfTrue="1" operator="equal">
      <formula>-500</formula>
    </cfRule>
  </conditionalFormatting>
  <conditionalFormatting sqref="T25">
    <cfRule type="cellIs" dxfId="339" priority="10" stopIfTrue="1" operator="greaterThan">
      <formula>$V$25</formula>
    </cfRule>
  </conditionalFormatting>
  <conditionalFormatting sqref="AA4:AA19">
    <cfRule type="cellIs" dxfId="338" priority="11" stopIfTrue="1" operator="equal">
      <formula>"Star"</formula>
    </cfRule>
  </conditionalFormatting>
  <conditionalFormatting sqref="AA4:AA19">
    <cfRule type="cellIs" dxfId="337" priority="12" stopIfTrue="1" operator="equal">
      <formula>AB4</formula>
    </cfRule>
  </conditionalFormatting>
  <conditionalFormatting sqref="I4:I19">
    <cfRule type="cellIs" dxfId="336" priority="13" stopIfTrue="1" operator="equal">
      <formula>0</formula>
    </cfRule>
  </conditionalFormatting>
  <conditionalFormatting sqref="I4:I19">
    <cfRule type="cellIs" dxfId="335" priority="14" stopIfTrue="1" operator="equal">
      <formula>"Player type quantity surpassed"</formula>
    </cfRule>
  </conditionalFormatting>
  <conditionalFormatting sqref="J5">
    <cfRule type="expression" dxfId="334" priority="15">
      <formula>K5&lt;&gt;SUM(AE5:AJ5)</formula>
    </cfRule>
  </conditionalFormatting>
  <conditionalFormatting sqref="J6">
    <cfRule type="expression" dxfId="333" priority="16">
      <formula>K6&lt;&gt;SUM(AE6:AJ6)</formula>
    </cfRule>
  </conditionalFormatting>
  <conditionalFormatting sqref="J7">
    <cfRule type="expression" dxfId="332" priority="17">
      <formula>K7&lt;&gt;SUM(AE7:AJ7)</formula>
    </cfRule>
  </conditionalFormatting>
  <conditionalFormatting sqref="J8">
    <cfRule type="expression" dxfId="331" priority="18">
      <formula>K8&lt;&gt;SUM(AE8:AJ8)</formula>
    </cfRule>
  </conditionalFormatting>
  <conditionalFormatting sqref="J9">
    <cfRule type="expression" dxfId="330" priority="19">
      <formula>K9&lt;&gt;SUM(AE9:AJ9)</formula>
    </cfRule>
  </conditionalFormatting>
  <conditionalFormatting sqref="J10">
    <cfRule type="expression" dxfId="329" priority="20">
      <formula>K10&lt;&gt;SUM(AE10:AJ10)</formula>
    </cfRule>
  </conditionalFormatting>
  <conditionalFormatting sqref="J11">
    <cfRule type="expression" dxfId="328" priority="21">
      <formula>K11&lt;&gt;SUM(AE11:AJ11)</formula>
    </cfRule>
  </conditionalFormatting>
  <conditionalFormatting sqref="J12">
    <cfRule type="expression" dxfId="327" priority="22">
      <formula>K12&lt;&gt;SUM(AE12:AJ12)</formula>
    </cfRule>
  </conditionalFormatting>
  <conditionalFormatting sqref="J13">
    <cfRule type="expression" dxfId="326" priority="23">
      <formula>K13&lt;&gt;SUM(AE13:AJ13)</formula>
    </cfRule>
  </conditionalFormatting>
  <conditionalFormatting sqref="J14">
    <cfRule type="expression" dxfId="325" priority="24">
      <formula>K14&lt;&gt;SUM(AE14:AJ14)</formula>
    </cfRule>
  </conditionalFormatting>
  <conditionalFormatting sqref="J15">
    <cfRule type="expression" dxfId="324" priority="25">
      <formula>K15&lt;&gt;SUM(AE15:AJ15)</formula>
    </cfRule>
  </conditionalFormatting>
  <conditionalFormatting sqref="J16">
    <cfRule type="expression" dxfId="323" priority="26">
      <formula>K16&lt;&gt;SUM(AE16:AJ16)</formula>
    </cfRule>
  </conditionalFormatting>
  <conditionalFormatting sqref="J17">
    <cfRule type="expression" dxfId="322" priority="27">
      <formula>K17&lt;&gt;SUM(AE17:AJ17)</formula>
    </cfRule>
  </conditionalFormatting>
  <conditionalFormatting sqref="J18">
    <cfRule type="expression" dxfId="321" priority="28">
      <formula>K18&lt;&gt;SUM(AE18:AJ18)</formula>
    </cfRule>
  </conditionalFormatting>
  <conditionalFormatting sqref="J19">
    <cfRule type="expression" dxfId="320" priority="29">
      <formula>K19&lt;&gt;SUM(AE19:AJ19)</formula>
    </cfRule>
  </conditionalFormatting>
  <dataValidations count="2">
    <dataValidation type="list" allowBlank="1" showErrorMessage="1" sqref="D4:D19">
      <formula1>'MQ2'!$D$28:$D$49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 t="s">
        <v>416</v>
      </c>
      <c r="D4" s="42" t="s">
        <v>101</v>
      </c>
      <c r="E4" s="73">
        <f>IF(LEFT($D4,6)&lt;&gt;"Star: ",IFERROR(VLOOKUP($I$22&amp;$D4,'Database-Hidden'!$C$2:$J$120,4,FALSE)-P4+AG4,""),VLOOKUP(RIGHT($D4,LEN($D4)-6),'Star Players-Hidden'!$A$3:$AK$87,33,FALSE))</f>
        <v>7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3</v>
      </c>
      <c r="H4" s="75">
        <f>IF(LEFT($D4,6)&lt;&gt;"Star: ",IFERROR(VLOOKUP($I$22&amp;$D4,'Database-Hidden'!$C$2:$J$120,7,FALSE)-S4+AJ4,""),VLOOKUP(RIGHT($D4,LEN($D4)-6),'Star Players-Hidden'!$A$3:$AK$87,36,FALSE))</f>
        <v>8</v>
      </c>
      <c r="I4" s="76" t="str">
        <f>IF(LEFT($D4,6)&lt;&gt;"Star: ",IFERROR(VLOOKUP($I$22&amp;$D4,'Database-Hidden'!$C$2:$J$120,8,FALSE),""),VLOOKUP(RIGHT($D4,LEN($D4)-6),'Star Players-Hidden'!$A$3:$AK$87,31,FALSE))</f>
        <v>Block</v>
      </c>
      <c r="J4" s="47" t="s">
        <v>252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>
        <v>1</v>
      </c>
      <c r="V4" s="55"/>
      <c r="W4" s="55"/>
      <c r="X4" s="52"/>
      <c r="Y4" s="52"/>
      <c r="Z4" s="56">
        <v>1</v>
      </c>
      <c r="AA4" s="57">
        <f t="shared" ref="AA4:AA19" si="1">2*T4+U4+3*V4+2*W4+5*Z4</f>
        <v>6</v>
      </c>
      <c r="AB4" s="58">
        <f t="shared" ref="AB4:AB16" si="2">IF(L4=1,0,AD4+(20000*O4)+(20000*AE4)+(30000*AF4)+(30000*AG4)+(50000*AH4)+(40000*AI4)+(50000*AJ4)+AK4)</f>
        <v>110000</v>
      </c>
      <c r="AC4" s="4"/>
      <c r="AD4" s="116">
        <f>IF(LEFT($D4,6)&lt;&gt;"Star: ",IFERROR(VLOOKUP($I$22&amp;D4,'Database-Hidden'!$C$2:$E$120,3,FALSE),""),VLOOKUP(RIGHT($D4,LEN($D4)-6),'Star Players-Hidden'!$A$3:$AJ$87,32,FALSE))</f>
        <v>90000</v>
      </c>
      <c r="AE4" s="60">
        <v>1</v>
      </c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30000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  <c r="AX4" s="69"/>
    </row>
    <row r="5" spans="1:50" ht="12.75">
      <c r="A5" s="2"/>
      <c r="B5" s="70">
        <v>2</v>
      </c>
      <c r="C5" s="71" t="s">
        <v>421</v>
      </c>
      <c r="D5" s="72" t="s">
        <v>101</v>
      </c>
      <c r="E5" s="73">
        <f>IF(LEFT($D5,6)&lt;&gt;"Star: ",IFERROR(VLOOKUP($I$22&amp;$D5,'Database-Hidden'!$C$2:$J$120,4,FALSE)-P5+AG5,""),VLOOKUP(RIGHT($D5,LEN($D5)-6),'Star Players-Hidden'!$A$3:$AK$87,33,FALSE))</f>
        <v>8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3</v>
      </c>
      <c r="H5" s="75">
        <f>IF(LEFT($D5,6)&lt;&gt;"Star: ",IFERROR(VLOOKUP($I$22&amp;$D5,'Database-Hidden'!$C$2:$J$120,7,FALSE)-S5+AJ5,""),VLOOKUP(RIGHT($D5,LEN($D5)-6),'Star Players-Hidden'!$A$3:$AK$87,36,FALSE))</f>
        <v>8</v>
      </c>
      <c r="I5" s="76" t="str">
        <f>IF(LEFT($D5,6)&lt;&gt;"Star: ",IFERROR(VLOOKUP($I$22&amp;$D5,'Database-Hidden'!$C$2:$J$120,8,FALSE),""),VLOOKUP(RIGHT($D5,LEN($D5)-6),'Star Players-Hidden'!$A$3:$AK$87,31,FALSE))</f>
        <v>Block</v>
      </c>
      <c r="J5" s="261" t="s">
        <v>423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>
        <v>1</v>
      </c>
      <c r="W5" s="87"/>
      <c r="X5" s="83"/>
      <c r="Y5" s="83"/>
      <c r="Z5" s="88">
        <v>1</v>
      </c>
      <c r="AA5" s="89">
        <f t="shared" si="1"/>
        <v>8</v>
      </c>
      <c r="AB5" s="58">
        <f t="shared" si="2"/>
        <v>120000</v>
      </c>
      <c r="AC5" s="4"/>
      <c r="AD5" s="116">
        <f>IF(LEFT($D5,6)&lt;&gt;"Star: ",IFERROR(VLOOKUP($I$22&amp;D5,'Database-Hidden'!$C$2:$E$120,3,FALSE),""),VLOOKUP(RIGHT($D5,LEN($D5)-6),'Star Players-Hidden'!$A$3:$AJ$87,32,FALSE))</f>
        <v>90000</v>
      </c>
      <c r="AE5" s="91"/>
      <c r="AF5" s="92"/>
      <c r="AG5" s="92">
        <v>1</v>
      </c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425</v>
      </c>
      <c r="D6" s="72" t="s">
        <v>101</v>
      </c>
      <c r="E6" s="73">
        <f>IF(LEFT($D6,6)&lt;&gt;"Star: ",IFERROR(VLOOKUP($I$22&amp;$D6,'Database-Hidden'!$C$2:$J$120,4,FALSE)-P6+AG6,""),VLOOKUP(RIGHT($D6,LEN($D6)-6),'Star Players-Hidden'!$A$3:$AK$87,33,FALSE))</f>
        <v>7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3</v>
      </c>
      <c r="H6" s="75">
        <f>IF(LEFT($D6,6)&lt;&gt;"Star: ",IFERROR(VLOOKUP($I$22&amp;$D6,'Database-Hidden'!$C$2:$J$120,7,FALSE)-S6+AJ6,""),VLOOKUP(RIGHT($D6,LEN($D6)-6),'Star Players-Hidden'!$A$3:$AK$87,36,FALSE))</f>
        <v>8</v>
      </c>
      <c r="I6" s="76" t="str">
        <f>IF(LEFT($D6,6)&lt;&gt;"Star: ",IFERROR(VLOOKUP($I$22&amp;$D6,'Database-Hidden'!$C$2:$J$120,8,FALSE),""),VLOOKUP(RIGHT($D6,LEN($D6)-6),'Star Players-Hidden'!$A$3:$AK$87,31,FALSE))</f>
        <v>Block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7">
        <v>1</v>
      </c>
      <c r="W6" s="87">
        <v>1</v>
      </c>
      <c r="X6" s="83"/>
      <c r="Y6" s="83"/>
      <c r="Z6" s="88"/>
      <c r="AA6" s="89">
        <f t="shared" si="1"/>
        <v>5</v>
      </c>
      <c r="AB6" s="58">
        <f t="shared" si="2"/>
        <v>90000</v>
      </c>
      <c r="AC6" s="4"/>
      <c r="AD6" s="116">
        <f>IF(LEFT($D6,6)&lt;&gt;"Star: ",IFERROR(VLOOKUP($I$22&amp;D6,'Database-Hidden'!$C$2:$E$120,3,FALSE),""),VLOOKUP(RIGHT($D6,LEN($D6)-6),'Star Players-Hidden'!$A$3:$AJ$87,32,FALSE))</f>
        <v>90000</v>
      </c>
      <c r="AE6" s="91"/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60000</v>
      </c>
      <c r="AP6" s="106">
        <v>50000</v>
      </c>
      <c r="AQ6" s="107"/>
      <c r="AR6" s="108" t="s">
        <v>18</v>
      </c>
      <c r="AS6" s="110" t="s">
        <v>84</v>
      </c>
      <c r="AT6" s="112">
        <v>2</v>
      </c>
      <c r="AU6" s="113">
        <v>3</v>
      </c>
      <c r="AV6" s="281">
        <v>1</v>
      </c>
      <c r="AW6" s="115"/>
      <c r="AX6" s="115"/>
    </row>
    <row r="7" spans="1:50" ht="12.75">
      <c r="A7" s="2"/>
      <c r="B7" s="70">
        <v>4</v>
      </c>
      <c r="C7" s="71" t="s">
        <v>429</v>
      </c>
      <c r="D7" s="72" t="s">
        <v>101</v>
      </c>
      <c r="E7" s="73">
        <f>IF(LEFT($D7,6)&lt;&gt;"Star: ",IFERROR(VLOOKUP($I$22&amp;$D7,'Database-Hidden'!$C$2:$J$120,4,FALSE)-P7+AG7,""),VLOOKUP(RIGHT($D7,LEN($D7)-6),'Star Players-Hidden'!$A$3:$AK$87,33,FALSE))</f>
        <v>7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8</v>
      </c>
      <c r="I7" s="76" t="str">
        <f>IF(LEFT($D7,6)&lt;&gt;"Star: ",IFERROR(VLOOKUP($I$22&amp;$D7,'Database-Hidden'!$C$2:$J$120,8,FALSE),""),VLOOKUP(RIGHT($D7,LEN($D7)-6),'Star Players-Hidden'!$A$3:$AK$87,31,FALSE))</f>
        <v>Block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7">
        <v>1</v>
      </c>
      <c r="W7" s="87">
        <v>1</v>
      </c>
      <c r="X7" s="83"/>
      <c r="Y7" s="83"/>
      <c r="Z7" s="88"/>
      <c r="AA7" s="89">
        <f t="shared" si="1"/>
        <v>5</v>
      </c>
      <c r="AB7" s="58">
        <f t="shared" si="2"/>
        <v>90000</v>
      </c>
      <c r="AC7" s="4"/>
      <c r="AD7" s="116">
        <f>IF(LEFT($D7,6)&lt;&gt;"Star: ",IFERROR(VLOOKUP($I$22&amp;D7,'Database-Hidden'!$C$2:$E$120,3,FALSE),""),VLOOKUP(RIGHT($D7,LEN($D7)-6),'Star Players-Hidden'!$A$3:$AJ$87,32,FALSE))</f>
        <v>90000</v>
      </c>
      <c r="AE7" s="91"/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50000</v>
      </c>
      <c r="AP7" s="121">
        <v>50000</v>
      </c>
      <c r="AQ7" s="122"/>
      <c r="AR7" s="134" t="s">
        <v>26</v>
      </c>
      <c r="AS7" s="126" t="s">
        <v>87</v>
      </c>
      <c r="AT7" s="128">
        <v>1</v>
      </c>
      <c r="AU7" s="130">
        <v>4</v>
      </c>
      <c r="AV7" s="135">
        <v>1</v>
      </c>
      <c r="AW7" s="132"/>
      <c r="AX7" s="132"/>
    </row>
    <row r="8" spans="1:50" ht="22.5">
      <c r="A8" s="2"/>
      <c r="B8" s="70">
        <v>5</v>
      </c>
      <c r="C8" s="71" t="s">
        <v>419</v>
      </c>
      <c r="D8" s="72" t="s">
        <v>361</v>
      </c>
      <c r="E8" s="73">
        <f>IF(LEFT($D8,6)&lt;&gt;"Star: ",IFERROR(VLOOKUP($I$22&amp;$D8,'Database-Hidden'!$C$2:$J$120,4,FALSE)-P8+AG8,""),VLOOKUP(RIGHT($D8,LEN($D8)-6),'Star Players-Hidden'!$A$3:$AK$87,33,FALSE))</f>
        <v>5</v>
      </c>
      <c r="F8" s="73">
        <f>IF(LEFT($D8,6)&lt;&gt;"Star: ",IFERROR(VLOOKUP($I$22&amp;$D8,'Database-Hidden'!$C$2:$J$120,5,FALSE)-Q8+AH8,""),VLOOKUP(RIGHT($D8,LEN($D8)-6),'Star Players-Hidden'!$A$3:$AK$87,34,FALSE))</f>
        <v>5</v>
      </c>
      <c r="G8" s="73">
        <f>IF(LEFT($D8,6)&lt;&gt;"Star: ",IFERROR(VLOOKUP($I$22&amp;$D8,'Database-Hidden'!$C$2:$J$120,6,FALSE)-R8+AI8,""),VLOOKUP(RIGHT($D8,LEN($D8)-6),'Star Players-Hidden'!$A$3:$AK$87,35,FALSE))</f>
        <v>2</v>
      </c>
      <c r="H8" s="75">
        <f>IF(LEFT($D8,6)&lt;&gt;"Star: ",IFERROR(VLOOKUP($I$22&amp;$D8,'Database-Hidden'!$C$2:$J$120,7,FALSE)-S8+AJ8,""),VLOOKUP(RIGHT($D8,LEN($D8)-6),'Star Players-Hidden'!$A$3:$AK$87,36,FALSE))</f>
        <v>9</v>
      </c>
      <c r="I8" s="76" t="str">
        <f>IF(LEFT($D8,6)&lt;&gt;"Star: ",IFERROR(VLOOKUP($I$22&amp;$D8,'Database-Hidden'!$C$2:$J$120,8,FALSE),""),VLOOKUP(RIGHT($D8,LEN($D8)-6),'Star Players-Hidden'!$A$3:$AK$87,31,FALSE))</f>
        <v>Loner, Bone-Head, Mighty Blow, Thick Skull, Throw Team-mate</v>
      </c>
      <c r="J8" s="77" t="s">
        <v>82</v>
      </c>
      <c r="K8" s="78">
        <f t="shared" si="0"/>
        <v>1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7">
        <v>4</v>
      </c>
      <c r="X8" s="83"/>
      <c r="Y8" s="83"/>
      <c r="Z8" s="88"/>
      <c r="AA8" s="89">
        <f t="shared" si="1"/>
        <v>8</v>
      </c>
      <c r="AB8" s="58">
        <f t="shared" si="2"/>
        <v>160000</v>
      </c>
      <c r="AC8" s="4"/>
      <c r="AD8" s="116">
        <f>IF(LEFT($D8,6)&lt;&gt;"Star: ",IFERROR(VLOOKUP($I$22&amp;D8,'Database-Hidden'!$C$2:$E$120,3,FALSE),""),VLOOKUP(RIGHT($D8,LEN($D8)-6),'Star Players-Hidden'!$A$3:$AJ$87,32,FALSE))</f>
        <v>140000</v>
      </c>
      <c r="AE8" s="91">
        <v>1</v>
      </c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40000</v>
      </c>
      <c r="AP8" s="121">
        <v>60000</v>
      </c>
      <c r="AQ8" s="122"/>
      <c r="AR8" s="134" t="s">
        <v>265</v>
      </c>
      <c r="AS8" s="126" t="s">
        <v>166</v>
      </c>
      <c r="AT8" s="128">
        <v>1</v>
      </c>
      <c r="AU8" s="130">
        <v>2</v>
      </c>
      <c r="AV8" s="135">
        <v>0</v>
      </c>
      <c r="AW8" s="132"/>
      <c r="AX8" s="132"/>
    </row>
    <row r="9" spans="1:50" ht="12.75">
      <c r="A9" s="2"/>
      <c r="B9" s="70">
        <v>6</v>
      </c>
      <c r="C9" s="71" t="s">
        <v>434</v>
      </c>
      <c r="D9" s="72" t="s">
        <v>108</v>
      </c>
      <c r="E9" s="73">
        <f>IF(LEFT($D9,6)&lt;&gt;"Star: ",IFERROR(VLOOKUP($I$22&amp;$D9,'Database-Hidden'!$C$2:$J$120,4,FALSE)-P9+AG9,""),VLOOKUP(RIGHT($D9,LEN($D9)-6),'Star Players-Hidden'!$A$3:$AK$87,33,FALSE))</f>
        <v>6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4</v>
      </c>
      <c r="H9" s="75">
        <f>IF(LEFT($D9,6)&lt;&gt;"Star: ",IFERROR(VLOOKUP($I$22&amp;$D9,'Database-Hidden'!$C$2:$J$120,7,FALSE)-S9+AJ9,""),VLOOKUP(RIGHT($D9,LEN($D9)-6),'Star Players-Hidden'!$A$3:$AK$87,36,FALSE))</f>
        <v>8</v>
      </c>
      <c r="I9" s="76" t="str">
        <f>IF(LEFT($D9,6)&lt;&gt;"Star: ",IFERROR(VLOOKUP($I$22&amp;$D9,'Database-Hidden'!$C$2:$J$120,8,FALSE),""),VLOOKUP(RIGHT($D9,LEN($D9)-6),'Star Players-Hidden'!$A$3:$AK$87,31,FALSE))</f>
        <v>Pass, Sure Hands</v>
      </c>
      <c r="J9" s="261" t="s">
        <v>436</v>
      </c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7">
        <v>1</v>
      </c>
      <c r="V9" s="86"/>
      <c r="W9" s="86"/>
      <c r="X9" s="83"/>
      <c r="Y9" s="83"/>
      <c r="Z9" s="88">
        <v>1</v>
      </c>
      <c r="AA9" s="89">
        <f t="shared" si="1"/>
        <v>6</v>
      </c>
      <c r="AB9" s="58">
        <f t="shared" si="2"/>
        <v>110000</v>
      </c>
      <c r="AC9" s="4"/>
      <c r="AD9" s="116">
        <f>IF(LEFT($D9,6)&lt;&gt;"Star: ",IFERROR(VLOOKUP($I$22&amp;D9,'Database-Hidden'!$C$2:$E$120,3,FALSE),""),VLOOKUP(RIGHT($D9,LEN($D9)-6),'Star Players-Hidden'!$A$3:$AJ$87,32,FALSE))</f>
        <v>70000</v>
      </c>
      <c r="AE9" s="91"/>
      <c r="AF9" s="92"/>
      <c r="AG9" s="103"/>
      <c r="AH9" s="103"/>
      <c r="AI9" s="92">
        <v>1</v>
      </c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  <c r="AX9" s="132"/>
    </row>
    <row r="10" spans="1:50" ht="12.75">
      <c r="A10" s="2"/>
      <c r="B10" s="70">
        <v>7</v>
      </c>
      <c r="C10" s="71" t="s">
        <v>438</v>
      </c>
      <c r="D10" s="72" t="s">
        <v>68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8</v>
      </c>
      <c r="I10" s="76">
        <f>IF(LEFT($D10,6)&lt;&gt;"Star: ",IFERROR(VLOOKUP($I$22&amp;$D10,'Database-Hidden'!$C$2:$J$120,8,FALSE),""),VLOOKUP(RIGHT($D10,LEN($D10)-6),'Star Players-Hidden'!$A$3:$AK$87,31,FALSE))</f>
        <v>0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>
        <v>1</v>
      </c>
      <c r="X10" s="83"/>
      <c r="Y10" s="83"/>
      <c r="Z10" s="88"/>
      <c r="AA10" s="89">
        <f t="shared" si="1"/>
        <v>2</v>
      </c>
      <c r="AB10" s="58">
        <f t="shared" si="2"/>
        <v>50000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50000</v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  <c r="AX10" s="132"/>
    </row>
    <row r="11" spans="1:50" ht="12.75">
      <c r="A11" s="2"/>
      <c r="B11" s="70">
        <v>8</v>
      </c>
      <c r="C11" s="71" t="s">
        <v>439</v>
      </c>
      <c r="D11" s="72" t="s">
        <v>68</v>
      </c>
      <c r="E11" s="73">
        <f>IF(LEFT($D11,6)&lt;&gt;"Star: ",IFERROR(VLOOKUP($I$22&amp;$D11,'Database-Hidden'!$C$2:$J$120,4,FALSE)-P11+AG11,""),VLOOKUP(RIGHT($D11,LEN($D11)-6),'Star Players-Hidden'!$A$3:$AK$87,33,FALSE))</f>
        <v>6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8</v>
      </c>
      <c r="I11" s="76">
        <f>IF(LEFT($D11,6)&lt;&gt;"Star: ",IFERROR(VLOOKUP($I$22&amp;$D11,'Database-Hidden'!$C$2:$J$120,8,FALSE),""),VLOOKUP(RIGHT($D11,LEN($D11)-6),'Star Players-Hidden'!$A$3:$AK$87,31,FALSE))</f>
        <v>0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50000</v>
      </c>
      <c r="AC11" s="4"/>
      <c r="AD11" s="116">
        <f>IF(LEFT($D11,6)&lt;&gt;"Star: ",IFERROR(VLOOKUP($I$22&amp;D11,'Database-Hidden'!$C$2:$E$120,3,FALSE),""),VLOOKUP(RIGHT($D11,LEN($D11)-6),'Star Players-Hidden'!$A$3:$AJ$87,32,FALSE))</f>
        <v>50000</v>
      </c>
      <c r="AE11" s="138"/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  <c r="AX11" s="132"/>
    </row>
    <row r="12" spans="1:50" ht="12.75">
      <c r="A12" s="2"/>
      <c r="B12" s="70">
        <v>9</v>
      </c>
      <c r="C12" s="71" t="s">
        <v>440</v>
      </c>
      <c r="D12" s="72" t="s">
        <v>68</v>
      </c>
      <c r="E12" s="73">
        <f>IF(LEFT($D12,6)&lt;&gt;"Star: ",IFERROR(VLOOKUP($I$22&amp;$D12,'Database-Hidden'!$C$2:$J$120,4,FALSE)-P12+AG12,""),VLOOKUP(RIGHT($D12,LEN($D12)-6),'Star Players-Hidden'!$A$3:$AK$87,33,FALSE))</f>
        <v>6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8</v>
      </c>
      <c r="I12" s="76">
        <f>IF(LEFT($D12,6)&lt;&gt;"Star: ",IFERROR(VLOOKUP($I$22&amp;$D12,'Database-Hidden'!$C$2:$J$120,8,FALSE),""),VLOOKUP(RIGHT($D12,LEN($D12)-6),'Star Players-Hidden'!$A$3:$AK$87,31,FALSE))</f>
        <v>0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50000</v>
      </c>
      <c r="AC12" s="4"/>
      <c r="AD12" s="116">
        <f>IF(LEFT($D12,6)&lt;&gt;"Star: ",IFERROR(VLOOKUP($I$22&amp;D12,'Database-Hidden'!$C$2:$E$120,3,FALSE),""),VLOOKUP(RIGHT($D12,LEN($D12)-6),'Star Players-Hidden'!$A$3:$AJ$87,32,FALSE))</f>
        <v>50000</v>
      </c>
      <c r="AE12" s="138"/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71" t="s">
        <v>441</v>
      </c>
      <c r="D13" s="72" t="s">
        <v>68</v>
      </c>
      <c r="E13" s="73">
        <f>IF(LEFT($D13,6)&lt;&gt;"Star: ",IFERROR(VLOOKUP($I$22&amp;$D13,'Database-Hidden'!$C$2:$J$120,4,FALSE)-P13+AG13,""),VLOOKUP(RIGHT($D13,LEN($D13)-6),'Star Players-Hidden'!$A$3:$AK$87,33,FALSE))</f>
        <v>6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3</v>
      </c>
      <c r="H13" s="75">
        <f>IF(LEFT($D13,6)&lt;&gt;"Star: ",IFERROR(VLOOKUP($I$22&amp;$D13,'Database-Hidden'!$C$2:$J$120,7,FALSE)-S13+AJ13,""),VLOOKUP(RIGHT($D13,LEN($D13)-6),'Star Players-Hidden'!$A$3:$AK$87,36,FALSE))</f>
        <v>8</v>
      </c>
      <c r="I13" s="76">
        <f>IF(LEFT($D13,6)&lt;&gt;"Star: ",IFERROR(VLOOKUP($I$22&amp;$D13,'Database-Hidden'!$C$2:$J$120,8,FALSE),""),VLOOKUP(RIGHT($D13,LEN($D13)-6),'Star Players-Hidden'!$A$3:$AK$87,31,FALSE))</f>
        <v>0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50000</v>
      </c>
      <c r="AC13" s="4"/>
      <c r="AD13" s="116">
        <f>IF(LEFT($D13,6)&lt;&gt;"Star: ",IFERROR(VLOOKUP($I$22&amp;D13,'Database-Hidden'!$C$2:$E$120,3,FALSE),""),VLOOKUP(RIGHT($D13,LEN($D13)-6),'Star Players-Hidden'!$A$3:$AJ$87,32,FALSE))</f>
        <v>50000</v>
      </c>
      <c r="AE13" s="138"/>
      <c r="AF13" s="92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71" t="s">
        <v>442</v>
      </c>
      <c r="D14" s="72" t="s">
        <v>68</v>
      </c>
      <c r="E14" s="73">
        <f>IF(LEFT($D14,6)&lt;&gt;"Star: ",IFERROR(VLOOKUP($I$22&amp;$D14,'Database-Hidden'!$C$2:$J$120,4,FALSE)-P14+AG14,""),VLOOKUP(RIGHT($D14,LEN($D14)-6),'Star Players-Hidden'!$A$3:$AK$87,33,FALSE))</f>
        <v>6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8</v>
      </c>
      <c r="I14" s="76">
        <f>IF(LEFT($D14,6)&lt;&gt;"Star: ",IFERROR(VLOOKUP($I$22&amp;$D14,'Database-Hidden'!$C$2:$J$120,8,FALSE),""),VLOOKUP(RIGHT($D14,LEN($D14)-6),'Star Players-Hidden'!$A$3:$AK$87,31,FALSE))</f>
        <v>0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50000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50000</v>
      </c>
      <c r="AE14" s="91"/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 t="s">
        <v>27</v>
      </c>
      <c r="D15" s="72" t="s">
        <v>68</v>
      </c>
      <c r="E15" s="73">
        <f>IF(LEFT($D15,6)&lt;&gt;"Star: ",IFERROR(VLOOKUP($I$22&amp;$D15,'Database-Hidden'!$C$2:$J$120,4,FALSE)-P15+AG15,""),VLOOKUP(RIGHT($D15,LEN($D15)-6),'Star Players-Hidden'!$A$3:$AK$87,33,FALSE))</f>
        <v>6</v>
      </c>
      <c r="F15" s="73">
        <f>IF(LEFT($D15,6)&lt;&gt;"Star: ",IFERROR(VLOOKUP($I$22&amp;$D15,'Database-Hidden'!$C$2:$J$120,5,FALSE)-Q15+AH15,""),VLOOKUP(RIGHT($D15,LEN($D15)-6),'Star Players-Hidden'!$A$3:$AK$87,34,FALSE))</f>
        <v>3</v>
      </c>
      <c r="G15" s="73">
        <f>IF(LEFT($D15,6)&lt;&gt;"Star: ",IFERROR(VLOOKUP($I$22&amp;$D15,'Database-Hidden'!$C$2:$J$120,6,FALSE)-R15+AI15,""),VLOOKUP(RIGHT($D15,LEN($D15)-6),'Star Players-Hidden'!$A$3:$AK$87,35,FALSE))</f>
        <v>3</v>
      </c>
      <c r="H15" s="75">
        <f>IF(LEFT($D15,6)&lt;&gt;"Star: ",IFERROR(VLOOKUP($I$22&amp;$D15,'Database-Hidden'!$C$2:$J$120,7,FALSE)-S15+AJ15,""),VLOOKUP(RIGHT($D15,LEN($D15)-6),'Star Players-Hidden'!$A$3:$AK$87,36,FALSE))</f>
        <v>8</v>
      </c>
      <c r="I15" s="76">
        <f>IF(LEFT($D15,6)&lt;&gt;"Star: ",IFERROR(VLOOKUP($I$22&amp;$D15,'Database-Hidden'!$C$2:$J$120,8,FALSE),""),VLOOKUP(RIGHT($D15,LEN($D15)-6),'Star Players-Hidden'!$A$3:$AK$87,31,FALSE))</f>
        <v>0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>
        <v>1</v>
      </c>
      <c r="X15" s="83"/>
      <c r="Y15" s="83"/>
      <c r="Z15" s="88"/>
      <c r="AA15" s="89">
        <f t="shared" si="1"/>
        <v>2</v>
      </c>
      <c r="AB15" s="58">
        <f t="shared" si="2"/>
        <v>50000</v>
      </c>
      <c r="AC15" s="4"/>
      <c r="AD15" s="116">
        <f>IF(LEFT($D15,6)&lt;&gt;"Star: ",IFERROR(VLOOKUP($I$22&amp;D15,'Database-Hidden'!$C$2:$E$120,3,FALSE),""),VLOOKUP(RIGHT($D15,LEN($D15)-6),'Star Players-Hidden'!$A$3:$AJ$87,32,FALSE))</f>
        <v>50000</v>
      </c>
      <c r="AE15" s="91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/>
      <c r="D16" s="72" t="s">
        <v>113</v>
      </c>
      <c r="E16" s="73">
        <f>IF(LEFT($D16,6)&lt;&gt;"Star: ",IFERROR(VLOOKUP($I$22&amp;$D16,'Database-Hidden'!$C$2:$J$120,4,FALSE)-P16+AG16,""),VLOOKUP(RIGHT($D16,LEN($D16)-6),'Star Players-Hidden'!$A$3:$AK$87,33,FALSE))</f>
        <v>8</v>
      </c>
      <c r="F16" s="73">
        <f>IF(LEFT($D16,6)&lt;&gt;"Star: ",IFERROR(VLOOKUP($I$22&amp;$D16,'Database-Hidden'!$C$2:$J$120,5,FALSE)-Q16+AH16,""),VLOOKUP(RIGHT($D16,LEN($D16)-6),'Star Players-Hidden'!$A$3:$AK$87,34,FALSE))</f>
        <v>2</v>
      </c>
      <c r="G16" s="73">
        <f>IF(LEFT($D16,6)&lt;&gt;"Star: ",IFERROR(VLOOKUP($I$22&amp;$D16,'Database-Hidden'!$C$2:$J$120,6,FALSE)-R16+AI16,""),VLOOKUP(RIGHT($D16,LEN($D16)-6),'Star Players-Hidden'!$A$3:$AK$87,35,FALSE))</f>
        <v>3</v>
      </c>
      <c r="H16" s="75">
        <f>IF(LEFT($D16,6)&lt;&gt;"Star: ",IFERROR(VLOOKUP($I$22&amp;$D16,'Database-Hidden'!$C$2:$J$120,7,FALSE)-S16+AJ16,""),VLOOKUP(RIGHT($D16,LEN($D16)-6),'Star Players-Hidden'!$A$3:$AK$87,36,FALSE))</f>
        <v>7</v>
      </c>
      <c r="I16" s="76" t="str">
        <f>IF(LEFT($D16,6)&lt;&gt;"Star: ",IFERROR(VLOOKUP($I$22&amp;$D16,'Database-Hidden'!$C$2:$J$120,8,FALSE),""),VLOOKUP(RIGHT($D16,LEN($D16)-6),'Star Players-Hidden'!$A$3:$AK$87,31,FALSE))</f>
        <v>Dodge, Catch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60000</v>
      </c>
      <c r="AC16" s="4"/>
      <c r="AD16" s="116">
        <f>IF(LEFT($D16,6)&lt;&gt;"Star: ",IFERROR(VLOOKUP($I$22&amp;D16,'Database-Hidden'!$C$2:$E$120,3,FALSE),""),VLOOKUP(RIGHT($D16,LEN($D16)-6),'Star Players-Hidden'!$A$3:$AJ$87,32,FALSE))</f>
        <v>60000</v>
      </c>
      <c r="AE16" s="91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71"/>
      <c r="D17" s="72"/>
      <c r="E17" s="73" t="str">
        <f>IF(LEFT($D17,6)&lt;&gt;"Star: ",IFERROR(VLOOKUP($I$22&amp;$D17,'Database-Hidden'!$C$2:$J$120,4,FALSE)-P17+AG17,""),VLOOKUP(RIGHT($D17,LEN($D17)-6),'Star Players-Hidden'!$A$3:$AK$87,33,FALSE))</f>
        <v/>
      </c>
      <c r="F17" s="73" t="str">
        <f>IF(LEFT($D17,6)&lt;&gt;"Star: ",IFERROR(VLOOKUP($I$22&amp;$D17,'Database-Hidden'!$C$2:$J$120,5,FALSE)-Q17+AH17,""),VLOOKUP(RIGHT($D17,LEN($D17)-6),'Star Players-Hidden'!$A$3:$AK$87,34,FALSE))</f>
        <v/>
      </c>
      <c r="G17" s="73" t="str">
        <f>IF(LEFT($D17,6)&lt;&gt;"Star: ",IFERROR(VLOOKUP($I$22&amp;$D17,'Database-Hidden'!$C$2:$J$120,6,FALSE)-R17+AI17,""),VLOOKUP(RIGHT($D17,LEN($D17)-6),'Star Players-Hidden'!$A$3:$AK$87,35,FALSE))</f>
        <v/>
      </c>
      <c r="H17" s="75" t="str">
        <f>IF(LEFT($D17,6)&lt;&gt;"Star: ",IFERROR(VLOOKUP($I$22&amp;$D17,'Database-Hidden'!$C$2:$J$120,7,FALSE)-S17+AJ17,""),VLOOKUP(RIGHT($D17,LEN($D17)-6),'Star Players-Hidden'!$A$3:$AK$87,36,FALSE))</f>
        <v/>
      </c>
      <c r="I17" s="76" t="str">
        <f>IF(LEFT($D17,6)&lt;&gt;"Star: ",IFERROR(VLOOKUP($I$22&amp;$D17,'Database-Hidden'!$C$2:$J$120,8,FALSE),""),VLOOKUP(RIGHT($D17,LEN($D17)-6),'Star Players-Hidden'!$A$3:$AK$87,31,FALSE))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IF(LEFT($D17,6)&lt;&gt;"Star: ",IFERROR(VLOOKUP($I$22&amp;D17,'Database-Hidden'!$C$2:$E$120,3,FALSE),""),VLOOKUP(RIGHT($D17,LEN($D17)-6),'Star Players-Hidden'!$A$3:$AJ$87,32,FALSE))</f>
        <v/>
      </c>
      <c r="AE17" s="91"/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20000</v>
      </c>
      <c r="AP18" s="4"/>
      <c r="AQ18" s="4"/>
      <c r="AR18" s="67"/>
      <c r="AS18" s="148" t="s">
        <v>42</v>
      </c>
      <c r="AT18" s="150">
        <f t="shared" ref="AT18:AU18" si="3">SUM(AT6:AT17)</f>
        <v>4</v>
      </c>
      <c r="AU18" s="151">
        <f t="shared" si="3"/>
        <v>9</v>
      </c>
      <c r="AV18" s="152">
        <f>AV4+SUM(AV6:AV17)</f>
        <v>2</v>
      </c>
      <c r="AW18" s="5"/>
      <c r="AX18" s="5"/>
    </row>
    <row r="19" spans="1:50" ht="12.75">
      <c r="A19" s="2"/>
      <c r="B19" s="153">
        <v>16</v>
      </c>
      <c r="C19" s="154"/>
      <c r="D19" s="155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1040000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48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362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314">
        <v>2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20000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20000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443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30000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1260000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20000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20000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45000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220000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110000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54</v>
      </c>
      <c r="D28" s="209" t="str">
        <f t="shared" ref="D28:D37" si="5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  <c r="AV28" s="179"/>
    </row>
    <row r="29" spans="1:50" ht="17.25" hidden="1" customHeight="1">
      <c r="C29" s="209">
        <f t="shared" ref="C29:C37" si="6">C28+1</f>
        <v>55</v>
      </c>
      <c r="D29" s="209" t="str">
        <f t="shared" si="5"/>
        <v>Catcher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Catcher</v>
      </c>
      <c r="AV29" s="179"/>
    </row>
    <row r="30" spans="1:50" ht="17.25" hidden="1" customHeight="1">
      <c r="C30" s="209">
        <f t="shared" si="6"/>
        <v>56</v>
      </c>
      <c r="D30" s="209" t="str">
        <f t="shared" si="5"/>
        <v>Thrower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Thrower</v>
      </c>
      <c r="AV30" s="179"/>
    </row>
    <row r="31" spans="1:50" ht="17.25" hidden="1" customHeight="1">
      <c r="C31" s="209">
        <f t="shared" si="6"/>
        <v>57</v>
      </c>
      <c r="D31" s="209" t="str">
        <f t="shared" si="5"/>
        <v>Blitzer</v>
      </c>
      <c r="E31" s="210">
        <f t="array" ref="E31">IFERROR(IF(INDEX('Database-Hidden'!$A$2:$B$120,$C31,1)=$I$22,INDEX('Database-Hidden'!$A$2:$D$120,$C31,4),""),"")</f>
        <v>4</v>
      </c>
      <c r="I31" s="209" t="str">
        <f t="array" ref="I31">IFERROR(IF(INDEX('Database-Hidden'!$A$2:$B$120,$C31,1)=$I$22,INDEX('Database-Hidden'!$A$2:$B$120,$C31,2),""),"")</f>
        <v>Blitzer</v>
      </c>
      <c r="AV31" s="179"/>
    </row>
    <row r="32" spans="1:50" ht="17.25" hidden="1" customHeight="1">
      <c r="C32" s="209">
        <f t="shared" si="6"/>
        <v>58</v>
      </c>
      <c r="D32" s="209" t="str">
        <f t="shared" si="5"/>
        <v>Ogre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Ogre</v>
      </c>
      <c r="AV32" s="179"/>
    </row>
    <row r="33" spans="3:48" ht="17.25" hidden="1" customHeight="1">
      <c r="C33" s="209">
        <f t="shared" si="6"/>
        <v>59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60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61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62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63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12</v>
      </c>
      <c r="D38" s="211" t="str">
        <f t="shared" ref="D38:D49" ca="1" si="7">I38&amp;IF(COUNTIF(D$4:D$19,I38)&gt;1," (Too Many)","")</f>
        <v>Star: Buggy Baconbreath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Buggy Baconbreath")</f>
        <v>Star: Buggy Baconbreath</v>
      </c>
      <c r="AV38" s="179"/>
    </row>
    <row r="39" spans="3:48" ht="17.25" hidden="1" customHeight="1">
      <c r="C39" s="209"/>
      <c r="D39" s="209" t="str">
        <f t="shared" si="7"/>
        <v>Star: Griff Oberwald</v>
      </c>
      <c r="I39" s="213" t="s">
        <v>368</v>
      </c>
      <c r="AV39" s="179"/>
    </row>
    <row r="40" spans="3:48" ht="17.25" hidden="1" customHeight="1">
      <c r="C40" s="209"/>
      <c r="D40" s="209" t="str">
        <f t="shared" si="7"/>
        <v>Star: Helmut Wulf</v>
      </c>
      <c r="I40" s="209" t="s">
        <v>232</v>
      </c>
      <c r="AV40" s="179"/>
    </row>
    <row r="41" spans="3:48" ht="17.25" hidden="1" customHeight="1">
      <c r="C41" s="209"/>
      <c r="D41" s="209" t="str">
        <f t="shared" si="7"/>
        <v>Star: Karla Von Kill</v>
      </c>
      <c r="I41" s="209" t="s">
        <v>233</v>
      </c>
      <c r="AV41" s="179"/>
    </row>
    <row r="42" spans="3:48" ht="17.25" hidden="1" customHeight="1">
      <c r="C42" s="209"/>
      <c r="D42" s="209" t="str">
        <f t="shared" si="7"/>
        <v>Star: Mighty Zug</v>
      </c>
      <c r="I42" s="209" t="s">
        <v>369</v>
      </c>
      <c r="AV42" s="179"/>
    </row>
    <row r="43" spans="3:48" ht="17.25" hidden="1" customHeight="1">
      <c r="C43" s="209"/>
      <c r="D43" s="209" t="str">
        <f t="shared" si="7"/>
        <v>Star: Morg'n'Thorg</v>
      </c>
      <c r="I43" s="209" t="s">
        <v>144</v>
      </c>
      <c r="AV43" s="179"/>
    </row>
    <row r="44" spans="3:48" ht="17.25" hidden="1" customHeight="1">
      <c r="C44" s="209"/>
      <c r="D44" s="209" t="str">
        <f t="shared" si="7"/>
        <v>Star: Zara the Slayer</v>
      </c>
      <c r="I44" s="209" t="s">
        <v>148</v>
      </c>
      <c r="AV44" s="179"/>
    </row>
    <row r="45" spans="3:48" ht="17.25" hidden="1" customHeight="1">
      <c r="C45" s="209"/>
      <c r="D45" s="209" t="str">
        <f t="shared" si="7"/>
        <v/>
      </c>
      <c r="I45" s="209"/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E23:H23"/>
    <mergeCell ref="E24:H24"/>
    <mergeCell ref="L21:S21"/>
    <mergeCell ref="I21:K21"/>
    <mergeCell ref="AN3:AQ3"/>
    <mergeCell ref="I24:K24"/>
    <mergeCell ref="AR3:AV3"/>
    <mergeCell ref="P2:S2"/>
    <mergeCell ref="AN21:AO21"/>
    <mergeCell ref="I23:K23"/>
    <mergeCell ref="L23:S23"/>
    <mergeCell ref="B20:D26"/>
    <mergeCell ref="V23:AA23"/>
    <mergeCell ref="E26:AA26"/>
    <mergeCell ref="I22:K22"/>
    <mergeCell ref="E20:AA20"/>
    <mergeCell ref="E25:H25"/>
    <mergeCell ref="I25:K25"/>
    <mergeCell ref="V21:AA21"/>
    <mergeCell ref="E22:H22"/>
    <mergeCell ref="E21:H21"/>
    <mergeCell ref="V25:AA25"/>
    <mergeCell ref="L25:S25"/>
    <mergeCell ref="V22:AA22"/>
    <mergeCell ref="L22:S22"/>
    <mergeCell ref="V24:AA24"/>
    <mergeCell ref="L24:S24"/>
  </mergeCells>
  <conditionalFormatting sqref="J4">
    <cfRule type="expression" dxfId="319" priority="1">
      <formula>K4&lt;&gt;SUM(AE4:AJ4)</formula>
    </cfRule>
  </conditionalFormatting>
  <conditionalFormatting sqref="K4:K19">
    <cfRule type="cellIs" dxfId="318" priority="2" operator="equal">
      <formula>0</formula>
    </cfRule>
  </conditionalFormatting>
  <conditionalFormatting sqref="AB4:AB19">
    <cfRule type="cellIs" dxfId="317" priority="3" operator="equal">
      <formula>0</formula>
    </cfRule>
  </conditionalFormatting>
  <conditionalFormatting sqref="E4:I19">
    <cfRule type="expression" dxfId="316" priority="4">
      <formula>AG4&gt;0</formula>
    </cfRule>
  </conditionalFormatting>
  <conditionalFormatting sqref="E4:I19">
    <cfRule type="expression" dxfId="315" priority="5">
      <formula>P4&gt;0</formula>
    </cfRule>
  </conditionalFormatting>
  <conditionalFormatting sqref="T4:T19 U4:U19 V4:W19 Z4:Z19 U27">
    <cfRule type="cellIs" dxfId="314" priority="6" stopIfTrue="1" operator="equal">
      <formula>0</formula>
    </cfRule>
  </conditionalFormatting>
  <conditionalFormatting sqref="K4:K19">
    <cfRule type="cellIs" dxfId="313" priority="7" stopIfTrue="1" operator="equal">
      <formula>"n/a"</formula>
    </cfRule>
  </conditionalFormatting>
  <conditionalFormatting sqref="P4:S19">
    <cfRule type="cellIs" dxfId="312" priority="8" stopIfTrue="1" operator="lessThanOrEqual">
      <formula>-1</formula>
    </cfRule>
  </conditionalFormatting>
  <conditionalFormatting sqref="V25:W25">
    <cfRule type="cellIs" dxfId="311" priority="9" stopIfTrue="1" operator="equal">
      <formula>-500</formula>
    </cfRule>
  </conditionalFormatting>
  <conditionalFormatting sqref="T25">
    <cfRule type="cellIs" dxfId="310" priority="10" stopIfTrue="1" operator="greaterThan">
      <formula>$V$25</formula>
    </cfRule>
  </conditionalFormatting>
  <conditionalFormatting sqref="AA4:AA19">
    <cfRule type="cellIs" dxfId="309" priority="11" stopIfTrue="1" operator="equal">
      <formula>"Star"</formula>
    </cfRule>
  </conditionalFormatting>
  <conditionalFormatting sqref="AA4:AA19">
    <cfRule type="cellIs" dxfId="308" priority="12" stopIfTrue="1" operator="equal">
      <formula>AB4</formula>
    </cfRule>
  </conditionalFormatting>
  <conditionalFormatting sqref="I4:I19">
    <cfRule type="cellIs" dxfId="307" priority="13" stopIfTrue="1" operator="equal">
      <formula>0</formula>
    </cfRule>
  </conditionalFormatting>
  <conditionalFormatting sqref="I4:I19">
    <cfRule type="cellIs" dxfId="306" priority="14" stopIfTrue="1" operator="equal">
      <formula>"Player type quantity surpassed"</formula>
    </cfRule>
  </conditionalFormatting>
  <conditionalFormatting sqref="J5">
    <cfRule type="expression" dxfId="305" priority="15">
      <formula>K5&lt;&gt;SUM(AE5:AJ5)</formula>
    </cfRule>
  </conditionalFormatting>
  <conditionalFormatting sqref="J6">
    <cfRule type="expression" dxfId="304" priority="16">
      <formula>K6&lt;&gt;SUM(AE6:AJ6)</formula>
    </cfRule>
  </conditionalFormatting>
  <conditionalFormatting sqref="J7">
    <cfRule type="expression" dxfId="303" priority="17">
      <formula>K7&lt;&gt;SUM(AE7:AJ7)</formula>
    </cfRule>
  </conditionalFormatting>
  <conditionalFormatting sqref="J8">
    <cfRule type="expression" dxfId="302" priority="18">
      <formula>K8&lt;&gt;SUM(AE8:AJ8)</formula>
    </cfRule>
  </conditionalFormatting>
  <conditionalFormatting sqref="J9">
    <cfRule type="expression" dxfId="301" priority="19">
      <formula>K9&lt;&gt;SUM(AE9:AJ9)</formula>
    </cfRule>
  </conditionalFormatting>
  <conditionalFormatting sqref="J10">
    <cfRule type="expression" dxfId="300" priority="20">
      <formula>K10&lt;&gt;SUM(AE10:AJ10)</formula>
    </cfRule>
  </conditionalFormatting>
  <conditionalFormatting sqref="J11">
    <cfRule type="expression" dxfId="299" priority="21">
      <formula>K11&lt;&gt;SUM(AE11:AJ11)</formula>
    </cfRule>
  </conditionalFormatting>
  <conditionalFormatting sqref="J12">
    <cfRule type="expression" dxfId="298" priority="22">
      <formula>K12&lt;&gt;SUM(AE12:AJ12)</formula>
    </cfRule>
  </conditionalFormatting>
  <conditionalFormatting sqref="J13">
    <cfRule type="expression" dxfId="297" priority="23">
      <formula>K13&lt;&gt;SUM(AE13:AJ13)</formula>
    </cfRule>
  </conditionalFormatting>
  <conditionalFormatting sqref="J14">
    <cfRule type="expression" dxfId="296" priority="24">
      <formula>K14&lt;&gt;SUM(AE14:AJ14)</formula>
    </cfRule>
  </conditionalFormatting>
  <conditionalFormatting sqref="J15">
    <cfRule type="expression" dxfId="295" priority="25">
      <formula>K15&lt;&gt;SUM(AE15:AJ15)</formula>
    </cfRule>
  </conditionalFormatting>
  <conditionalFormatting sqref="J16">
    <cfRule type="expression" dxfId="294" priority="26">
      <formula>K16&lt;&gt;SUM(AE16:AJ16)</formula>
    </cfRule>
  </conditionalFormatting>
  <conditionalFormatting sqref="J17">
    <cfRule type="expression" dxfId="293" priority="27">
      <formula>K17&lt;&gt;SUM(AE17:AJ17)</formula>
    </cfRule>
  </conditionalFormatting>
  <conditionalFormatting sqref="J18">
    <cfRule type="expression" dxfId="292" priority="28">
      <formula>K18&lt;&gt;SUM(AE18:AJ18)</formula>
    </cfRule>
  </conditionalFormatting>
  <conditionalFormatting sqref="J19">
    <cfRule type="expression" dxfId="291" priority="29">
      <formula>K19&lt;&gt;SUM(AE19:AJ19)</formula>
    </cfRule>
  </conditionalFormatting>
  <dataValidations count="2">
    <dataValidation type="list" allowBlank="1" showErrorMessage="1" sqref="D4:D19">
      <formula1>'MQ3'!$D$28:$D$49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scale="72" pageOrder="overThenDown" orientation="landscape" cellComments="atEnd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51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/>
      <c r="D4" s="42" t="s">
        <v>150</v>
      </c>
      <c r="E4" s="73">
        <f>IF(LEFT($D4,6)&lt;&gt;"Star: ",IFERROR(VLOOKUP($I$24&amp;$D4,'Database-Hidden'!$C$2:$J$120,4,FALSE)-P4+AG4,""),VLOOKUP(RIGHT($D4,LEN($D4)-6),'Star Players-Hidden'!$A$3:$AK$87,33,FALSE))</f>
        <v>6</v>
      </c>
      <c r="F4" s="73">
        <f>IF(LEFT($D4,6)&lt;&gt;"Star: ",IFERROR(VLOOKUP($I$24&amp;$D4,'Database-Hidden'!$C$2:$J$120,5,FALSE)-Q4+AH4,""),VLOOKUP(RIGHT($D4,LEN($D4)-6),'Star Players-Hidden'!$A$3:$AK$87,34,FALSE))</f>
        <v>2</v>
      </c>
      <c r="G4" s="73">
        <f>IF(LEFT($D4,6)&lt;&gt;"Star: ",IFERROR(VLOOKUP($I$24&amp;$D4,'Database-Hidden'!$C$2:$J$120,6,FALSE)-R4+AI4,""),VLOOKUP(RIGHT($D4,LEN($D4)-6),'Star Players-Hidden'!$A$3:$AK$87,35,FALSE))</f>
        <v>3</v>
      </c>
      <c r="H4" s="75">
        <f>IF(LEFT($D4,6)&lt;&gt;"Star: ",IFERROR(VLOOKUP($I$24&amp;$D4,'Database-Hidden'!$C$2:$J$120,7,FALSE)-S4+AJ4,""),VLOOKUP(RIGHT($D4,LEN($D4)-6),'Star Players-Hidden'!$A$3:$AK$87,36,FALSE))</f>
        <v>7</v>
      </c>
      <c r="I4" s="76" t="str">
        <f>IF(LEFT($D4,6)&lt;&gt;"Star: ",IFERROR(VLOOKUP($I$24&amp;$D4,'Database-Hidden'!$C$2:$J$120,8,FALSE),""),VLOOKUP(RIGHT($D4,LEN($D4)-6),'Star Players-Hidden'!$A$3:$AK$87,31,FALSE))</f>
        <v>Dodge, Right Stuff, Stunty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>
        <f t="shared" ref="AB4:AB19" si="2">IF(L4=1,0,AD4+(20000*O4)+(20000*AE4)+(30000*AF4)+(30000*AG4)+(50000*AH4)+(40000*AI4)+(50000*AJ4)+AK4)</f>
        <v>40000</v>
      </c>
      <c r="AC4" s="4"/>
      <c r="AD4" s="116">
        <f>IF(LEFT($D4,6)&lt;&gt;"Star: ",IFERROR(VLOOKUP($I$24&amp;D4,'Database-Hidden'!$C$2:$E$120,3,FALSE),""),VLOOKUP(RIGHT($D4,LEN($D4)-6),'Star Players-Hidden'!$A$3:$AJ$87,32,FALSE))</f>
        <v>40000</v>
      </c>
      <c r="AE4" s="60"/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10000</v>
      </c>
      <c r="AP4" s="4"/>
      <c r="AQ4" s="4"/>
      <c r="AR4" s="66"/>
      <c r="AS4" s="67"/>
      <c r="AT4" s="67"/>
      <c r="AU4" s="64" t="s">
        <v>70</v>
      </c>
      <c r="AV4" s="68"/>
      <c r="AW4" s="69"/>
      <c r="AX4" s="69"/>
    </row>
    <row r="5" spans="1:50" ht="12.75">
      <c r="A5" s="2"/>
      <c r="B5" s="70">
        <v>2</v>
      </c>
      <c r="C5" s="71"/>
      <c r="D5" s="72" t="s">
        <v>150</v>
      </c>
      <c r="E5" s="73">
        <f>IF(LEFT($D5,6)&lt;&gt;"Star: ",IFERROR(VLOOKUP($I$24&amp;$D5,'Database-Hidden'!$C$2:$J$120,4,FALSE)-P5+AG5,""),VLOOKUP(RIGHT($D5,LEN($D5)-6),'Star Players-Hidden'!$A$3:$AK$87,33,FALSE))</f>
        <v>6</v>
      </c>
      <c r="F5" s="73">
        <f>IF(LEFT($D5,6)&lt;&gt;"Star: ",IFERROR(VLOOKUP($I$24&amp;$D5,'Database-Hidden'!$C$2:$J$120,5,FALSE)-Q5+AH5,""),VLOOKUP(RIGHT($D5,LEN($D5)-6),'Star Players-Hidden'!$A$3:$AK$87,34,FALSE))</f>
        <v>2</v>
      </c>
      <c r="G5" s="73">
        <f>IF(LEFT($D5,6)&lt;&gt;"Star: ",IFERROR(VLOOKUP($I$24&amp;$D5,'Database-Hidden'!$C$2:$J$120,6,FALSE)-R5+AI5,""),VLOOKUP(RIGHT($D5,LEN($D5)-6),'Star Players-Hidden'!$A$3:$AK$87,35,FALSE))</f>
        <v>3</v>
      </c>
      <c r="H5" s="75">
        <f>IF(LEFT($D5,6)&lt;&gt;"Star: ",IFERROR(VLOOKUP($I$24&amp;$D5,'Database-Hidden'!$C$2:$J$120,7,FALSE)-S5+AJ5,""),VLOOKUP(RIGHT($D5,LEN($D5)-6),'Star Players-Hidden'!$A$3:$AK$87,36,FALSE))</f>
        <v>7</v>
      </c>
      <c r="I5" s="76" t="str">
        <f>IF(LEFT($D5,6)&lt;&gt;"Star: ",IFERROR(VLOOKUP($I$24&amp;$D5,'Database-Hidden'!$C$2:$J$120,8,FALSE),""),VLOOKUP(RIGHT($D5,LEN($D5)-6),'Star Players-Hidden'!$A$3:$AK$87,31,FALSE))</f>
        <v>Dodge, Right Stuff, Stunty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40000</v>
      </c>
      <c r="AC5" s="4"/>
      <c r="AD5" s="116">
        <f>IF(LEFT($D5,6)&lt;&gt;"Star: ",IFERROR(VLOOKUP($I$24&amp;D5,'Database-Hidden'!$C$2:$E$120,3,FALSE),""),VLOOKUP(RIGHT($D5,LEN($D5)-6),'Star Players-Hidden'!$A$3:$AJ$87,32,FALSE))</f>
        <v>40000</v>
      </c>
      <c r="AE5" s="91"/>
      <c r="AF5" s="92"/>
      <c r="AG5" s="92"/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101"/>
      <c r="D6" s="72" t="s">
        <v>150</v>
      </c>
      <c r="E6" s="73">
        <f>IF(LEFT($D6,6)&lt;&gt;"Star: ",IFERROR(VLOOKUP($I$24&amp;$D6,'Database-Hidden'!$C$2:$J$120,4,FALSE)-P6+AG6,""),VLOOKUP(RIGHT($D6,LEN($D6)-6),'Star Players-Hidden'!$A$3:$AK$87,33,FALSE))</f>
        <v>6</v>
      </c>
      <c r="F6" s="73">
        <f>IF(LEFT($D6,6)&lt;&gt;"Star: ",IFERROR(VLOOKUP($I$24&amp;$D6,'Database-Hidden'!$C$2:$J$120,5,FALSE)-Q6+AH6,""),VLOOKUP(RIGHT($D6,LEN($D6)-6),'Star Players-Hidden'!$A$3:$AK$87,34,FALSE))</f>
        <v>2</v>
      </c>
      <c r="G6" s="73">
        <f>IF(LEFT($D6,6)&lt;&gt;"Star: ",IFERROR(VLOOKUP($I$24&amp;$D6,'Database-Hidden'!$C$2:$J$120,6,FALSE)-R6+AI6,""),VLOOKUP(RIGHT($D6,LEN($D6)-6),'Star Players-Hidden'!$A$3:$AK$87,35,FALSE))</f>
        <v>3</v>
      </c>
      <c r="H6" s="75">
        <f>IF(LEFT($D6,6)&lt;&gt;"Star: ",IFERROR(VLOOKUP($I$24&amp;$D6,'Database-Hidden'!$C$2:$J$120,7,FALSE)-S6+AJ6,""),VLOOKUP(RIGHT($D6,LEN($D6)-6),'Star Players-Hidden'!$A$3:$AK$87,36,FALSE))</f>
        <v>7</v>
      </c>
      <c r="I6" s="76" t="str">
        <f>IF(LEFT($D6,6)&lt;&gt;"Star: ",IFERROR(VLOOKUP($I$24&amp;$D6,'Database-Hidden'!$C$2:$J$120,8,FALSE),""),VLOOKUP(RIGHT($D6,LEN($D6)-6),'Star Players-Hidden'!$A$3:$AK$87,31,FALSE))</f>
        <v>Dodge, Right Stuff, Stunty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40000</v>
      </c>
      <c r="AC6" s="4"/>
      <c r="AD6" s="116">
        <f>IF(LEFT($D6,6)&lt;&gt;"Star: ",IFERROR(VLOOKUP($I$24&amp;D6,'Database-Hidden'!$C$2:$E$120,3,FALSE),""),VLOOKUP(RIGHT($D6,LEN($D6)-6),'Star Players-Hidden'!$A$3:$AJ$87,32,FALSE))</f>
        <v>40000</v>
      </c>
      <c r="AE6" s="91"/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/>
      <c r="AP6" s="106"/>
      <c r="AQ6" s="107"/>
      <c r="AR6" s="108"/>
      <c r="AS6" s="110"/>
      <c r="AT6" s="111"/>
      <c r="AU6" s="113"/>
      <c r="AV6" s="136"/>
      <c r="AW6" s="115"/>
      <c r="AX6" s="115"/>
    </row>
    <row r="7" spans="1:50" ht="12.75">
      <c r="A7" s="2"/>
      <c r="B7" s="70">
        <v>4</v>
      </c>
      <c r="C7" s="71"/>
      <c r="D7" s="72" t="s">
        <v>150</v>
      </c>
      <c r="E7" s="73">
        <f>IF(LEFT($D7,6)&lt;&gt;"Star: ",IFERROR(VLOOKUP($I$24&amp;$D7,'Database-Hidden'!$C$2:$J$120,4,FALSE)-P7+AG7,""),VLOOKUP(RIGHT($D7,LEN($D7)-6),'Star Players-Hidden'!$A$3:$AK$87,33,FALSE))</f>
        <v>6</v>
      </c>
      <c r="F7" s="73">
        <f>IF(LEFT($D7,6)&lt;&gt;"Star: ",IFERROR(VLOOKUP($I$24&amp;$D7,'Database-Hidden'!$C$2:$J$120,5,FALSE)-Q7+AH7,""),VLOOKUP(RIGHT($D7,LEN($D7)-6),'Star Players-Hidden'!$A$3:$AK$87,34,FALSE))</f>
        <v>2</v>
      </c>
      <c r="G7" s="73">
        <f>IF(LEFT($D7,6)&lt;&gt;"Star: ",IFERROR(VLOOKUP($I$24&amp;$D7,'Database-Hidden'!$C$2:$J$120,6,FALSE)-R7+AI7,""),VLOOKUP(RIGHT($D7,LEN($D7)-6),'Star Players-Hidden'!$A$3:$AK$87,35,FALSE))</f>
        <v>3</v>
      </c>
      <c r="H7" s="75">
        <f>IF(LEFT($D7,6)&lt;&gt;"Star: ",IFERROR(VLOOKUP($I$24&amp;$D7,'Database-Hidden'!$C$2:$J$120,7,FALSE)-S7+AJ7,""),VLOOKUP(RIGHT($D7,LEN($D7)-6),'Star Players-Hidden'!$A$3:$AK$87,36,FALSE))</f>
        <v>7</v>
      </c>
      <c r="I7" s="76" t="str">
        <f>IF(LEFT($D7,6)&lt;&gt;"Star: ",IFERROR(VLOOKUP($I$24&amp;$D7,'Database-Hidden'!$C$2:$J$120,8,FALSE),""),VLOOKUP(RIGHT($D7,LEN($D7)-6),'Star Players-Hidden'!$A$3:$AK$87,31,FALSE))</f>
        <v>Dodge, Right Stuff, Stunty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40000</v>
      </c>
      <c r="AC7" s="4"/>
      <c r="AD7" s="116">
        <f>IF(LEFT($D7,6)&lt;&gt;"Star: ",IFERROR(VLOOKUP($I$24&amp;D7,'Database-Hidden'!$C$2:$E$120,3,FALSE),""),VLOOKUP(RIGHT($D7,LEN($D7)-6),'Star Players-Hidden'!$A$3:$AJ$87,32,FALSE))</f>
        <v>40000</v>
      </c>
      <c r="AE7" s="91"/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7"/>
      <c r="AW7" s="132"/>
      <c r="AX7" s="132"/>
    </row>
    <row r="8" spans="1:50" ht="12.75">
      <c r="A8" s="2"/>
      <c r="B8" s="70">
        <v>5</v>
      </c>
      <c r="C8" s="101"/>
      <c r="D8" s="72" t="s">
        <v>150</v>
      </c>
      <c r="E8" s="73">
        <f>IF(LEFT($D8,6)&lt;&gt;"Star: ",IFERROR(VLOOKUP($I$24&amp;$D8,'Database-Hidden'!$C$2:$J$120,4,FALSE)-P8+AG8,""),VLOOKUP(RIGHT($D8,LEN($D8)-6),'Star Players-Hidden'!$A$3:$AK$87,33,FALSE))</f>
        <v>6</v>
      </c>
      <c r="F8" s="73">
        <f>IF(LEFT($D8,6)&lt;&gt;"Star: ",IFERROR(VLOOKUP($I$24&amp;$D8,'Database-Hidden'!$C$2:$J$120,5,FALSE)-Q8+AH8,""),VLOOKUP(RIGHT($D8,LEN($D8)-6),'Star Players-Hidden'!$A$3:$AK$87,34,FALSE))</f>
        <v>2</v>
      </c>
      <c r="G8" s="73">
        <f>IF(LEFT($D8,6)&lt;&gt;"Star: ",IFERROR(VLOOKUP($I$24&amp;$D8,'Database-Hidden'!$C$2:$J$120,6,FALSE)-R8+AI8,""),VLOOKUP(RIGHT($D8,LEN($D8)-6),'Star Players-Hidden'!$A$3:$AK$87,35,FALSE))</f>
        <v>3</v>
      </c>
      <c r="H8" s="75">
        <f>IF(LEFT($D8,6)&lt;&gt;"Star: ",IFERROR(VLOOKUP($I$24&amp;$D8,'Database-Hidden'!$C$2:$J$120,7,FALSE)-S8+AJ8,""),VLOOKUP(RIGHT($D8,LEN($D8)-6),'Star Players-Hidden'!$A$3:$AK$87,36,FALSE))</f>
        <v>7</v>
      </c>
      <c r="I8" s="76" t="str">
        <f>IF(LEFT($D8,6)&lt;&gt;"Star: ",IFERROR(VLOOKUP($I$24&amp;$D8,'Database-Hidden'!$C$2:$J$120,8,FALSE),""),VLOOKUP(RIGHT($D8,LEN($D8)-6),'Star Players-Hidden'!$A$3:$AK$87,31,FALSE))</f>
        <v>Dodge, Right Stuff, Stunty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40000</v>
      </c>
      <c r="AC8" s="4"/>
      <c r="AD8" s="116">
        <f>IF(LEFT($D8,6)&lt;&gt;"Star: ",IFERROR(VLOOKUP($I$24&amp;D8,'Database-Hidden'!$C$2:$E$120,3,FALSE),""),VLOOKUP(RIGHT($D8,LEN($D8)-6),'Star Players-Hidden'!$A$3:$AJ$87,32,FALSE))</f>
        <v>40000</v>
      </c>
      <c r="AE8" s="91"/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7"/>
      <c r="AW8" s="132"/>
      <c r="AX8" s="132"/>
    </row>
    <row r="9" spans="1:50" ht="12.75">
      <c r="A9" s="2"/>
      <c r="B9" s="70">
        <v>6</v>
      </c>
      <c r="C9" s="101"/>
      <c r="D9" s="72" t="s">
        <v>150</v>
      </c>
      <c r="E9" s="73">
        <f>IF(LEFT($D9,6)&lt;&gt;"Star: ",IFERROR(VLOOKUP($I$24&amp;$D9,'Database-Hidden'!$C$2:$J$120,4,FALSE)-P9+AG9,""),VLOOKUP(RIGHT($D9,LEN($D9)-6),'Star Players-Hidden'!$A$3:$AK$87,33,FALSE))</f>
        <v>6</v>
      </c>
      <c r="F9" s="73">
        <f>IF(LEFT($D9,6)&lt;&gt;"Star: ",IFERROR(VLOOKUP($I$24&amp;$D9,'Database-Hidden'!$C$2:$J$120,5,FALSE)-Q9+AH9,""),VLOOKUP(RIGHT($D9,LEN($D9)-6),'Star Players-Hidden'!$A$3:$AK$87,34,FALSE))</f>
        <v>2</v>
      </c>
      <c r="G9" s="73">
        <f>IF(LEFT($D9,6)&lt;&gt;"Star: ",IFERROR(VLOOKUP($I$24&amp;$D9,'Database-Hidden'!$C$2:$J$120,6,FALSE)-R9+AI9,""),VLOOKUP(RIGHT($D9,LEN($D9)-6),'Star Players-Hidden'!$A$3:$AK$87,35,FALSE))</f>
        <v>3</v>
      </c>
      <c r="H9" s="75">
        <f>IF(LEFT($D9,6)&lt;&gt;"Star: ",IFERROR(VLOOKUP($I$24&amp;$D9,'Database-Hidden'!$C$2:$J$120,7,FALSE)-S9+AJ9,""),VLOOKUP(RIGHT($D9,LEN($D9)-6),'Star Players-Hidden'!$A$3:$AK$87,36,FALSE))</f>
        <v>7</v>
      </c>
      <c r="I9" s="76" t="str">
        <f>IF(LEFT($D9,6)&lt;&gt;"Star: ",IFERROR(VLOOKUP($I$24&amp;$D9,'Database-Hidden'!$C$2:$J$120,8,FALSE),""),VLOOKUP(RIGHT($D9,LEN($D9)-6),'Star Players-Hidden'!$A$3:$AK$87,31,FALSE))</f>
        <v>Dodge, Right Stuff, Stunty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40000</v>
      </c>
      <c r="AC9" s="4"/>
      <c r="AD9" s="116">
        <f>IF(LEFT($D9,6)&lt;&gt;"Star: ",IFERROR(VLOOKUP($I$24&amp;D9,'Database-Hidden'!$C$2:$E$120,3,FALSE),""),VLOOKUP(RIGHT($D9,LEN($D9)-6),'Star Players-Hidden'!$A$3:$AJ$87,32,FALSE))</f>
        <v>40000</v>
      </c>
      <c r="AE9" s="91"/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7"/>
      <c r="AW9" s="132"/>
      <c r="AX9" s="132"/>
    </row>
    <row r="10" spans="1:50" ht="12.75">
      <c r="A10" s="2"/>
      <c r="B10" s="70">
        <v>7</v>
      </c>
      <c r="C10" s="71"/>
      <c r="D10" s="72" t="s">
        <v>150</v>
      </c>
      <c r="E10" s="73">
        <f>IF(LEFT($D10,6)&lt;&gt;"Star: ",IFERROR(VLOOKUP($I$24&amp;$D10,'Database-Hidden'!$C$2:$J$120,4,FALSE)-P10+AG10,""),VLOOKUP(RIGHT($D10,LEN($D10)-6),'Star Players-Hidden'!$A$3:$AK$87,33,FALSE))</f>
        <v>6</v>
      </c>
      <c r="F10" s="73">
        <f>IF(LEFT($D10,6)&lt;&gt;"Star: ",IFERROR(VLOOKUP($I$24&amp;$D10,'Database-Hidden'!$C$2:$J$120,5,FALSE)-Q10+AH10,""),VLOOKUP(RIGHT($D10,LEN($D10)-6),'Star Players-Hidden'!$A$3:$AK$87,34,FALSE))</f>
        <v>2</v>
      </c>
      <c r="G10" s="73">
        <f>IF(LEFT($D10,6)&lt;&gt;"Star: ",IFERROR(VLOOKUP($I$24&amp;$D10,'Database-Hidden'!$C$2:$J$120,6,FALSE)-R10+AI10,""),VLOOKUP(RIGHT($D10,LEN($D10)-6),'Star Players-Hidden'!$A$3:$AK$87,35,FALSE))</f>
        <v>3</v>
      </c>
      <c r="H10" s="75">
        <f>IF(LEFT($D10,6)&lt;&gt;"Star: ",IFERROR(VLOOKUP($I$24&amp;$D10,'Database-Hidden'!$C$2:$J$120,7,FALSE)-S10+AJ10,""),VLOOKUP(RIGHT($D10,LEN($D10)-6),'Star Players-Hidden'!$A$3:$AK$87,36,FALSE))</f>
        <v>7</v>
      </c>
      <c r="I10" s="76" t="str">
        <f>IF(LEFT($D10,6)&lt;&gt;"Star: ",IFERROR(VLOOKUP($I$24&amp;$D10,'Database-Hidden'!$C$2:$J$120,8,FALSE),""),VLOOKUP(RIGHT($D10,LEN($D10)-6),'Star Players-Hidden'!$A$3:$AK$87,31,FALSE))</f>
        <v>Dodge, Right Stuff, Stunty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40000</v>
      </c>
      <c r="AC10" s="4"/>
      <c r="AD10" s="116">
        <f>IF(LEFT($D10,6)&lt;&gt;"Star: ",IFERROR(VLOOKUP($I$24&amp;D10,'Database-Hidden'!$C$2:$E$120,3,FALSE),""),VLOOKUP(RIGHT($D10,LEN($D10)-6),'Star Players-Hidden'!$A$3:$AJ$87,32,FALSE))</f>
        <v>40000</v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7"/>
      <c r="AW10" s="132"/>
      <c r="AX10" s="132"/>
    </row>
    <row r="11" spans="1:50" ht="12.75">
      <c r="A11" s="2"/>
      <c r="B11" s="70">
        <v>8</v>
      </c>
      <c r="C11" s="101"/>
      <c r="D11" s="72" t="s">
        <v>150</v>
      </c>
      <c r="E11" s="73">
        <f>IF(LEFT($D11,6)&lt;&gt;"Star: ",IFERROR(VLOOKUP($I$24&amp;$D11,'Database-Hidden'!$C$2:$J$120,4,FALSE)-P11+AG11,""),VLOOKUP(RIGHT($D11,LEN($D11)-6),'Star Players-Hidden'!$A$3:$AK$87,33,FALSE))</f>
        <v>6</v>
      </c>
      <c r="F11" s="73">
        <f>IF(LEFT($D11,6)&lt;&gt;"Star: ",IFERROR(VLOOKUP($I$24&amp;$D11,'Database-Hidden'!$C$2:$J$120,5,FALSE)-Q11+AH11,""),VLOOKUP(RIGHT($D11,LEN($D11)-6),'Star Players-Hidden'!$A$3:$AK$87,34,FALSE))</f>
        <v>2</v>
      </c>
      <c r="G11" s="73">
        <f>IF(LEFT($D11,6)&lt;&gt;"Star: ",IFERROR(VLOOKUP($I$24&amp;$D11,'Database-Hidden'!$C$2:$J$120,6,FALSE)-R11+AI11,""),VLOOKUP(RIGHT($D11,LEN($D11)-6),'Star Players-Hidden'!$A$3:$AK$87,35,FALSE))</f>
        <v>3</v>
      </c>
      <c r="H11" s="75">
        <f>IF(LEFT($D11,6)&lt;&gt;"Star: ",IFERROR(VLOOKUP($I$24&amp;$D11,'Database-Hidden'!$C$2:$J$120,7,FALSE)-S11+AJ11,""),VLOOKUP(RIGHT($D11,LEN($D11)-6),'Star Players-Hidden'!$A$3:$AK$87,36,FALSE))</f>
        <v>7</v>
      </c>
      <c r="I11" s="76" t="str">
        <f>IF(LEFT($D11,6)&lt;&gt;"Star: ",IFERROR(VLOOKUP($I$24&amp;$D11,'Database-Hidden'!$C$2:$J$120,8,FALSE),""),VLOOKUP(RIGHT($D11,LEN($D11)-6),'Star Players-Hidden'!$A$3:$AK$87,31,FALSE))</f>
        <v>Dodge, Right Stuff, Stunty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40000</v>
      </c>
      <c r="AC11" s="4"/>
      <c r="AD11" s="116">
        <f>IF(LEFT($D11,6)&lt;&gt;"Star: ",IFERROR(VLOOKUP($I$24&amp;D11,'Database-Hidden'!$C$2:$E$120,3,FALSE),""),VLOOKUP(RIGHT($D11,LEN($D11)-6),'Star Players-Hidden'!$A$3:$AJ$87,32,FALSE))</f>
        <v>40000</v>
      </c>
      <c r="AE11" s="138"/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7"/>
      <c r="AW11" s="132"/>
      <c r="AX11" s="132"/>
    </row>
    <row r="12" spans="1:50" ht="12.75">
      <c r="A12" s="2"/>
      <c r="B12" s="70">
        <v>9</v>
      </c>
      <c r="C12" s="71"/>
      <c r="D12" s="72"/>
      <c r="E12" s="73" t="str">
        <f>IF(LEFT($D12,6)&lt;&gt;"Star: ",IFERROR(VLOOKUP($I$24&amp;$D12,'Database-Hidden'!$C$2:$J$120,4,FALSE)-P12+AG12,""),VLOOKUP(RIGHT($D12,LEN($D12)-6),'Star Players-Hidden'!$A$3:$AK$87,33,FALSE))</f>
        <v/>
      </c>
      <c r="F12" s="73" t="str">
        <f>IF(LEFT($D12,6)&lt;&gt;"Star: ",IFERROR(VLOOKUP($I$24&amp;$D12,'Database-Hidden'!$C$2:$J$120,5,FALSE)-Q12+AH12,""),VLOOKUP(RIGHT($D12,LEN($D12)-6),'Star Players-Hidden'!$A$3:$AK$87,34,FALSE))</f>
        <v/>
      </c>
      <c r="G12" s="73" t="str">
        <f>IF(LEFT($D12,6)&lt;&gt;"Star: ",IFERROR(VLOOKUP($I$24&amp;$D12,'Database-Hidden'!$C$2:$J$120,6,FALSE)-R12+AI12,""),VLOOKUP(RIGHT($D12,LEN($D12)-6),'Star Players-Hidden'!$A$3:$AK$87,35,FALSE))</f>
        <v/>
      </c>
      <c r="H12" s="75" t="str">
        <f>IF(LEFT($D12,6)&lt;&gt;"Star: ",IFERROR(VLOOKUP($I$24&amp;$D12,'Database-Hidden'!$C$2:$J$120,7,FALSE)-S12+AJ12,""),VLOOKUP(RIGHT($D12,LEN($D12)-6),'Star Players-Hidden'!$A$3:$AK$87,36,FALSE))</f>
        <v/>
      </c>
      <c r="I12" s="76" t="str">
        <f>IF(LEFT($D12,6)&lt;&gt;"Star: ",IFERROR(VLOOKUP($I$24&amp;$D12,'Database-Hidden'!$C$2:$J$120,8,FALSE),""),VLOOKUP(RIGHT($D12,LEN($D12)-6),'Star Players-Hidden'!$A$3:$AK$87,31,FALSE))</f>
        <v/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/>
      <c r="AC12" s="4"/>
      <c r="AD12" s="116" t="str">
        <f>IF(LEFT($D12,6)&lt;&gt;"Star: ",IFERROR(VLOOKUP($I$24&amp;D12,'Database-Hidden'!$C$2:$E$120,3,FALSE),""),VLOOKUP(RIGHT($D12,LEN($D12)-6),'Star Players-Hidden'!$A$3:$AJ$87,32,FALSE))</f>
        <v/>
      </c>
      <c r="AE12" s="138"/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7"/>
      <c r="AW12" s="132"/>
      <c r="AX12" s="132"/>
    </row>
    <row r="13" spans="1:50" ht="12.75">
      <c r="A13" s="2"/>
      <c r="B13" s="70">
        <v>10</v>
      </c>
      <c r="C13" s="71"/>
      <c r="D13" s="72"/>
      <c r="E13" s="73" t="str">
        <f>IF(LEFT($D13,6)&lt;&gt;"Star: ",IFERROR(VLOOKUP($I$24&amp;$D13,'Database-Hidden'!$C$2:$J$120,4,FALSE)-P13+AG13,""),VLOOKUP(RIGHT($D13,LEN($D13)-6),'Star Players-Hidden'!$A$3:$AK$87,33,FALSE))</f>
        <v/>
      </c>
      <c r="F13" s="73" t="str">
        <f>IF(LEFT($D13,6)&lt;&gt;"Star: ",IFERROR(VLOOKUP($I$24&amp;$D13,'Database-Hidden'!$C$2:$J$120,5,FALSE)-Q13+AH13,""),VLOOKUP(RIGHT($D13,LEN($D13)-6),'Star Players-Hidden'!$A$3:$AK$87,34,FALSE))</f>
        <v/>
      </c>
      <c r="G13" s="73" t="str">
        <f>IF(LEFT($D13,6)&lt;&gt;"Star: ",IFERROR(VLOOKUP($I$24&amp;$D13,'Database-Hidden'!$C$2:$J$120,6,FALSE)-R13+AI13,""),VLOOKUP(RIGHT($D13,LEN($D13)-6),'Star Players-Hidden'!$A$3:$AK$87,35,FALSE))</f>
        <v/>
      </c>
      <c r="H13" s="75" t="str">
        <f>IF(LEFT($D13,6)&lt;&gt;"Star: ",IFERROR(VLOOKUP($I$24&amp;$D13,'Database-Hidden'!$C$2:$J$120,7,FALSE)-S13+AJ13,""),VLOOKUP(RIGHT($D13,LEN($D13)-6),'Star Players-Hidden'!$A$3:$AK$87,36,FALSE))</f>
        <v/>
      </c>
      <c r="I13" s="76" t="str">
        <f>IF(LEFT($D13,6)&lt;&gt;"Star: ",IFERROR(VLOOKUP($I$24&amp;$D13,'Database-Hidden'!$C$2:$J$120,8,FALSE),""),VLOOKUP(RIGHT($D13,LEN($D13)-6),'Star Players-Hidden'!$A$3:$AK$87,31,FALSE))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6" t="str">
        <f>IF(LEFT($D13,6)&lt;&gt;"Star: ",IFERROR(VLOOKUP($I$24&amp;D13,'Database-Hidden'!$C$2:$E$120,3,FALSE),""),VLOOKUP(RIGHT($D13,LEN($D13)-6),'Star Players-Hidden'!$A$3:$AJ$87,32,FALSE))</f>
        <v/>
      </c>
      <c r="AE13" s="138"/>
      <c r="AF13" s="92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  <c r="AX13" s="132"/>
    </row>
    <row r="14" spans="1:50" ht="22.5">
      <c r="A14" s="2"/>
      <c r="B14" s="70">
        <v>11</v>
      </c>
      <c r="C14" s="71" t="s">
        <v>448</v>
      </c>
      <c r="D14" s="72" t="s">
        <v>449</v>
      </c>
      <c r="E14" s="73">
        <f>IF(LEFT($D14,6)&lt;&gt;"Star: ",IFERROR(VLOOKUP($I$24&amp;$D14,'Database-Hidden'!$C$2:$J$120,4,FALSE)-P14+AG14,""),VLOOKUP(RIGHT($D14,LEN($D14)-6),'Star Players-Hidden'!$A$3:$AK$87,33,FALSE))</f>
        <v>4</v>
      </c>
      <c r="F14" s="73">
        <f>IF(LEFT($D14,6)&lt;&gt;"Star: ",IFERROR(VLOOKUP($I$24&amp;$D14,'Database-Hidden'!$C$2:$J$120,5,FALSE)-Q14+AH14,""),VLOOKUP(RIGHT($D14,LEN($D14)-6),'Star Players-Hidden'!$A$3:$AK$87,34,FALSE))</f>
        <v>6</v>
      </c>
      <c r="G14" s="73">
        <f>IF(LEFT($D14,6)&lt;&gt;"Star: ",IFERROR(VLOOKUP($I$24&amp;$D14,'Database-Hidden'!$C$2:$J$120,6,FALSE)-R14+AI14,""),VLOOKUP(RIGHT($D14,LEN($D14)-6),'Star Players-Hidden'!$A$3:$AK$87,35,FALSE))</f>
        <v>1</v>
      </c>
      <c r="H14" s="75">
        <f>IF(LEFT($D14,6)&lt;&gt;"Star: ",IFERROR(VLOOKUP($I$24&amp;$D14,'Database-Hidden'!$C$2:$J$120,7,FALSE)-S14+AJ14,""),VLOOKUP(RIGHT($D14,LEN($D14)-6),'Star Players-Hidden'!$A$3:$AK$87,36,FALSE))</f>
        <v>9</v>
      </c>
      <c r="I14" s="306" t="str">
        <f>IF(LEFT($D14,6)&lt;&gt;"Star: ",IFERROR(VLOOKUP($I$24&amp;$D14,'Database-Hidden'!$C$2:$J$120,8,FALSE),""),VLOOKUP(RIGHT($D14,LEN($D14)-6),'Star Players-Hidden'!$A$3:$AK$87,31,FALSE))</f>
        <v>Loner, Grab, Mighty Blow, Regeneration, Throw Team-Mate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307">
        <f t="shared" si="2"/>
        <v>270000</v>
      </c>
      <c r="AC14" s="4"/>
      <c r="AD14" s="116">
        <f>IF(LEFT($D14,6)&lt;&gt;"Star: ",IFERROR(VLOOKUP($I$24&amp;D14,'Database-Hidden'!$C$2:$E$120,3,FALSE),""),VLOOKUP(RIGHT($D14,LEN($D14)-6),'Star Players-Hidden'!$A$3:$AJ$87,32,FALSE))</f>
        <v>270000</v>
      </c>
      <c r="AE14" s="91"/>
      <c r="AF14" s="103"/>
      <c r="AG14" s="103"/>
      <c r="AH14" s="103"/>
      <c r="AI14" s="103"/>
      <c r="AJ14" s="103"/>
      <c r="AK14" s="103"/>
      <c r="AL14" s="253">
        <f>IF(LEFT($D14,6)&lt;&gt;"Star: ","",VLOOKUP(RIGHT($D14,LEN($D14)-6),'Star Players-Hidden'!$A$3:$AK$87,37,FALSE))</f>
        <v>50000</v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  <c r="AX14" s="132"/>
    </row>
    <row r="15" spans="1:50" ht="12.75">
      <c r="A15" s="2"/>
      <c r="B15" s="70">
        <v>12</v>
      </c>
      <c r="C15" s="71"/>
      <c r="D15" s="72"/>
      <c r="E15" s="73" t="str">
        <f>IF(LEFT($D15,6)&lt;&gt;"Star: ",IFERROR(VLOOKUP($I$24&amp;$D15,'Database-Hidden'!$C$2:$J$120,4,FALSE)-P15+AG15,""),VLOOKUP(RIGHT($D15,LEN($D15)-6),'Star Players-Hidden'!$A$3:$AK$87,33,FALSE))</f>
        <v/>
      </c>
      <c r="F15" s="73" t="str">
        <f>IF(LEFT($D15,6)&lt;&gt;"Star: ",IFERROR(VLOOKUP($I$24&amp;$D15,'Database-Hidden'!$C$2:$J$120,5,FALSE)-Q15+AH15,""),VLOOKUP(RIGHT($D15,LEN($D15)-6),'Star Players-Hidden'!$A$3:$AK$87,34,FALSE))</f>
        <v/>
      </c>
      <c r="G15" s="73" t="str">
        <f>IF(LEFT($D15,6)&lt;&gt;"Star: ",IFERROR(VLOOKUP($I$24&amp;$D15,'Database-Hidden'!$C$2:$J$120,6,FALSE)-R15+AI15,""),VLOOKUP(RIGHT($D15,LEN($D15)-6),'Star Players-Hidden'!$A$3:$AK$87,35,FALSE))</f>
        <v/>
      </c>
      <c r="H15" s="75" t="str">
        <f>IF(LEFT($D15,6)&lt;&gt;"Star: ",IFERROR(VLOOKUP($I$24&amp;$D15,'Database-Hidden'!$C$2:$J$120,7,FALSE)-S15+AJ15,""),VLOOKUP(RIGHT($D15,LEN($D15)-6),'Star Players-Hidden'!$A$3:$AK$87,36,FALSE))</f>
        <v/>
      </c>
      <c r="I15" s="76" t="str">
        <f>IF(LEFT($D15,6)&lt;&gt;"Star: ",IFERROR(VLOOKUP($I$24&amp;$D15,'Database-Hidden'!$C$2:$J$120,8,FALSE),""),VLOOKUP(RIGHT($D15,LEN($D15)-6),'Star Players-Hidden'!$A$3:$AK$87,31,FALSE))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6" t="str">
        <f>IF(LEFT($D15,6)&lt;&gt;"Star: ",IFERROR(VLOOKUP($I$24&amp;D15,'Database-Hidden'!$C$2:$E$120,3,FALSE),""),VLOOKUP(RIGHT($D15,LEN($D15)-6),'Star Players-Hidden'!$A$3:$AJ$87,32,FALSE))</f>
        <v/>
      </c>
      <c r="AE15" s="91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  <c r="AX15" s="132"/>
    </row>
    <row r="16" spans="1:50" ht="22.5">
      <c r="A16" s="2"/>
      <c r="B16" s="70">
        <v>13</v>
      </c>
      <c r="C16" s="71"/>
      <c r="D16" s="72" t="s">
        <v>450</v>
      </c>
      <c r="E16" s="73">
        <f>IF(LEFT($D16,6)&lt;&gt;"Star: ",IFERROR(VLOOKUP($I$24&amp;$D16,'Database-Hidden'!$C$2:$J$120,4,FALSE)-P16+AG16,""),VLOOKUP(RIGHT($D16,LEN($D16)-6),'Star Players-Hidden'!$A$3:$AK$87,33,FALSE))</f>
        <v>6</v>
      </c>
      <c r="F16" s="73">
        <f>IF(LEFT($D16,6)&lt;&gt;"Star: ",IFERROR(VLOOKUP($I$24&amp;$D16,'Database-Hidden'!$C$2:$J$120,5,FALSE)-Q16+AH16,""),VLOOKUP(RIGHT($D16,LEN($D16)-6),'Star Players-Hidden'!$A$3:$AK$87,34,FALSE))</f>
        <v>2</v>
      </c>
      <c r="G16" s="73">
        <f>IF(LEFT($D16,6)&lt;&gt;"Star: ",IFERROR(VLOOKUP($I$24&amp;$D16,'Database-Hidden'!$C$2:$J$120,6,FALSE)-R16+AI16,""),VLOOKUP(RIGHT($D16,LEN($D16)-6),'Star Players-Hidden'!$A$3:$AK$87,35,FALSE))</f>
        <v>3</v>
      </c>
      <c r="H16" s="75">
        <f>IF(LEFT($D16,6)&lt;&gt;"Star: ",IFERROR(VLOOKUP($I$24&amp;$D16,'Database-Hidden'!$C$2:$J$120,7,FALSE)-S16+AJ16,""),VLOOKUP(RIGHT($D16,LEN($D16)-6),'Star Players-Hidden'!$A$3:$AK$87,36,FALSE))</f>
        <v>7</v>
      </c>
      <c r="I16" s="76" t="str">
        <f>IF(LEFT($D16,6)&lt;&gt;"Star: ",IFERROR(VLOOKUP($I$24&amp;$D16,'Database-Hidden'!$C$2:$J$120,8,FALSE),""),VLOOKUP(RIGHT($D16,LEN($D16)-6),'Star Players-Hidden'!$A$3:$AK$87,31,FALSE))</f>
        <v>Disturbing Presence, Dodge, Fan Favorite, Right Stuff, Stunty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70000</v>
      </c>
      <c r="AC16" s="4"/>
      <c r="AD16" s="116">
        <f>IF(LEFT($D16,6)&lt;&gt;"Star: ",IFERROR(VLOOKUP($I$24&amp;D16,'Database-Hidden'!$C$2:$E$120,3,FALSE),""),VLOOKUP(RIGHT($D16,LEN($D16)-6),'Star Players-Hidden'!$A$3:$AJ$87,32,FALSE))</f>
        <v>70000</v>
      </c>
      <c r="AE16" s="91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  <c r="AX16" s="132"/>
    </row>
    <row r="17" spans="1:50" ht="12.75">
      <c r="A17" s="2"/>
      <c r="B17" s="70">
        <v>14</v>
      </c>
      <c r="C17" s="71"/>
      <c r="D17" s="72"/>
      <c r="E17" s="73" t="str">
        <f>IF(LEFT($D17,6)&lt;&gt;"Star: ",IFERROR(VLOOKUP($I$24&amp;$D17,'Database-Hidden'!$C$2:$J$120,4,FALSE)-P17+AG17,""),VLOOKUP(RIGHT($D17,LEN($D17)-6),'Star Players-Hidden'!$A$3:$AK$87,33,FALSE))</f>
        <v/>
      </c>
      <c r="F17" s="73" t="str">
        <f>IF(LEFT($D17,6)&lt;&gt;"Star: ",IFERROR(VLOOKUP($I$24&amp;$D17,'Database-Hidden'!$C$2:$J$120,5,FALSE)-Q17+AH17,""),VLOOKUP(RIGHT($D17,LEN($D17)-6),'Star Players-Hidden'!$A$3:$AK$87,34,FALSE))</f>
        <v/>
      </c>
      <c r="G17" s="73" t="str">
        <f>IF(LEFT($D17,6)&lt;&gt;"Star: ",IFERROR(VLOOKUP($I$24&amp;$D17,'Database-Hidden'!$C$2:$J$120,6,FALSE)-R17+AI17,""),VLOOKUP(RIGHT($D17,LEN($D17)-6),'Star Players-Hidden'!$A$3:$AK$87,35,FALSE))</f>
        <v/>
      </c>
      <c r="H17" s="75" t="str">
        <f>IF(LEFT($D17,6)&lt;&gt;"Star: ",IFERROR(VLOOKUP($I$24&amp;$D17,'Database-Hidden'!$C$2:$J$120,7,FALSE)-S17+AJ17,""),VLOOKUP(RIGHT($D17,LEN($D17)-6),'Star Players-Hidden'!$A$3:$AK$87,36,FALSE))</f>
        <v/>
      </c>
      <c r="I17" s="76" t="str">
        <f>IF(LEFT($D17,6)&lt;&gt;"Star: ",IFERROR(VLOOKUP($I$24&amp;$D17,'Database-Hidden'!$C$2:$J$120,8,FALSE),""),VLOOKUP(RIGHT($D17,LEN($D17)-6),'Star Players-Hidden'!$A$3:$AK$87,31,FALSE))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IF(LEFT($D17,6)&lt;&gt;"Star: ",IFERROR(VLOOKUP($I$24&amp;D17,'Database-Hidden'!$C$2:$E$120,3,FALSE),""),VLOOKUP(RIGHT($D17,LEN($D17)-6),'Star Players-Hidden'!$A$3:$AJ$87,32,FALSE))</f>
        <v/>
      </c>
      <c r="AE17" s="91"/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  <c r="AX17" s="132"/>
    </row>
    <row r="18" spans="1:50" ht="33.75">
      <c r="A18" s="2"/>
      <c r="B18" s="70">
        <v>15</v>
      </c>
      <c r="C18" s="71"/>
      <c r="D18" s="72" t="s">
        <v>212</v>
      </c>
      <c r="E18" s="73">
        <f>IF(LEFT($D18,6)&lt;&gt;"Star: ",IFERROR(VLOOKUP($I$24&amp;$D18,'Database-Hidden'!$C$2:$J$120,4,FALSE)-P18+AG18,""),VLOOKUP(RIGHT($D18,LEN($D18)-6),'Star Players-Hidden'!$A$3:$AK$87,33,FALSE))</f>
        <v>4</v>
      </c>
      <c r="F18" s="73">
        <f>IF(LEFT($D18,6)&lt;&gt;"Star: ",IFERROR(VLOOKUP($I$24&amp;$D18,'Database-Hidden'!$C$2:$J$120,5,FALSE)-Q18+AH18,""),VLOOKUP(RIGHT($D18,LEN($D18)-6),'Star Players-Hidden'!$A$3:$AK$87,34,FALSE))</f>
        <v>5</v>
      </c>
      <c r="G18" s="73">
        <f>IF(LEFT($D18,6)&lt;&gt;"Star: ",IFERROR(VLOOKUP($I$24&amp;$D18,'Database-Hidden'!$C$2:$J$120,6,FALSE)-R18+AI18,""),VLOOKUP(RIGHT($D18,LEN($D18)-6),'Star Players-Hidden'!$A$3:$AK$87,35,FALSE))</f>
        <v>1</v>
      </c>
      <c r="H18" s="75">
        <f>IF(LEFT($D18,6)&lt;&gt;"Star: ",IFERROR(VLOOKUP($I$24&amp;$D18,'Database-Hidden'!$C$2:$J$120,7,FALSE)-S18+AJ18,""),VLOOKUP(RIGHT($D18,LEN($D18)-6),'Star Players-Hidden'!$A$3:$AK$87,36,FALSE))</f>
        <v>9</v>
      </c>
      <c r="I18" s="76" t="str">
        <f>IF(LEFT($D18,6)&lt;&gt;"Star: ",IFERROR(VLOOKUP($I$24&amp;$D18,'Database-Hidden'!$C$2:$J$120,8,FALSE),""),VLOOKUP(RIGHT($D18,LEN($D18)-6),'Star Players-Hidden'!$A$3:$AK$87,31,FALSE))</f>
        <v>Loner, Always Hungry, Mighty Blow, Really Stupid, Regeneration, Throw Team-mate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>
        <f t="shared" si="2"/>
        <v>110000</v>
      </c>
      <c r="AC18" s="4"/>
      <c r="AD18" s="116">
        <f>IF(LEFT($D18,6)&lt;&gt;"Star: ",IFERROR(VLOOKUP($I$24&amp;D18,'Database-Hidden'!$C$2:$E$120,3,FALSE),""),VLOOKUP(RIGHT($D18,LEN($D18)-6),'Star Players-Hidden'!$A$3:$AJ$87,32,FALSE))</f>
        <v>110000</v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10000</v>
      </c>
      <c r="AP18" s="4"/>
      <c r="AQ18" s="4"/>
      <c r="AR18" s="67"/>
      <c r="AS18" s="148" t="s">
        <v>42</v>
      </c>
      <c r="AT18" s="150">
        <f t="shared" ref="AT18:AU18" si="3">SUM(AT6:AT17)</f>
        <v>0</v>
      </c>
      <c r="AU18" s="151">
        <f t="shared" si="3"/>
        <v>0</v>
      </c>
      <c r="AV18" s="152">
        <f>AV4+SUM(AV6:AV17)</f>
        <v>0</v>
      </c>
      <c r="AW18" s="5"/>
      <c r="AX18" s="5"/>
    </row>
    <row r="19" spans="1:50" ht="33.75">
      <c r="A19" s="2"/>
      <c r="B19" s="153">
        <v>16</v>
      </c>
      <c r="C19" s="154"/>
      <c r="D19" s="155" t="s">
        <v>212</v>
      </c>
      <c r="E19" s="156">
        <f>IF(LEFT($D19,6)&lt;&gt;"Star: ",IFERROR(VLOOKUP($I$24&amp;$D19,'Database-Hidden'!$C$2:$J$120,4,FALSE)-P19+AG19,""),VLOOKUP(RIGHT($D19,LEN($D19)-6),'Star Players-Hidden'!$A$3:$AK$87,33,FALSE))</f>
        <v>4</v>
      </c>
      <c r="F19" s="156">
        <f>IF(LEFT($D19,6)&lt;&gt;"Star: ",IFERROR(VLOOKUP($I$24&amp;$D19,'Database-Hidden'!$C$2:$J$120,5,FALSE)-Q19+AH19,""),VLOOKUP(RIGHT($D19,LEN($D19)-6),'Star Players-Hidden'!$A$3:$AK$87,34,FALSE))</f>
        <v>5</v>
      </c>
      <c r="G19" s="156">
        <f>IF(LEFT($D19,6)&lt;&gt;"Star: ",IFERROR(VLOOKUP($I$24&amp;$D19,'Database-Hidden'!$C$2:$J$120,6,FALSE)-R19+AI19,""),VLOOKUP(RIGHT($D19,LEN($D19)-6),'Star Players-Hidden'!$A$3:$AK$87,35,FALSE))</f>
        <v>1</v>
      </c>
      <c r="H19" s="159">
        <f>IF(LEFT($D19,6)&lt;&gt;"Star: ",IFERROR(VLOOKUP($I$24&amp;$D19,'Database-Hidden'!$C$2:$J$120,7,FALSE)-S19+AJ19,""),VLOOKUP(RIGHT($D19,LEN($D19)-6),'Star Players-Hidden'!$A$3:$AK$87,36,FALSE))</f>
        <v>9</v>
      </c>
      <c r="I19" s="160" t="str">
        <f>IF(LEFT($D19,6)&lt;&gt;"Star: ",IFERROR(VLOOKUP($I$24&amp;$D19,'Database-Hidden'!$C$2:$J$120,8,FALSE),""),VLOOKUP(RIGHT($D19,LEN($D19)-6),'Star Players-Hidden'!$A$3:$AK$87,31,FALSE))</f>
        <v>Loner, Always Hungry, Mighty Blow, Really Stupid, Regeneration, Throw Team-mate</v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>
        <f t="shared" si="2"/>
        <v>110000</v>
      </c>
      <c r="AC19" s="4"/>
      <c r="AD19" s="174">
        <f>IF(LEFT($D19,6)&lt;&gt;"Star: ",IFERROR(VLOOKUP($I$24&amp;D19,'Database-Hidden'!$C$2:$E$120,3,FALSE),""),VLOOKUP(RIGHT($D19,LEN($D19)-6),'Star Players-Hidden'!$A$3:$AJ$87,32,FALSE))</f>
        <v>110000</v>
      </c>
      <c r="AE19" s="175"/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880000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38" t="s">
        <v>117</v>
      </c>
      <c r="F21" s="507"/>
      <c r="G21" s="507"/>
      <c r="H21" s="539"/>
      <c r="I21" s="536" t="s">
        <v>451</v>
      </c>
      <c r="J21" s="507"/>
      <c r="K21" s="53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IFERROR(VLOOKUP(I24,'Database-Hidden'!N2:O28,2,FALSE),"")</f>
        <v>60000</v>
      </c>
      <c r="W21" s="525"/>
      <c r="X21" s="525"/>
      <c r="Y21" s="525"/>
      <c r="Z21" s="525"/>
      <c r="AA21" s="528"/>
      <c r="AB21" s="184">
        <f t="shared" ref="AB21:AB25" si="4">T21*V21</f>
        <v>180000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07"/>
      <c r="F22" s="507"/>
      <c r="G22" s="507"/>
      <c r="H22" s="539"/>
      <c r="I22" s="531"/>
      <c r="J22" s="507"/>
      <c r="K22" s="532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0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10000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5"/>
      <c r="F23" s="525"/>
      <c r="G23" s="525"/>
      <c r="H23" s="540"/>
      <c r="I23" s="537"/>
      <c r="J23" s="525"/>
      <c r="K23" s="528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126</v>
      </c>
      <c r="F24" s="509"/>
      <c r="G24" s="509"/>
      <c r="H24" s="512"/>
      <c r="I24" s="543" t="s">
        <v>150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29" t="str">
        <f>IFERROR(IF(VLOOKUP(I24,'Database-Hidden'!X2:Y28,2,FALSE)="Yes","NECROMANCER","HEAD COACH"),"HEAD COACH")</f>
        <v>HEAD COACH</v>
      </c>
      <c r="F25" s="509"/>
      <c r="G25" s="509"/>
      <c r="H25" s="512"/>
      <c r="I25" s="543" t="s">
        <v>453</v>
      </c>
      <c r="J25" s="509"/>
      <c r="K25" s="510"/>
      <c r="L25" s="511" t="str">
        <f>IFERROR(IF(VLOOKUP(I24,'Database-Hidden'!X2:Y28,1,FALSE)&lt;&gt;"","",""),"APOTHECARY")</f>
        <v>APOTHECARY</v>
      </c>
      <c r="M25" s="509"/>
      <c r="N25" s="509"/>
      <c r="O25" s="509"/>
      <c r="P25" s="509"/>
      <c r="Q25" s="509"/>
      <c r="R25" s="509"/>
      <c r="S25" s="512"/>
      <c r="T25" s="190">
        <v>0</v>
      </c>
      <c r="U25" s="186" t="str">
        <f>IF(L25&lt;&gt;"","x","")</f>
        <v>x</v>
      </c>
      <c r="V25" s="508">
        <f>IF(L25&lt;&gt;"",50000,"")</f>
        <v>50000</v>
      </c>
      <c r="W25" s="509"/>
      <c r="X25" s="509"/>
      <c r="Y25" s="509"/>
      <c r="Z25" s="509"/>
      <c r="AA25" s="510"/>
      <c r="AB25" s="187">
        <f t="shared" si="4"/>
        <v>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1"/>
      <c r="C26" s="507"/>
      <c r="D26" s="532"/>
      <c r="E26" s="529" t="s">
        <v>131</v>
      </c>
      <c r="F26" s="509"/>
      <c r="G26" s="509"/>
      <c r="H26" s="509"/>
      <c r="I26" s="548">
        <f>AB20+AB28</f>
        <v>1060000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0</v>
      </c>
      <c r="U26" s="186" t="s">
        <v>47</v>
      </c>
      <c r="V26" s="508">
        <f>IF(I24="Halfling",200000,600000)</f>
        <v>600000</v>
      </c>
      <c r="W26" s="509"/>
      <c r="X26" s="509"/>
      <c r="Y26" s="509"/>
      <c r="Z26" s="509"/>
      <c r="AA26" s="510"/>
      <c r="AB26" s="187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12.75">
      <c r="A27" s="2"/>
      <c r="B27" s="531"/>
      <c r="C27" s="507"/>
      <c r="D27" s="532"/>
      <c r="E27" s="541" t="s">
        <v>133</v>
      </c>
      <c r="F27" s="542"/>
      <c r="G27" s="542"/>
      <c r="H27" s="542"/>
      <c r="I27" s="549">
        <f>AO18</f>
        <v>10000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0</v>
      </c>
      <c r="U27" s="199" t="s">
        <v>47</v>
      </c>
      <c r="V27" s="546">
        <f>IF(I24="Goblin",100000,200000)</f>
        <v>100000</v>
      </c>
      <c r="W27" s="542"/>
      <c r="X27" s="542"/>
      <c r="Y27" s="542"/>
      <c r="Z27" s="542"/>
      <c r="AA27" s="547"/>
      <c r="AB27" s="187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2.75">
      <c r="A28" s="2"/>
      <c r="B28" s="533"/>
      <c r="C28" s="534"/>
      <c r="D28" s="535"/>
      <c r="E28" s="522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SUM(AB21:AB25)</f>
        <v>180000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17.25" hidden="1" customHeight="1">
      <c r="C30" s="209">
        <f>MATCH(I24,'Database-Hidden'!A2:A120,0)</f>
        <v>40</v>
      </c>
      <c r="D30" s="209" t="str">
        <f t="shared" ref="D30:D39" si="6">I30&amp;IF(COUNTIF(D$4:D$19,I30)&gt;E30," (Too Many)","")</f>
        <v>Doom Diver</v>
      </c>
      <c r="E30" s="210">
        <f t="array" ref="E30">IFERROR(IF(INDEX('Database-Hidden'!$A$2:$B$120,$C30,1)=$I$24,INDEX('Database-Hidden'!$A$2:$D$120,$C30,4),""),"")</f>
        <v>1</v>
      </c>
      <c r="I30" s="209" t="str">
        <f t="array" ref="I30">IFERROR(IF(INDEX('Database-Hidden'!$A$2:$B$120,$C30,1)=$I$24,INDEX('Database-Hidden'!$A$2:$B$120,$C30,2),""),"")</f>
        <v>Doom Diver</v>
      </c>
    </row>
    <row r="31" spans="1:50" ht="17.25" hidden="1" customHeight="1">
      <c r="C31" s="209">
        <f t="shared" ref="C31:C39" si="7">C30+1</f>
        <v>41</v>
      </c>
      <c r="D31" s="209" t="str">
        <f t="shared" si="6"/>
        <v>Goblin</v>
      </c>
      <c r="E31" s="210">
        <f t="array" ref="E31">IFERROR(IF(INDEX('Database-Hidden'!$A$2:$B$120,$C31,1)=$I$24,INDEX('Database-Hidden'!$A$2:$D$120,$C31,4),""),"")</f>
        <v>16</v>
      </c>
      <c r="I31" s="209" t="str">
        <f t="array" ref="I31">IFERROR(IF(INDEX('Database-Hidden'!$A$2:$B$120,$C31,1)=$I$24,INDEX('Database-Hidden'!$A$2:$B$120,$C31,2),""),"")</f>
        <v>Goblin</v>
      </c>
    </row>
    <row r="32" spans="1:50" ht="17.25" hidden="1" customHeight="1">
      <c r="C32" s="209">
        <f t="shared" si="7"/>
        <v>42</v>
      </c>
      <c r="D32" s="209" t="str">
        <f t="shared" si="6"/>
        <v>Bomma</v>
      </c>
      <c r="E32" s="210">
        <f t="array" ref="E32">IFERROR(IF(INDEX('Database-Hidden'!$A$2:$B$120,$C32,1)=$I$24,INDEX('Database-Hidden'!$A$2:$D$120,$C32,4),""),"")</f>
        <v>1</v>
      </c>
      <c r="I32" s="209" t="str">
        <f t="array" ref="I32">IFERROR(IF(INDEX('Database-Hidden'!$A$2:$B$120,$C32,1)=$I$24,INDEX('Database-Hidden'!$A$2:$B$120,$C32,2),""),"")</f>
        <v>Bomma</v>
      </c>
    </row>
    <row r="33" spans="3:9" ht="17.25" hidden="1" customHeight="1">
      <c r="C33" s="209">
        <f t="shared" si="7"/>
        <v>43</v>
      </c>
      <c r="D33" s="209" t="str">
        <f t="shared" si="6"/>
        <v>Looney</v>
      </c>
      <c r="E33" s="210">
        <f t="array" ref="E33">IFERROR(IF(INDEX('Database-Hidden'!$A$2:$B$120,$C33,1)=$I$24,INDEX('Database-Hidden'!$A$2:$D$120,$C33,4),""),"")</f>
        <v>1</v>
      </c>
      <c r="I33" s="209" t="str">
        <f t="array" ref="I33">IFERROR(IF(INDEX('Database-Hidden'!$A$2:$B$120,$C33,1)=$I$24,INDEX('Database-Hidden'!$A$2:$B$120,$C33,2),""),"")</f>
        <v>Looney</v>
      </c>
    </row>
    <row r="34" spans="3:9" ht="17.25" hidden="1" customHeight="1">
      <c r="C34" s="209">
        <f t="shared" si="7"/>
        <v>44</v>
      </c>
      <c r="D34" s="209" t="str">
        <f t="shared" si="6"/>
        <v>Fanatic</v>
      </c>
      <c r="E34" s="210">
        <f t="array" ref="E34">IFERROR(IF(INDEX('Database-Hidden'!$A$2:$B$120,$C34,1)=$I$24,INDEX('Database-Hidden'!$A$2:$D$120,$C34,4),""),"")</f>
        <v>1</v>
      </c>
      <c r="I34" s="209" t="str">
        <f t="array" ref="I34">IFERROR(IF(INDEX('Database-Hidden'!$A$2:$B$120,$C34,1)=$I$24,INDEX('Database-Hidden'!$A$2:$B$120,$C34,2),""),"")</f>
        <v>Fanatic</v>
      </c>
    </row>
    <row r="35" spans="3:9" ht="17.25" hidden="1" customHeight="1">
      <c r="C35" s="209">
        <f t="shared" si="7"/>
        <v>45</v>
      </c>
      <c r="D35" s="209" t="str">
        <f t="shared" si="6"/>
        <v>Ooligan</v>
      </c>
      <c r="E35" s="210">
        <f t="array" ref="E35">IFERROR(IF(INDEX('Database-Hidden'!$A$2:$B$120,$C35,1)=$I$24,INDEX('Database-Hidden'!$A$2:$D$120,$C35,4),""),"")</f>
        <v>1</v>
      </c>
      <c r="I35" s="209" t="str">
        <f t="array" ref="I35">IFERROR(IF(INDEX('Database-Hidden'!$A$2:$B$120,$C35,1)=$I$24,INDEX('Database-Hidden'!$A$2:$B$120,$C35,2),""),"")</f>
        <v>Ooligan</v>
      </c>
    </row>
    <row r="36" spans="3:9" ht="17.25" hidden="1" customHeight="1">
      <c r="C36" s="209">
        <f t="shared" si="7"/>
        <v>46</v>
      </c>
      <c r="D36" s="209" t="str">
        <f t="shared" si="6"/>
        <v>Pogoer</v>
      </c>
      <c r="E36" s="210">
        <f t="array" ref="E36">IFERROR(IF(INDEX('Database-Hidden'!$A$2:$B$120,$C36,1)=$I$24,INDEX('Database-Hidden'!$A$2:$D$120,$C36,4),""),"")</f>
        <v>1</v>
      </c>
      <c r="I36" s="209" t="str">
        <f t="array" ref="I36">IFERROR(IF(INDEX('Database-Hidden'!$A$2:$B$120,$C36,1)=$I$24,INDEX('Database-Hidden'!$A$2:$B$120,$C36,2),""),"")</f>
        <v>Pogoer</v>
      </c>
    </row>
    <row r="37" spans="3:9" ht="17.25" hidden="1" customHeight="1">
      <c r="C37" s="209">
        <f t="shared" si="7"/>
        <v>47</v>
      </c>
      <c r="D37" s="209" t="str">
        <f t="shared" si="6"/>
        <v>Troll</v>
      </c>
      <c r="E37" s="210">
        <f t="array" ref="E37">IFERROR(IF(INDEX('Database-Hidden'!$A$2:$B$120,$C37,1)=$I$24,INDEX('Database-Hidden'!$A$2:$D$120,$C37,4),""),"")</f>
        <v>2</v>
      </c>
      <c r="I37" s="209" t="str">
        <f t="array" ref="I37">IFERROR(IF(INDEX('Database-Hidden'!$A$2:$B$120,$C37,1)=$I$24,INDEX('Database-Hidden'!$A$2:$B$120,$C37,2),""),"")</f>
        <v>Troll</v>
      </c>
    </row>
    <row r="38" spans="3:9" ht="17.25" hidden="1" customHeight="1">
      <c r="C38" s="209">
        <f t="shared" si="7"/>
        <v>48</v>
      </c>
      <c r="D38" s="209" t="str">
        <f t="shared" si="6"/>
        <v/>
      </c>
      <c r="E38" s="210" t="str">
        <f t="array" ref="E38">IFERROR(IF(INDEX('Database-Hidden'!$A$2:$B$120,$C38,1)=$I$24,INDEX('Database-Hidden'!$A$2:$D$120,$C38,4),""),"")</f>
        <v/>
      </c>
      <c r="I38" s="209" t="str">
        <f t="array" ref="I38">IFERROR(IF(INDEX('Database-Hidden'!$A$2:$B$120,$C38,1)=$I$24,INDEX('Database-Hidden'!$A$2:$B$120,$C38,2),""),"")</f>
        <v/>
      </c>
    </row>
    <row r="39" spans="3:9" ht="17.25" hidden="1" customHeight="1">
      <c r="C39" s="209">
        <f t="shared" si="7"/>
        <v>49</v>
      </c>
      <c r="D39" s="209" t="str">
        <f t="shared" si="6"/>
        <v/>
      </c>
      <c r="E39" s="210" t="str">
        <f t="array" ref="E39">IFERROR(IF(INDEX('Database-Hidden'!$A$2:$B$120,$C39,1)=$I$24,INDEX('Database-Hidden'!$A$2:$D$120,$C39,4),""),"")</f>
        <v/>
      </c>
      <c r="I39" s="209" t="str">
        <f t="array" ref="I39">IFERROR(IF(INDEX('Database-Hidden'!$A$2:$B$120,$C39,1)=$I$24,INDEX('Database-Hidden'!$A$2:$B$120,$C39,2),""),"")</f>
        <v/>
      </c>
    </row>
    <row r="40" spans="3:9" ht="17.25" hidden="1" customHeight="1">
      <c r="C40" s="211">
        <f>MATCH(I24,'Star Players-Hidden'!D2:AD2,0)</f>
        <v>9</v>
      </c>
      <c r="D40" s="211" t="str">
        <f t="shared" ref="D40:D51" ca="1" si="8">I40&amp;IF(COUNTIF(D$4:D$19,I40)&gt;1," (Too Many)","")</f>
        <v>Star: Bomber Dribblesnot</v>
      </c>
      <c r="E40" s="212"/>
      <c r="F40" s="212"/>
      <c r="G40" s="212"/>
      <c r="H40" s="212"/>
      <c r="I40" s="211" t="str">
        <f ca="1">IFERROR(__xludf.DUMMYFUNCTION("FILTER({""Star: ""&amp;'Star Players-Hidden'!A3:A87},INDEX('Star Players-Hidden'!D3:AD87,0,C40)&lt;&gt;"""",{'Star Players-Hidden'!C3:C87=""""}+{'Star Players-Hidden'!C3:C87=I21})"),"Star: Bomber Dribblesnot")</f>
        <v>Star: Bomber Dribblesnot</v>
      </c>
    </row>
    <row r="41" spans="3:9" ht="17.25" hidden="1" customHeight="1">
      <c r="C41" s="209"/>
      <c r="D41" s="209" t="str">
        <f t="shared" si="8"/>
        <v>Star: Fungus the Loon</v>
      </c>
      <c r="I41" s="213" t="s">
        <v>228</v>
      </c>
    </row>
    <row r="42" spans="3:9" ht="17.25" hidden="1" customHeight="1">
      <c r="C42" s="209"/>
      <c r="D42" s="209" t="str">
        <f t="shared" si="8"/>
        <v>Star: Madcap Miggz</v>
      </c>
      <c r="I42" s="209" t="s">
        <v>229</v>
      </c>
    </row>
    <row r="43" spans="3:9" ht="17.25" hidden="1" customHeight="1">
      <c r="C43" s="209"/>
      <c r="D43" s="209" t="str">
        <f t="shared" si="8"/>
        <v>Star: Morg'n'Thorg</v>
      </c>
      <c r="I43" s="209" t="s">
        <v>144</v>
      </c>
    </row>
    <row r="44" spans="3:9" ht="17.25" hidden="1" customHeight="1">
      <c r="C44" s="209"/>
      <c r="D44" s="209" t="str">
        <f t="shared" si="8"/>
        <v>Star: Nobbla Blackwart</v>
      </c>
      <c r="I44" s="209" t="s">
        <v>230</v>
      </c>
    </row>
    <row r="45" spans="3:9" ht="17.25" hidden="1" customHeight="1">
      <c r="C45" s="209"/>
      <c r="D45" s="209" t="str">
        <f t="shared" si="8"/>
        <v>Star: Ripper Bolgrot</v>
      </c>
      <c r="I45" s="209" t="s">
        <v>449</v>
      </c>
    </row>
    <row r="46" spans="3:9" ht="17.25" hidden="1" customHeight="1">
      <c r="C46" s="209"/>
      <c r="D46" s="209" t="str">
        <f t="shared" si="8"/>
        <v>Star: Scrappa Sorehead</v>
      </c>
      <c r="I46" s="209" t="s">
        <v>231</v>
      </c>
    </row>
    <row r="47" spans="3:9" ht="17.25" hidden="1" customHeight="1">
      <c r="C47" s="209"/>
      <c r="D47" s="209" t="str">
        <f t="shared" si="8"/>
        <v/>
      </c>
      <c r="I47" s="209"/>
    </row>
    <row r="48" spans="3:9" ht="17.25" hidden="1" customHeight="1">
      <c r="C48" s="209"/>
      <c r="D48" s="209" t="str">
        <f t="shared" si="8"/>
        <v/>
      </c>
      <c r="I48" s="209"/>
    </row>
    <row r="49" spans="3:9" ht="17.25" hidden="1" customHeight="1">
      <c r="C49" s="209"/>
      <c r="D49" s="209" t="str">
        <f t="shared" si="8"/>
        <v/>
      </c>
      <c r="I49" s="209"/>
    </row>
    <row r="50" spans="3:9" ht="17.25" hidden="1" customHeight="1">
      <c r="C50" s="209"/>
      <c r="D50" s="209" t="str">
        <f t="shared" si="8"/>
        <v/>
      </c>
      <c r="I50" s="209"/>
    </row>
    <row r="51" spans="3:9" ht="17.25" hidden="1" customHeight="1">
      <c r="C51" s="209"/>
      <c r="D51" s="209" t="str">
        <f t="shared" si="8"/>
        <v/>
      </c>
      <c r="I51" s="209"/>
    </row>
  </sheetData>
  <mergeCells count="31">
    <mergeCell ref="P2:S2"/>
    <mergeCell ref="L22:S22"/>
    <mergeCell ref="L23:S23"/>
    <mergeCell ref="E20:AA20"/>
    <mergeCell ref="AN21:AO21"/>
    <mergeCell ref="V21:AA21"/>
    <mergeCell ref="I21:K23"/>
    <mergeCell ref="L21:S21"/>
    <mergeCell ref="E21:H23"/>
    <mergeCell ref="I26:K26"/>
    <mergeCell ref="E25:H25"/>
    <mergeCell ref="V22:AA22"/>
    <mergeCell ref="V23:AA23"/>
    <mergeCell ref="AR3:AV3"/>
    <mergeCell ref="AN3:AQ3"/>
    <mergeCell ref="B20:D28"/>
    <mergeCell ref="L25:S25"/>
    <mergeCell ref="L26:S26"/>
    <mergeCell ref="L24:S24"/>
    <mergeCell ref="V25:AA25"/>
    <mergeCell ref="V26:AA26"/>
    <mergeCell ref="E26:H26"/>
    <mergeCell ref="E27:H27"/>
    <mergeCell ref="E28:AA28"/>
    <mergeCell ref="V27:AA27"/>
    <mergeCell ref="L27:S27"/>
    <mergeCell ref="V24:AA24"/>
    <mergeCell ref="E24:H24"/>
    <mergeCell ref="I25:K25"/>
    <mergeCell ref="I24:K24"/>
    <mergeCell ref="I27:K27"/>
  </mergeCells>
  <conditionalFormatting sqref="J4">
    <cfRule type="expression" dxfId="290" priority="1">
      <formula>K4&lt;&gt;SUM(AE4:AJ4)</formula>
    </cfRule>
  </conditionalFormatting>
  <conditionalFormatting sqref="K4:K19">
    <cfRule type="cellIs" dxfId="289" priority="2" operator="equal">
      <formula>0</formula>
    </cfRule>
  </conditionalFormatting>
  <conditionalFormatting sqref="AB4:AB19">
    <cfRule type="cellIs" dxfId="288" priority="3" operator="equal">
      <formula>0</formula>
    </cfRule>
  </conditionalFormatting>
  <conditionalFormatting sqref="E4:I19">
    <cfRule type="expression" dxfId="287" priority="4">
      <formula>AG4&gt;0</formula>
    </cfRule>
  </conditionalFormatting>
  <conditionalFormatting sqref="E4:I19">
    <cfRule type="expression" dxfId="286" priority="5">
      <formula>P4&gt;0</formula>
    </cfRule>
  </conditionalFormatting>
  <conditionalFormatting sqref="T4:W19 Z4:Z19 U29">
    <cfRule type="cellIs" dxfId="285" priority="6" stopIfTrue="1" operator="equal">
      <formula>0</formula>
    </cfRule>
  </conditionalFormatting>
  <conditionalFormatting sqref="K4:K19">
    <cfRule type="cellIs" dxfId="284" priority="7" stopIfTrue="1" operator="equal">
      <formula>"n/a"</formula>
    </cfRule>
  </conditionalFormatting>
  <conditionalFormatting sqref="P4:S19">
    <cfRule type="cellIs" dxfId="283" priority="8" stopIfTrue="1" operator="lessThanOrEqual">
      <formula>-1</formula>
    </cfRule>
  </conditionalFormatting>
  <conditionalFormatting sqref="V25:W27">
    <cfRule type="cellIs" dxfId="282" priority="9" stopIfTrue="1" operator="equal">
      <formula>-500</formula>
    </cfRule>
  </conditionalFormatting>
  <conditionalFormatting sqref="T25:T27">
    <cfRule type="cellIs" dxfId="281" priority="10" stopIfTrue="1" operator="greaterThan">
      <formula>$V$25</formula>
    </cfRule>
  </conditionalFormatting>
  <conditionalFormatting sqref="AA4:AA19">
    <cfRule type="cellIs" dxfId="280" priority="11" stopIfTrue="1" operator="equal">
      <formula>"Star"</formula>
    </cfRule>
  </conditionalFormatting>
  <conditionalFormatting sqref="AA4:AA19">
    <cfRule type="cellIs" dxfId="279" priority="12" stopIfTrue="1" operator="equal">
      <formula>AB4</formula>
    </cfRule>
  </conditionalFormatting>
  <conditionalFormatting sqref="I4:I19">
    <cfRule type="cellIs" dxfId="278" priority="13" stopIfTrue="1" operator="equal">
      <formula>0</formula>
    </cfRule>
  </conditionalFormatting>
  <conditionalFormatting sqref="I4:I19">
    <cfRule type="cellIs" dxfId="277" priority="14" stopIfTrue="1" operator="equal">
      <formula>"Player type quantity surpassed"</formula>
    </cfRule>
  </conditionalFormatting>
  <conditionalFormatting sqref="J5">
    <cfRule type="expression" dxfId="276" priority="15">
      <formula>K5&lt;&gt;SUM(AE5:AJ5)</formula>
    </cfRule>
  </conditionalFormatting>
  <conditionalFormatting sqref="J6">
    <cfRule type="expression" dxfId="275" priority="16">
      <formula>K6&lt;&gt;SUM(AE6:AJ6)</formula>
    </cfRule>
  </conditionalFormatting>
  <conditionalFormatting sqref="J7">
    <cfRule type="expression" dxfId="274" priority="17">
      <formula>K7&lt;&gt;SUM(AE7:AJ7)</formula>
    </cfRule>
  </conditionalFormatting>
  <conditionalFormatting sqref="J8">
    <cfRule type="expression" dxfId="273" priority="18">
      <formula>K8&lt;&gt;SUM(AE8:AJ8)</formula>
    </cfRule>
  </conditionalFormatting>
  <conditionalFormatting sqref="J9">
    <cfRule type="expression" dxfId="272" priority="19">
      <formula>K9&lt;&gt;SUM(AE9:AJ9)</formula>
    </cfRule>
  </conditionalFormatting>
  <conditionalFormatting sqref="J10">
    <cfRule type="expression" dxfId="271" priority="20">
      <formula>K10&lt;&gt;SUM(AE10:AJ10)</formula>
    </cfRule>
  </conditionalFormatting>
  <conditionalFormatting sqref="J11">
    <cfRule type="expression" dxfId="270" priority="21">
      <formula>K11&lt;&gt;SUM(AE11:AJ11)</formula>
    </cfRule>
  </conditionalFormatting>
  <conditionalFormatting sqref="J12">
    <cfRule type="expression" dxfId="269" priority="22">
      <formula>K12&lt;&gt;SUM(AE12:AJ12)</formula>
    </cfRule>
  </conditionalFormatting>
  <conditionalFormatting sqref="J13">
    <cfRule type="expression" dxfId="268" priority="23">
      <formula>K13&lt;&gt;SUM(AE13:AJ13)</formula>
    </cfRule>
  </conditionalFormatting>
  <conditionalFormatting sqref="J14">
    <cfRule type="expression" dxfId="267" priority="24">
      <formula>K14&lt;&gt;SUM(AE14:AJ14)</formula>
    </cfRule>
  </conditionalFormatting>
  <conditionalFormatting sqref="J15">
    <cfRule type="expression" dxfId="266" priority="25">
      <formula>K15&lt;&gt;SUM(AE15:AJ15)</formula>
    </cfRule>
  </conditionalFormatting>
  <conditionalFormatting sqref="J16">
    <cfRule type="expression" dxfId="265" priority="26">
      <formula>K16&lt;&gt;SUM(AE16:AJ16)</formula>
    </cfRule>
  </conditionalFormatting>
  <conditionalFormatting sqref="J17">
    <cfRule type="expression" dxfId="264" priority="27">
      <formula>K17&lt;&gt;SUM(AE17:AJ17)</formula>
    </cfRule>
  </conditionalFormatting>
  <conditionalFormatting sqref="J18">
    <cfRule type="expression" dxfId="263" priority="28">
      <formula>K18&lt;&gt;SUM(AE18:AJ18)</formula>
    </cfRule>
  </conditionalFormatting>
  <conditionalFormatting sqref="J19">
    <cfRule type="expression" dxfId="262" priority="29">
      <formula>K19&lt;&gt;SUM(AE19:AJ19)</formula>
    </cfRule>
  </conditionalFormatting>
  <dataValidations count="3">
    <dataValidation type="list" allowBlank="1" showErrorMessage="1" sqref="D4:D19">
      <formula1>'NM1'!$D$28:$D$49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scale="72" pageOrder="overThenDown" orientation="landscape" cellComments="atEnd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/>
      <c r="D4" s="42" t="s">
        <v>113</v>
      </c>
      <c r="E4" s="43">
        <f>IFERROR(VLOOKUP($I$22&amp;$D4,'Database-Hidden'!$C$2:$J$120,4,FALSE)-P4+AG4,"")</f>
        <v>8</v>
      </c>
      <c r="F4" s="44">
        <f>IFERROR(VLOOKUP($I$22&amp;$D4,'Database-Hidden'!$C$2:$J$120,5,FALSE)-Q4+AH4,"")</f>
        <v>2</v>
      </c>
      <c r="G4" s="44">
        <f>IFERROR(VLOOKUP($I$22&amp;$D4,'Database-Hidden'!$C$2:$J$120,6,FALSE)-R4+AI4,"")</f>
        <v>3</v>
      </c>
      <c r="H4" s="45">
        <f>IFERROR(VLOOKUP($I$22&amp;$D4,'Database-Hidden'!$C$2:$J$120,7,FALSE)-S4+AJ4,"")</f>
        <v>7</v>
      </c>
      <c r="I4" s="46" t="str">
        <f>IFERROR(VLOOKUP($I$22&amp;$D4,'Database-Hidden'!$C$2:$J$120,8,FALSE),"")</f>
        <v>Dodge, Catch</v>
      </c>
      <c r="J4" s="47"/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2</v>
      </c>
      <c r="W4" s="55"/>
      <c r="X4" s="52"/>
      <c r="Y4" s="52"/>
      <c r="Z4" s="56"/>
      <c r="AA4" s="89">
        <f t="shared" ref="AA4:AA19" si="1">2*T4+U4+3*V4+2*W4+5*Z4</f>
        <v>6</v>
      </c>
      <c r="AB4" s="58">
        <f t="shared" ref="AB4:AB15" si="2">IF(L4=1,0,AD4+(20000*O4)+(20000*AE4)+(30000*AF4)+(30000*AG4)+(50000*AH4)+(40000*AI4)+(50000*AJ4)+AK4)</f>
        <v>60000</v>
      </c>
      <c r="AC4" s="4"/>
      <c r="AD4" s="59">
        <f>IFERROR(VLOOKUP($I$22&amp;D4,'Database-Hidden'!$C$2:$E$120,3,FALSE),"")</f>
        <v>60000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30000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  <c r="AX4" s="69"/>
    </row>
    <row r="5" spans="1:50" ht="12.75">
      <c r="A5" s="2"/>
      <c r="B5" s="70">
        <v>2</v>
      </c>
      <c r="C5" s="71" t="s">
        <v>444</v>
      </c>
      <c r="D5" s="72" t="s">
        <v>113</v>
      </c>
      <c r="E5" s="73">
        <f>IFERROR(VLOOKUP($I$22&amp;$D5,'Database-Hidden'!$C$2:$J$120,4,FALSE)-P5+AG5,"")</f>
        <v>8</v>
      </c>
      <c r="F5" s="74">
        <f>IFERROR(VLOOKUP($I$22&amp;$D5,'Database-Hidden'!$C$2:$J$120,5,FALSE)-Q5+AH5,"")</f>
        <v>2</v>
      </c>
      <c r="G5" s="74">
        <f>IFERROR(VLOOKUP($I$22&amp;$D5,'Database-Hidden'!$C$2:$J$120,6,FALSE)-R5+AI5,"")</f>
        <v>4</v>
      </c>
      <c r="H5" s="75">
        <f>IFERROR(VLOOKUP($I$22&amp;$D5,'Database-Hidden'!$C$2:$J$120,7,FALSE)-S5+AJ5,"")</f>
        <v>7</v>
      </c>
      <c r="I5" s="76" t="str">
        <f>IFERROR(VLOOKUP($I$22&amp;$D5,'Database-Hidden'!$C$2:$J$120,8,FALSE),"")</f>
        <v>Dodge, Catch</v>
      </c>
      <c r="J5" s="77" t="s">
        <v>445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>
        <v>3</v>
      </c>
      <c r="W5" s="87">
        <v>1</v>
      </c>
      <c r="X5" s="83"/>
      <c r="Y5" s="83"/>
      <c r="Z5" s="88"/>
      <c r="AA5" s="89">
        <f t="shared" si="1"/>
        <v>11</v>
      </c>
      <c r="AB5" s="58">
        <f t="shared" si="2"/>
        <v>100000</v>
      </c>
      <c r="AC5" s="4"/>
      <c r="AD5" s="90">
        <f>IFERROR(VLOOKUP($I$22&amp;D5,'Database-Hidden'!$C$2:$E$120,3,FALSE),"")</f>
        <v>60000</v>
      </c>
      <c r="AE5" s="91"/>
      <c r="AF5" s="92"/>
      <c r="AG5" s="92"/>
      <c r="AH5" s="92"/>
      <c r="AI5" s="92">
        <v>1</v>
      </c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101"/>
      <c r="D6" s="72" t="s">
        <v>108</v>
      </c>
      <c r="E6" s="73">
        <f>IFERROR(VLOOKUP($I$22&amp;$D6,'Database-Hidden'!$C$2:$J$120,4,FALSE)-P6+AG6,"")</f>
        <v>6</v>
      </c>
      <c r="F6" s="74">
        <f>IFERROR(VLOOKUP($I$22&amp;$D6,'Database-Hidden'!$C$2:$J$120,5,FALSE)-Q6+AH6,"")</f>
        <v>3</v>
      </c>
      <c r="G6" s="74">
        <f>IFERROR(VLOOKUP($I$22&amp;$D6,'Database-Hidden'!$C$2:$J$120,6,FALSE)-R6+AI6,"")</f>
        <v>3</v>
      </c>
      <c r="H6" s="75">
        <f>IFERROR(VLOOKUP($I$22&amp;$D6,'Database-Hidden'!$C$2:$J$120,7,FALSE)-S6+AJ6,"")</f>
        <v>8</v>
      </c>
      <c r="I6" s="76" t="str">
        <f>IFERROR(VLOOKUP($I$22&amp;$D6,'Database-Hidden'!$C$2:$J$120,8,FALSE),"")</f>
        <v>Pass, Sure Hands</v>
      </c>
      <c r="J6" s="77" t="s">
        <v>446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7">
        <v>1</v>
      </c>
      <c r="X6" s="83"/>
      <c r="Y6" s="83"/>
      <c r="Z6" s="88">
        <v>1</v>
      </c>
      <c r="AA6" s="89">
        <f t="shared" si="1"/>
        <v>7</v>
      </c>
      <c r="AB6" s="58">
        <f t="shared" si="2"/>
        <v>90000</v>
      </c>
      <c r="AC6" s="4"/>
      <c r="AD6" s="90">
        <f>IFERROR(VLOOKUP($I$22&amp;D6,'Database-Hidden'!$C$2:$E$120,3,FALSE),"")</f>
        <v>70000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50000</v>
      </c>
      <c r="AP6" s="106">
        <v>50000</v>
      </c>
      <c r="AQ6" s="107"/>
      <c r="AR6" s="108" t="s">
        <v>46</v>
      </c>
      <c r="AS6" s="110" t="s">
        <v>84</v>
      </c>
      <c r="AT6" s="112">
        <v>2</v>
      </c>
      <c r="AU6" s="113">
        <v>1</v>
      </c>
      <c r="AV6" s="281">
        <v>1</v>
      </c>
      <c r="AW6" s="115"/>
      <c r="AX6" s="115"/>
    </row>
    <row r="7" spans="1:50" ht="12.75">
      <c r="A7" s="2"/>
      <c r="B7" s="70">
        <v>4</v>
      </c>
      <c r="C7" s="71" t="s">
        <v>447</v>
      </c>
      <c r="D7" s="72" t="s">
        <v>108</v>
      </c>
      <c r="E7" s="73">
        <f>IFERROR(VLOOKUP($I$22&amp;$D7,'Database-Hidden'!$C$2:$J$120,4,FALSE)-P7+AG7,"")</f>
        <v>6</v>
      </c>
      <c r="F7" s="74">
        <f>IFERROR(VLOOKUP($I$22&amp;$D7,'Database-Hidden'!$C$2:$J$120,5,FALSE)-Q7+AH7,"")</f>
        <v>3</v>
      </c>
      <c r="G7" s="74">
        <f>IFERROR(VLOOKUP($I$22&amp;$D7,'Database-Hidden'!$C$2:$J$120,6,FALSE)-R7+AI7,"")</f>
        <v>3</v>
      </c>
      <c r="H7" s="75">
        <f>IFERROR(VLOOKUP($I$22&amp;$D7,'Database-Hidden'!$C$2:$J$120,7,FALSE)-S7+AJ7,"")</f>
        <v>8</v>
      </c>
      <c r="I7" s="76" t="str">
        <f>IFERROR(VLOOKUP($I$22&amp;$D7,'Database-Hidden'!$C$2:$J$120,8,FALSE),"")</f>
        <v>Pass, Sure Hands</v>
      </c>
      <c r="J7" s="77" t="s">
        <v>446</v>
      </c>
      <c r="K7" s="78">
        <f t="shared" si="0"/>
        <v>1</v>
      </c>
      <c r="L7" s="79"/>
      <c r="M7" s="79"/>
      <c r="N7" s="80"/>
      <c r="O7" s="81"/>
      <c r="P7" s="82"/>
      <c r="Q7" s="83"/>
      <c r="R7" s="83"/>
      <c r="S7" s="84"/>
      <c r="T7" s="85"/>
      <c r="U7" s="87">
        <v>3</v>
      </c>
      <c r="V7" s="86"/>
      <c r="W7" s="87"/>
      <c r="X7" s="83"/>
      <c r="Y7" s="83"/>
      <c r="Z7" s="88">
        <v>1</v>
      </c>
      <c r="AA7" s="89">
        <f t="shared" si="1"/>
        <v>8</v>
      </c>
      <c r="AB7" s="58">
        <f t="shared" si="2"/>
        <v>90000</v>
      </c>
      <c r="AC7" s="4"/>
      <c r="AD7" s="116">
        <f>IFERROR(VLOOKUP($I$22&amp;D7,'Database-Hidden'!$C$2:$E$120,3,FALSE),"")</f>
        <v>70000</v>
      </c>
      <c r="AE7" s="91">
        <v>1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60000</v>
      </c>
      <c r="AP7" s="121"/>
      <c r="AQ7" s="122"/>
      <c r="AR7" s="134" t="s">
        <v>37</v>
      </c>
      <c r="AS7" s="126" t="s">
        <v>84</v>
      </c>
      <c r="AT7" s="128">
        <v>3</v>
      </c>
      <c r="AU7" s="130">
        <v>0</v>
      </c>
      <c r="AV7" s="135">
        <v>1</v>
      </c>
      <c r="AW7" s="132"/>
      <c r="AX7" s="132"/>
    </row>
    <row r="8" spans="1:50" ht="12.75">
      <c r="A8" s="2"/>
      <c r="B8" s="70">
        <v>5</v>
      </c>
      <c r="C8" s="101"/>
      <c r="D8" s="72" t="s">
        <v>101</v>
      </c>
      <c r="E8" s="73">
        <f>IFERROR(VLOOKUP($I$22&amp;$D8,'Database-Hidden'!$C$2:$J$120,4,FALSE)-P8+AG8,"")</f>
        <v>7</v>
      </c>
      <c r="F8" s="74">
        <f>IFERROR(VLOOKUP($I$22&amp;$D8,'Database-Hidden'!$C$2:$J$120,5,FALSE)-Q8+AH8,"")</f>
        <v>3</v>
      </c>
      <c r="G8" s="74">
        <f>IFERROR(VLOOKUP($I$22&amp;$D8,'Database-Hidden'!$C$2:$J$120,6,FALSE)-R8+AI8,"")</f>
        <v>3</v>
      </c>
      <c r="H8" s="75">
        <f>IFERROR(VLOOKUP($I$22&amp;$D8,'Database-Hidden'!$C$2:$J$120,7,FALSE)-S8+AJ8,"")</f>
        <v>8</v>
      </c>
      <c r="I8" s="76" t="str">
        <f>IFERROR(VLOOKUP($I$22&amp;$D8,'Database-Hidden'!$C$2:$J$120,8,FALSE),"")</f>
        <v>Block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>
        <v>1</v>
      </c>
      <c r="AA8" s="89">
        <f t="shared" si="1"/>
        <v>5</v>
      </c>
      <c r="AB8" s="58">
        <f t="shared" si="2"/>
        <v>90000</v>
      </c>
      <c r="AC8" s="4"/>
      <c r="AD8" s="116">
        <f>IFERROR(VLOOKUP($I$22&amp;D8,'Database-Hidden'!$C$2:$E$120,3,FALSE),"")</f>
        <v>90000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20000</v>
      </c>
      <c r="AP8" s="120"/>
      <c r="AQ8" s="289">
        <v>0</v>
      </c>
      <c r="AR8" s="134" t="s">
        <v>29</v>
      </c>
      <c r="AS8" s="126" t="s">
        <v>166</v>
      </c>
      <c r="AT8" s="128">
        <v>1</v>
      </c>
      <c r="AU8" s="130">
        <v>1</v>
      </c>
      <c r="AV8" s="135">
        <v>0</v>
      </c>
      <c r="AW8" s="132"/>
      <c r="AX8" s="132"/>
    </row>
    <row r="9" spans="1:50" ht="12.75">
      <c r="A9" s="2"/>
      <c r="B9" s="70">
        <v>6</v>
      </c>
      <c r="C9" s="101"/>
      <c r="D9" s="72" t="s">
        <v>101</v>
      </c>
      <c r="E9" s="73">
        <f>IFERROR(VLOOKUP($I$22&amp;$D9,'Database-Hidden'!$C$2:$J$120,4,FALSE)-P9+AG9,"")</f>
        <v>7</v>
      </c>
      <c r="F9" s="74">
        <f>IFERROR(VLOOKUP($I$22&amp;$D9,'Database-Hidden'!$C$2:$J$120,5,FALSE)-Q9+AH9,"")</f>
        <v>3</v>
      </c>
      <c r="G9" s="74">
        <f>IFERROR(VLOOKUP($I$22&amp;$D9,'Database-Hidden'!$C$2:$J$120,6,FALSE)-R9+AI9,"")</f>
        <v>3</v>
      </c>
      <c r="H9" s="75">
        <f>IFERROR(VLOOKUP($I$22&amp;$D9,'Database-Hidden'!$C$2:$J$120,7,FALSE)-S9+AJ9,"")</f>
        <v>8</v>
      </c>
      <c r="I9" s="76" t="str">
        <f>IFERROR(VLOOKUP($I$22&amp;$D9,'Database-Hidden'!$C$2:$J$120,8,FALSE),"")</f>
        <v>Block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90000</v>
      </c>
      <c r="AC9" s="4"/>
      <c r="AD9" s="116">
        <f>IFERROR(VLOOKUP($I$22&amp;D9,'Database-Hidden'!$C$2:$E$120,3,FALSE),"")</f>
        <v>90000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  <c r="AX9" s="132"/>
    </row>
    <row r="10" spans="1:50" ht="12.75">
      <c r="A10" s="2"/>
      <c r="B10" s="70">
        <v>7</v>
      </c>
      <c r="C10" s="71"/>
      <c r="D10" s="72" t="s">
        <v>101</v>
      </c>
      <c r="E10" s="73">
        <f>IFERROR(VLOOKUP($I$22&amp;$D10,'Database-Hidden'!$C$2:$J$120,4,FALSE)-P10+AG10,"")</f>
        <v>7</v>
      </c>
      <c r="F10" s="74">
        <f>IFERROR(VLOOKUP($I$22&amp;$D10,'Database-Hidden'!$C$2:$J$120,5,FALSE)-Q10+AH10,"")</f>
        <v>3</v>
      </c>
      <c r="G10" s="74">
        <f>IFERROR(VLOOKUP($I$22&amp;$D10,'Database-Hidden'!$C$2:$J$120,6,FALSE)-R10+AI10,"")</f>
        <v>3</v>
      </c>
      <c r="H10" s="75">
        <f>IFERROR(VLOOKUP($I$22&amp;$D10,'Database-Hidden'!$C$2:$J$120,7,FALSE)-S10+AJ10,"")</f>
        <v>8</v>
      </c>
      <c r="I10" s="76" t="str">
        <f>IFERROR(VLOOKUP($I$22&amp;$D10,'Database-Hidden'!$C$2:$J$120,8,FALSE),"")</f>
        <v>Block</v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>
        <f t="shared" si="2"/>
        <v>90000</v>
      </c>
      <c r="AC10" s="4"/>
      <c r="AD10" s="116">
        <f>IFERROR(VLOOKUP($I$22&amp;D10,'Database-Hidden'!$C$2:$E$120,3,FALSE),"")</f>
        <v>90000</v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  <c r="AX10" s="132"/>
    </row>
    <row r="11" spans="1:50" ht="12.75">
      <c r="A11" s="2"/>
      <c r="B11" s="70">
        <v>8</v>
      </c>
      <c r="C11" s="101"/>
      <c r="D11" s="72" t="s">
        <v>101</v>
      </c>
      <c r="E11" s="73">
        <f>IFERROR(VLOOKUP($I$22&amp;$D11,'Database-Hidden'!$C$2:$J$120,4,FALSE)-P11+AG11,"")</f>
        <v>7</v>
      </c>
      <c r="F11" s="74">
        <f>IFERROR(VLOOKUP($I$22&amp;$D11,'Database-Hidden'!$C$2:$J$120,5,FALSE)-Q11+AH11,"")</f>
        <v>3</v>
      </c>
      <c r="G11" s="74">
        <f>IFERROR(VLOOKUP($I$22&amp;$D11,'Database-Hidden'!$C$2:$J$120,6,FALSE)-R11+AI11,"")</f>
        <v>3</v>
      </c>
      <c r="H11" s="75">
        <f>IFERROR(VLOOKUP($I$22&amp;$D11,'Database-Hidden'!$C$2:$J$120,7,FALSE)-S11+AJ11,"")</f>
        <v>8</v>
      </c>
      <c r="I11" s="76" t="str">
        <f>IFERROR(VLOOKUP($I$22&amp;$D11,'Database-Hidden'!$C$2:$J$120,8,FALSE),"")</f>
        <v>Block</v>
      </c>
      <c r="J11" s="102"/>
      <c r="K11" s="78">
        <f t="shared" si="0"/>
        <v>0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6"/>
      <c r="X11" s="83"/>
      <c r="Y11" s="83"/>
      <c r="Z11" s="88"/>
      <c r="AA11" s="89">
        <f t="shared" si="1"/>
        <v>0</v>
      </c>
      <c r="AB11" s="58">
        <f t="shared" si="2"/>
        <v>90000</v>
      </c>
      <c r="AC11" s="4"/>
      <c r="AD11" s="116">
        <f>IFERROR(VLOOKUP($I$22&amp;D11,'Database-Hidden'!$C$2:$E$120,3,FALSE),"")</f>
        <v>90000</v>
      </c>
      <c r="AE11" s="138"/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  <c r="AX11" s="132"/>
    </row>
    <row r="12" spans="1:50" ht="12.75">
      <c r="A12" s="2"/>
      <c r="B12" s="70">
        <v>9</v>
      </c>
      <c r="C12" s="71"/>
      <c r="D12" s="72" t="s">
        <v>68</v>
      </c>
      <c r="E12" s="73">
        <f>IFERROR(VLOOKUP($I$22&amp;$D12,'Database-Hidden'!$C$2:$J$120,4,FALSE)-P12+AG12,"")</f>
        <v>6</v>
      </c>
      <c r="F12" s="74">
        <f>IFERROR(VLOOKUP($I$22&amp;$D12,'Database-Hidden'!$C$2:$J$120,5,FALSE)-Q12+AH12,"")</f>
        <v>3</v>
      </c>
      <c r="G12" s="74">
        <f>IFERROR(VLOOKUP($I$22&amp;$D12,'Database-Hidden'!$C$2:$J$120,6,FALSE)-R12+AI12,"")</f>
        <v>3</v>
      </c>
      <c r="H12" s="75">
        <f>IFERROR(VLOOKUP($I$22&amp;$D12,'Database-Hidden'!$C$2:$J$120,7,FALSE)-S12+AJ12,"")</f>
        <v>8</v>
      </c>
      <c r="I12" s="76">
        <f>IFERROR(VLOOKUP($I$22&amp;$D12,'Database-Hidden'!$C$2:$J$120,8,FALSE),"")</f>
        <v>0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50000</v>
      </c>
      <c r="AC12" s="4"/>
      <c r="AD12" s="116">
        <f>IFERROR(VLOOKUP($I$22&amp;D12,'Database-Hidden'!$C$2:$E$120,3,FALSE),"")</f>
        <v>50000</v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71"/>
      <c r="D13" s="72" t="s">
        <v>68</v>
      </c>
      <c r="E13" s="73">
        <f>IFERROR(VLOOKUP($I$22&amp;$D13,'Database-Hidden'!$C$2:$J$120,4,FALSE)-P13+AG13,"")</f>
        <v>6</v>
      </c>
      <c r="F13" s="74">
        <f>IFERROR(VLOOKUP($I$22&amp;$D13,'Database-Hidden'!$C$2:$J$120,5,FALSE)-Q13+AH13,"")</f>
        <v>3</v>
      </c>
      <c r="G13" s="74">
        <f>IFERROR(VLOOKUP($I$22&amp;$D13,'Database-Hidden'!$C$2:$J$120,6,FALSE)-R13+AI13,"")</f>
        <v>3</v>
      </c>
      <c r="H13" s="75">
        <f>IFERROR(VLOOKUP($I$22&amp;$D13,'Database-Hidden'!$C$2:$J$120,7,FALSE)-S13+AJ13,"")</f>
        <v>8</v>
      </c>
      <c r="I13" s="76">
        <f>IFERROR(VLOOKUP($I$22&amp;$D13,'Database-Hidden'!$C$2:$J$120,8,FALSE),"")</f>
        <v>0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50000</v>
      </c>
      <c r="AC13" s="4"/>
      <c r="AD13" s="116">
        <f>IFERROR(VLOOKUP($I$22&amp;D13,'Database-Hidden'!$C$2:$E$120,3,FALSE),"")</f>
        <v>50000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71"/>
      <c r="D14" s="72" t="s">
        <v>68</v>
      </c>
      <c r="E14" s="73">
        <f>IFERROR(VLOOKUP($I$22&amp;$D14,'Database-Hidden'!$C$2:$J$120,4,FALSE)-P14+AG14,"")</f>
        <v>6</v>
      </c>
      <c r="F14" s="74">
        <f>IFERROR(VLOOKUP($I$22&amp;$D14,'Database-Hidden'!$C$2:$J$120,5,FALSE)-Q14+AH14,"")</f>
        <v>3</v>
      </c>
      <c r="G14" s="74">
        <f>IFERROR(VLOOKUP($I$22&amp;$D14,'Database-Hidden'!$C$2:$J$120,6,FALSE)-R14+AI14,"")</f>
        <v>3</v>
      </c>
      <c r="H14" s="75">
        <f>IFERROR(VLOOKUP($I$22&amp;$D14,'Database-Hidden'!$C$2:$J$120,7,FALSE)-S14+AJ14,"")</f>
        <v>8</v>
      </c>
      <c r="I14" s="76">
        <f>IFERROR(VLOOKUP($I$22&amp;$D14,'Database-Hidden'!$C$2:$J$120,8,FALSE),"")</f>
        <v>0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50000</v>
      </c>
      <c r="AC14" s="4"/>
      <c r="AD14" s="116">
        <f>IFERROR(VLOOKUP($I$22&amp;D14,'Database-Hidden'!$C$2:$E$120,3,FALSE),"")</f>
        <v>50000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/>
      <c r="D15" s="72" t="s">
        <v>68</v>
      </c>
      <c r="E15" s="73">
        <f>IFERROR(VLOOKUP($I$22&amp;$D15,'Database-Hidden'!$C$2:$J$120,4,FALSE)-P15+AG15,"")</f>
        <v>6</v>
      </c>
      <c r="F15" s="74">
        <f>IFERROR(VLOOKUP($I$22&amp;$D15,'Database-Hidden'!$C$2:$J$120,5,FALSE)-Q15+AH15,"")</f>
        <v>3</v>
      </c>
      <c r="G15" s="74">
        <f>IFERROR(VLOOKUP($I$22&amp;$D15,'Database-Hidden'!$C$2:$J$120,6,FALSE)-R15+AI15,"")</f>
        <v>3</v>
      </c>
      <c r="H15" s="75">
        <f>IFERROR(VLOOKUP($I$22&amp;$D15,'Database-Hidden'!$C$2:$J$120,7,FALSE)-S15+AJ15,"")</f>
        <v>8</v>
      </c>
      <c r="I15" s="76">
        <f>IFERROR(VLOOKUP($I$22&amp;$D15,'Database-Hidden'!$C$2:$J$120,8,FALSE),"")</f>
        <v>0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>
        <f t="shared" si="2"/>
        <v>50000</v>
      </c>
      <c r="AC15" s="4"/>
      <c r="AD15" s="116">
        <f>IFERROR(VLOOKUP($I$22&amp;D15,'Database-Hidden'!$C$2:$E$120,3,FALSE),"")</f>
        <v>50000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/>
      <c r="D16" s="72"/>
      <c r="E16" s="73" t="str">
        <f>IFERROR(VLOOKUP($I$22&amp;$D16,'Database-Hidden'!$C$2:$J$120,4,FALSE)-P16+AG16,"")</f>
        <v/>
      </c>
      <c r="F16" s="74" t="str">
        <f>IFERROR(VLOOKUP($I$22&amp;$D16,'Database-Hidden'!$C$2:$J$120,5,FALSE)-Q16+AH16,"")</f>
        <v/>
      </c>
      <c r="G16" s="74" t="str">
        <f>IFERROR(VLOOKUP($I$22&amp;$D16,'Database-Hidden'!$C$2:$J$120,6,FALSE)-R16+AI16,"")</f>
        <v/>
      </c>
      <c r="H16" s="75" t="str">
        <f>IFERROR(VLOOKUP($I$22&amp;$D16,'Database-Hidden'!$C$2:$J$120,7,FALSE)-S16+AJ16,"")</f>
        <v/>
      </c>
      <c r="I16" s="76" t="str">
        <f>IFERROR(VLOOKUP($I$22&amp;$D16,'Database-Hidden'!$C$2:$J$120,8,FALSE),"")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6" t="str">
        <f>IFERROR(VLOOKUP($I$22&amp;D16,'Database-Hidden'!$C$2:$E$120,3,FALSE),"")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71"/>
      <c r="D17" s="72"/>
      <c r="E17" s="73" t="str">
        <f>IFERROR(VLOOKUP($I$22&amp;$D17,'Database-Hidden'!$C$2:$J$120,4,FALSE)-P17+AG17,"")</f>
        <v/>
      </c>
      <c r="F17" s="74" t="str">
        <f>IFERROR(VLOOKUP($I$22&amp;$D17,'Database-Hidden'!$C$2:$J$120,5,FALSE)-Q17+AH17,"")</f>
        <v/>
      </c>
      <c r="G17" s="74" t="str">
        <f>IFERROR(VLOOKUP($I$22&amp;$D17,'Database-Hidden'!$C$2:$J$120,6,FALSE)-R17+AI17,"")</f>
        <v/>
      </c>
      <c r="H17" s="75" t="str">
        <f>IFERROR(VLOOKUP($I$22&amp;$D17,'Database-Hidden'!$C$2:$J$120,7,FALSE)-S17+AJ17,"")</f>
        <v/>
      </c>
      <c r="I17" s="76" t="str">
        <f>IFERROR(VLOOKUP($I$22&amp;$D17,'Database-Hidden'!$C$2:$J$120,8,FALSE),"")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IFERROR(VLOOKUP($I$22&amp;D17,'Database-Hidden'!$C$2:$E$120,3,FALSE),"")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IFERROR(VLOOKUP($I$22&amp;$D18,'Database-Hidden'!$C$2:$J$120,4,FALSE)-P18+AG18,"")</f>
        <v/>
      </c>
      <c r="F18" s="74" t="str">
        <f>IFERROR(VLOOKUP($I$22&amp;$D18,'Database-Hidden'!$C$2:$J$120,5,FALSE)-Q18+AH18,"")</f>
        <v/>
      </c>
      <c r="G18" s="74" t="str">
        <f>IFERROR(VLOOKUP($I$22&amp;$D18,'Database-Hidden'!$C$2:$J$120,6,FALSE)-R18+AI18,"")</f>
        <v/>
      </c>
      <c r="H18" s="75" t="str">
        <f>IFERROR(VLOOKUP($I$22&amp;$D18,'Database-Hidden'!$C$2:$J$120,7,FALSE)-S18+AJ18,"")</f>
        <v/>
      </c>
      <c r="I18" s="76" t="str">
        <f>IFERROR(VLOOKUP($I$22&amp;$D18,'Database-Hidden'!$C$2:$J$120,8,FALSE),"")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IFERROR(VLOOKUP($I$22&amp;D18,'Database-Hidden'!$C$2:$E$120,3,FALSE),"")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110000</v>
      </c>
      <c r="AP18" s="4"/>
      <c r="AQ18" s="4"/>
      <c r="AR18" s="67"/>
      <c r="AS18" s="148" t="s">
        <v>42</v>
      </c>
      <c r="AT18" s="150">
        <f t="shared" ref="AT18:AU18" si="3">SUM(AT6:AT17)</f>
        <v>6</v>
      </c>
      <c r="AU18" s="151">
        <f t="shared" si="3"/>
        <v>2</v>
      </c>
      <c r="AV18" s="152">
        <f>AV4+SUM(AV6:AV17)</f>
        <v>2</v>
      </c>
      <c r="AW18" s="5"/>
      <c r="AX18" s="5"/>
    </row>
    <row r="19" spans="1:50" ht="12.75">
      <c r="A19" s="2"/>
      <c r="B19" s="153">
        <v>16</v>
      </c>
      <c r="C19" s="154"/>
      <c r="D19" s="155"/>
      <c r="E19" s="156" t="str">
        <f>IFERROR(VLOOKUP($I$22&amp;$D19,'Database-Hidden'!$C$2:$J$120,4,FALSE)-P19+AG19,"")</f>
        <v/>
      </c>
      <c r="F19" s="157" t="str">
        <f>IFERROR(VLOOKUP($I$22&amp;$D19,'Database-Hidden'!$C$2:$J$120,5,FALSE)-Q19+AH19,"")</f>
        <v/>
      </c>
      <c r="G19" s="157" t="str">
        <f>IFERROR(VLOOKUP($I$22&amp;$D19,'Database-Hidden'!$C$2:$J$120,6,FALSE)-R19+AI19,"")</f>
        <v/>
      </c>
      <c r="H19" s="159" t="str">
        <f>IFERROR(VLOOKUP($I$22&amp;$D19,'Database-Hidden'!$C$2:$J$120,7,FALSE)-S19+AJ19,"")</f>
        <v/>
      </c>
      <c r="I19" s="160" t="str">
        <f>IFERROR(VLOOKUP($I$22&amp;$D19,'Database-Hidden'!$C$2:$J$120,8,FALSE),"")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IFERROR(VLOOKUP($I$22&amp;D19,'Database-Hidden'!$C$2:$E$120,3,FALSE),"")</f>
        <v/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900000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24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362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314">
        <v>2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408">
        <v>20000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110000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452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ref="AB23:AB24" si="4">T23*V23</f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30000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1120000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30000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v>50000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408"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10000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220000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180000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54</v>
      </c>
      <c r="D28" s="209" t="str">
        <f t="shared" ref="D28:D37" si="5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  <c r="AV28" s="179"/>
    </row>
    <row r="29" spans="1:50" ht="17.25" hidden="1" customHeight="1">
      <c r="C29" s="209">
        <f t="shared" ref="C29:C37" si="6">C28+1</f>
        <v>55</v>
      </c>
      <c r="D29" s="209" t="str">
        <f t="shared" si="5"/>
        <v>Catcher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Catcher</v>
      </c>
      <c r="AV29" s="179"/>
    </row>
    <row r="30" spans="1:50" ht="17.25" hidden="1" customHeight="1">
      <c r="C30" s="209">
        <f t="shared" si="6"/>
        <v>56</v>
      </c>
      <c r="D30" s="209" t="str">
        <f t="shared" si="5"/>
        <v>Thrower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Thrower</v>
      </c>
      <c r="AV30" s="179"/>
    </row>
    <row r="31" spans="1:50" ht="17.25" hidden="1" customHeight="1">
      <c r="C31" s="209">
        <f t="shared" si="6"/>
        <v>57</v>
      </c>
      <c r="D31" s="209" t="str">
        <f t="shared" si="5"/>
        <v>Blitzer</v>
      </c>
      <c r="E31" s="210">
        <f t="array" ref="E31">IFERROR(IF(INDEX('Database-Hidden'!$A$2:$B$120,$C31,1)=$I$22,INDEX('Database-Hidden'!$A$2:$D$120,$C31,4),""),"")</f>
        <v>4</v>
      </c>
      <c r="I31" s="209" t="str">
        <f t="array" ref="I31">IFERROR(IF(INDEX('Database-Hidden'!$A$2:$B$120,$C31,1)=$I$22,INDEX('Database-Hidden'!$A$2:$B$120,$C31,2),""),"")</f>
        <v>Blitzer</v>
      </c>
      <c r="AV31" s="179"/>
    </row>
    <row r="32" spans="1:50" ht="17.25" hidden="1" customHeight="1">
      <c r="C32" s="209">
        <f t="shared" si="6"/>
        <v>58</v>
      </c>
      <c r="D32" s="209" t="str">
        <f t="shared" si="5"/>
        <v>Ogre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Ogre</v>
      </c>
      <c r="AV32" s="179"/>
    </row>
    <row r="33" spans="3:48" ht="17.25" hidden="1" customHeight="1">
      <c r="C33" s="209">
        <f t="shared" si="6"/>
        <v>59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60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61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62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63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12</v>
      </c>
      <c r="D38" s="211" t="str">
        <f t="shared" ref="D38:D49" ca="1" si="7">I38&amp;IF(COUNTIF(D$4:D$19,I38)&gt;1," (Too Many)","")</f>
        <v>Star: Buggy Baconbreath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Buggy Baconbreath")</f>
        <v>Star: Buggy Baconbreath</v>
      </c>
      <c r="AV38" s="179"/>
    </row>
    <row r="39" spans="3:48" ht="17.25" hidden="1" customHeight="1">
      <c r="C39" s="209"/>
      <c r="D39" s="209" t="str">
        <f t="shared" si="7"/>
        <v>Star: Griff Oberwald</v>
      </c>
      <c r="I39" s="213" t="s">
        <v>368</v>
      </c>
      <c r="AV39" s="179"/>
    </row>
    <row r="40" spans="3:48" ht="17.25" hidden="1" customHeight="1">
      <c r="C40" s="209"/>
      <c r="D40" s="209" t="str">
        <f t="shared" si="7"/>
        <v>Star: Helmut Wulf</v>
      </c>
      <c r="I40" s="209" t="s">
        <v>232</v>
      </c>
      <c r="AV40" s="179"/>
    </row>
    <row r="41" spans="3:48" ht="17.25" hidden="1" customHeight="1">
      <c r="C41" s="209"/>
      <c r="D41" s="209" t="str">
        <f t="shared" si="7"/>
        <v>Star: Karla Von Kill</v>
      </c>
      <c r="I41" s="209" t="s">
        <v>233</v>
      </c>
      <c r="AV41" s="179"/>
    </row>
    <row r="42" spans="3:48" ht="17.25" hidden="1" customHeight="1">
      <c r="C42" s="209"/>
      <c r="D42" s="209" t="str">
        <f t="shared" si="7"/>
        <v>Star: Mighty Zug</v>
      </c>
      <c r="I42" s="209" t="s">
        <v>369</v>
      </c>
      <c r="AV42" s="179"/>
    </row>
    <row r="43" spans="3:48" ht="17.25" hidden="1" customHeight="1">
      <c r="C43" s="209"/>
      <c r="D43" s="209" t="str">
        <f t="shared" si="7"/>
        <v>Star: Morg'n'Thorg</v>
      </c>
      <c r="I43" s="209" t="s">
        <v>144</v>
      </c>
      <c r="AV43" s="179"/>
    </row>
    <row r="44" spans="3:48" ht="17.25" hidden="1" customHeight="1">
      <c r="C44" s="209"/>
      <c r="D44" s="209" t="str">
        <f t="shared" si="7"/>
        <v>Star: Zara the Slayer</v>
      </c>
      <c r="I44" s="209" t="s">
        <v>148</v>
      </c>
      <c r="AV44" s="179"/>
    </row>
    <row r="45" spans="3:48" ht="17.25" hidden="1" customHeight="1">
      <c r="C45" s="209"/>
      <c r="D45" s="209" t="str">
        <f t="shared" si="7"/>
        <v/>
      </c>
      <c r="I45" s="209"/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AN3:AQ3"/>
    <mergeCell ref="P2:S2"/>
    <mergeCell ref="AR3:AV3"/>
    <mergeCell ref="V21:AA21"/>
    <mergeCell ref="AN21:AO21"/>
    <mergeCell ref="E20:AA20"/>
    <mergeCell ref="L21:S21"/>
    <mergeCell ref="L25:S25"/>
    <mergeCell ref="E26:AA26"/>
    <mergeCell ref="V24:AA24"/>
    <mergeCell ref="V23:AA23"/>
    <mergeCell ref="V22:AA22"/>
    <mergeCell ref="V25:AA25"/>
    <mergeCell ref="L23:S23"/>
    <mergeCell ref="L24:S24"/>
    <mergeCell ref="L22:S22"/>
    <mergeCell ref="E24:H24"/>
    <mergeCell ref="B20:D26"/>
    <mergeCell ref="I22:K22"/>
    <mergeCell ref="E22:H22"/>
    <mergeCell ref="E25:H25"/>
    <mergeCell ref="I25:K25"/>
    <mergeCell ref="I23:K23"/>
    <mergeCell ref="E23:H23"/>
    <mergeCell ref="I24:K24"/>
    <mergeCell ref="E21:H21"/>
    <mergeCell ref="I21:K21"/>
  </mergeCells>
  <conditionalFormatting sqref="J4">
    <cfRule type="expression" dxfId="261" priority="1">
      <formula>K4&lt;&gt;SUM(AE4:AJ4)</formula>
    </cfRule>
  </conditionalFormatting>
  <conditionalFormatting sqref="K4:K19">
    <cfRule type="cellIs" dxfId="260" priority="2" operator="equal">
      <formula>0</formula>
    </cfRule>
  </conditionalFormatting>
  <conditionalFormatting sqref="AB4:AB19">
    <cfRule type="cellIs" dxfId="259" priority="3" operator="equal">
      <formula>0</formula>
    </cfRule>
  </conditionalFormatting>
  <conditionalFormatting sqref="E4:H19">
    <cfRule type="expression" dxfId="258" priority="4">
      <formula>AG4&gt;0</formula>
    </cfRule>
  </conditionalFormatting>
  <conditionalFormatting sqref="E4:H19">
    <cfRule type="expression" dxfId="257" priority="5">
      <formula>P4&gt;0</formula>
    </cfRule>
  </conditionalFormatting>
  <conditionalFormatting sqref="T4:T19 U4:U19 V4:W19 Z4:Z19 U27">
    <cfRule type="cellIs" dxfId="256" priority="6" stopIfTrue="1" operator="equal">
      <formula>0</formula>
    </cfRule>
  </conditionalFormatting>
  <conditionalFormatting sqref="K4:K19">
    <cfRule type="cellIs" dxfId="255" priority="7" stopIfTrue="1" operator="equal">
      <formula>"n/a"</formula>
    </cfRule>
  </conditionalFormatting>
  <conditionalFormatting sqref="P4:S19">
    <cfRule type="cellIs" dxfId="254" priority="8" stopIfTrue="1" operator="lessThanOrEqual">
      <formula>-1</formula>
    </cfRule>
  </conditionalFormatting>
  <conditionalFormatting sqref="V25:W25">
    <cfRule type="cellIs" dxfId="253" priority="9" stopIfTrue="1" operator="equal">
      <formula>-500</formula>
    </cfRule>
  </conditionalFormatting>
  <conditionalFormatting sqref="T25">
    <cfRule type="cellIs" dxfId="252" priority="10" stopIfTrue="1" operator="greaterThan">
      <formula>$V$25</formula>
    </cfRule>
  </conditionalFormatting>
  <conditionalFormatting sqref="AA4:AA19">
    <cfRule type="cellIs" dxfId="251" priority="11" stopIfTrue="1" operator="equal">
      <formula>"Star"</formula>
    </cfRule>
  </conditionalFormatting>
  <conditionalFormatting sqref="AA4:AA19">
    <cfRule type="cellIs" dxfId="250" priority="12" stopIfTrue="1" operator="equal">
      <formula>AB4</formula>
    </cfRule>
  </conditionalFormatting>
  <conditionalFormatting sqref="I4:I19">
    <cfRule type="cellIs" dxfId="249" priority="13" stopIfTrue="1" operator="equal">
      <formula>0</formula>
    </cfRule>
  </conditionalFormatting>
  <conditionalFormatting sqref="I4:I19">
    <cfRule type="cellIs" dxfId="248" priority="14" stopIfTrue="1" operator="equal">
      <formula>"Player type quantity surpassed"</formula>
    </cfRule>
  </conditionalFormatting>
  <conditionalFormatting sqref="J5">
    <cfRule type="expression" dxfId="247" priority="15">
      <formula>K5&lt;&gt;SUM(AE5:AJ5)</formula>
    </cfRule>
  </conditionalFormatting>
  <conditionalFormatting sqref="J6">
    <cfRule type="expression" dxfId="246" priority="16">
      <formula>K6&lt;&gt;SUM(AE6:AJ6)</formula>
    </cfRule>
  </conditionalFormatting>
  <conditionalFormatting sqref="J7">
    <cfRule type="expression" dxfId="245" priority="17">
      <formula>K7&lt;&gt;SUM(AE7:AJ7)</formula>
    </cfRule>
  </conditionalFormatting>
  <conditionalFormatting sqref="J8">
    <cfRule type="expression" dxfId="244" priority="18">
      <formula>K8&lt;&gt;SUM(AE8:AJ8)</formula>
    </cfRule>
  </conditionalFormatting>
  <conditionalFormatting sqref="J9">
    <cfRule type="expression" dxfId="243" priority="19">
      <formula>K9&lt;&gt;SUM(AE9:AJ9)</formula>
    </cfRule>
  </conditionalFormatting>
  <conditionalFormatting sqref="J10">
    <cfRule type="expression" dxfId="242" priority="20">
      <formula>K10&lt;&gt;SUM(AE10:AJ10)</formula>
    </cfRule>
  </conditionalFormatting>
  <conditionalFormatting sqref="J11">
    <cfRule type="expression" dxfId="241" priority="21">
      <formula>K11&lt;&gt;SUM(AE11:AJ11)</formula>
    </cfRule>
  </conditionalFormatting>
  <conditionalFormatting sqref="J12">
    <cfRule type="expression" dxfId="240" priority="22">
      <formula>K12&lt;&gt;SUM(AE12:AJ12)</formula>
    </cfRule>
  </conditionalFormatting>
  <conditionalFormatting sqref="J13">
    <cfRule type="expression" dxfId="239" priority="23">
      <formula>K13&lt;&gt;SUM(AE13:AJ13)</formula>
    </cfRule>
  </conditionalFormatting>
  <conditionalFormatting sqref="J14">
    <cfRule type="expression" dxfId="238" priority="24">
      <formula>K14&lt;&gt;SUM(AE14:AJ14)</formula>
    </cfRule>
  </conditionalFormatting>
  <conditionalFormatting sqref="J15">
    <cfRule type="expression" dxfId="237" priority="25">
      <formula>K15&lt;&gt;SUM(AE15:AJ15)</formula>
    </cfRule>
  </conditionalFormatting>
  <conditionalFormatting sqref="J16">
    <cfRule type="expression" dxfId="236" priority="26">
      <formula>K16&lt;&gt;SUM(AE16:AJ16)</formula>
    </cfRule>
  </conditionalFormatting>
  <conditionalFormatting sqref="J17">
    <cfRule type="expression" dxfId="235" priority="27">
      <formula>K17&lt;&gt;SUM(AE17:AJ17)</formula>
    </cfRule>
  </conditionalFormatting>
  <conditionalFormatting sqref="J18">
    <cfRule type="expression" dxfId="234" priority="28">
      <formula>K18&lt;&gt;SUM(AE18:AJ18)</formula>
    </cfRule>
  </conditionalFormatting>
  <conditionalFormatting sqref="J19">
    <cfRule type="expression" dxfId="233" priority="29">
      <formula>K19&lt;&gt;SUM(AE19:AJ19)</formula>
    </cfRule>
  </conditionalFormatting>
  <dataValidations count="2">
    <dataValidation type="list" allowBlank="1" showErrorMessage="1" sqref="D4:D19">
      <formula1>'NM2'!$D$28:$D$49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portrait" cellComments="atEnd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 t="s">
        <v>454</v>
      </c>
      <c r="D4" s="42" t="s">
        <v>108</v>
      </c>
      <c r="E4" s="73">
        <f>IF(LEFT($D4,6)&lt;&gt;"Star: ",IFERROR(VLOOKUP($I$22&amp;$D4,'Database-Hidden'!$C$2:$J$120,4,FALSE)-P4+AG4,""),VLOOKUP(RIGHT($D4,LEN($D4)-6),'Star Players-Hidden'!$A$3:$AK$87,33,FALSE))</f>
        <v>6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3</v>
      </c>
      <c r="H4" s="75">
        <f>IF(LEFT($D4,6)&lt;&gt;"Star: ",IFERROR(VLOOKUP($I$22&amp;$D4,'Database-Hidden'!$C$2:$J$120,7,FALSE)-S4+AJ4,""),VLOOKUP(RIGHT($D4,LEN($D4)-6),'Star Players-Hidden'!$A$3:$AK$87,36,FALSE))</f>
        <v>7</v>
      </c>
      <c r="I4" s="76" t="str">
        <f>IF(LEFT($D4,6)&lt;&gt;"Star: ",IFERROR(VLOOKUP($I$22&amp;$D4,'Database-Hidden'!$C$2:$J$120,8,FALSE),""),VLOOKUP(RIGHT($D4,LEN($D4)-6),'Star Players-Hidden'!$A$3:$AK$87,31,FALSE))</f>
        <v>Dodge, Pass</v>
      </c>
      <c r="J4" s="47" t="s">
        <v>155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/>
      <c r="O4" s="50"/>
      <c r="P4" s="51"/>
      <c r="Q4" s="52"/>
      <c r="R4" s="52"/>
      <c r="S4" s="53"/>
      <c r="T4" s="54"/>
      <c r="U4" s="55">
        <v>5</v>
      </c>
      <c r="V4" s="55"/>
      <c r="W4" s="55"/>
      <c r="X4" s="52"/>
      <c r="Y4" s="52"/>
      <c r="Z4" s="56">
        <v>1</v>
      </c>
      <c r="AA4" s="57">
        <f t="shared" ref="AA4:AA19" si="1">2*T4+U4+3*V4+2*W4+5*Z4</f>
        <v>10</v>
      </c>
      <c r="AB4" s="58">
        <f t="shared" ref="AB4:AB14" si="2">IF(L4=1,0,AD4+(20000*O4)+(20000*AE4)+(30000*AF4)+(30000*AG4)+(50000*AH4)+(40000*AI4)+(50000*AJ4)+AK4)</f>
        <v>90000</v>
      </c>
      <c r="AC4" s="4"/>
      <c r="AD4" s="116">
        <f>IF(LEFT($D4,6)&lt;&gt;"Star: ",IFERROR(VLOOKUP($I$22&amp;D4,'Database-Hidden'!$C$2:$E$120,3,FALSE),""),VLOOKUP(RIGHT($D4,LEN($D4)-6),'Star Players-Hidden'!$A$3:$AJ$87,32,FALSE))</f>
        <v>70000</v>
      </c>
      <c r="AE4" s="60">
        <v>1</v>
      </c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3</v>
      </c>
      <c r="AW4" s="69"/>
      <c r="AX4" s="69"/>
    </row>
    <row r="5" spans="1:50" ht="12.75">
      <c r="A5" s="2"/>
      <c r="B5" s="70">
        <v>2</v>
      </c>
      <c r="C5" s="71" t="s">
        <v>456</v>
      </c>
      <c r="D5" s="72" t="s">
        <v>113</v>
      </c>
      <c r="E5" s="73">
        <f>IF(LEFT($D5,6)&lt;&gt;"Star: ",IFERROR(VLOOKUP($I$22&amp;$D5,'Database-Hidden'!$C$2:$J$120,4,FALSE)-P5+AG5,""),VLOOKUP(RIGHT($D5,LEN($D5)-6),'Star Players-Hidden'!$A$3:$AK$87,33,FALSE))</f>
        <v>6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4</v>
      </c>
      <c r="H5" s="75">
        <f>IF(LEFT($D5,6)&lt;&gt;"Star: ",IFERROR(VLOOKUP($I$22&amp;$D5,'Database-Hidden'!$C$2:$J$120,7,FALSE)-S5+AJ5,""),VLOOKUP(RIGHT($D5,LEN($D5)-6),'Star Players-Hidden'!$A$3:$AK$87,36,FALSE))</f>
        <v>7</v>
      </c>
      <c r="I5" s="76" t="str">
        <f>IF(LEFT($D5,6)&lt;&gt;"Star: ",IFERROR(VLOOKUP($I$22&amp;$D5,'Database-Hidden'!$C$2:$J$120,8,FALSE),""),VLOOKUP(RIGHT($D5,LEN($D5)-6),'Star Players-Hidden'!$A$3:$AK$87,31,FALSE))</f>
        <v>Dodge, Catch</v>
      </c>
      <c r="J5" s="261" t="s">
        <v>458</v>
      </c>
      <c r="K5" s="78">
        <f t="shared" si="0"/>
        <v>2</v>
      </c>
      <c r="L5" s="80"/>
      <c r="M5" s="79"/>
      <c r="N5" s="80"/>
      <c r="O5" s="81"/>
      <c r="P5" s="82"/>
      <c r="Q5" s="83"/>
      <c r="R5" s="83"/>
      <c r="S5" s="84"/>
      <c r="T5" s="85"/>
      <c r="U5" s="87">
        <v>4</v>
      </c>
      <c r="V5" s="87">
        <v>2</v>
      </c>
      <c r="W5" s="87"/>
      <c r="X5" s="83"/>
      <c r="Y5" s="83"/>
      <c r="Z5" s="88">
        <v>2</v>
      </c>
      <c r="AA5" s="89">
        <f t="shared" si="1"/>
        <v>20</v>
      </c>
      <c r="AB5" s="58">
        <f t="shared" si="2"/>
        <v>130000</v>
      </c>
      <c r="AC5" s="4"/>
      <c r="AD5" s="116">
        <f>IF(LEFT($D5,6)&lt;&gt;"Star: ",IFERROR(VLOOKUP($I$22&amp;D5,'Database-Hidden'!$C$2:$E$120,3,FALSE),""),VLOOKUP(RIGHT($D5,LEN($D5)-6),'Star Players-Hidden'!$A$3:$AJ$87,32,FALSE))</f>
        <v>70000</v>
      </c>
      <c r="AE5" s="91">
        <v>1</v>
      </c>
      <c r="AF5" s="92"/>
      <c r="AG5" s="92"/>
      <c r="AH5" s="92"/>
      <c r="AI5" s="92">
        <v>1</v>
      </c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409" t="s">
        <v>75</v>
      </c>
      <c r="AR5" s="410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460</v>
      </c>
      <c r="D6" s="72" t="s">
        <v>113</v>
      </c>
      <c r="E6" s="73">
        <f>IF(LEFT($D6,6)&lt;&gt;"Star: ",IFERROR(VLOOKUP($I$22&amp;$D6,'Database-Hidden'!$C$2:$J$120,4,FALSE)-P6+AG6,""),VLOOKUP(RIGHT($D6,LEN($D6)-6),'Star Players-Hidden'!$A$3:$AK$87,33,FALSE))</f>
        <v>6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3</v>
      </c>
      <c r="H6" s="75">
        <f>IF(LEFT($D6,6)&lt;&gt;"Star: ",IFERROR(VLOOKUP($I$22&amp;$D6,'Database-Hidden'!$C$2:$J$120,7,FALSE)-S6+AJ6,""),VLOOKUP(RIGHT($D6,LEN($D6)-6),'Star Players-Hidden'!$A$3:$AK$87,36,FALSE))</f>
        <v>7</v>
      </c>
      <c r="I6" s="76" t="str">
        <f>IF(LEFT($D6,6)&lt;&gt;"Star: ",IFERROR(VLOOKUP($I$22&amp;$D6,'Database-Hidden'!$C$2:$J$120,8,FALSE),""),VLOOKUP(RIGHT($D6,LEN($D6)-6),'Star Players-Hidden'!$A$3:$AK$87,31,FALSE))</f>
        <v>Dodge, Catch</v>
      </c>
      <c r="J6" s="77" t="s">
        <v>462</v>
      </c>
      <c r="K6" s="78">
        <f t="shared" si="0"/>
        <v>2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7">
        <v>3</v>
      </c>
      <c r="W6" s="86"/>
      <c r="X6" s="83"/>
      <c r="Y6" s="83"/>
      <c r="Z6" s="88">
        <v>2</v>
      </c>
      <c r="AA6" s="89">
        <f t="shared" si="1"/>
        <v>19</v>
      </c>
      <c r="AB6" s="58">
        <f t="shared" si="2"/>
        <v>110000</v>
      </c>
      <c r="AC6" s="4"/>
      <c r="AD6" s="116">
        <f>IF(LEFT($D6,6)&lt;&gt;"Star: ",IFERROR(VLOOKUP($I$22&amp;D6,'Database-Hidden'!$C$2:$E$120,3,FALSE),""),VLOOKUP(RIGHT($D6,LEN($D6)-6),'Star Players-Hidden'!$A$3:$AJ$87,32,FALSE))</f>
        <v>70000</v>
      </c>
      <c r="AE6" s="91">
        <v>2</v>
      </c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70000</v>
      </c>
      <c r="AP6" s="106">
        <v>0</v>
      </c>
      <c r="AQ6" s="411"/>
      <c r="AR6" s="126" t="s">
        <v>46</v>
      </c>
      <c r="AS6" s="110" t="s">
        <v>463</v>
      </c>
      <c r="AT6" s="112">
        <v>2</v>
      </c>
      <c r="AU6" s="113">
        <v>0</v>
      </c>
      <c r="AV6" s="273">
        <v>1</v>
      </c>
      <c r="AW6" s="115"/>
      <c r="AX6" s="115"/>
    </row>
    <row r="7" spans="1:50" ht="12.75">
      <c r="A7" s="2"/>
      <c r="B7" s="70">
        <v>4</v>
      </c>
      <c r="C7" s="71" t="s">
        <v>464</v>
      </c>
      <c r="D7" s="72" t="s">
        <v>101</v>
      </c>
      <c r="E7" s="73">
        <f>IF(LEFT($D7,6)&lt;&gt;"Star: ",IFERROR(VLOOKUP($I$22&amp;$D7,'Database-Hidden'!$C$2:$J$120,4,FALSE)-P7+AG7,""),VLOOKUP(RIGHT($D7,LEN($D7)-6),'Star Players-Hidden'!$A$3:$AK$87,33,FALSE))</f>
        <v>6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3</v>
      </c>
      <c r="H7" s="75">
        <f>IF(LEFT($D7,6)&lt;&gt;"Star: ",IFERROR(VLOOKUP($I$22&amp;$D7,'Database-Hidden'!$C$2:$J$120,7,FALSE)-S7+AJ7,""),VLOOKUP(RIGHT($D7,LEN($D7)-6),'Star Players-Hidden'!$A$3:$AK$87,36,FALSE))</f>
        <v>7</v>
      </c>
      <c r="I7" s="76" t="str">
        <f>IF(LEFT($D7,6)&lt;&gt;"Star: ",IFERROR(VLOOKUP($I$22&amp;$D7,'Database-Hidden'!$C$2:$J$120,8,FALSE),""),VLOOKUP(RIGHT($D7,LEN($D7)-6),'Star Players-Hidden'!$A$3:$AK$87,31,FALSE))</f>
        <v>Block, Dodge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>
        <v>1</v>
      </c>
      <c r="X7" s="83"/>
      <c r="Y7" s="83"/>
      <c r="Z7" s="88"/>
      <c r="AA7" s="89">
        <f t="shared" si="1"/>
        <v>2</v>
      </c>
      <c r="AB7" s="58">
        <f t="shared" si="2"/>
        <v>90000</v>
      </c>
      <c r="AC7" s="4"/>
      <c r="AD7" s="116">
        <f>IF(LEFT($D7,6)&lt;&gt;"Star: ",IFERROR(VLOOKUP($I$22&amp;D7,'Database-Hidden'!$C$2:$E$120,3,FALSE),""),VLOOKUP(RIGHT($D7,LEN($D7)-6),'Star Players-Hidden'!$A$3:$AJ$87,32,FALSE))</f>
        <v>90000</v>
      </c>
      <c r="AE7" s="91"/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50000</v>
      </c>
      <c r="AP7" s="121">
        <v>50000</v>
      </c>
      <c r="AQ7" s="412"/>
      <c r="AR7" s="413" t="s">
        <v>2</v>
      </c>
      <c r="AS7" s="126" t="s">
        <v>283</v>
      </c>
      <c r="AT7" s="128">
        <v>0</v>
      </c>
      <c r="AU7" s="130">
        <v>1</v>
      </c>
      <c r="AV7" s="282">
        <v>0</v>
      </c>
      <c r="AW7" s="132"/>
      <c r="AX7" s="132"/>
    </row>
    <row r="8" spans="1:50" ht="12.75">
      <c r="A8" s="2"/>
      <c r="B8" s="70">
        <v>5</v>
      </c>
      <c r="C8" s="71" t="s">
        <v>468</v>
      </c>
      <c r="D8" s="72" t="s">
        <v>101</v>
      </c>
      <c r="E8" s="73">
        <f>IF(LEFT($D8,6)&lt;&gt;"Star: ",IFERROR(VLOOKUP($I$22&amp;$D8,'Database-Hidden'!$C$2:$J$120,4,FALSE)-P8+AG8,""),VLOOKUP(RIGHT($D8,LEN($D8)-6),'Star Players-Hidden'!$A$3:$AK$87,33,FALSE))</f>
        <v>6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3</v>
      </c>
      <c r="H8" s="75">
        <f>IF(LEFT($D8,6)&lt;&gt;"Star: ",IFERROR(VLOOKUP($I$22&amp;$D8,'Database-Hidden'!$C$2:$J$120,7,FALSE)-S8+AJ8,""),VLOOKUP(RIGHT($D8,LEN($D8)-6),'Star Players-Hidden'!$A$3:$AK$87,36,FALSE))</f>
        <v>7</v>
      </c>
      <c r="I8" s="76" t="str">
        <f>IF(LEFT($D8,6)&lt;&gt;"Star: ",IFERROR(VLOOKUP($I$22&amp;$D8,'Database-Hidden'!$C$2:$J$120,8,FALSE),""),VLOOKUP(RIGHT($D8,LEN($D8)-6),'Star Players-Hidden'!$A$3:$AK$87,31,FALSE))</f>
        <v>Block, Dodge</v>
      </c>
      <c r="J8" s="77"/>
      <c r="K8" s="78">
        <f t="shared" si="0"/>
        <v>0</v>
      </c>
      <c r="L8" s="80"/>
      <c r="M8" s="79"/>
      <c r="N8" s="79"/>
      <c r="O8" s="81"/>
      <c r="P8" s="262"/>
      <c r="Q8" s="83"/>
      <c r="R8" s="83"/>
      <c r="S8" s="84"/>
      <c r="T8" s="85"/>
      <c r="U8" s="86"/>
      <c r="V8" s="86"/>
      <c r="W8" s="87"/>
      <c r="X8" s="83"/>
      <c r="Y8" s="303"/>
      <c r="Z8" s="88"/>
      <c r="AA8" s="89">
        <f t="shared" si="1"/>
        <v>0</v>
      </c>
      <c r="AB8" s="58">
        <f t="shared" si="2"/>
        <v>90000</v>
      </c>
      <c r="AC8" s="4"/>
      <c r="AD8" s="116">
        <f>IF(LEFT($D8,6)&lt;&gt;"Star: ",IFERROR(VLOOKUP($I$22&amp;D8,'Database-Hidden'!$C$2:$E$120,3,FALSE),""),VLOOKUP(RIGHT($D8,LEN($D8)-6),'Star Players-Hidden'!$A$3:$AJ$87,32,FALSE))</f>
        <v>90000</v>
      </c>
      <c r="AE8" s="91"/>
      <c r="AF8" s="103"/>
      <c r="AG8" s="92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60000</v>
      </c>
      <c r="AP8" s="121">
        <v>50000</v>
      </c>
      <c r="AQ8" s="122"/>
      <c r="AR8" s="134" t="s">
        <v>48</v>
      </c>
      <c r="AS8" s="126" t="s">
        <v>471</v>
      </c>
      <c r="AT8" s="128">
        <v>1</v>
      </c>
      <c r="AU8" s="130">
        <v>2</v>
      </c>
      <c r="AV8" s="282">
        <v>0</v>
      </c>
      <c r="AW8" s="132"/>
      <c r="AX8" s="132"/>
    </row>
    <row r="9" spans="1:50" ht="12.75">
      <c r="A9" s="2"/>
      <c r="B9" s="70">
        <v>6</v>
      </c>
      <c r="C9" s="71" t="s">
        <v>472</v>
      </c>
      <c r="D9" s="72" t="s">
        <v>101</v>
      </c>
      <c r="E9" s="73">
        <f>IF(LEFT($D9,6)&lt;&gt;"Star: ",IFERROR(VLOOKUP($I$22&amp;$D9,'Database-Hidden'!$C$2:$J$120,4,FALSE)-P9+AG9,""),VLOOKUP(RIGHT($D9,LEN($D9)-6),'Star Players-Hidden'!$A$3:$AK$87,33,FALSE))</f>
        <v>6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3</v>
      </c>
      <c r="H9" s="75">
        <f>IF(LEFT($D9,6)&lt;&gt;"Star: ",IFERROR(VLOOKUP($I$22&amp;$D9,'Database-Hidden'!$C$2:$J$120,7,FALSE)-S9+AJ9,""),VLOOKUP(RIGHT($D9,LEN($D9)-6),'Star Players-Hidden'!$A$3:$AK$87,36,FALSE))</f>
        <v>7</v>
      </c>
      <c r="I9" s="76" t="str">
        <f>IF(LEFT($D9,6)&lt;&gt;"Star: ",IFERROR(VLOOKUP($I$22&amp;$D9,'Database-Hidden'!$C$2:$J$120,8,FALSE),""),VLOOKUP(RIGHT($D9,LEN($D9)-6),'Star Players-Hidden'!$A$3:$AK$87,31,FALSE))</f>
        <v>Block, Dodge</v>
      </c>
      <c r="J9" s="77" t="s">
        <v>82</v>
      </c>
      <c r="K9" s="78">
        <f t="shared" si="0"/>
        <v>1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7">
        <v>2</v>
      </c>
      <c r="W9" s="86"/>
      <c r="X9" s="83"/>
      <c r="Y9" s="83"/>
      <c r="Z9" s="88"/>
      <c r="AA9" s="89">
        <f t="shared" si="1"/>
        <v>6</v>
      </c>
      <c r="AB9" s="58">
        <f t="shared" si="2"/>
        <v>110000</v>
      </c>
      <c r="AC9" s="4"/>
      <c r="AD9" s="116">
        <f>IF(LEFT($D9,6)&lt;&gt;"Star: ",IFERROR(VLOOKUP($I$22&amp;D9,'Database-Hidden'!$C$2:$E$120,3,FALSE),""),VLOOKUP(RIGHT($D9,LEN($D9)-6),'Star Players-Hidden'!$A$3:$AJ$87,32,FALSE))</f>
        <v>90000</v>
      </c>
      <c r="AE9" s="91">
        <v>1</v>
      </c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9">
        <v>40000</v>
      </c>
      <c r="AP9" s="121">
        <v>0</v>
      </c>
      <c r="AQ9" s="289">
        <v>0</v>
      </c>
      <c r="AR9" s="134" t="s">
        <v>26</v>
      </c>
      <c r="AS9" s="126" t="s">
        <v>475</v>
      </c>
      <c r="AT9" s="128">
        <v>1</v>
      </c>
      <c r="AU9" s="130">
        <v>1</v>
      </c>
      <c r="AV9" s="137">
        <f>0</f>
        <v>0</v>
      </c>
      <c r="AW9" s="132"/>
      <c r="AX9" s="132"/>
    </row>
    <row r="10" spans="1:50" ht="12.75">
      <c r="A10" s="2"/>
      <c r="B10" s="70">
        <v>7</v>
      </c>
      <c r="C10" s="71" t="s">
        <v>476</v>
      </c>
      <c r="D10" s="72" t="s">
        <v>101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7</v>
      </c>
      <c r="I10" s="76" t="str">
        <f>IF(LEFT($D10,6)&lt;&gt;"Star: ",IFERROR(VLOOKUP($I$22&amp;$D10,'Database-Hidden'!$C$2:$J$120,8,FALSE),""),VLOOKUP(RIGHT($D10,LEN($D10)-6),'Star Players-Hidden'!$A$3:$AK$87,31,FALSE))</f>
        <v>Block, Dodge</v>
      </c>
      <c r="J10" s="77" t="s">
        <v>477</v>
      </c>
      <c r="K10" s="78">
        <f t="shared" si="0"/>
        <v>1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>
        <v>1</v>
      </c>
      <c r="X10" s="83"/>
      <c r="Y10" s="83"/>
      <c r="Z10" s="88">
        <v>1</v>
      </c>
      <c r="AA10" s="89">
        <f t="shared" si="1"/>
        <v>7</v>
      </c>
      <c r="AB10" s="58">
        <f t="shared" si="2"/>
        <v>110000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90000</v>
      </c>
      <c r="AE10" s="91">
        <v>1</v>
      </c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9">
        <v>70000</v>
      </c>
      <c r="AP10" s="121">
        <v>90000</v>
      </c>
      <c r="AQ10" s="122"/>
      <c r="AR10" s="134" t="s">
        <v>29</v>
      </c>
      <c r="AS10" s="126" t="s">
        <v>463</v>
      </c>
      <c r="AT10" s="128">
        <v>2</v>
      </c>
      <c r="AU10" s="130">
        <v>0</v>
      </c>
      <c r="AV10" s="137">
        <f>1</f>
        <v>1</v>
      </c>
      <c r="AW10" s="132"/>
      <c r="AX10" s="132"/>
    </row>
    <row r="11" spans="1:50" ht="12.75">
      <c r="A11" s="2"/>
      <c r="B11" s="70">
        <v>8</v>
      </c>
      <c r="C11" s="71" t="s">
        <v>95</v>
      </c>
      <c r="D11" s="72" t="s">
        <v>479</v>
      </c>
      <c r="E11" s="73">
        <f>IF(LEFT($D11,6)&lt;&gt;"Star: ",IFERROR(VLOOKUP($I$22&amp;$D11,'Database-Hidden'!$C$2:$J$120,4,FALSE)-P11+AG11,""),VLOOKUP(RIGHT($D11,LEN($D11)-6),'Star Players-Hidden'!$A$3:$AK$87,33,FALSE))</f>
        <v>6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7</v>
      </c>
      <c r="I11" s="76" t="str">
        <f>IF(LEFT($D11,6)&lt;&gt;"Star: ",IFERROR(VLOOKUP($I$22&amp;$D11,'Database-Hidden'!$C$2:$J$120,8,FALSE),""),VLOOKUP(RIGHT($D11,LEN($D11)-6),'Star Players-Hidden'!$A$3:$AK$87,31,FALSE))</f>
        <v>Dodge</v>
      </c>
      <c r="J11" s="77" t="s">
        <v>480</v>
      </c>
      <c r="K11" s="78">
        <f t="shared" si="0"/>
        <v>0</v>
      </c>
      <c r="L11" s="80">
        <v>1</v>
      </c>
      <c r="M11" s="79"/>
      <c r="N11" s="79"/>
      <c r="O11" s="81"/>
      <c r="P11" s="82"/>
      <c r="Q11" s="83"/>
      <c r="R11" s="83"/>
      <c r="S11" s="84"/>
      <c r="T11" s="85"/>
      <c r="U11" s="86"/>
      <c r="V11" s="86"/>
      <c r="W11" s="87"/>
      <c r="X11" s="83"/>
      <c r="Y11" s="83"/>
      <c r="Z11" s="88"/>
      <c r="AA11" s="89">
        <f t="shared" si="1"/>
        <v>0</v>
      </c>
      <c r="AB11" s="58">
        <f t="shared" si="2"/>
        <v>0</v>
      </c>
      <c r="AC11" s="4"/>
      <c r="AD11" s="116">
        <f>IF(LEFT($D11,6)&lt;&gt;"Star: ",IFERROR(VLOOKUP($I$22&amp;D11,'Database-Hidden'!$C$2:$E$120,3,FALSE),""),VLOOKUP(RIGHT($D11,LEN($D11)-6),'Star Players-Hidden'!$A$3:$AJ$87,32,FALSE))</f>
        <v>50000</v>
      </c>
      <c r="AE11" s="138"/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9">
        <v>10000</v>
      </c>
      <c r="AP11" s="121">
        <v>0</v>
      </c>
      <c r="AQ11" s="289">
        <v>0</v>
      </c>
      <c r="AR11" s="134" t="s">
        <v>15</v>
      </c>
      <c r="AS11" s="126" t="s">
        <v>475</v>
      </c>
      <c r="AT11" s="128">
        <v>1</v>
      </c>
      <c r="AU11" s="130">
        <v>0</v>
      </c>
      <c r="AV11" s="282">
        <v>-1</v>
      </c>
      <c r="AW11" s="132"/>
      <c r="AX11" s="132"/>
    </row>
    <row r="12" spans="1:50" ht="12.75">
      <c r="A12" s="2"/>
      <c r="B12" s="70">
        <v>9</v>
      </c>
      <c r="C12" s="71" t="s">
        <v>481</v>
      </c>
      <c r="D12" s="72" t="s">
        <v>479</v>
      </c>
      <c r="E12" s="73">
        <f>IF(LEFT($D12,6)&lt;&gt;"Star: ",IFERROR(VLOOKUP($I$22&amp;$D12,'Database-Hidden'!$C$2:$J$120,4,FALSE)-P12+AG12,""),VLOOKUP(RIGHT($D12,LEN($D12)-6),'Star Players-Hidden'!$A$3:$AK$87,33,FALSE))</f>
        <v>6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7</v>
      </c>
      <c r="I12" s="76" t="str">
        <f>IF(LEFT($D12,6)&lt;&gt;"Star: ",IFERROR(VLOOKUP($I$22&amp;$D12,'Database-Hidden'!$C$2:$J$120,8,FALSE),""),VLOOKUP(RIGHT($D12,LEN($D12)-6),'Star Players-Hidden'!$A$3:$AK$87,31,FALSE))</f>
        <v>Dodge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50000</v>
      </c>
      <c r="AC12" s="4"/>
      <c r="AD12" s="116">
        <f>IF(LEFT($D12,6)&lt;&gt;"Star: ",IFERROR(VLOOKUP($I$22&amp;D12,'Database-Hidden'!$C$2:$E$120,3,FALSE),""),VLOOKUP(RIGHT($D12,LEN($D12)-6),'Star Players-Hidden'!$A$3:$AJ$87,32,FALSE))</f>
        <v>50000</v>
      </c>
      <c r="AE12" s="138"/>
      <c r="AF12" s="103"/>
      <c r="AG12" s="103"/>
      <c r="AH12" s="103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9">
        <v>60000</v>
      </c>
      <c r="AP12" s="121">
        <v>100000</v>
      </c>
      <c r="AQ12" s="289"/>
      <c r="AR12" s="134" t="s">
        <v>21</v>
      </c>
      <c r="AS12" s="126" t="s">
        <v>283</v>
      </c>
      <c r="AT12" s="128">
        <v>0</v>
      </c>
      <c r="AU12" s="130">
        <v>3</v>
      </c>
      <c r="AV12" s="282">
        <v>0</v>
      </c>
      <c r="AW12" s="132"/>
      <c r="AX12" s="132"/>
    </row>
    <row r="13" spans="1:50" ht="12.75">
      <c r="A13" s="2"/>
      <c r="B13" s="70">
        <v>10</v>
      </c>
      <c r="C13" s="71" t="s">
        <v>485</v>
      </c>
      <c r="D13" s="72" t="s">
        <v>479</v>
      </c>
      <c r="E13" s="73">
        <f>IF(LEFT($D13,6)&lt;&gt;"Star: ",IFERROR(VLOOKUP($I$22&amp;$D13,'Database-Hidden'!$C$2:$J$120,4,FALSE)-P13+AG13,""),VLOOKUP(RIGHT($D13,LEN($D13)-6),'Star Players-Hidden'!$A$3:$AK$87,33,FALSE))</f>
        <v>6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3</v>
      </c>
      <c r="H13" s="75">
        <f>IF(LEFT($D13,6)&lt;&gt;"Star: ",IFERROR(VLOOKUP($I$22&amp;$D13,'Database-Hidden'!$C$2:$J$120,7,FALSE)-S13+AJ13,""),VLOOKUP(RIGHT($D13,LEN($D13)-6),'Star Players-Hidden'!$A$3:$AK$87,36,FALSE))</f>
        <v>7</v>
      </c>
      <c r="I13" s="76" t="str">
        <f>IF(LEFT($D13,6)&lt;&gt;"Star: ",IFERROR(VLOOKUP($I$22&amp;$D13,'Database-Hidden'!$C$2:$J$120,8,FALSE),""),VLOOKUP(RIGHT($D13,LEN($D13)-6),'Star Players-Hidden'!$A$3:$AK$87,31,FALSE))</f>
        <v>Dodge</v>
      </c>
      <c r="J13" s="77" t="s">
        <v>199</v>
      </c>
      <c r="K13" s="78">
        <f t="shared" si="0"/>
        <v>1</v>
      </c>
      <c r="L13" s="80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>
        <v>1</v>
      </c>
      <c r="X13" s="83"/>
      <c r="Y13" s="83"/>
      <c r="Z13" s="88">
        <v>1</v>
      </c>
      <c r="AA13" s="89">
        <f t="shared" si="1"/>
        <v>7</v>
      </c>
      <c r="AB13" s="58">
        <f t="shared" si="2"/>
        <v>70000</v>
      </c>
      <c r="AC13" s="4"/>
      <c r="AD13" s="116">
        <f>IF(LEFT($D13,6)&lt;&gt;"Star: ",IFERROR(VLOOKUP($I$22&amp;D13,'Database-Hidden'!$C$2:$E$120,3,FALSE),""),VLOOKUP(RIGHT($D13,LEN($D13)-6),'Star Players-Hidden'!$A$3:$AJ$87,32,FALSE))</f>
        <v>50000</v>
      </c>
      <c r="AE13" s="91">
        <v>1</v>
      </c>
      <c r="AF13" s="92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  <c r="AX13" s="132"/>
    </row>
    <row r="14" spans="1:50" ht="12.75">
      <c r="A14" s="2"/>
      <c r="B14" s="70">
        <v>11</v>
      </c>
      <c r="C14" s="71" t="s">
        <v>488</v>
      </c>
      <c r="D14" s="72" t="s">
        <v>479</v>
      </c>
      <c r="E14" s="73">
        <f>IF(LEFT($D14,6)&lt;&gt;"Star: ",IFERROR(VLOOKUP($I$22&amp;$D14,'Database-Hidden'!$C$2:$J$120,4,FALSE)-P14+AG14,""),VLOOKUP(RIGHT($D14,LEN($D14)-6),'Star Players-Hidden'!$A$3:$AK$87,33,FALSE))</f>
        <v>6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7</v>
      </c>
      <c r="I14" s="76" t="str">
        <f>IF(LEFT($D14,6)&lt;&gt;"Star: ",IFERROR(VLOOKUP($I$22&amp;$D14,'Database-Hidden'!$C$2:$J$120,8,FALSE),""),VLOOKUP(RIGHT($D14,LEN($D14)-6),'Star Players-Hidden'!$A$3:$AK$87,31,FALSE))</f>
        <v>Dodge</v>
      </c>
      <c r="J14" s="77"/>
      <c r="K14" s="78">
        <f t="shared" si="0"/>
        <v>0</v>
      </c>
      <c r="L14" s="80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50000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50000</v>
      </c>
      <c r="AE14" s="91"/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  <c r="AX14" s="132"/>
    </row>
    <row r="15" spans="1:50" ht="12.75">
      <c r="A15" s="2"/>
      <c r="B15" s="70">
        <v>12</v>
      </c>
      <c r="C15" s="71"/>
      <c r="D15" s="72"/>
      <c r="E15" s="73" t="str">
        <f>IF(LEFT($D15,6)&lt;&gt;"Star: ",IFERROR(VLOOKUP($I$22&amp;$D15,'Database-Hidden'!$C$2:$J$120,4,FALSE)-P15+AG15,""),VLOOKUP(RIGHT($D15,LEN($D15)-6),'Star Players-Hidden'!$A$3:$AK$87,33,FALSE))</f>
        <v/>
      </c>
      <c r="F15" s="73" t="str">
        <f>IF(LEFT($D15,6)&lt;&gt;"Star: ",IFERROR(VLOOKUP($I$22&amp;$D15,'Database-Hidden'!$C$2:$J$120,5,FALSE)-Q15+AH15,""),VLOOKUP(RIGHT($D15,LEN($D15)-6),'Star Players-Hidden'!$A$3:$AK$87,34,FALSE))</f>
        <v/>
      </c>
      <c r="G15" s="73" t="str">
        <f>IF(LEFT($D15,6)&lt;&gt;"Star: ",IFERROR(VLOOKUP($I$22&amp;$D15,'Database-Hidden'!$C$2:$J$120,6,FALSE)-R15+AI15,""),VLOOKUP(RIGHT($D15,LEN($D15)-6),'Star Players-Hidden'!$A$3:$AK$87,35,FALSE))</f>
        <v/>
      </c>
      <c r="H15" s="75" t="str">
        <f>IF(LEFT($D15,6)&lt;&gt;"Star: ",IFERROR(VLOOKUP($I$22&amp;$D15,'Database-Hidden'!$C$2:$J$120,7,FALSE)-S15+AJ15,""),VLOOKUP(RIGHT($D15,LEN($D15)-6),'Star Players-Hidden'!$A$3:$AK$87,36,FALSE))</f>
        <v/>
      </c>
      <c r="I15" s="76" t="str">
        <f>IF(LEFT($D15,6)&lt;&gt;"Star: ",IFERROR(VLOOKUP($I$22&amp;$D15,'Database-Hidden'!$C$2:$J$120,8,FALSE),""),VLOOKUP(RIGHT($D15,LEN($D15)-6),'Star Players-Hidden'!$A$3:$AK$87,31,FALSE))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6" t="str">
        <f>IF(LEFT($D15,6)&lt;&gt;"Star: ",IFERROR(VLOOKUP($I$22&amp;D15,'Database-Hidden'!$C$2:$E$120,3,FALSE),""),VLOOKUP(RIGHT($D15,LEN($D15)-6),'Star Players-Hidden'!$A$3:$AJ$87,32,FALSE))</f>
        <v/>
      </c>
      <c r="AE15" s="91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  <c r="AX15" s="132"/>
    </row>
    <row r="16" spans="1:50" ht="12.75">
      <c r="A16" s="2"/>
      <c r="B16" s="70">
        <v>13</v>
      </c>
      <c r="C16" s="71"/>
      <c r="D16" s="72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6" t="str">
        <f>IF(LEFT($D16,6)&lt;&gt;"Star: ",IFERROR(VLOOKUP($I$22&amp;D16,'Database-Hidden'!$C$2:$E$120,3,FALSE),""),VLOOKUP(RIGHT($D16,LEN($D16)-6),'Star Players-Hidden'!$A$3:$AJ$87,32,FALSE))</f>
        <v/>
      </c>
      <c r="AE16" s="91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  <c r="AX16" s="132"/>
    </row>
    <row r="17" spans="1:50" ht="12.75">
      <c r="A17" s="2"/>
      <c r="B17" s="70">
        <v>14</v>
      </c>
      <c r="C17" s="71"/>
      <c r="D17" s="72"/>
      <c r="E17" s="73" t="str">
        <f>IF(LEFT($D17,6)&lt;&gt;"Star: ",IFERROR(VLOOKUP($I$22&amp;$D17,'Database-Hidden'!$C$2:$J$120,4,FALSE)-P17+AG17,""),VLOOKUP(RIGHT($D17,LEN($D17)-6),'Star Players-Hidden'!$A$3:$AK$87,33,FALSE))</f>
        <v/>
      </c>
      <c r="F17" s="73" t="str">
        <f>IF(LEFT($D17,6)&lt;&gt;"Star: ",IFERROR(VLOOKUP($I$22&amp;$D17,'Database-Hidden'!$C$2:$J$120,5,FALSE)-Q17+AH17,""),VLOOKUP(RIGHT($D17,LEN($D17)-6),'Star Players-Hidden'!$A$3:$AK$87,34,FALSE))</f>
        <v/>
      </c>
      <c r="G17" s="73" t="str">
        <f>IF(LEFT($D17,6)&lt;&gt;"Star: ",IFERROR(VLOOKUP($I$22&amp;$D17,'Database-Hidden'!$C$2:$J$120,6,FALSE)-R17+AI17,""),VLOOKUP(RIGHT($D17,LEN($D17)-6),'Star Players-Hidden'!$A$3:$AK$87,35,FALSE))</f>
        <v/>
      </c>
      <c r="H17" s="75" t="str">
        <f>IF(LEFT($D17,6)&lt;&gt;"Star: ",IFERROR(VLOOKUP($I$22&amp;$D17,'Database-Hidden'!$C$2:$J$120,7,FALSE)-S17+AJ17,""),VLOOKUP(RIGHT($D17,LEN($D17)-6),'Star Players-Hidden'!$A$3:$AK$87,36,FALSE))</f>
        <v/>
      </c>
      <c r="I17" s="76" t="str">
        <f>IF(LEFT($D17,6)&lt;&gt;"Star: ",IFERROR(VLOOKUP($I$22&amp;$D17,'Database-Hidden'!$C$2:$J$120,8,FALSE),""),VLOOKUP(RIGHT($D17,LEN($D17)-6),'Star Players-Hidden'!$A$3:$AK$87,31,FALSE))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IF(LEFT($D17,6)&lt;&gt;"Star: ",IFERROR(VLOOKUP($I$22&amp;D17,'Database-Hidden'!$C$2:$E$120,3,FALSE),""),VLOOKUP(RIGHT($D17,LEN($D17)-6),'Star Players-Hidden'!$A$3:$AJ$87,32,FALSE))</f>
        <v/>
      </c>
      <c r="AE17" s="91"/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70000</v>
      </c>
      <c r="AP18" s="4"/>
      <c r="AQ18" s="4"/>
      <c r="AR18" s="67"/>
      <c r="AS18" s="148" t="s">
        <v>42</v>
      </c>
      <c r="AT18" s="150">
        <f t="shared" ref="AT18:AU18" si="3">SUM(AT6:AT17)</f>
        <v>7</v>
      </c>
      <c r="AU18" s="151">
        <f t="shared" si="3"/>
        <v>7</v>
      </c>
      <c r="AV18" s="152">
        <f>AV4+SUM(AV6:AV17)</f>
        <v>4</v>
      </c>
      <c r="AW18" s="5"/>
      <c r="AX18" s="5"/>
    </row>
    <row r="19" spans="1:50" ht="12.75">
      <c r="A19" s="2"/>
      <c r="B19" s="153">
        <v>16</v>
      </c>
      <c r="C19" s="154"/>
      <c r="D19" s="155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900000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18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491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4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40000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70000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493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70000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1140000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35000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70000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35000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240000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210000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09">
        <f>MATCH(I22,'Database-Hidden'!A2:A120,0)</f>
        <v>1</v>
      </c>
      <c r="D28" s="209" t="str">
        <f t="shared" ref="D28:D37" si="5">I28&amp;IF(COUNTIF(D$4:D$19,I28)&gt;E28," (Too Many)","")</f>
        <v>Linewoman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Linewoman</v>
      </c>
    </row>
    <row r="29" spans="1:50" ht="17.25" hidden="1" customHeight="1">
      <c r="C29" s="209">
        <f t="shared" ref="C29:C37" si="6">C28+1</f>
        <v>2</v>
      </c>
      <c r="D29" s="209" t="str">
        <f t="shared" si="5"/>
        <v>Thrower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Thrower</v>
      </c>
    </row>
    <row r="30" spans="1:50" ht="17.25" hidden="1" customHeight="1">
      <c r="C30" s="209">
        <f t="shared" si="6"/>
        <v>3</v>
      </c>
      <c r="D30" s="209" t="str">
        <f t="shared" si="5"/>
        <v>Catcher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Catcher</v>
      </c>
    </row>
    <row r="31" spans="1:50" ht="17.25" hidden="1" customHeight="1">
      <c r="C31" s="209">
        <f t="shared" si="6"/>
        <v>4</v>
      </c>
      <c r="D31" s="209" t="str">
        <f t="shared" si="5"/>
        <v>Blitzer</v>
      </c>
      <c r="E31" s="210">
        <f t="array" ref="E31">IFERROR(IF(INDEX('Database-Hidden'!$A$2:$B$120,$C31,1)=$I$22,INDEX('Database-Hidden'!$A$2:$D$120,$C31,4),""),"")</f>
        <v>4</v>
      </c>
      <c r="I31" s="209" t="str">
        <f t="array" ref="I31">IFERROR(IF(INDEX('Database-Hidden'!$A$2:$B$120,$C31,1)=$I$22,INDEX('Database-Hidden'!$A$2:$B$120,$C31,2),""),"")</f>
        <v>Blitzer</v>
      </c>
    </row>
    <row r="32" spans="1:50" ht="17.25" hidden="1" customHeight="1">
      <c r="C32" s="209">
        <f t="shared" si="6"/>
        <v>5</v>
      </c>
      <c r="D32" s="209" t="str">
        <f t="shared" si="5"/>
        <v/>
      </c>
      <c r="E32" s="210" t="str">
        <f t="array" ref="E32">IFERROR(IF(INDEX('Database-Hidden'!$A$2:$B$120,$C32,1)=$I$22,INDEX('Database-Hidden'!$A$2:$D$120,$C32,4),""),"")</f>
        <v/>
      </c>
      <c r="I32" s="209" t="str">
        <f t="array" ref="I32">IFERROR(IF(INDEX('Database-Hidden'!$A$2:$B$120,$C32,1)=$I$22,INDEX('Database-Hidden'!$A$2:$B$120,$C32,2),""),"")</f>
        <v/>
      </c>
    </row>
    <row r="33" spans="3:9" ht="17.25" hidden="1" customHeight="1">
      <c r="C33" s="209">
        <f t="shared" si="6"/>
        <v>6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</row>
    <row r="34" spans="3:9" ht="17.25" hidden="1" customHeight="1">
      <c r="C34" s="209">
        <f t="shared" si="6"/>
        <v>7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</row>
    <row r="35" spans="3:9" ht="17.25" hidden="1" customHeight="1">
      <c r="C35" s="209">
        <f t="shared" si="6"/>
        <v>8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</row>
    <row r="36" spans="3:9" ht="17.25" hidden="1" customHeight="1">
      <c r="C36" s="209">
        <f t="shared" si="6"/>
        <v>9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</row>
    <row r="37" spans="3:9" ht="17.25" hidden="1" customHeight="1">
      <c r="C37" s="209">
        <f t="shared" si="6"/>
        <v>10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</row>
    <row r="38" spans="3:9" ht="17.25" hidden="1" customHeight="1">
      <c r="C38" s="211">
        <f>MATCH(I22,'Star Players-Hidden'!D2:AD2,0)</f>
        <v>1</v>
      </c>
      <c r="D38" s="211" t="str">
        <f t="shared" ref="D38:D49" ca="1" si="7">I38&amp;IF(COUNTIF(D$4:D$19,I38)&gt;1," (Too Many)","")</f>
        <v>Star: Bertha Bigfist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Bertha Bigfist")</f>
        <v>Star: Bertha Bigfist</v>
      </c>
    </row>
    <row r="39" spans="3:9" ht="17.25" hidden="1" customHeight="1">
      <c r="C39" s="209"/>
      <c r="D39" s="209" t="str">
        <f t="shared" si="7"/>
        <v>Star: Helmut Wulf</v>
      </c>
      <c r="I39" s="213" t="s">
        <v>232</v>
      </c>
    </row>
    <row r="40" spans="3:9" ht="17.25" hidden="1" customHeight="1">
      <c r="C40" s="209"/>
      <c r="D40" s="209" t="str">
        <f t="shared" si="7"/>
        <v>Star: Karla Von Kill</v>
      </c>
      <c r="I40" s="209" t="s">
        <v>233</v>
      </c>
    </row>
    <row r="41" spans="3:9" ht="17.25" hidden="1" customHeight="1">
      <c r="C41" s="209"/>
      <c r="D41" s="209" t="str">
        <f t="shared" si="7"/>
        <v>Star: Morg'n'Thorg</v>
      </c>
      <c r="I41" s="209" t="s">
        <v>144</v>
      </c>
    </row>
    <row r="42" spans="3:9" ht="17.25" hidden="1" customHeight="1">
      <c r="C42" s="209"/>
      <c r="D42" s="209" t="str">
        <f t="shared" si="7"/>
        <v>Star: Roxanna Darknall</v>
      </c>
      <c r="I42" s="209" t="s">
        <v>496</v>
      </c>
    </row>
    <row r="43" spans="3:9" ht="17.25" hidden="1" customHeight="1">
      <c r="C43" s="209"/>
      <c r="D43" s="209" t="str">
        <f t="shared" si="7"/>
        <v>Star: Willow Rosebark</v>
      </c>
      <c r="I43" s="209" t="s">
        <v>406</v>
      </c>
    </row>
    <row r="44" spans="3:9" ht="17.25" hidden="1" customHeight="1">
      <c r="C44" s="209"/>
      <c r="D44" s="209" t="str">
        <f t="shared" si="7"/>
        <v>Star: Zara the Slayer</v>
      </c>
      <c r="I44" s="209" t="s">
        <v>148</v>
      </c>
    </row>
    <row r="45" spans="3:9" ht="17.25" hidden="1" customHeight="1">
      <c r="C45" s="209"/>
      <c r="D45" s="209" t="str">
        <f t="shared" si="7"/>
        <v/>
      </c>
      <c r="I45" s="209"/>
    </row>
    <row r="46" spans="3:9" ht="17.25" hidden="1" customHeight="1">
      <c r="C46" s="209"/>
      <c r="D46" s="209" t="str">
        <f t="shared" si="7"/>
        <v/>
      </c>
      <c r="I46" s="209"/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</sheetData>
  <mergeCells count="27">
    <mergeCell ref="AN3:AQ3"/>
    <mergeCell ref="AR3:AV3"/>
    <mergeCell ref="P2:S2"/>
    <mergeCell ref="V21:AA21"/>
    <mergeCell ref="AN21:AO21"/>
    <mergeCell ref="L22:S22"/>
    <mergeCell ref="E23:H23"/>
    <mergeCell ref="I23:K23"/>
    <mergeCell ref="I22:K22"/>
    <mergeCell ref="V23:AA23"/>
    <mergeCell ref="V22:AA22"/>
    <mergeCell ref="B20:D26"/>
    <mergeCell ref="E22:H22"/>
    <mergeCell ref="L24:S24"/>
    <mergeCell ref="I24:K24"/>
    <mergeCell ref="E25:H25"/>
    <mergeCell ref="E24:H24"/>
    <mergeCell ref="L25:S25"/>
    <mergeCell ref="E26:AA26"/>
    <mergeCell ref="V25:AA25"/>
    <mergeCell ref="V24:AA24"/>
    <mergeCell ref="I25:K25"/>
    <mergeCell ref="E21:H21"/>
    <mergeCell ref="I21:K21"/>
    <mergeCell ref="E20:AA20"/>
    <mergeCell ref="L21:S21"/>
    <mergeCell ref="L23:S23"/>
  </mergeCells>
  <conditionalFormatting sqref="J4">
    <cfRule type="expression" dxfId="232" priority="1">
      <formula>K4&lt;&gt;SUM(AE4:AJ4)</formula>
    </cfRule>
  </conditionalFormatting>
  <conditionalFormatting sqref="K4:K19">
    <cfRule type="cellIs" dxfId="231" priority="2" operator="equal">
      <formula>0</formula>
    </cfRule>
  </conditionalFormatting>
  <conditionalFormatting sqref="AB4:AB19">
    <cfRule type="cellIs" dxfId="230" priority="3" operator="equal">
      <formula>0</formula>
    </cfRule>
  </conditionalFormatting>
  <conditionalFormatting sqref="E4:I19">
    <cfRule type="expression" dxfId="229" priority="4">
      <formula>AG4&gt;0</formula>
    </cfRule>
  </conditionalFormatting>
  <conditionalFormatting sqref="E4:I19">
    <cfRule type="expression" dxfId="228" priority="5">
      <formula>P4&gt;0</formula>
    </cfRule>
  </conditionalFormatting>
  <conditionalFormatting sqref="T4:T19 U4:U19 V4:W19 Z4:Z19 U27">
    <cfRule type="cellIs" dxfId="227" priority="6" stopIfTrue="1" operator="equal">
      <formula>0</formula>
    </cfRule>
  </conditionalFormatting>
  <conditionalFormatting sqref="K4:K19">
    <cfRule type="cellIs" dxfId="226" priority="7" stopIfTrue="1" operator="equal">
      <formula>"n/a"</formula>
    </cfRule>
  </conditionalFormatting>
  <conditionalFormatting sqref="P4:S19">
    <cfRule type="cellIs" dxfId="225" priority="8" stopIfTrue="1" operator="lessThanOrEqual">
      <formula>-1</formula>
    </cfRule>
  </conditionalFormatting>
  <conditionalFormatting sqref="V25:W25">
    <cfRule type="cellIs" dxfId="224" priority="9" stopIfTrue="1" operator="equal">
      <formula>-500</formula>
    </cfRule>
  </conditionalFormatting>
  <conditionalFormatting sqref="T25">
    <cfRule type="cellIs" dxfId="223" priority="10" stopIfTrue="1" operator="greaterThan">
      <formula>$V$25</formula>
    </cfRule>
  </conditionalFormatting>
  <conditionalFormatting sqref="AA4:AA19">
    <cfRule type="cellIs" dxfId="222" priority="11" stopIfTrue="1" operator="equal">
      <formula>"Star"</formula>
    </cfRule>
  </conditionalFormatting>
  <conditionalFormatting sqref="AA4:AA19">
    <cfRule type="cellIs" dxfId="221" priority="12" stopIfTrue="1" operator="equal">
      <formula>AB4</formula>
    </cfRule>
  </conditionalFormatting>
  <conditionalFormatting sqref="I4:I19">
    <cfRule type="cellIs" dxfId="220" priority="13" stopIfTrue="1" operator="equal">
      <formula>0</formula>
    </cfRule>
  </conditionalFormatting>
  <conditionalFormatting sqref="I4:I19">
    <cfRule type="cellIs" dxfId="219" priority="14" stopIfTrue="1" operator="equal">
      <formula>"Player type quantity surpassed"</formula>
    </cfRule>
  </conditionalFormatting>
  <conditionalFormatting sqref="J5">
    <cfRule type="expression" dxfId="218" priority="15">
      <formula>K5&lt;&gt;SUM(AE5:AJ5)</formula>
    </cfRule>
  </conditionalFormatting>
  <conditionalFormatting sqref="J6">
    <cfRule type="expression" dxfId="217" priority="16">
      <formula>K6&lt;&gt;SUM(AE6:AJ6)</formula>
    </cfRule>
  </conditionalFormatting>
  <conditionalFormatting sqref="J7">
    <cfRule type="expression" dxfId="216" priority="17">
      <formula>K7&lt;&gt;SUM(AE7:AJ7)</formula>
    </cfRule>
  </conditionalFormatting>
  <conditionalFormatting sqref="J8">
    <cfRule type="expression" dxfId="215" priority="18">
      <formula>K8&lt;&gt;SUM(AE8:AJ8)</formula>
    </cfRule>
  </conditionalFormatting>
  <conditionalFormatting sqref="J9">
    <cfRule type="expression" dxfId="214" priority="19">
      <formula>K9&lt;&gt;SUM(AE9:AJ9)</formula>
    </cfRule>
  </conditionalFormatting>
  <conditionalFormatting sqref="J10">
    <cfRule type="expression" dxfId="213" priority="20">
      <formula>K10&lt;&gt;SUM(AE10:AJ10)</formula>
    </cfRule>
  </conditionalFormatting>
  <conditionalFormatting sqref="J11">
    <cfRule type="expression" dxfId="212" priority="21">
      <formula>K11&lt;&gt;SUM(AE11:AJ11)</formula>
    </cfRule>
  </conditionalFormatting>
  <conditionalFormatting sqref="J12">
    <cfRule type="expression" dxfId="211" priority="22">
      <formula>K12&lt;&gt;SUM(AE12:AJ12)</formula>
    </cfRule>
  </conditionalFormatting>
  <conditionalFormatting sqref="J13">
    <cfRule type="expression" dxfId="210" priority="23">
      <formula>K13&lt;&gt;SUM(AE13:AJ13)</formula>
    </cfRule>
  </conditionalFormatting>
  <conditionalFormatting sqref="J14">
    <cfRule type="expression" dxfId="209" priority="24">
      <formula>K14&lt;&gt;SUM(AE14:AJ14)</formula>
    </cfRule>
  </conditionalFormatting>
  <conditionalFormatting sqref="J15">
    <cfRule type="expression" dxfId="208" priority="25">
      <formula>K15&lt;&gt;SUM(AE15:AJ15)</formula>
    </cfRule>
  </conditionalFormatting>
  <conditionalFormatting sqref="J16">
    <cfRule type="expression" dxfId="207" priority="26">
      <formula>K16&lt;&gt;SUM(AE16:AJ16)</formula>
    </cfRule>
  </conditionalFormatting>
  <conditionalFormatting sqref="J17">
    <cfRule type="expression" dxfId="206" priority="27">
      <formula>K17&lt;&gt;SUM(AE17:AJ17)</formula>
    </cfRule>
  </conditionalFormatting>
  <conditionalFormatting sqref="J18">
    <cfRule type="expression" dxfId="205" priority="28">
      <formula>K18&lt;&gt;SUM(AE18:AJ18)</formula>
    </cfRule>
  </conditionalFormatting>
  <conditionalFormatting sqref="J19">
    <cfRule type="expression" dxfId="204" priority="29">
      <formula>K19&lt;&gt;SUM(AE19:AJ19)</formula>
    </cfRule>
  </conditionalFormatting>
  <dataValidations count="2">
    <dataValidation type="list" allowBlank="1" showErrorMessage="1" sqref="D4:D19">
      <formula1>'PM1'!$D$28:$D$49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scale="72" pageOrder="overThenDown"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41"/>
      <c r="D4" s="42"/>
      <c r="E4" s="43" t="str">
        <f>IFERROR(VLOOKUP($I$22&amp;$D4,'Database-Hidden'!$C$2:$J$120,4,FALSE)-P4+AG4,"")</f>
        <v/>
      </c>
      <c r="F4" s="44" t="str">
        <f>IFERROR(VLOOKUP($I$22&amp;$D4,'Database-Hidden'!$C$2:$J$120,5,FALSE)-Q4+AH4,"")</f>
        <v/>
      </c>
      <c r="G4" s="44" t="str">
        <f>IFERROR(VLOOKUP($I$22&amp;$D4,'Database-Hidden'!$C$2:$J$120,6,FALSE)-R4+AI4,"")</f>
        <v/>
      </c>
      <c r="H4" s="45" t="str">
        <f>IFERROR(VLOOKUP($I$22&amp;$D4,'Database-Hidden'!$C$2:$J$120,7,FALSE)-S4+AJ4,"")</f>
        <v/>
      </c>
      <c r="I4" s="46" t="str">
        <f>IFERROR(VLOOKUP($I$22&amp;$D4,'Database-Hidden'!$C$2:$J$120,8,FALSE),"")</f>
        <v/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/>
      <c r="X4" s="52"/>
      <c r="Y4" s="52"/>
      <c r="Z4" s="56"/>
      <c r="AA4" s="57">
        <f t="shared" ref="AA4:AA19" si="1">2*T4+U4+3*V4+2*W4+5*Z4</f>
        <v>0</v>
      </c>
      <c r="AB4" s="58"/>
      <c r="AC4" s="4"/>
      <c r="AD4" s="59" t="str">
        <f>IFERROR(VLOOKUP($I$22&amp;D4,'Database-Hidden'!$C$2:$E$120,3,FALSE),"")</f>
        <v/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3</v>
      </c>
      <c r="AW4" s="69"/>
      <c r="AX4" s="69"/>
    </row>
    <row r="5" spans="1:50" ht="12.75">
      <c r="A5" s="2"/>
      <c r="B5" s="70">
        <v>2</v>
      </c>
      <c r="C5" s="71" t="s">
        <v>455</v>
      </c>
      <c r="D5" s="72" t="s">
        <v>68</v>
      </c>
      <c r="E5" s="73">
        <f>IFERROR(VLOOKUP($I$22&amp;$D5,'Database-Hidden'!$C$2:$J$120,4,FALSE)-P5+AG5,"")</f>
        <v>7</v>
      </c>
      <c r="F5" s="74">
        <f>IFERROR(VLOOKUP($I$22&amp;$D5,'Database-Hidden'!$C$2:$J$120,5,FALSE)-Q5+AH5,"")</f>
        <v>3</v>
      </c>
      <c r="G5" s="74">
        <f>IFERROR(VLOOKUP($I$22&amp;$D5,'Database-Hidden'!$C$2:$J$120,6,FALSE)-R5+AI5,"")</f>
        <v>4</v>
      </c>
      <c r="H5" s="75">
        <f>IFERROR(VLOOKUP($I$22&amp;$D5,'Database-Hidden'!$C$2:$J$120,7,FALSE)-S5+AJ5,"")</f>
        <v>6</v>
      </c>
      <c r="I5" s="76">
        <f>IFERROR(VLOOKUP($I$22&amp;$D5,'Database-Hidden'!$C$2:$J$120,8,FALSE),"")</f>
        <v>0</v>
      </c>
      <c r="J5" s="77" t="s">
        <v>289</v>
      </c>
      <c r="K5" s="78">
        <f t="shared" si="0"/>
        <v>1</v>
      </c>
      <c r="L5" s="80">
        <v>1</v>
      </c>
      <c r="M5" s="79"/>
      <c r="N5" s="80">
        <v>1</v>
      </c>
      <c r="O5" s="81"/>
      <c r="P5" s="82"/>
      <c r="Q5" s="83"/>
      <c r="R5" s="83"/>
      <c r="S5" s="368">
        <v>1</v>
      </c>
      <c r="T5" s="369">
        <v>1</v>
      </c>
      <c r="U5" s="86"/>
      <c r="V5" s="87">
        <v>1</v>
      </c>
      <c r="W5" s="87"/>
      <c r="X5" s="83"/>
      <c r="Y5" s="303"/>
      <c r="Z5" s="88">
        <v>1</v>
      </c>
      <c r="AA5" s="89">
        <f t="shared" si="1"/>
        <v>10</v>
      </c>
      <c r="AB5" s="58">
        <f t="shared" ref="AB5:AB19" si="2">IF(L5=1,0,AD5+(20000*O5)+(20000*AE5)+(30000*AF5)+(30000*AG5)+(50000*AH5)+(40000*AI5)+(50000*AJ5)+AK5)</f>
        <v>0</v>
      </c>
      <c r="AC5" s="4"/>
      <c r="AD5" s="90">
        <f>IFERROR(VLOOKUP($I$22&amp;D5,'Database-Hidden'!$C$2:$E$120,3,FALSE),"")</f>
        <v>70000</v>
      </c>
      <c r="AE5" s="91"/>
      <c r="AF5" s="92">
        <v>1</v>
      </c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457</v>
      </c>
      <c r="D6" s="72" t="s">
        <v>68</v>
      </c>
      <c r="E6" s="73">
        <f>IFERROR(VLOOKUP($I$22&amp;$D6,'Database-Hidden'!$C$2:$J$120,4,FALSE)-P6+AG6,"")</f>
        <v>7</v>
      </c>
      <c r="F6" s="74">
        <f>IFERROR(VLOOKUP($I$22&amp;$D6,'Database-Hidden'!$C$2:$J$120,5,FALSE)-Q6+AH6,"")</f>
        <v>4</v>
      </c>
      <c r="G6" s="74">
        <f>IFERROR(VLOOKUP($I$22&amp;$D6,'Database-Hidden'!$C$2:$J$120,6,FALSE)-R6+AI6,"")</f>
        <v>4</v>
      </c>
      <c r="H6" s="75">
        <f>IFERROR(VLOOKUP($I$22&amp;$D6,'Database-Hidden'!$C$2:$J$120,7,FALSE)-S6+AJ6,"")</f>
        <v>7</v>
      </c>
      <c r="I6" s="76">
        <f>IFERROR(VLOOKUP($I$22&amp;$D6,'Database-Hidden'!$C$2:$J$120,8,FALSE),"")</f>
        <v>0</v>
      </c>
      <c r="J6" s="102" t="str">
        <f>"+ST"</f>
        <v>+ST</v>
      </c>
      <c r="K6" s="78">
        <f t="shared" si="0"/>
        <v>1</v>
      </c>
      <c r="L6" s="79"/>
      <c r="M6" s="79"/>
      <c r="N6" s="80">
        <v>1</v>
      </c>
      <c r="O6" s="81"/>
      <c r="P6" s="82"/>
      <c r="Q6" s="83"/>
      <c r="R6" s="83"/>
      <c r="S6" s="84"/>
      <c r="T6" s="85"/>
      <c r="U6" s="87">
        <v>1</v>
      </c>
      <c r="V6" s="86"/>
      <c r="W6" s="87">
        <v>1</v>
      </c>
      <c r="X6" s="83"/>
      <c r="Y6" s="83"/>
      <c r="Z6" s="88">
        <v>1</v>
      </c>
      <c r="AA6" s="89">
        <f t="shared" si="1"/>
        <v>8</v>
      </c>
      <c r="AB6" s="58">
        <f t="shared" si="2"/>
        <v>120000</v>
      </c>
      <c r="AC6" s="4"/>
      <c r="AD6" s="90">
        <f>IFERROR(VLOOKUP($I$22&amp;D6,'Database-Hidden'!$C$2:$E$120,3,FALSE),"")</f>
        <v>70000</v>
      </c>
      <c r="AE6" s="91"/>
      <c r="AF6" s="103"/>
      <c r="AG6" s="103"/>
      <c r="AH6" s="92">
        <v>1</v>
      </c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40000</v>
      </c>
      <c r="AP6" s="106"/>
      <c r="AQ6" s="107"/>
      <c r="AR6" s="108" t="s">
        <v>18</v>
      </c>
      <c r="AS6" s="110" t="s">
        <v>84</v>
      </c>
      <c r="AT6" s="112">
        <v>3</v>
      </c>
      <c r="AU6" s="113">
        <v>1</v>
      </c>
      <c r="AV6" s="281">
        <v>1</v>
      </c>
      <c r="AW6" s="115"/>
      <c r="AX6" s="115"/>
    </row>
    <row r="7" spans="1:50" ht="12.75">
      <c r="A7" s="2"/>
      <c r="B7" s="70">
        <v>4</v>
      </c>
      <c r="C7" s="71" t="s">
        <v>459</v>
      </c>
      <c r="D7" s="72" t="s">
        <v>68</v>
      </c>
      <c r="E7" s="73">
        <f>IFERROR(VLOOKUP($I$22&amp;$D7,'Database-Hidden'!$C$2:$J$120,4,FALSE)-P7+AG7,"")</f>
        <v>7</v>
      </c>
      <c r="F7" s="74">
        <f>IFERROR(VLOOKUP($I$22&amp;$D7,'Database-Hidden'!$C$2:$J$120,5,FALSE)-Q7+AH7,"")</f>
        <v>3</v>
      </c>
      <c r="G7" s="74">
        <f>IFERROR(VLOOKUP($I$22&amp;$D7,'Database-Hidden'!$C$2:$J$120,6,FALSE)-R7+AI7,"")</f>
        <v>4</v>
      </c>
      <c r="H7" s="75">
        <f>IFERROR(VLOOKUP($I$22&amp;$D7,'Database-Hidden'!$C$2:$J$120,7,FALSE)-S7+AJ7,"")</f>
        <v>6</v>
      </c>
      <c r="I7" s="76">
        <f>IFERROR(VLOOKUP($I$22&amp;$D7,'Database-Hidden'!$C$2:$J$120,8,FALSE),"")</f>
        <v>0</v>
      </c>
      <c r="J7" s="77" t="s">
        <v>82</v>
      </c>
      <c r="K7" s="78">
        <f t="shared" si="0"/>
        <v>1</v>
      </c>
      <c r="L7" s="80">
        <v>1</v>
      </c>
      <c r="M7" s="79"/>
      <c r="N7" s="80">
        <v>1</v>
      </c>
      <c r="O7" s="81"/>
      <c r="P7" s="82"/>
      <c r="Q7" s="83"/>
      <c r="R7" s="83"/>
      <c r="S7" s="368">
        <v>1</v>
      </c>
      <c r="T7" s="85"/>
      <c r="U7" s="86"/>
      <c r="V7" s="87">
        <v>1</v>
      </c>
      <c r="W7" s="87"/>
      <c r="X7" s="83"/>
      <c r="Y7" s="83"/>
      <c r="Z7" s="88">
        <v>1</v>
      </c>
      <c r="AA7" s="89">
        <f t="shared" si="1"/>
        <v>8</v>
      </c>
      <c r="AB7" s="58">
        <f t="shared" si="2"/>
        <v>0</v>
      </c>
      <c r="AC7" s="4"/>
      <c r="AD7" s="116">
        <f>IFERROR(VLOOKUP($I$22&amp;D7,'Database-Hidden'!$C$2:$E$120,3,FALSE),"")</f>
        <v>70000</v>
      </c>
      <c r="AE7" s="91"/>
      <c r="AF7" s="92">
        <v>1</v>
      </c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40000</v>
      </c>
      <c r="AP7" s="121">
        <v>70000</v>
      </c>
      <c r="AQ7" s="122"/>
      <c r="AR7" s="134" t="s">
        <v>48</v>
      </c>
      <c r="AS7" s="126" t="s">
        <v>87</v>
      </c>
      <c r="AT7" s="128">
        <v>1</v>
      </c>
      <c r="AU7" s="130">
        <v>0</v>
      </c>
      <c r="AV7" s="135">
        <v>1</v>
      </c>
      <c r="AW7" s="132"/>
      <c r="AX7" s="132"/>
    </row>
    <row r="8" spans="1:50" ht="12.75">
      <c r="A8" s="2"/>
      <c r="B8" s="70">
        <v>5</v>
      </c>
      <c r="C8" s="71" t="s">
        <v>461</v>
      </c>
      <c r="D8" s="72" t="s">
        <v>68</v>
      </c>
      <c r="E8" s="73">
        <f>IFERROR(VLOOKUP($I$22&amp;$D8,'Database-Hidden'!$C$2:$J$120,4,FALSE)-P8+AG8,"")</f>
        <v>7</v>
      </c>
      <c r="F8" s="74">
        <f>IFERROR(VLOOKUP($I$22&amp;$D8,'Database-Hidden'!$C$2:$J$120,5,FALSE)-Q8+AH8,"")</f>
        <v>3</v>
      </c>
      <c r="G8" s="74">
        <f>IFERROR(VLOOKUP($I$22&amp;$D8,'Database-Hidden'!$C$2:$J$120,6,FALSE)-R8+AI8,"")</f>
        <v>4</v>
      </c>
      <c r="H8" s="75">
        <f>IFERROR(VLOOKUP($I$22&amp;$D8,'Database-Hidden'!$C$2:$J$120,7,FALSE)-S8+AJ8,"")</f>
        <v>7</v>
      </c>
      <c r="I8" s="76">
        <f>IFERROR(VLOOKUP($I$22&amp;$D8,'Database-Hidden'!$C$2:$J$120,8,FALSE),"")</f>
        <v>0</v>
      </c>
      <c r="J8" s="77" t="s">
        <v>155</v>
      </c>
      <c r="K8" s="78">
        <f t="shared" si="0"/>
        <v>1</v>
      </c>
      <c r="L8" s="80"/>
      <c r="M8" s="79"/>
      <c r="N8" s="80">
        <v>1</v>
      </c>
      <c r="O8" s="81"/>
      <c r="P8" s="82"/>
      <c r="Q8" s="83"/>
      <c r="R8" s="83"/>
      <c r="S8" s="84"/>
      <c r="T8" s="85"/>
      <c r="U8" s="86"/>
      <c r="V8" s="86"/>
      <c r="W8" s="87">
        <v>1</v>
      </c>
      <c r="X8" s="83"/>
      <c r="Y8" s="303"/>
      <c r="Z8" s="88">
        <v>1</v>
      </c>
      <c r="AA8" s="89">
        <f t="shared" si="1"/>
        <v>7</v>
      </c>
      <c r="AB8" s="58">
        <f t="shared" si="2"/>
        <v>90000</v>
      </c>
      <c r="AC8" s="4"/>
      <c r="AD8" s="116">
        <f>IFERROR(VLOOKUP($I$22&amp;D8,'Database-Hidden'!$C$2:$E$120,3,FALSE),"")</f>
        <v>70000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60000</v>
      </c>
      <c r="AP8" s="120"/>
      <c r="AQ8" s="122"/>
      <c r="AR8" s="134" t="s">
        <v>465</v>
      </c>
      <c r="AS8" s="126" t="s">
        <v>87</v>
      </c>
      <c r="AT8" s="128">
        <v>1</v>
      </c>
      <c r="AU8" s="130">
        <v>0</v>
      </c>
      <c r="AV8" s="135">
        <v>1</v>
      </c>
      <c r="AW8" s="132"/>
      <c r="AX8" s="132"/>
    </row>
    <row r="9" spans="1:50" ht="12.75">
      <c r="A9" s="2"/>
      <c r="B9" s="70">
        <v>6</v>
      </c>
      <c r="C9" s="71" t="s">
        <v>466</v>
      </c>
      <c r="D9" s="72" t="s">
        <v>68</v>
      </c>
      <c r="E9" s="73">
        <f>IFERROR(VLOOKUP($I$22&amp;$D9,'Database-Hidden'!$C$2:$J$120,4,FALSE)-P9+AG9,"")</f>
        <v>7</v>
      </c>
      <c r="F9" s="74">
        <f>IFERROR(VLOOKUP($I$22&amp;$D9,'Database-Hidden'!$C$2:$J$120,5,FALSE)-Q9+AH9,"")</f>
        <v>3</v>
      </c>
      <c r="G9" s="74">
        <f>IFERROR(VLOOKUP($I$22&amp;$D9,'Database-Hidden'!$C$2:$J$120,6,FALSE)-R9+AI9,"")</f>
        <v>4</v>
      </c>
      <c r="H9" s="75">
        <f>IFERROR(VLOOKUP($I$22&amp;$D9,'Database-Hidden'!$C$2:$J$120,7,FALSE)-S9+AJ9,"")</f>
        <v>7</v>
      </c>
      <c r="I9" s="76">
        <f>IFERROR(VLOOKUP($I$22&amp;$D9,'Database-Hidden'!$C$2:$J$120,8,FALSE),"")</f>
        <v>0</v>
      </c>
      <c r="J9" s="77" t="s">
        <v>155</v>
      </c>
      <c r="K9" s="78">
        <f t="shared" si="0"/>
        <v>1</v>
      </c>
      <c r="L9" s="79"/>
      <c r="M9" s="79"/>
      <c r="N9" s="80">
        <v>1</v>
      </c>
      <c r="O9" s="81"/>
      <c r="P9" s="82"/>
      <c r="Q9" s="83"/>
      <c r="R9" s="83"/>
      <c r="S9" s="84"/>
      <c r="T9" s="85"/>
      <c r="U9" s="87"/>
      <c r="V9" s="87">
        <v>1</v>
      </c>
      <c r="W9" s="87">
        <v>2</v>
      </c>
      <c r="X9" s="83"/>
      <c r="Y9" s="83"/>
      <c r="Z9" s="366"/>
      <c r="AA9" s="89">
        <f t="shared" si="1"/>
        <v>7</v>
      </c>
      <c r="AB9" s="58">
        <f t="shared" si="2"/>
        <v>90000</v>
      </c>
      <c r="AC9" s="4"/>
      <c r="AD9" s="116">
        <f>IFERROR(VLOOKUP($I$22&amp;D9,'Database-Hidden'!$C$2:$E$120,3,FALSE),"")</f>
        <v>70000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9">
        <v>70000</v>
      </c>
      <c r="AP9" s="120"/>
      <c r="AQ9" s="122"/>
      <c r="AR9" s="134" t="s">
        <v>118</v>
      </c>
      <c r="AS9" s="126" t="s">
        <v>87</v>
      </c>
      <c r="AT9" s="128">
        <v>2</v>
      </c>
      <c r="AU9" s="130">
        <v>1</v>
      </c>
      <c r="AV9" s="135">
        <v>1</v>
      </c>
      <c r="AW9" s="132"/>
      <c r="AX9" s="132"/>
    </row>
    <row r="10" spans="1:50" ht="12.75">
      <c r="A10" s="2"/>
      <c r="B10" s="70">
        <v>7</v>
      </c>
      <c r="C10" s="71" t="s">
        <v>467</v>
      </c>
      <c r="D10" s="72" t="s">
        <v>68</v>
      </c>
      <c r="E10" s="73">
        <f>IFERROR(VLOOKUP($I$22&amp;$D10,'Database-Hidden'!$C$2:$J$120,4,FALSE)-P10+AG10,"")</f>
        <v>7</v>
      </c>
      <c r="F10" s="74">
        <f>IFERROR(VLOOKUP($I$22&amp;$D10,'Database-Hidden'!$C$2:$J$120,5,FALSE)-Q10+AH10,"")</f>
        <v>3</v>
      </c>
      <c r="G10" s="74">
        <f>IFERROR(VLOOKUP($I$22&amp;$D10,'Database-Hidden'!$C$2:$J$120,6,FALSE)-R10+AI10,"")</f>
        <v>4</v>
      </c>
      <c r="H10" s="75">
        <f>IFERROR(VLOOKUP($I$22&amp;$D10,'Database-Hidden'!$C$2:$J$120,7,FALSE)-S10+AJ10,"")</f>
        <v>7</v>
      </c>
      <c r="I10" s="76">
        <f>IFERROR(VLOOKUP($I$22&amp;$D10,'Database-Hidden'!$C$2:$J$120,8,FALSE),"")</f>
        <v>0</v>
      </c>
      <c r="J10" s="77" t="s">
        <v>155</v>
      </c>
      <c r="K10" s="78">
        <f t="shared" si="0"/>
        <v>1</v>
      </c>
      <c r="L10" s="79"/>
      <c r="M10" s="80"/>
      <c r="N10" s="79"/>
      <c r="O10" s="81"/>
      <c r="P10" s="82"/>
      <c r="Q10" s="83"/>
      <c r="R10" s="83"/>
      <c r="S10" s="84"/>
      <c r="T10" s="85"/>
      <c r="U10" s="87"/>
      <c r="V10" s="87"/>
      <c r="W10" s="87">
        <v>2</v>
      </c>
      <c r="X10" s="83"/>
      <c r="Y10" s="83"/>
      <c r="Z10" s="88">
        <v>1</v>
      </c>
      <c r="AA10" s="89">
        <f t="shared" si="1"/>
        <v>9</v>
      </c>
      <c r="AB10" s="58">
        <f t="shared" si="2"/>
        <v>90000</v>
      </c>
      <c r="AC10" s="4"/>
      <c r="AD10" s="116">
        <f>IFERROR(VLOOKUP($I$22&amp;D10,'Database-Hidden'!$C$2:$E$120,3,FALSE),"")</f>
        <v>70000</v>
      </c>
      <c r="AE10" s="91">
        <v>1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9">
        <v>30000</v>
      </c>
      <c r="AP10" s="120"/>
      <c r="AQ10" s="122"/>
      <c r="AR10" s="134" t="s">
        <v>39</v>
      </c>
      <c r="AS10" s="126" t="s">
        <v>87</v>
      </c>
      <c r="AT10" s="128">
        <v>2</v>
      </c>
      <c r="AU10" s="130">
        <v>1</v>
      </c>
      <c r="AV10" s="135">
        <v>1</v>
      </c>
      <c r="AW10" s="132"/>
      <c r="AX10" s="132"/>
    </row>
    <row r="11" spans="1:50" ht="12.75">
      <c r="A11" s="2"/>
      <c r="B11" s="70">
        <v>8</v>
      </c>
      <c r="C11" s="71" t="s">
        <v>469</v>
      </c>
      <c r="D11" s="72" t="s">
        <v>113</v>
      </c>
      <c r="E11" s="73">
        <f>IFERROR(VLOOKUP($I$22&amp;$D11,'Database-Hidden'!$C$2:$J$120,4,FALSE)-P11+AG11,"")</f>
        <v>9</v>
      </c>
      <c r="F11" s="74">
        <f>IFERROR(VLOOKUP($I$22&amp;$D11,'Database-Hidden'!$C$2:$J$120,5,FALSE)-Q11+AH11,"")</f>
        <v>2</v>
      </c>
      <c r="G11" s="74">
        <f>IFERROR(VLOOKUP($I$22&amp;$D11,'Database-Hidden'!$C$2:$J$120,6,FALSE)-R11+AI11,"")</f>
        <v>4</v>
      </c>
      <c r="H11" s="75">
        <f>IFERROR(VLOOKUP($I$22&amp;$D11,'Database-Hidden'!$C$2:$J$120,7,FALSE)-S11+AJ11,"")</f>
        <v>7</v>
      </c>
      <c r="I11" s="76" t="str">
        <f>IFERROR(VLOOKUP($I$22&amp;$D11,'Database-Hidden'!$C$2:$J$120,8,FALSE),"")</f>
        <v>Catch, Dodge, Sprint</v>
      </c>
      <c r="J11" s="77" t="s">
        <v>470</v>
      </c>
      <c r="K11" s="78">
        <f t="shared" si="0"/>
        <v>2</v>
      </c>
      <c r="L11" s="79"/>
      <c r="M11" s="79"/>
      <c r="N11" s="80">
        <v>1</v>
      </c>
      <c r="O11" s="81"/>
      <c r="P11" s="82"/>
      <c r="Q11" s="83"/>
      <c r="R11" s="83"/>
      <c r="S11" s="84"/>
      <c r="T11" s="85"/>
      <c r="U11" s="86"/>
      <c r="V11" s="87">
        <v>4</v>
      </c>
      <c r="W11" s="87">
        <v>1</v>
      </c>
      <c r="X11" s="83"/>
      <c r="Y11" s="83"/>
      <c r="Z11" s="88">
        <v>1</v>
      </c>
      <c r="AA11" s="89">
        <f t="shared" si="1"/>
        <v>19</v>
      </c>
      <c r="AB11" s="58">
        <f t="shared" si="2"/>
        <v>140000</v>
      </c>
      <c r="AC11" s="4"/>
      <c r="AD11" s="116">
        <f>IFERROR(VLOOKUP($I$22&amp;D11,'Database-Hidden'!$C$2:$E$120,3,FALSE),"")</f>
        <v>90000</v>
      </c>
      <c r="AE11" s="91">
        <v>1</v>
      </c>
      <c r="AF11" s="103"/>
      <c r="AG11" s="92">
        <v>1</v>
      </c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9">
        <v>70000</v>
      </c>
      <c r="AP11" s="120"/>
      <c r="AQ11" s="289">
        <v>30000</v>
      </c>
      <c r="AR11" s="134" t="s">
        <v>56</v>
      </c>
      <c r="AS11" s="126" t="s">
        <v>84</v>
      </c>
      <c r="AT11" s="128">
        <v>3</v>
      </c>
      <c r="AU11" s="130">
        <v>7</v>
      </c>
      <c r="AV11" s="135">
        <v>1</v>
      </c>
      <c r="AW11" s="132"/>
      <c r="AX11" s="132"/>
    </row>
    <row r="12" spans="1:50" ht="12.75">
      <c r="A12" s="2"/>
      <c r="B12" s="70">
        <v>9</v>
      </c>
      <c r="C12" s="71" t="s">
        <v>473</v>
      </c>
      <c r="D12" s="72" t="s">
        <v>113</v>
      </c>
      <c r="E12" s="73">
        <f>IFERROR(VLOOKUP($I$22&amp;$D12,'Database-Hidden'!$C$2:$J$120,4,FALSE)-P12+AG12,"")</f>
        <v>9</v>
      </c>
      <c r="F12" s="74">
        <f>IFERROR(VLOOKUP($I$22&amp;$D12,'Database-Hidden'!$C$2:$J$120,5,FALSE)-Q12+AH12,"")</f>
        <v>2</v>
      </c>
      <c r="G12" s="74">
        <f>IFERROR(VLOOKUP($I$22&amp;$D12,'Database-Hidden'!$C$2:$J$120,6,FALSE)-R12+AI12,"")</f>
        <v>4</v>
      </c>
      <c r="H12" s="75">
        <f>IFERROR(VLOOKUP($I$22&amp;$D12,'Database-Hidden'!$C$2:$J$120,7,FALSE)-S12+AJ12,"")</f>
        <v>7</v>
      </c>
      <c r="I12" s="76" t="str">
        <f>IFERROR(VLOOKUP($I$22&amp;$D12,'Database-Hidden'!$C$2:$J$120,8,FALSE),"")</f>
        <v>Catch, Dodge, Sprint</v>
      </c>
      <c r="J12" s="77" t="s">
        <v>474</v>
      </c>
      <c r="K12" s="78">
        <f t="shared" si="0"/>
        <v>2</v>
      </c>
      <c r="L12" s="79"/>
      <c r="M12" s="79"/>
      <c r="N12" s="80">
        <v>1</v>
      </c>
      <c r="O12" s="81"/>
      <c r="P12" s="82"/>
      <c r="Q12" s="83"/>
      <c r="R12" s="83"/>
      <c r="S12" s="84"/>
      <c r="T12" s="85"/>
      <c r="U12" s="87"/>
      <c r="V12" s="87">
        <v>8</v>
      </c>
      <c r="W12" s="87"/>
      <c r="X12" s="83"/>
      <c r="Y12" s="303"/>
      <c r="Z12" s="88">
        <v>1</v>
      </c>
      <c r="AA12" s="89">
        <f t="shared" si="1"/>
        <v>29</v>
      </c>
      <c r="AB12" s="58">
        <f t="shared" si="2"/>
        <v>140000</v>
      </c>
      <c r="AC12" s="4"/>
      <c r="AD12" s="116">
        <f>IFERROR(VLOOKUP($I$22&amp;D12,'Database-Hidden'!$C$2:$E$120,3,FALSE),"")</f>
        <v>90000</v>
      </c>
      <c r="AE12" s="91">
        <v>1</v>
      </c>
      <c r="AF12" s="103"/>
      <c r="AG12" s="92">
        <v>1</v>
      </c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9">
        <v>40000</v>
      </c>
      <c r="AP12" s="121">
        <v>120000</v>
      </c>
      <c r="AQ12" s="122"/>
      <c r="AR12" s="134" t="s">
        <v>21</v>
      </c>
      <c r="AS12" s="126" t="s">
        <v>87</v>
      </c>
      <c r="AT12" s="128">
        <v>2</v>
      </c>
      <c r="AU12" s="130">
        <v>0</v>
      </c>
      <c r="AV12" s="135">
        <v>-1</v>
      </c>
      <c r="AW12" s="132"/>
      <c r="AX12" s="132"/>
    </row>
    <row r="13" spans="1:50" ht="12.75">
      <c r="A13" s="2"/>
      <c r="B13" s="70">
        <v>10</v>
      </c>
      <c r="C13" s="71"/>
      <c r="D13" s="72"/>
      <c r="E13" s="73" t="str">
        <f>IFERROR(VLOOKUP($I$22&amp;$D13,'Database-Hidden'!$C$2:$J$120,4,FALSE)-P13+AG13,"")</f>
        <v/>
      </c>
      <c r="F13" s="74" t="str">
        <f>IFERROR(VLOOKUP($I$22&amp;$D13,'Database-Hidden'!$C$2:$J$120,5,FALSE)-Q13+AH13,"")</f>
        <v/>
      </c>
      <c r="G13" s="74" t="str">
        <f>IFERROR(VLOOKUP($I$22&amp;$D13,'Database-Hidden'!$C$2:$J$120,6,FALSE)-R13+AI13,"")</f>
        <v/>
      </c>
      <c r="H13" s="75" t="str">
        <f>IFERROR(VLOOKUP($I$22&amp;$D13,'Database-Hidden'!$C$2:$J$120,7,FALSE)-S13+AJ13,"")</f>
        <v/>
      </c>
      <c r="I13" s="76" t="str">
        <f>IFERROR(VLOOKUP($I$22&amp;$D13,'Database-Hidden'!$C$2:$J$120,8,FALSE),"")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366"/>
      <c r="AA13" s="89">
        <f t="shared" si="1"/>
        <v>0</v>
      </c>
      <c r="AB13" s="58"/>
      <c r="AC13" s="4"/>
      <c r="AD13" s="116" t="str">
        <f>IFERROR(VLOOKUP($I$22&amp;D13,'Database-Hidden'!$C$2:$E$120,3,FALSE),"")</f>
        <v/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9">
        <v>30000</v>
      </c>
      <c r="AP13" s="120"/>
      <c r="AQ13" s="289">
        <v>10000</v>
      </c>
      <c r="AR13" s="134" t="s">
        <v>478</v>
      </c>
      <c r="AS13" s="126" t="s">
        <v>87</v>
      </c>
      <c r="AT13" s="128">
        <v>2</v>
      </c>
      <c r="AU13" s="130">
        <v>3</v>
      </c>
      <c r="AV13" s="135">
        <v>1</v>
      </c>
      <c r="AW13" s="132"/>
      <c r="AX13" s="132"/>
    </row>
    <row r="14" spans="1:50" ht="12.75">
      <c r="A14" s="2"/>
      <c r="B14" s="70">
        <v>11</v>
      </c>
      <c r="C14" s="71"/>
      <c r="D14" s="72"/>
      <c r="E14" s="73" t="str">
        <f>IFERROR(VLOOKUP($I$22&amp;$D14,'Database-Hidden'!$C$2:$J$120,4,FALSE)-P14+AG14,"")</f>
        <v/>
      </c>
      <c r="F14" s="74" t="str">
        <f>IFERROR(VLOOKUP($I$22&amp;$D14,'Database-Hidden'!$C$2:$J$120,5,FALSE)-Q14+AH14,"")</f>
        <v/>
      </c>
      <c r="G14" s="74" t="str">
        <f>IFERROR(VLOOKUP($I$22&amp;$D14,'Database-Hidden'!$C$2:$J$120,6,FALSE)-R14+AI14,"")</f>
        <v/>
      </c>
      <c r="H14" s="75" t="str">
        <f>IFERROR(VLOOKUP($I$22&amp;$D14,'Database-Hidden'!$C$2:$J$120,7,FALSE)-S14+AJ14,"")</f>
        <v/>
      </c>
      <c r="I14" s="76" t="str">
        <f>IFERROR(VLOOKUP($I$22&amp;$D14,'Database-Hidden'!$C$2:$J$120,8,FALSE),"")</f>
        <v/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366"/>
      <c r="AA14" s="89">
        <f t="shared" si="1"/>
        <v>0</v>
      </c>
      <c r="AB14" s="58"/>
      <c r="AC14" s="4"/>
      <c r="AD14" s="116" t="str">
        <f>IFERROR(VLOOKUP($I$22&amp;D14,'Database-Hidden'!$C$2:$E$120,3,FALSE),"")</f>
        <v/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/>
      <c r="D15" s="72"/>
      <c r="E15" s="73" t="str">
        <f>IFERROR(VLOOKUP($I$22&amp;$D15,'Database-Hidden'!$C$2:$J$120,4,FALSE)-P15+AG15,"")</f>
        <v/>
      </c>
      <c r="F15" s="74" t="str">
        <f>IFERROR(VLOOKUP($I$22&amp;$D15,'Database-Hidden'!$C$2:$J$120,5,FALSE)-Q15+AH15,"")</f>
        <v/>
      </c>
      <c r="G15" s="74" t="str">
        <f>IFERROR(VLOOKUP($I$22&amp;$D15,'Database-Hidden'!$C$2:$J$120,6,FALSE)-R15+AI15,"")</f>
        <v/>
      </c>
      <c r="H15" s="75" t="str">
        <f>IFERROR(VLOOKUP($I$22&amp;$D15,'Database-Hidden'!$C$2:$J$120,7,FALSE)-S15+AJ15,"")</f>
        <v/>
      </c>
      <c r="I15" s="76" t="str">
        <f>IFERROR(VLOOKUP($I$22&amp;$D15,'Database-Hidden'!$C$2:$J$120,8,FALSE),"")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366"/>
      <c r="AA15" s="89">
        <f t="shared" si="1"/>
        <v>0</v>
      </c>
      <c r="AB15" s="58"/>
      <c r="AC15" s="4"/>
      <c r="AD15" s="116" t="str">
        <f>IFERROR(VLOOKUP($I$22&amp;D15,'Database-Hidden'!$C$2:$E$120,3,FALSE),"")</f>
        <v/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/>
      <c r="D16" s="72"/>
      <c r="E16" s="73" t="str">
        <f>IFERROR(VLOOKUP($I$22&amp;$D16,'Database-Hidden'!$C$2:$J$120,4,FALSE)-P16+AG16,"")</f>
        <v/>
      </c>
      <c r="F16" s="74" t="str">
        <f>IFERROR(VLOOKUP($I$22&amp;$D16,'Database-Hidden'!$C$2:$J$120,5,FALSE)-Q16+AH16,"")</f>
        <v/>
      </c>
      <c r="G16" s="74" t="str">
        <f>IFERROR(VLOOKUP($I$22&amp;$D16,'Database-Hidden'!$C$2:$J$120,6,FALSE)-R16+AI16,"")</f>
        <v/>
      </c>
      <c r="H16" s="75" t="str">
        <f>IFERROR(VLOOKUP($I$22&amp;$D16,'Database-Hidden'!$C$2:$J$120,7,FALSE)-S16+AJ16,"")</f>
        <v/>
      </c>
      <c r="I16" s="76" t="str">
        <f>IFERROR(VLOOKUP($I$22&amp;$D16,'Database-Hidden'!$C$2:$J$120,8,FALSE),"")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7"/>
      <c r="W16" s="87"/>
      <c r="X16" s="83"/>
      <c r="Y16" s="303"/>
      <c r="Z16" s="88"/>
      <c r="AA16" s="89">
        <f t="shared" si="1"/>
        <v>0</v>
      </c>
      <c r="AB16" s="58"/>
      <c r="AC16" s="4"/>
      <c r="AD16" s="116" t="str">
        <f>IFERROR(VLOOKUP($I$22&amp;D16,'Database-Hidden'!$C$2:$E$120,3,FALSE),"")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71" t="s">
        <v>482</v>
      </c>
      <c r="D17" s="72" t="s">
        <v>483</v>
      </c>
      <c r="E17" s="73">
        <f>IFERROR(VLOOKUP($I$22&amp;$D17,'Database-Hidden'!$C$2:$J$120,4,FALSE)-P17+AG17,"")</f>
        <v>8</v>
      </c>
      <c r="F17" s="74">
        <f>IFERROR(VLOOKUP($I$22&amp;$D17,'Database-Hidden'!$C$2:$J$120,5,FALSE)-Q17+AH17,"")</f>
        <v>3</v>
      </c>
      <c r="G17" s="74">
        <f>IFERROR(VLOOKUP($I$22&amp;$D17,'Database-Hidden'!$C$2:$J$120,6,FALSE)-R17+AI17,"")</f>
        <v>4</v>
      </c>
      <c r="H17" s="75">
        <f>IFERROR(VLOOKUP($I$22&amp;$D17,'Database-Hidden'!$C$2:$J$120,7,FALSE)-S17+AJ17,"")</f>
        <v>7</v>
      </c>
      <c r="I17" s="76" t="str">
        <f>IFERROR(VLOOKUP($I$22&amp;$D17,'Database-Hidden'!$C$2:$J$120,8,FALSE),"")</f>
        <v>Block, Dodge, Leap</v>
      </c>
      <c r="J17" s="77" t="s">
        <v>484</v>
      </c>
      <c r="K17" s="78">
        <f t="shared" si="0"/>
        <v>2</v>
      </c>
      <c r="L17" s="79"/>
      <c r="M17" s="79"/>
      <c r="N17" s="80"/>
      <c r="O17" s="81"/>
      <c r="P17" s="82"/>
      <c r="Q17" s="83"/>
      <c r="R17" s="83"/>
      <c r="S17" s="84"/>
      <c r="T17" s="85"/>
      <c r="U17" s="87">
        <v>3</v>
      </c>
      <c r="V17" s="87">
        <v>2</v>
      </c>
      <c r="W17" s="87">
        <v>2</v>
      </c>
      <c r="X17" s="83"/>
      <c r="Y17" s="83"/>
      <c r="Z17" s="88">
        <v>1</v>
      </c>
      <c r="AA17" s="89">
        <f t="shared" si="1"/>
        <v>18</v>
      </c>
      <c r="AB17" s="58">
        <f t="shared" si="2"/>
        <v>160000</v>
      </c>
      <c r="AC17" s="4"/>
      <c r="AD17" s="116">
        <f>IFERROR(VLOOKUP($I$22&amp;D17,'Database-Hidden'!$C$2:$E$120,3,FALSE),"")</f>
        <v>120000</v>
      </c>
      <c r="AE17" s="91">
        <v>2</v>
      </c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71" t="s">
        <v>486</v>
      </c>
      <c r="D18" s="72" t="s">
        <v>483</v>
      </c>
      <c r="E18" s="73">
        <f>IFERROR(VLOOKUP($I$22&amp;$D18,'Database-Hidden'!$C$2:$J$120,4,FALSE)-P18+AG18,"")</f>
        <v>8</v>
      </c>
      <c r="F18" s="74">
        <f>IFERROR(VLOOKUP($I$22&amp;$D18,'Database-Hidden'!$C$2:$J$120,5,FALSE)-Q18+AH18,"")</f>
        <v>3</v>
      </c>
      <c r="G18" s="74">
        <f>IFERROR(VLOOKUP($I$22&amp;$D18,'Database-Hidden'!$C$2:$J$120,6,FALSE)-R18+AI18,"")</f>
        <v>5</v>
      </c>
      <c r="H18" s="75">
        <f>IFERROR(VLOOKUP($I$22&amp;$D18,'Database-Hidden'!$C$2:$J$120,7,FALSE)-S18+AJ18,"")</f>
        <v>6</v>
      </c>
      <c r="I18" s="76" t="str">
        <f>IFERROR(VLOOKUP($I$22&amp;$D18,'Database-Hidden'!$C$2:$J$120,8,FALSE),"")</f>
        <v>Block, Dodge, Leap</v>
      </c>
      <c r="J18" s="261" t="s">
        <v>436</v>
      </c>
      <c r="K18" s="78">
        <f t="shared" si="0"/>
        <v>1</v>
      </c>
      <c r="L18" s="80"/>
      <c r="M18" s="79"/>
      <c r="N18" s="80"/>
      <c r="O18" s="81"/>
      <c r="P18" s="82"/>
      <c r="Q18" s="83"/>
      <c r="R18" s="83"/>
      <c r="S18" s="368">
        <v>1</v>
      </c>
      <c r="T18" s="85"/>
      <c r="U18" s="86"/>
      <c r="V18" s="87">
        <v>3</v>
      </c>
      <c r="W18" s="87">
        <v>2</v>
      </c>
      <c r="X18" s="303">
        <v>1</v>
      </c>
      <c r="Y18" s="83"/>
      <c r="Z18" s="366"/>
      <c r="AA18" s="89">
        <f t="shared" si="1"/>
        <v>13</v>
      </c>
      <c r="AB18" s="58">
        <f t="shared" si="2"/>
        <v>160000</v>
      </c>
      <c r="AC18" s="4"/>
      <c r="AD18" s="116">
        <f>IFERROR(VLOOKUP($I$22&amp;D18,'Database-Hidden'!$C$2:$E$120,3,FALSE),"")</f>
        <v>120000</v>
      </c>
      <c r="AE18" s="91"/>
      <c r="AF18" s="92"/>
      <c r="AG18" s="103"/>
      <c r="AH18" s="103"/>
      <c r="AI18" s="92">
        <v>1</v>
      </c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150000</v>
      </c>
      <c r="AP18" s="4"/>
      <c r="AQ18" s="4"/>
      <c r="AR18" s="67"/>
      <c r="AS18" s="148" t="s">
        <v>42</v>
      </c>
      <c r="AT18" s="150">
        <f t="shared" ref="AT18:AU18" si="3">SUM(AT6:AT17)</f>
        <v>16</v>
      </c>
      <c r="AU18" s="151">
        <f t="shared" si="3"/>
        <v>13</v>
      </c>
      <c r="AV18" s="152">
        <f>AV4+SUM(AV6:AV17)</f>
        <v>9</v>
      </c>
      <c r="AW18" s="5"/>
      <c r="AX18" s="5"/>
    </row>
    <row r="19" spans="1:50" ht="33.75">
      <c r="A19" s="2"/>
      <c r="B19" s="153">
        <v>16</v>
      </c>
      <c r="C19" s="154" t="s">
        <v>487</v>
      </c>
      <c r="D19" s="155" t="s">
        <v>366</v>
      </c>
      <c r="E19" s="156">
        <f>IFERROR(VLOOKUP($I$22&amp;$D19,'Database-Hidden'!$C$2:$J$120,4,FALSE)-P19+AG19,"")</f>
        <v>2</v>
      </c>
      <c r="F19" s="157">
        <f>IFERROR(VLOOKUP($I$22&amp;$D19,'Database-Hidden'!$C$2:$J$120,5,FALSE)-Q19+AH19,"")</f>
        <v>6</v>
      </c>
      <c r="G19" s="157">
        <f>IFERROR(VLOOKUP($I$22&amp;$D19,'Database-Hidden'!$C$2:$J$120,6,FALSE)-R19+AI19,"")</f>
        <v>1</v>
      </c>
      <c r="H19" s="159">
        <f>IFERROR(VLOOKUP($I$22&amp;$D19,'Database-Hidden'!$C$2:$J$120,7,FALSE)-S19+AJ19,"")</f>
        <v>10</v>
      </c>
      <c r="I19" s="160" t="str">
        <f>IFERROR(VLOOKUP($I$22&amp;$D19,'Database-Hidden'!$C$2:$J$120,8,FALSE),"")</f>
        <v>Loner, Mighty Blow, Stand Firm, Strong Arm, Take Root, Thick Skull, Throw Team-mate</v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>
        <v>1</v>
      </c>
      <c r="AA19" s="173">
        <f t="shared" si="1"/>
        <v>5</v>
      </c>
      <c r="AB19" s="58">
        <f t="shared" si="2"/>
        <v>120000</v>
      </c>
      <c r="AC19" s="4"/>
      <c r="AD19" s="174">
        <f>IFERROR(VLOOKUP($I$22&amp;D19,'Database-Hidden'!$C$2:$E$120,3,FALSE),"")</f>
        <v>120000</v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1110000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26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4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200000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489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9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90000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150000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490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80000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1450000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80000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150000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65000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340000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370000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115</v>
      </c>
      <c r="D28" s="209" t="str">
        <f t="shared" ref="D28:D37" si="5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  <c r="AV28" s="179"/>
    </row>
    <row r="29" spans="1:50" ht="17.25" hidden="1" customHeight="1">
      <c r="C29" s="209">
        <f t="shared" ref="C29:C37" si="6">C28+1</f>
        <v>116</v>
      </c>
      <c r="D29" s="209" t="str">
        <f t="shared" si="5"/>
        <v>Catcher</v>
      </c>
      <c r="E29" s="210">
        <f t="array" ref="E29">IFERROR(IF(INDEX('Database-Hidden'!$A$2:$B$120,$C29,1)=$I$22,INDEX('Database-Hidden'!$A$2:$D$120,$C29,4),""),"")</f>
        <v>4</v>
      </c>
      <c r="I29" s="209" t="str">
        <f t="array" ref="I29">IFERROR(IF(INDEX('Database-Hidden'!$A$2:$B$120,$C29,1)=$I$22,INDEX('Database-Hidden'!$A$2:$B$120,$C29,2),""),"")</f>
        <v>Catcher</v>
      </c>
      <c r="AV29" s="179"/>
    </row>
    <row r="30" spans="1:50" ht="17.25" hidden="1" customHeight="1">
      <c r="C30" s="209">
        <f t="shared" si="6"/>
        <v>117</v>
      </c>
      <c r="D30" s="209" t="str">
        <f t="shared" si="5"/>
        <v>Thrower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Thrower</v>
      </c>
      <c r="AV30" s="179"/>
    </row>
    <row r="31" spans="1:50" ht="17.25" hidden="1" customHeight="1">
      <c r="C31" s="209">
        <f t="shared" si="6"/>
        <v>118</v>
      </c>
      <c r="D31" s="209" t="str">
        <f t="shared" si="5"/>
        <v>Wardancer</v>
      </c>
      <c r="E31" s="210">
        <f t="array" ref="E31">IFERROR(IF(INDEX('Database-Hidden'!$A$2:$B$120,$C31,1)=$I$22,INDEX('Database-Hidden'!$A$2:$D$120,$C31,4),""),"")</f>
        <v>2</v>
      </c>
      <c r="I31" s="209" t="str">
        <f t="array" ref="I31">IFERROR(IF(INDEX('Database-Hidden'!$A$2:$B$120,$C31,1)=$I$22,INDEX('Database-Hidden'!$A$2:$B$120,$C31,2),""),"")</f>
        <v>Wardancer</v>
      </c>
      <c r="AV31" s="179"/>
    </row>
    <row r="32" spans="1:50" ht="17.25" hidden="1" customHeight="1">
      <c r="C32" s="209">
        <f t="shared" si="6"/>
        <v>119</v>
      </c>
      <c r="D32" s="209" t="str">
        <f t="shared" si="5"/>
        <v>Treeman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Treeman</v>
      </c>
      <c r="AV32" s="179"/>
    </row>
    <row r="33" spans="3:48" ht="17.25" hidden="1" customHeight="1">
      <c r="C33" s="209">
        <f t="shared" si="6"/>
        <v>120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121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122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123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124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27</v>
      </c>
      <c r="D38" s="211" t="str">
        <f t="shared" ref="D38:D49" ca="1" si="7">I38&amp;IF(COUNTIF(D$4:D$19,I38)&gt;1," (Too Many)","")</f>
        <v>Star: Dolfar Longstride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Dolfar Longstride")</f>
        <v>Star: Dolfar Longstride</v>
      </c>
      <c r="AV38" s="179"/>
    </row>
    <row r="39" spans="3:48" ht="17.25" hidden="1" customHeight="1">
      <c r="C39" s="209"/>
      <c r="D39" s="209" t="str">
        <f t="shared" si="7"/>
        <v>Star: Eldril Sidewinder</v>
      </c>
      <c r="I39" s="213" t="s">
        <v>142</v>
      </c>
      <c r="AV39" s="179"/>
    </row>
    <row r="40" spans="3:48" ht="17.25" hidden="1" customHeight="1">
      <c r="C40" s="209"/>
      <c r="D40" s="209" t="str">
        <f t="shared" si="7"/>
        <v>Star: Jordell Fleshbreeze</v>
      </c>
      <c r="I40" s="209" t="s">
        <v>492</v>
      </c>
      <c r="AV40" s="179"/>
    </row>
    <row r="41" spans="3:48" ht="17.25" hidden="1" customHeight="1">
      <c r="C41" s="209"/>
      <c r="D41" s="209" t="str">
        <f t="shared" si="7"/>
        <v>Star: Lucien the Swift</v>
      </c>
      <c r="I41" s="209" t="s">
        <v>143</v>
      </c>
      <c r="AV41" s="179"/>
    </row>
    <row r="42" spans="3:48" ht="17.25" hidden="1" customHeight="1">
      <c r="C42" s="209"/>
      <c r="D42" s="209" t="str">
        <f t="shared" si="7"/>
        <v>Star: Morg'n'Thorg</v>
      </c>
      <c r="I42" s="209" t="s">
        <v>144</v>
      </c>
      <c r="AV42" s="179"/>
    </row>
    <row r="43" spans="3:48" ht="17.25" hidden="1" customHeight="1">
      <c r="C43" s="209"/>
      <c r="D43" s="209" t="str">
        <f t="shared" si="7"/>
        <v>Star: Valen the Swift</v>
      </c>
      <c r="I43" s="209" t="s">
        <v>147</v>
      </c>
      <c r="AV43" s="179"/>
    </row>
    <row r="44" spans="3:48" ht="17.25" hidden="1" customHeight="1">
      <c r="C44" s="209"/>
      <c r="D44" s="209" t="str">
        <f t="shared" si="7"/>
        <v>Star: Willow Rosebark</v>
      </c>
      <c r="I44" s="209" t="s">
        <v>406</v>
      </c>
      <c r="AV44" s="179"/>
    </row>
    <row r="45" spans="3:48" ht="17.25" hidden="1" customHeight="1">
      <c r="C45" s="209"/>
      <c r="D45" s="209" t="str">
        <f t="shared" si="7"/>
        <v>Star: Zara the Slayer</v>
      </c>
      <c r="I45" s="209" t="s">
        <v>148</v>
      </c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AN3:AQ3"/>
    <mergeCell ref="P2:S2"/>
    <mergeCell ref="AR3:AV3"/>
    <mergeCell ref="V21:AA21"/>
    <mergeCell ref="AN21:AO21"/>
    <mergeCell ref="E20:AA20"/>
    <mergeCell ref="L21:S21"/>
    <mergeCell ref="L25:S25"/>
    <mergeCell ref="E26:AA26"/>
    <mergeCell ref="V24:AA24"/>
    <mergeCell ref="V23:AA23"/>
    <mergeCell ref="V22:AA22"/>
    <mergeCell ref="V25:AA25"/>
    <mergeCell ref="L23:S23"/>
    <mergeCell ref="L24:S24"/>
    <mergeCell ref="L22:S22"/>
    <mergeCell ref="E24:H24"/>
    <mergeCell ref="B20:D26"/>
    <mergeCell ref="I22:K22"/>
    <mergeCell ref="E22:H22"/>
    <mergeCell ref="E25:H25"/>
    <mergeCell ref="I25:K25"/>
    <mergeCell ref="I23:K23"/>
    <mergeCell ref="E23:H23"/>
    <mergeCell ref="I24:K24"/>
    <mergeCell ref="E21:H21"/>
    <mergeCell ref="I21:K21"/>
  </mergeCells>
  <conditionalFormatting sqref="J4">
    <cfRule type="expression" dxfId="203" priority="1">
      <formula>K4&lt;&gt;SUM(AE4:AJ4)</formula>
    </cfRule>
  </conditionalFormatting>
  <conditionalFormatting sqref="K4:K19">
    <cfRule type="cellIs" dxfId="202" priority="2" operator="equal">
      <formula>0</formula>
    </cfRule>
  </conditionalFormatting>
  <conditionalFormatting sqref="AB4:AB19">
    <cfRule type="cellIs" dxfId="201" priority="3" operator="equal">
      <formula>0</formula>
    </cfRule>
  </conditionalFormatting>
  <conditionalFormatting sqref="E4:H19">
    <cfRule type="expression" dxfId="200" priority="4">
      <formula>AG4&gt;0</formula>
    </cfRule>
  </conditionalFormatting>
  <conditionalFormatting sqref="E4:H19">
    <cfRule type="expression" dxfId="199" priority="5">
      <formula>P4&gt;0</formula>
    </cfRule>
  </conditionalFormatting>
  <conditionalFormatting sqref="T4:T19 U4:U19 V4:W19 Z4:Z19 U27">
    <cfRule type="cellIs" dxfId="198" priority="6" stopIfTrue="1" operator="equal">
      <formula>0</formula>
    </cfRule>
  </conditionalFormatting>
  <conditionalFormatting sqref="K4:K19">
    <cfRule type="cellIs" dxfId="197" priority="7" stopIfTrue="1" operator="equal">
      <formula>"n/a"</formula>
    </cfRule>
  </conditionalFormatting>
  <conditionalFormatting sqref="P4:S19">
    <cfRule type="cellIs" dxfId="196" priority="8" stopIfTrue="1" operator="lessThanOrEqual">
      <formula>-1</formula>
    </cfRule>
  </conditionalFormatting>
  <conditionalFormatting sqref="V25:W25">
    <cfRule type="cellIs" dxfId="195" priority="9" stopIfTrue="1" operator="equal">
      <formula>-500</formula>
    </cfRule>
  </conditionalFormatting>
  <conditionalFormatting sqref="T25">
    <cfRule type="cellIs" dxfId="194" priority="10" stopIfTrue="1" operator="greaterThan">
      <formula>$V$25</formula>
    </cfRule>
  </conditionalFormatting>
  <conditionalFormatting sqref="AA4:AA19">
    <cfRule type="cellIs" dxfId="193" priority="11" stopIfTrue="1" operator="equal">
      <formula>"Star"</formula>
    </cfRule>
  </conditionalFormatting>
  <conditionalFormatting sqref="AA4:AA19">
    <cfRule type="cellIs" dxfId="192" priority="12" stopIfTrue="1" operator="equal">
      <formula>AB4</formula>
    </cfRule>
  </conditionalFormatting>
  <conditionalFormatting sqref="I4:I19">
    <cfRule type="cellIs" dxfId="191" priority="13" stopIfTrue="1" operator="equal">
      <formula>0</formula>
    </cfRule>
  </conditionalFormatting>
  <conditionalFormatting sqref="I4:I19">
    <cfRule type="cellIs" dxfId="190" priority="14" stopIfTrue="1" operator="equal">
      <formula>"Player type quantity surpassed"</formula>
    </cfRule>
  </conditionalFormatting>
  <conditionalFormatting sqref="J5">
    <cfRule type="expression" dxfId="189" priority="15">
      <formula>K5&lt;&gt;SUM(AE5:AJ5)</formula>
    </cfRule>
  </conditionalFormatting>
  <conditionalFormatting sqref="J6">
    <cfRule type="expression" dxfId="188" priority="16">
      <formula>K6&lt;&gt;SUM(AE6:AJ6)</formula>
    </cfRule>
  </conditionalFormatting>
  <conditionalFormatting sqref="J7">
    <cfRule type="expression" dxfId="187" priority="17">
      <formula>K7&lt;&gt;SUM(AE7:AJ7)</formula>
    </cfRule>
  </conditionalFormatting>
  <conditionalFormatting sqref="J8">
    <cfRule type="expression" dxfId="186" priority="18">
      <formula>K8&lt;&gt;SUM(AE8:AJ8)</formula>
    </cfRule>
  </conditionalFormatting>
  <conditionalFormatting sqref="J9">
    <cfRule type="expression" dxfId="185" priority="19">
      <formula>K9&lt;&gt;SUM(AE9:AJ9)</formula>
    </cfRule>
  </conditionalFormatting>
  <conditionalFormatting sqref="J10">
    <cfRule type="expression" dxfId="184" priority="20">
      <formula>K10&lt;&gt;SUM(AE10:AJ10)</formula>
    </cfRule>
  </conditionalFormatting>
  <conditionalFormatting sqref="J11">
    <cfRule type="expression" dxfId="183" priority="21">
      <formula>K11&lt;&gt;SUM(AE11:AJ11)</formula>
    </cfRule>
  </conditionalFormatting>
  <conditionalFormatting sqref="J12">
    <cfRule type="expression" dxfId="182" priority="22">
      <formula>K12&lt;&gt;SUM(AE12:AJ12)</formula>
    </cfRule>
  </conditionalFormatting>
  <conditionalFormatting sqref="J13">
    <cfRule type="expression" dxfId="181" priority="23">
      <formula>K13&lt;&gt;SUM(AE13:AJ13)</formula>
    </cfRule>
  </conditionalFormatting>
  <conditionalFormatting sqref="J14">
    <cfRule type="expression" dxfId="180" priority="24">
      <formula>K14&lt;&gt;SUM(AE14:AJ14)</formula>
    </cfRule>
  </conditionalFormatting>
  <conditionalFormatting sqref="J15">
    <cfRule type="expression" dxfId="179" priority="25">
      <formula>K15&lt;&gt;SUM(AE15:AJ15)</formula>
    </cfRule>
  </conditionalFormatting>
  <conditionalFormatting sqref="J16">
    <cfRule type="expression" dxfId="178" priority="26">
      <formula>K16&lt;&gt;SUM(AE16:AJ16)</formula>
    </cfRule>
  </conditionalFormatting>
  <conditionalFormatting sqref="J17">
    <cfRule type="expression" dxfId="177" priority="27">
      <formula>K17&lt;&gt;SUM(AE17:AJ17)</formula>
    </cfRule>
  </conditionalFormatting>
  <conditionalFormatting sqref="J18">
    <cfRule type="expression" dxfId="176" priority="28">
      <formula>K18&lt;&gt;SUM(AE18:AJ18)</formula>
    </cfRule>
  </conditionalFormatting>
  <conditionalFormatting sqref="J19">
    <cfRule type="expression" dxfId="175" priority="29">
      <formula>K19&lt;&gt;SUM(AE19:AJ19)</formula>
    </cfRule>
  </conditionalFormatting>
  <dataValidations count="2">
    <dataValidation type="list" allowBlank="1" showErrorMessage="1" sqref="D4:D19">
      <formula1>'PP2'!$D$28:$D$49</formula1>
    </dataValidation>
    <dataValidation type="list" allowBlank="1" showErrorMessage="1" sqref="I22">
      <formula1>'Database-Hidden'!$N$2:$N$28</formula1>
    </dataValidation>
  </dataValidations>
  <printOptions horizontalCentered="1"/>
  <pageMargins left="0.25" right="0.25" top="0.75" bottom="0.75" header="0" footer="0"/>
  <pageSetup pageOrder="overThenDown" orientation="landscape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4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33.75">
      <c r="A4" s="2"/>
      <c r="B4" s="40">
        <v>1</v>
      </c>
      <c r="C4" s="414" t="s">
        <v>494</v>
      </c>
      <c r="D4" s="42" t="s">
        <v>495</v>
      </c>
      <c r="E4" s="73">
        <f>IF(LEFT($D4,6)&lt;&gt;"Star: ",IFERROR(VLOOKUP($I$22&amp;$D4,'Database-Hidden'!$C$2:$J$120,4,FALSE)-P4+AG4,""),VLOOKUP(RIGHT($D4,LEN($D4)-6),'Star Players-Hidden'!$A$3:$AK$87,33,FALSE))</f>
        <v>4</v>
      </c>
      <c r="F4" s="73">
        <f>IF(LEFT($D4,6)&lt;&gt;"Star: ",IFERROR(VLOOKUP($I$22&amp;$D4,'Database-Hidden'!$C$2:$J$120,5,FALSE)-Q4+AH4,""),VLOOKUP(RIGHT($D4,LEN($D4)-6),'Star Players-Hidden'!$A$3:$AK$87,34,FALSE))</f>
        <v>5</v>
      </c>
      <c r="G4" s="73">
        <f>IF(LEFT($D4,6)&lt;&gt;"Star: ",IFERROR(VLOOKUP($I$22&amp;$D4,'Database-Hidden'!$C$2:$J$120,6,FALSE)-R4+AI4,""),VLOOKUP(RIGHT($D4,LEN($D4)-6),'Star Players-Hidden'!$A$3:$AK$87,35,FALSE))</f>
        <v>1</v>
      </c>
      <c r="H4" s="75">
        <f>IF(LEFT($D4,6)&lt;&gt;"Star: ",IFERROR(VLOOKUP($I$22&amp;$D4,'Database-Hidden'!$C$2:$J$120,7,FALSE)-S4+AJ4,""),VLOOKUP(RIGHT($D4,LEN($D4)-6),'Star Players-Hidden'!$A$3:$AK$87,36,FALSE))</f>
        <v>9</v>
      </c>
      <c r="I4" s="76" t="str">
        <f>IF(LEFT($D4,6)&lt;&gt;"Star: ",IFERROR(VLOOKUP($I$22&amp;$D4,'Database-Hidden'!$C$2:$J$120,8,FALSE),""),VLOOKUP(RIGHT($D4,LEN($D4)-6),'Star Players-Hidden'!$A$3:$AK$87,31,FALSE))</f>
        <v>Loner, Distrubing Presence, Foul Appearance, Mighty Blow, Nurgle's Rot, Really Stupid, Regeneration, Tentacles</v>
      </c>
      <c r="J4" s="47" t="s">
        <v>175</v>
      </c>
      <c r="K4" s="78">
        <f t="shared" ref="K4:K19" si="0">IF(AA4&gt;175,6,IF(AA4&gt;75,5,IF(AA4&gt;50,4,IF(AA4&gt;30,3,IF(AA4&gt;15,2,IF(AA4&gt;5,1,0))))))</f>
        <v>1</v>
      </c>
      <c r="L4" s="49"/>
      <c r="M4" s="49"/>
      <c r="N4" s="49">
        <v>1</v>
      </c>
      <c r="O4" s="50"/>
      <c r="P4" s="51"/>
      <c r="Q4" s="52"/>
      <c r="R4" s="52"/>
      <c r="S4" s="53"/>
      <c r="T4" s="415"/>
      <c r="U4" s="416"/>
      <c r="V4" s="417"/>
      <c r="W4" s="417">
        <v>1</v>
      </c>
      <c r="X4" s="418"/>
      <c r="Y4" s="52"/>
      <c r="Z4" s="419">
        <v>1</v>
      </c>
      <c r="AA4" s="57">
        <f t="shared" ref="AA4:AA19" si="1">2*T4+U4+3*V4+2*W4+5*Z4</f>
        <v>7</v>
      </c>
      <c r="AB4" s="58">
        <f t="shared" ref="AB4:AB14" si="2">IF(L4=1,0,AD4+(20000*O4)+(20000*AE4)+(30000*AF4)+(30000*AG4)+(50000*AH4)+(40000*AI4)+(50000*AJ4)+AK4)</f>
        <v>160000</v>
      </c>
      <c r="AC4" s="4"/>
      <c r="AD4" s="116">
        <f>IF(LEFT($D4,6)&lt;&gt;"Star: ",IFERROR(VLOOKUP($I$22&amp;D4,'Database-Hidden'!$C$2:$E$120,3,FALSE),""),VLOOKUP(RIGHT($D4,LEN($D4)-6),'Star Players-Hidden'!$A$3:$AJ$87,32,FALSE))</f>
        <v>140000</v>
      </c>
      <c r="AE4" s="60">
        <v>1</v>
      </c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420">
        <v>2</v>
      </c>
      <c r="AW4" s="69"/>
      <c r="AX4" s="69"/>
    </row>
    <row r="5" spans="1:50" ht="22.5">
      <c r="A5" s="2"/>
      <c r="B5" s="70">
        <v>2</v>
      </c>
      <c r="C5" s="421" t="s">
        <v>497</v>
      </c>
      <c r="D5" s="72" t="s">
        <v>498</v>
      </c>
      <c r="E5" s="73">
        <f>IF(LEFT($D5,6)&lt;&gt;"Star: ",IFERROR(VLOOKUP($I$22&amp;$D5,'Database-Hidden'!$C$2:$J$120,4,FALSE)-P5+AG5,""),VLOOKUP(RIGHT($D5,LEN($D5)-6),'Star Players-Hidden'!$A$3:$AK$87,33,FALSE))</f>
        <v>4</v>
      </c>
      <c r="F5" s="73">
        <f>IF(LEFT($D5,6)&lt;&gt;"Star: ",IFERROR(VLOOKUP($I$22&amp;$D5,'Database-Hidden'!$C$2:$J$120,5,FALSE)-Q5+AH5,""),VLOOKUP(RIGHT($D5,LEN($D5)-6),'Star Players-Hidden'!$A$3:$AK$87,34,FALSE))</f>
        <v>4</v>
      </c>
      <c r="G5" s="73">
        <f>IF(LEFT($D5,6)&lt;&gt;"Star: ",IFERROR(VLOOKUP($I$22&amp;$D5,'Database-Hidden'!$C$2:$J$120,6,FALSE)-R5+AI5,""),VLOOKUP(RIGHT($D5,LEN($D5)-6),'Star Players-Hidden'!$A$3:$AK$87,35,FALSE))</f>
        <v>2</v>
      </c>
      <c r="H5" s="75">
        <f>IF(LEFT($D5,6)&lt;&gt;"Star: ",IFERROR(VLOOKUP($I$22&amp;$D5,'Database-Hidden'!$C$2:$J$120,7,FALSE)-S5+AJ5,""),VLOOKUP(RIGHT($D5,LEN($D5)-6),'Star Players-Hidden'!$A$3:$AK$87,36,FALSE))</f>
        <v>9</v>
      </c>
      <c r="I5" s="76" t="str">
        <f>IF(LEFT($D5,6)&lt;&gt;"Star: ",IFERROR(VLOOKUP($I$22&amp;$D5,'Database-Hidden'!$C$2:$J$120,8,FALSE),""),VLOOKUP(RIGHT($D5,LEN($D5)-6),'Star Players-Hidden'!$A$3:$AK$87,31,FALSE))</f>
        <v>Disturbing Presence, Foul Appearance, Nurgle's Rot, Regeneration</v>
      </c>
      <c r="J5" s="77"/>
      <c r="K5" s="78">
        <f t="shared" si="0"/>
        <v>0</v>
      </c>
      <c r="L5" s="80"/>
      <c r="M5" s="79"/>
      <c r="N5" s="80">
        <v>0</v>
      </c>
      <c r="O5" s="81"/>
      <c r="P5" s="82"/>
      <c r="Q5" s="83"/>
      <c r="R5" s="83"/>
      <c r="S5" s="84"/>
      <c r="T5" s="422"/>
      <c r="U5" s="423"/>
      <c r="V5" s="424"/>
      <c r="W5" s="423"/>
      <c r="X5" s="425"/>
      <c r="Y5" s="83"/>
      <c r="Z5" s="426"/>
      <c r="AA5" s="89">
        <f t="shared" si="1"/>
        <v>0</v>
      </c>
      <c r="AB5" s="427">
        <f t="shared" si="2"/>
        <v>110000</v>
      </c>
      <c r="AC5" s="4"/>
      <c r="AD5" s="116">
        <f>IF(LEFT($D5,6)&lt;&gt;"Star: ",IFERROR(VLOOKUP($I$22&amp;D5,'Database-Hidden'!$C$2:$E$120,3,FALSE),""),VLOOKUP(RIGHT($D5,LEN($D5)-6),'Star Players-Hidden'!$A$3:$AJ$87,32,FALSE))</f>
        <v>110000</v>
      </c>
      <c r="AE5" s="91"/>
      <c r="AF5" s="92"/>
      <c r="AG5" s="92"/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22.5">
      <c r="A6" s="2"/>
      <c r="B6" s="70">
        <v>3</v>
      </c>
      <c r="C6" s="421" t="s">
        <v>499</v>
      </c>
      <c r="D6" s="72" t="s">
        <v>498</v>
      </c>
      <c r="E6" s="73">
        <f>IF(LEFT($D6,6)&lt;&gt;"Star: ",IFERROR(VLOOKUP($I$22&amp;$D6,'Database-Hidden'!$C$2:$J$120,4,FALSE)-P6+AG6,""),VLOOKUP(RIGHT($D6,LEN($D6)-6),'Star Players-Hidden'!$A$3:$AK$87,33,FALSE))</f>
        <v>4</v>
      </c>
      <c r="F6" s="73">
        <f>IF(LEFT($D6,6)&lt;&gt;"Star: ",IFERROR(VLOOKUP($I$22&amp;$D6,'Database-Hidden'!$C$2:$J$120,5,FALSE)-Q6+AH6,""),VLOOKUP(RIGHT($D6,LEN($D6)-6),'Star Players-Hidden'!$A$3:$AK$87,34,FALSE))</f>
        <v>4</v>
      </c>
      <c r="G6" s="73">
        <f>IF(LEFT($D6,6)&lt;&gt;"Star: ",IFERROR(VLOOKUP($I$22&amp;$D6,'Database-Hidden'!$C$2:$J$120,6,FALSE)-R6+AI6,""),VLOOKUP(RIGHT($D6,LEN($D6)-6),'Star Players-Hidden'!$A$3:$AK$87,35,FALSE))</f>
        <v>2</v>
      </c>
      <c r="H6" s="75">
        <f>IF(LEFT($D6,6)&lt;&gt;"Star: ",IFERROR(VLOOKUP($I$22&amp;$D6,'Database-Hidden'!$C$2:$J$120,7,FALSE)-S6+AJ6,""),VLOOKUP(RIGHT($D6,LEN($D6)-6),'Star Players-Hidden'!$A$3:$AK$87,36,FALSE))</f>
        <v>9</v>
      </c>
      <c r="I6" s="76" t="str">
        <f>IF(LEFT($D6,6)&lt;&gt;"Star: ",IFERROR(VLOOKUP($I$22&amp;$D6,'Database-Hidden'!$C$2:$J$120,8,FALSE),""),VLOOKUP(RIGHT($D6,LEN($D6)-6),'Star Players-Hidden'!$A$3:$AK$87,31,FALSE))</f>
        <v>Disturbing Presence, Foul Appearance, Nurgle's Rot, Regeneration</v>
      </c>
      <c r="J6" s="77" t="s">
        <v>155</v>
      </c>
      <c r="K6" s="78">
        <f t="shared" si="0"/>
        <v>1</v>
      </c>
      <c r="L6" s="79"/>
      <c r="M6" s="79"/>
      <c r="N6" s="80">
        <v>1</v>
      </c>
      <c r="O6" s="81"/>
      <c r="P6" s="82"/>
      <c r="Q6" s="83"/>
      <c r="R6" s="83"/>
      <c r="S6" s="84"/>
      <c r="T6" s="422"/>
      <c r="U6" s="423"/>
      <c r="V6" s="423"/>
      <c r="W6" s="428">
        <v>1</v>
      </c>
      <c r="X6" s="425"/>
      <c r="Y6" s="83"/>
      <c r="Z6" s="429">
        <v>1</v>
      </c>
      <c r="AA6" s="89">
        <f t="shared" si="1"/>
        <v>7</v>
      </c>
      <c r="AB6" s="427">
        <f t="shared" si="2"/>
        <v>130000</v>
      </c>
      <c r="AC6" s="4"/>
      <c r="AD6" s="116">
        <f>IF(LEFT($D6,6)&lt;&gt;"Star: ",IFERROR(VLOOKUP($I$22&amp;D6,'Database-Hidden'!$C$2:$E$120,3,FALSE),""),VLOOKUP(RIGHT($D6,LEN($D6)-6),'Star Players-Hidden'!$A$3:$AJ$87,32,FALSE))</f>
        <v>110000</v>
      </c>
      <c r="AE6" s="91">
        <v>1</v>
      </c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/>
      <c r="AP6" s="106"/>
      <c r="AQ6" s="107"/>
      <c r="AR6" s="108"/>
      <c r="AS6" s="110"/>
      <c r="AT6" s="112"/>
      <c r="AU6" s="113"/>
      <c r="AV6" s="430"/>
      <c r="AW6" s="115"/>
      <c r="AX6" s="115"/>
    </row>
    <row r="7" spans="1:50" ht="22.5">
      <c r="A7" s="2"/>
      <c r="B7" s="70">
        <v>4</v>
      </c>
      <c r="C7" s="421" t="s">
        <v>500</v>
      </c>
      <c r="D7" s="72" t="s">
        <v>498</v>
      </c>
      <c r="E7" s="73">
        <f>IF(LEFT($D7,6)&lt;&gt;"Star: ",IFERROR(VLOOKUP($I$22&amp;$D7,'Database-Hidden'!$C$2:$J$120,4,FALSE)-P7+AG7,""),VLOOKUP(RIGHT($D7,LEN($D7)-6),'Star Players-Hidden'!$A$3:$AK$87,33,FALSE))</f>
        <v>4</v>
      </c>
      <c r="F7" s="73">
        <f>IF(LEFT($D7,6)&lt;&gt;"Star: ",IFERROR(VLOOKUP($I$22&amp;$D7,'Database-Hidden'!$C$2:$J$120,5,FALSE)-Q7+AH7,""),VLOOKUP(RIGHT($D7,LEN($D7)-6),'Star Players-Hidden'!$A$3:$AK$87,34,FALSE))</f>
        <v>4</v>
      </c>
      <c r="G7" s="73">
        <f>IF(LEFT($D7,6)&lt;&gt;"Star: ",IFERROR(VLOOKUP($I$22&amp;$D7,'Database-Hidden'!$C$2:$J$120,6,FALSE)-R7+AI7,""),VLOOKUP(RIGHT($D7,LEN($D7)-6),'Star Players-Hidden'!$A$3:$AK$87,35,FALSE))</f>
        <v>2</v>
      </c>
      <c r="H7" s="75">
        <f>IF(LEFT($D7,6)&lt;&gt;"Star: ",IFERROR(VLOOKUP($I$22&amp;$D7,'Database-Hidden'!$C$2:$J$120,7,FALSE)-S7+AJ7,""),VLOOKUP(RIGHT($D7,LEN($D7)-6),'Star Players-Hidden'!$A$3:$AK$87,36,FALSE))</f>
        <v>9</v>
      </c>
      <c r="I7" s="76" t="str">
        <f>IF(LEFT($D7,6)&lt;&gt;"Star: ",IFERROR(VLOOKUP($I$22&amp;$D7,'Database-Hidden'!$C$2:$J$120,8,FALSE),""),VLOOKUP(RIGHT($D7,LEN($D7)-6),'Star Players-Hidden'!$A$3:$AK$87,31,FALSE))</f>
        <v>Disturbing Presence, Foul Appearance, Nurgle's Rot, Regeneration</v>
      </c>
      <c r="J7" s="77" t="s">
        <v>155</v>
      </c>
      <c r="K7" s="78">
        <f t="shared" si="0"/>
        <v>1</v>
      </c>
      <c r="L7" s="79"/>
      <c r="M7" s="79"/>
      <c r="N7" s="80">
        <v>1</v>
      </c>
      <c r="O7" s="81"/>
      <c r="P7" s="82"/>
      <c r="Q7" s="83"/>
      <c r="R7" s="83"/>
      <c r="S7" s="84"/>
      <c r="T7" s="422"/>
      <c r="U7" s="423"/>
      <c r="V7" s="423"/>
      <c r="W7" s="423"/>
      <c r="X7" s="425"/>
      <c r="Y7" s="83"/>
      <c r="Z7" s="429">
        <v>2</v>
      </c>
      <c r="AA7" s="89">
        <f t="shared" si="1"/>
        <v>10</v>
      </c>
      <c r="AB7" s="427">
        <f t="shared" si="2"/>
        <v>130000</v>
      </c>
      <c r="AC7" s="4"/>
      <c r="AD7" s="116">
        <f>IF(LEFT($D7,6)&lt;&gt;"Star: ",IFERROR(VLOOKUP($I$22&amp;D7,'Database-Hidden'!$C$2:$E$120,3,FALSE),""),VLOOKUP(RIGHT($D7,LEN($D7)-6),'Star Players-Hidden'!$A$3:$AJ$87,32,FALSE))</f>
        <v>110000</v>
      </c>
      <c r="AE7" s="91">
        <v>1</v>
      </c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9"/>
      <c r="AP7" s="121"/>
      <c r="AQ7" s="289"/>
      <c r="AR7" s="134"/>
      <c r="AS7" s="126"/>
      <c r="AT7" s="128"/>
      <c r="AU7" s="130"/>
      <c r="AV7" s="431"/>
      <c r="AW7" s="132"/>
      <c r="AX7" s="132"/>
    </row>
    <row r="8" spans="1:50" ht="22.5">
      <c r="A8" s="2"/>
      <c r="B8" s="70">
        <v>5</v>
      </c>
      <c r="C8" s="432" t="s">
        <v>501</v>
      </c>
      <c r="D8" s="72" t="s">
        <v>498</v>
      </c>
      <c r="E8" s="73">
        <f>IF(LEFT($D8,6)&lt;&gt;"Star: ",IFERROR(VLOOKUP($I$22&amp;$D8,'Database-Hidden'!$C$2:$J$120,4,FALSE)-P8+AG8,""),VLOOKUP(RIGHT($D8,LEN($D8)-6),'Star Players-Hidden'!$A$3:$AK$87,33,FALSE))</f>
        <v>4</v>
      </c>
      <c r="F8" s="73">
        <f>IF(LEFT($D8,6)&lt;&gt;"Star: ",IFERROR(VLOOKUP($I$22&amp;$D8,'Database-Hidden'!$C$2:$J$120,5,FALSE)-Q8+AH8,""),VLOOKUP(RIGHT($D8,LEN($D8)-6),'Star Players-Hidden'!$A$3:$AK$87,34,FALSE))</f>
        <v>4</v>
      </c>
      <c r="G8" s="73">
        <f>IF(LEFT($D8,6)&lt;&gt;"Star: ",IFERROR(VLOOKUP($I$22&amp;$D8,'Database-Hidden'!$C$2:$J$120,6,FALSE)-R8+AI8,""),VLOOKUP(RIGHT($D8,LEN($D8)-6),'Star Players-Hidden'!$A$3:$AK$87,35,FALSE))</f>
        <v>2</v>
      </c>
      <c r="H8" s="75">
        <f>IF(LEFT($D8,6)&lt;&gt;"Star: ",IFERROR(VLOOKUP($I$22&amp;$D8,'Database-Hidden'!$C$2:$J$120,7,FALSE)-S8+AJ8,""),VLOOKUP(RIGHT($D8,LEN($D8)-6),'Star Players-Hidden'!$A$3:$AK$87,36,FALSE))</f>
        <v>9</v>
      </c>
      <c r="I8" s="76" t="str">
        <f>IF(LEFT($D8,6)&lt;&gt;"Star: ",IFERROR(VLOOKUP($I$22&amp;$D8,'Database-Hidden'!$C$2:$J$120,8,FALSE),""),VLOOKUP(RIGHT($D8,LEN($D8)-6),'Star Players-Hidden'!$A$3:$AK$87,31,FALSE))</f>
        <v>Disturbing Presence, Foul Appearance, Nurgle's Rot, Regeneration</v>
      </c>
      <c r="J8" s="102"/>
      <c r="K8" s="78">
        <f t="shared" si="0"/>
        <v>0</v>
      </c>
      <c r="L8" s="79"/>
      <c r="M8" s="79"/>
      <c r="N8" s="80">
        <v>0</v>
      </c>
      <c r="O8" s="81"/>
      <c r="P8" s="262"/>
      <c r="Q8" s="83"/>
      <c r="R8" s="83"/>
      <c r="S8" s="84"/>
      <c r="T8" s="422"/>
      <c r="U8" s="428"/>
      <c r="V8" s="428"/>
      <c r="W8" s="423"/>
      <c r="X8" s="425"/>
      <c r="Y8" s="83"/>
      <c r="Z8" s="426"/>
      <c r="AA8" s="89">
        <f t="shared" si="1"/>
        <v>0</v>
      </c>
      <c r="AB8" s="427">
        <f t="shared" si="2"/>
        <v>110000</v>
      </c>
      <c r="AC8" s="4"/>
      <c r="AD8" s="116">
        <f>IF(LEFT($D8,6)&lt;&gt;"Star: ",IFERROR(VLOOKUP($I$22&amp;D8,'Database-Hidden'!$C$2:$E$120,3,FALSE),""),VLOOKUP(RIGHT($D8,LEN($D8)-6),'Star Players-Hidden'!$A$3:$AJ$87,32,FALSE))</f>
        <v>110000</v>
      </c>
      <c r="AE8" s="91"/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9"/>
      <c r="AP8" s="121"/>
      <c r="AQ8" s="289"/>
      <c r="AR8" s="134"/>
      <c r="AS8" s="126"/>
      <c r="AT8" s="128"/>
      <c r="AU8" s="130"/>
      <c r="AV8" s="431"/>
      <c r="AW8" s="132"/>
      <c r="AX8" s="132"/>
    </row>
    <row r="9" spans="1:50" ht="12.75">
      <c r="A9" s="2"/>
      <c r="B9" s="70">
        <v>6</v>
      </c>
      <c r="C9" s="432" t="s">
        <v>502</v>
      </c>
      <c r="D9" s="72" t="s">
        <v>503</v>
      </c>
      <c r="E9" s="73">
        <f>IF(LEFT($D9,6)&lt;&gt;"Star: ",IFERROR(VLOOKUP($I$22&amp;$D9,'Database-Hidden'!$C$2:$J$120,4,FALSE)-P9+AG9,""),VLOOKUP(RIGHT($D9,LEN($D9)-6),'Star Players-Hidden'!$A$3:$AK$87,33,FALSE))</f>
        <v>6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3</v>
      </c>
      <c r="H9" s="75">
        <f>IF(LEFT($D9,6)&lt;&gt;"Star: ",IFERROR(VLOOKUP($I$22&amp;$D9,'Database-Hidden'!$C$2:$J$120,7,FALSE)-S9+AJ9,""),VLOOKUP(RIGHT($D9,LEN($D9)-6),'Star Players-Hidden'!$A$3:$AK$87,36,FALSE))</f>
        <v>8</v>
      </c>
      <c r="I9" s="76" t="str">
        <f>IF(LEFT($D9,6)&lt;&gt;"Star: ",IFERROR(VLOOKUP($I$22&amp;$D9,'Database-Hidden'!$C$2:$J$120,8,FALSE),""),VLOOKUP(RIGHT($D9,LEN($D9)-6),'Star Players-Hidden'!$A$3:$AK$87,31,FALSE))</f>
        <v>Horns, Nurgle's Rot, Regeneration</v>
      </c>
      <c r="J9" s="77"/>
      <c r="K9" s="78">
        <f t="shared" si="0"/>
        <v>0</v>
      </c>
      <c r="L9" s="79"/>
      <c r="M9" s="79"/>
      <c r="N9" s="80">
        <v>1</v>
      </c>
      <c r="O9" s="81"/>
      <c r="P9" s="82"/>
      <c r="Q9" s="83"/>
      <c r="R9" s="83"/>
      <c r="S9" s="84"/>
      <c r="T9" s="422"/>
      <c r="U9" s="428">
        <v>1</v>
      </c>
      <c r="V9" s="428">
        <v>1</v>
      </c>
      <c r="W9" s="423"/>
      <c r="X9" s="425"/>
      <c r="Y9" s="83"/>
      <c r="Z9" s="426"/>
      <c r="AA9" s="89">
        <f t="shared" si="1"/>
        <v>4</v>
      </c>
      <c r="AB9" s="427">
        <f t="shared" si="2"/>
        <v>80000</v>
      </c>
      <c r="AC9" s="4"/>
      <c r="AD9" s="116">
        <f>IF(LEFT($D9,6)&lt;&gt;"Star: ",IFERROR(VLOOKUP($I$22&amp;D9,'Database-Hidden'!$C$2:$E$120,3,FALSE),""),VLOOKUP(RIGHT($D9,LEN($D9)-6),'Star Players-Hidden'!$A$3:$AJ$87,32,FALSE))</f>
        <v>80000</v>
      </c>
      <c r="AE9" s="91"/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9"/>
      <c r="AP9" s="121"/>
      <c r="AQ9" s="289"/>
      <c r="AR9" s="134"/>
      <c r="AS9" s="126"/>
      <c r="AT9" s="128"/>
      <c r="AU9" s="130"/>
      <c r="AV9" s="431"/>
      <c r="AW9" s="132"/>
      <c r="AX9" s="132"/>
    </row>
    <row r="10" spans="1:50" ht="12.75">
      <c r="A10" s="2"/>
      <c r="B10" s="70">
        <v>7</v>
      </c>
      <c r="C10" s="421" t="s">
        <v>505</v>
      </c>
      <c r="D10" s="72" t="s">
        <v>503</v>
      </c>
      <c r="E10" s="73">
        <f>IF(LEFT($D10,6)&lt;&gt;"Star: ",IFERROR(VLOOKUP($I$22&amp;$D10,'Database-Hidden'!$C$2:$J$120,4,FALSE)-P10+AG10,""),VLOOKUP(RIGHT($D10,LEN($D10)-6),'Star Players-Hidden'!$A$3:$AK$87,33,FALSE))</f>
        <v>6</v>
      </c>
      <c r="F10" s="73">
        <f>IF(LEFT($D10,6)&lt;&gt;"Star: ",IFERROR(VLOOKUP($I$22&amp;$D10,'Database-Hidden'!$C$2:$J$120,5,FALSE)-Q10+AH10,""),VLOOKUP(RIGHT($D10,LEN($D10)-6),'Star Players-Hidden'!$A$3:$AK$87,34,FALSE))</f>
        <v>3</v>
      </c>
      <c r="G10" s="73">
        <f>IF(LEFT($D10,6)&lt;&gt;"Star: ",IFERROR(VLOOKUP($I$22&amp;$D10,'Database-Hidden'!$C$2:$J$120,6,FALSE)-R10+AI10,""),VLOOKUP(RIGHT($D10,LEN($D10)-6),'Star Players-Hidden'!$A$3:$AK$87,35,FALSE))</f>
        <v>3</v>
      </c>
      <c r="H10" s="75">
        <f>IF(LEFT($D10,6)&lt;&gt;"Star: ",IFERROR(VLOOKUP($I$22&amp;$D10,'Database-Hidden'!$C$2:$J$120,7,FALSE)-S10+AJ10,""),VLOOKUP(RIGHT($D10,LEN($D10)-6),'Star Players-Hidden'!$A$3:$AK$87,36,FALSE))</f>
        <v>8</v>
      </c>
      <c r="I10" s="76" t="str">
        <f>IF(LEFT($D10,6)&lt;&gt;"Star: ",IFERROR(VLOOKUP($I$22&amp;$D10,'Database-Hidden'!$C$2:$J$120,8,FALSE),""),VLOOKUP(RIGHT($D10,LEN($D10)-6),'Star Players-Hidden'!$A$3:$AK$87,31,FALSE))</f>
        <v>Horns, Nurgle's Rot, Regeneration</v>
      </c>
      <c r="J10" s="77"/>
      <c r="K10" s="78">
        <f t="shared" si="0"/>
        <v>0</v>
      </c>
      <c r="L10" s="79"/>
      <c r="M10" s="79"/>
      <c r="N10" s="80">
        <v>0</v>
      </c>
      <c r="O10" s="81"/>
      <c r="P10" s="82"/>
      <c r="Q10" s="83"/>
      <c r="R10" s="83"/>
      <c r="S10" s="84"/>
      <c r="T10" s="422"/>
      <c r="U10" s="423"/>
      <c r="V10" s="423"/>
      <c r="W10" s="423"/>
      <c r="X10" s="425"/>
      <c r="Y10" s="83"/>
      <c r="Z10" s="426"/>
      <c r="AA10" s="89">
        <f t="shared" si="1"/>
        <v>0</v>
      </c>
      <c r="AB10" s="427">
        <f t="shared" si="2"/>
        <v>80000</v>
      </c>
      <c r="AC10" s="4"/>
      <c r="AD10" s="116">
        <f>IF(LEFT($D10,6)&lt;&gt;"Star: ",IFERROR(VLOOKUP($I$22&amp;D10,'Database-Hidden'!$C$2:$E$120,3,FALSE),""),VLOOKUP(RIGHT($D10,LEN($D10)-6),'Star Players-Hidden'!$A$3:$AJ$87,32,FALSE))</f>
        <v>80000</v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9"/>
      <c r="AP10" s="121"/>
      <c r="AQ10" s="289"/>
      <c r="AR10" s="134"/>
      <c r="AS10" s="126"/>
      <c r="AT10" s="128"/>
      <c r="AU10" s="130"/>
      <c r="AV10" s="431"/>
      <c r="AW10" s="132"/>
      <c r="AX10" s="132"/>
    </row>
    <row r="11" spans="1:50" ht="12.75">
      <c r="A11" s="2"/>
      <c r="B11" s="70">
        <v>8</v>
      </c>
      <c r="C11" s="421" t="s">
        <v>507</v>
      </c>
      <c r="D11" s="72" t="s">
        <v>508</v>
      </c>
      <c r="E11" s="73">
        <f>IF(LEFT($D11,6)&lt;&gt;"Star: ",IFERROR(VLOOKUP($I$22&amp;$D11,'Database-Hidden'!$C$2:$J$120,4,FALSE)-P11+AG11,""),VLOOKUP(RIGHT($D11,LEN($D11)-6),'Star Players-Hidden'!$A$3:$AK$87,33,FALSE))</f>
        <v>5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8</v>
      </c>
      <c r="I11" s="76" t="str">
        <f>IF(LEFT($D11,6)&lt;&gt;"Star: ",IFERROR(VLOOKUP($I$22&amp;$D11,'Database-Hidden'!$C$2:$J$120,8,FALSE),""),VLOOKUP(RIGHT($D11,LEN($D11)-6),'Star Players-Hidden'!$A$3:$AK$87,31,FALSE))</f>
        <v>Decay, Nurgle's Rot</v>
      </c>
      <c r="J11" s="77"/>
      <c r="K11" s="78">
        <f t="shared" si="0"/>
        <v>0</v>
      </c>
      <c r="L11" s="79"/>
      <c r="M11" s="80"/>
      <c r="N11" s="80">
        <v>0</v>
      </c>
      <c r="O11" s="81"/>
      <c r="P11" s="82"/>
      <c r="Q11" s="83"/>
      <c r="R11" s="83"/>
      <c r="S11" s="84"/>
      <c r="T11" s="422"/>
      <c r="U11" s="423"/>
      <c r="V11" s="423"/>
      <c r="W11" s="423"/>
      <c r="X11" s="425"/>
      <c r="Y11" s="83"/>
      <c r="Z11" s="426"/>
      <c r="AA11" s="89">
        <f t="shared" si="1"/>
        <v>0</v>
      </c>
      <c r="AB11" s="427">
        <f t="shared" si="2"/>
        <v>40000</v>
      </c>
      <c r="AC11" s="4"/>
      <c r="AD11" s="116">
        <f>IF(LEFT($D11,6)&lt;&gt;"Star: ",IFERROR(VLOOKUP($I$22&amp;D11,'Database-Hidden'!$C$2:$E$120,3,FALSE),""),VLOOKUP(RIGHT($D11,LEN($D11)-6),'Star Players-Hidden'!$A$3:$AJ$87,32,FALSE))</f>
        <v>40000</v>
      </c>
      <c r="AE11" s="91"/>
      <c r="AF11" s="92"/>
      <c r="AG11" s="92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9"/>
      <c r="AP11" s="121"/>
      <c r="AQ11" s="289"/>
      <c r="AR11" s="134"/>
      <c r="AS11" s="126"/>
      <c r="AT11" s="128"/>
      <c r="AU11" s="130"/>
      <c r="AV11" s="431"/>
      <c r="AW11" s="132"/>
      <c r="AX11" s="132"/>
    </row>
    <row r="12" spans="1:50" ht="12.75">
      <c r="A12" s="2"/>
      <c r="B12" s="70">
        <v>9</v>
      </c>
      <c r="C12" s="421" t="s">
        <v>509</v>
      </c>
      <c r="D12" s="72" t="s">
        <v>508</v>
      </c>
      <c r="E12" s="73">
        <f>IF(LEFT($D12,6)&lt;&gt;"Star: ",IFERROR(VLOOKUP($I$22&amp;$D12,'Database-Hidden'!$C$2:$J$120,4,FALSE)-P12+AG12,""),VLOOKUP(RIGHT($D12,LEN($D12)-6),'Star Players-Hidden'!$A$3:$AK$87,33,FALSE))</f>
        <v>5</v>
      </c>
      <c r="F12" s="73">
        <f>IF(LEFT($D12,6)&lt;&gt;"Star: ",IFERROR(VLOOKUP($I$22&amp;$D12,'Database-Hidden'!$C$2:$J$120,5,FALSE)-Q12+AH12,""),VLOOKUP(RIGHT($D12,LEN($D12)-6),'Star Players-Hidden'!$A$3:$AK$87,34,FALSE))</f>
        <v>3</v>
      </c>
      <c r="G12" s="73">
        <f>IF(LEFT($D12,6)&lt;&gt;"Star: ",IFERROR(VLOOKUP($I$22&amp;$D12,'Database-Hidden'!$C$2:$J$120,6,FALSE)-R12+AI12,""),VLOOKUP(RIGHT($D12,LEN($D12)-6),'Star Players-Hidden'!$A$3:$AK$87,35,FALSE))</f>
        <v>3</v>
      </c>
      <c r="H12" s="75">
        <f>IF(LEFT($D12,6)&lt;&gt;"Star: ",IFERROR(VLOOKUP($I$22&amp;$D12,'Database-Hidden'!$C$2:$J$120,7,FALSE)-S12+AJ12,""),VLOOKUP(RIGHT($D12,LEN($D12)-6),'Star Players-Hidden'!$A$3:$AK$87,36,FALSE))</f>
        <v>8</v>
      </c>
      <c r="I12" s="76" t="str">
        <f>IF(LEFT($D12,6)&lt;&gt;"Star: ",IFERROR(VLOOKUP($I$22&amp;$D12,'Database-Hidden'!$C$2:$J$120,8,FALSE),""),VLOOKUP(RIGHT($D12,LEN($D12)-6),'Star Players-Hidden'!$A$3:$AK$87,31,FALSE))</f>
        <v>Decay, Nurgle's Rot</v>
      </c>
      <c r="J12" s="77"/>
      <c r="K12" s="78">
        <f t="shared" si="0"/>
        <v>0</v>
      </c>
      <c r="L12" s="79"/>
      <c r="M12" s="79"/>
      <c r="N12" s="80">
        <v>1</v>
      </c>
      <c r="O12" s="81"/>
      <c r="P12" s="82"/>
      <c r="Q12" s="83"/>
      <c r="R12" s="83"/>
      <c r="S12" s="84"/>
      <c r="T12" s="422"/>
      <c r="U12" s="423"/>
      <c r="V12" s="423">
        <v>1</v>
      </c>
      <c r="W12" s="423"/>
      <c r="X12" s="425"/>
      <c r="Y12" s="83"/>
      <c r="Z12" s="426"/>
      <c r="AA12" s="89">
        <f t="shared" si="1"/>
        <v>3</v>
      </c>
      <c r="AB12" s="427">
        <f t="shared" si="2"/>
        <v>40000</v>
      </c>
      <c r="AC12" s="4"/>
      <c r="AD12" s="116">
        <f>IF(LEFT($D12,6)&lt;&gt;"Star: ",IFERROR(VLOOKUP($I$22&amp;D12,'Database-Hidden'!$C$2:$E$120,3,FALSE),""),VLOOKUP(RIGHT($D12,LEN($D12)-6),'Star Players-Hidden'!$A$3:$AJ$87,32,FALSE))</f>
        <v>40000</v>
      </c>
      <c r="AE12" s="138"/>
      <c r="AF12" s="103"/>
      <c r="AG12" s="103"/>
      <c r="AH12" s="103"/>
      <c r="AI12" s="92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9"/>
      <c r="AP12" s="121"/>
      <c r="AQ12" s="289"/>
      <c r="AR12" s="134"/>
      <c r="AS12" s="126"/>
      <c r="AT12" s="128"/>
      <c r="AU12" s="130"/>
      <c r="AV12" s="431"/>
      <c r="AW12" s="132"/>
      <c r="AX12" s="132"/>
    </row>
    <row r="13" spans="1:50" ht="12.75">
      <c r="A13" s="2"/>
      <c r="B13" s="70">
        <v>10</v>
      </c>
      <c r="C13" s="433" t="s">
        <v>511</v>
      </c>
      <c r="D13" s="72" t="s">
        <v>508</v>
      </c>
      <c r="E13" s="73">
        <f>IF(LEFT($D13,6)&lt;&gt;"Star: ",IFERROR(VLOOKUP($I$22&amp;$D13,'Database-Hidden'!$C$2:$J$120,4,FALSE)-P13+AG13,""),VLOOKUP(RIGHT($D13,LEN($D13)-6),'Star Players-Hidden'!$A$3:$AK$87,33,FALSE))</f>
        <v>5</v>
      </c>
      <c r="F13" s="73">
        <f>IF(LEFT($D13,6)&lt;&gt;"Star: ",IFERROR(VLOOKUP($I$22&amp;$D13,'Database-Hidden'!$C$2:$J$120,5,FALSE)-Q13+AH13,""),VLOOKUP(RIGHT($D13,LEN($D13)-6),'Star Players-Hidden'!$A$3:$AK$87,34,FALSE))</f>
        <v>3</v>
      </c>
      <c r="G13" s="73">
        <f>IF(LEFT($D13,6)&lt;&gt;"Star: ",IFERROR(VLOOKUP($I$22&amp;$D13,'Database-Hidden'!$C$2:$J$120,6,FALSE)-R13+AI13,""),VLOOKUP(RIGHT($D13,LEN($D13)-6),'Star Players-Hidden'!$A$3:$AK$87,35,FALSE))</f>
        <v>3</v>
      </c>
      <c r="H13" s="75">
        <f>IF(LEFT($D13,6)&lt;&gt;"Star: ",IFERROR(VLOOKUP($I$22&amp;$D13,'Database-Hidden'!$C$2:$J$120,7,FALSE)-S13+AJ13,""),VLOOKUP(RIGHT($D13,LEN($D13)-6),'Star Players-Hidden'!$A$3:$AK$87,36,FALSE))</f>
        <v>8</v>
      </c>
      <c r="I13" s="76" t="str">
        <f>IF(LEFT($D13,6)&lt;&gt;"Star: ",IFERROR(VLOOKUP($I$22&amp;$D13,'Database-Hidden'!$C$2:$J$120,8,FALSE),""),VLOOKUP(RIGHT($D13,LEN($D13)-6),'Star Players-Hidden'!$A$3:$AK$87,31,FALSE))</f>
        <v>Decay, Nurgle's Rot</v>
      </c>
      <c r="J13" s="77"/>
      <c r="K13" s="78">
        <f t="shared" si="0"/>
        <v>0</v>
      </c>
      <c r="L13" s="80"/>
      <c r="M13" s="80"/>
      <c r="N13" s="80">
        <v>0</v>
      </c>
      <c r="O13" s="81"/>
      <c r="P13" s="82"/>
      <c r="Q13" s="83"/>
      <c r="R13" s="83"/>
      <c r="S13" s="368"/>
      <c r="T13" s="270"/>
      <c r="U13" s="272"/>
      <c r="V13" s="270"/>
      <c r="W13" s="272"/>
      <c r="X13" s="274"/>
      <c r="Y13" s="83"/>
      <c r="Z13" s="275"/>
      <c r="AA13" s="89">
        <f t="shared" si="1"/>
        <v>0</v>
      </c>
      <c r="AB13" s="427">
        <f t="shared" si="2"/>
        <v>40000</v>
      </c>
      <c r="AC13" s="4"/>
      <c r="AD13" s="116">
        <f>IF(LEFT($D13,6)&lt;&gt;"Star: ",IFERROR(VLOOKUP($I$22&amp;D13,'Database-Hidden'!$C$2:$E$120,3,FALSE),""),VLOOKUP(RIGHT($D13,LEN($D13)-6),'Star Players-Hidden'!$A$3:$AJ$87,32,FALSE))</f>
        <v>40000</v>
      </c>
      <c r="AE13" s="91"/>
      <c r="AF13" s="92"/>
      <c r="AG13" s="92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434"/>
      <c r="AW13" s="132"/>
      <c r="AX13" s="132"/>
    </row>
    <row r="14" spans="1:50" ht="12.75">
      <c r="A14" s="2"/>
      <c r="B14" s="70">
        <v>11</v>
      </c>
      <c r="C14" s="421" t="s">
        <v>512</v>
      </c>
      <c r="D14" s="72" t="s">
        <v>508</v>
      </c>
      <c r="E14" s="73">
        <f>IF(LEFT($D14,6)&lt;&gt;"Star: ",IFERROR(VLOOKUP($I$22&amp;$D14,'Database-Hidden'!$C$2:$J$120,4,FALSE)-P14+AG14,""),VLOOKUP(RIGHT($D14,LEN($D14)-6),'Star Players-Hidden'!$A$3:$AK$87,33,FALSE))</f>
        <v>5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8</v>
      </c>
      <c r="I14" s="76" t="str">
        <f>IF(LEFT($D14,6)&lt;&gt;"Star: ",IFERROR(VLOOKUP($I$22&amp;$D14,'Database-Hidden'!$C$2:$J$120,8,FALSE),""),VLOOKUP(RIGHT($D14,LEN($D14)-6),'Star Players-Hidden'!$A$3:$AK$87,31,FALSE))</f>
        <v>Decay, Nurgle's Rot</v>
      </c>
      <c r="J14" s="77"/>
      <c r="K14" s="78">
        <f t="shared" si="0"/>
        <v>0</v>
      </c>
      <c r="L14" s="80"/>
      <c r="M14" s="80"/>
      <c r="N14" s="80">
        <v>0</v>
      </c>
      <c r="O14" s="81"/>
      <c r="P14" s="82"/>
      <c r="Q14" s="83"/>
      <c r="R14" s="83"/>
      <c r="S14" s="84"/>
      <c r="T14" s="270"/>
      <c r="U14" s="272"/>
      <c r="V14" s="270"/>
      <c r="W14" s="272"/>
      <c r="X14" s="274"/>
      <c r="Y14" s="83"/>
      <c r="Z14" s="275"/>
      <c r="AA14" s="89">
        <f t="shared" si="1"/>
        <v>0</v>
      </c>
      <c r="AB14" s="427">
        <f t="shared" si="2"/>
        <v>40000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40000</v>
      </c>
      <c r="AE14" s="91"/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434"/>
      <c r="AW14" s="132"/>
      <c r="AX14" s="132"/>
    </row>
    <row r="15" spans="1:50" ht="12.75">
      <c r="A15" s="2"/>
      <c r="B15" s="70">
        <v>12</v>
      </c>
      <c r="C15" s="435"/>
      <c r="D15" s="72"/>
      <c r="E15" s="73" t="str">
        <f>IF(LEFT($D15,6)&lt;&gt;"Star: ",IFERROR(VLOOKUP($I$22&amp;$D15,'Database-Hidden'!$C$2:$J$120,4,FALSE)-P15+AG15,""),VLOOKUP(RIGHT($D15,LEN($D15)-6),'Star Players-Hidden'!$A$3:$AK$87,33,FALSE))</f>
        <v/>
      </c>
      <c r="F15" s="73" t="str">
        <f>IF(LEFT($D15,6)&lt;&gt;"Star: ",IFERROR(VLOOKUP($I$22&amp;$D15,'Database-Hidden'!$C$2:$J$120,5,FALSE)-Q15+AH15,""),VLOOKUP(RIGHT($D15,LEN($D15)-6),'Star Players-Hidden'!$A$3:$AK$87,34,FALSE))</f>
        <v/>
      </c>
      <c r="G15" s="73" t="str">
        <f>IF(LEFT($D15,6)&lt;&gt;"Star: ",IFERROR(VLOOKUP($I$22&amp;$D15,'Database-Hidden'!$C$2:$J$120,6,FALSE)-R15+AI15,""),VLOOKUP(RIGHT($D15,LEN($D15)-6),'Star Players-Hidden'!$A$3:$AK$87,35,FALSE))</f>
        <v/>
      </c>
      <c r="H15" s="75" t="str">
        <f>IF(LEFT($D15,6)&lt;&gt;"Star: ",IFERROR(VLOOKUP($I$22&amp;$D15,'Database-Hidden'!$C$2:$J$120,7,FALSE)-S15+AJ15,""),VLOOKUP(RIGHT($D15,LEN($D15)-6),'Star Players-Hidden'!$A$3:$AK$87,36,FALSE))</f>
        <v/>
      </c>
      <c r="I15" s="76" t="str">
        <f>IF(LEFT($D15,6)&lt;&gt;"Star: ",IFERROR(VLOOKUP($I$22&amp;$D15,'Database-Hidden'!$C$2:$J$120,8,FALSE),""),VLOOKUP(RIGHT($D15,LEN($D15)-6),'Star Players-Hidden'!$A$3:$AK$87,31,FALSE))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270"/>
      <c r="U15" s="272"/>
      <c r="V15" s="270"/>
      <c r="W15" s="272"/>
      <c r="X15" s="274"/>
      <c r="Y15" s="83"/>
      <c r="Z15" s="275"/>
      <c r="AA15" s="89">
        <f t="shared" si="1"/>
        <v>0</v>
      </c>
      <c r="AB15" s="427"/>
      <c r="AC15" s="4"/>
      <c r="AD15" s="116" t="str">
        <f>IF(LEFT($D15,6)&lt;&gt;"Star: ",IFERROR(VLOOKUP($I$22&amp;D15,'Database-Hidden'!$C$2:$E$120,3,FALSE),""),VLOOKUP(RIGHT($D15,LEN($D15)-6),'Star Players-Hidden'!$A$3:$AJ$87,32,FALSE))</f>
        <v/>
      </c>
      <c r="AE15" s="91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434"/>
      <c r="AW15" s="132"/>
      <c r="AX15" s="132"/>
    </row>
    <row r="16" spans="1:50" ht="12.75">
      <c r="A16" s="2"/>
      <c r="B16" s="70">
        <v>13</v>
      </c>
      <c r="C16" s="71"/>
      <c r="D16" s="72"/>
      <c r="E16" s="73" t="str">
        <f>IF(LEFT($D16,6)&lt;&gt;"Star: ",IFERROR(VLOOKUP($I$22&amp;$D16,'Database-Hidden'!$C$2:$J$120,4,FALSE)-P16+AG16,""),VLOOKUP(RIGHT($D16,LEN($D16)-6),'Star Players-Hidden'!$A$3:$AK$87,33,FALSE))</f>
        <v/>
      </c>
      <c r="F16" s="73" t="str">
        <f>IF(LEFT($D16,6)&lt;&gt;"Star: ",IFERROR(VLOOKUP($I$22&amp;$D16,'Database-Hidden'!$C$2:$J$120,5,FALSE)-Q16+AH16,""),VLOOKUP(RIGHT($D16,LEN($D16)-6),'Star Players-Hidden'!$A$3:$AK$87,34,FALSE))</f>
        <v/>
      </c>
      <c r="G16" s="73" t="str">
        <f>IF(LEFT($D16,6)&lt;&gt;"Star: ",IFERROR(VLOOKUP($I$22&amp;$D16,'Database-Hidden'!$C$2:$J$120,6,FALSE)-R16+AI16,""),VLOOKUP(RIGHT($D16,LEN($D16)-6),'Star Players-Hidden'!$A$3:$AK$87,35,FALSE))</f>
        <v/>
      </c>
      <c r="H16" s="75" t="str">
        <f>IF(LEFT($D16,6)&lt;&gt;"Star: ",IFERROR(VLOOKUP($I$22&amp;$D16,'Database-Hidden'!$C$2:$J$120,7,FALSE)-S16+AJ16,""),VLOOKUP(RIGHT($D16,LEN($D16)-6),'Star Players-Hidden'!$A$3:$AK$87,36,FALSE))</f>
        <v/>
      </c>
      <c r="I16" s="76" t="str">
        <f>IF(LEFT($D16,6)&lt;&gt;"Star: ",IFERROR(VLOOKUP($I$22&amp;$D16,'Database-Hidden'!$C$2:$J$120,8,FALSE),""),VLOOKUP(RIGHT($D16,LEN($D16)-6),'Star Players-Hidden'!$A$3:$AK$87,31,FALSE))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427"/>
      <c r="AC16" s="4"/>
      <c r="AD16" s="116" t="str">
        <f>IF(LEFT($D16,6)&lt;&gt;"Star: ",IFERROR(VLOOKUP($I$22&amp;D16,'Database-Hidden'!$C$2:$E$120,3,FALSE),""),VLOOKUP(RIGHT($D16,LEN($D16)-6),'Star Players-Hidden'!$A$3:$AJ$87,32,FALSE))</f>
        <v/>
      </c>
      <c r="AE16" s="91"/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434"/>
      <c r="AW16" s="132"/>
      <c r="AX16" s="132"/>
    </row>
    <row r="17" spans="1:50" ht="12.75">
      <c r="A17" s="2"/>
      <c r="B17" s="70">
        <v>14</v>
      </c>
      <c r="C17" s="71"/>
      <c r="D17" s="72"/>
      <c r="E17" s="73" t="str">
        <f>IF(LEFT($D17,6)&lt;&gt;"Star: ",IFERROR(VLOOKUP($I$22&amp;$D17,'Database-Hidden'!$C$2:$J$120,4,FALSE)-P17+AG17,""),VLOOKUP(RIGHT($D17,LEN($D17)-6),'Star Players-Hidden'!$A$3:$AK$87,33,FALSE))</f>
        <v/>
      </c>
      <c r="F17" s="73" t="str">
        <f>IF(LEFT($D17,6)&lt;&gt;"Star: ",IFERROR(VLOOKUP($I$22&amp;$D17,'Database-Hidden'!$C$2:$J$120,5,FALSE)-Q17+AH17,""),VLOOKUP(RIGHT($D17,LEN($D17)-6),'Star Players-Hidden'!$A$3:$AK$87,34,FALSE))</f>
        <v/>
      </c>
      <c r="G17" s="73" t="str">
        <f>IF(LEFT($D17,6)&lt;&gt;"Star: ",IFERROR(VLOOKUP($I$22&amp;$D17,'Database-Hidden'!$C$2:$J$120,6,FALSE)-R17+AI17,""),VLOOKUP(RIGHT($D17,LEN($D17)-6),'Star Players-Hidden'!$A$3:$AK$87,35,FALSE))</f>
        <v/>
      </c>
      <c r="H17" s="75" t="str">
        <f>IF(LEFT($D17,6)&lt;&gt;"Star: ",IFERROR(VLOOKUP($I$22&amp;$D17,'Database-Hidden'!$C$2:$J$120,7,FALSE)-S17+AJ17,""),VLOOKUP(RIGHT($D17,LEN($D17)-6),'Star Players-Hidden'!$A$3:$AK$87,36,FALSE))</f>
        <v/>
      </c>
      <c r="I17" s="76" t="str">
        <f>IF(LEFT($D17,6)&lt;&gt;"Star: ",IFERROR(VLOOKUP($I$22&amp;$D17,'Database-Hidden'!$C$2:$J$120,8,FALSE),""),VLOOKUP(RIGHT($D17,LEN($D17)-6),'Star Players-Hidden'!$A$3:$AK$87,31,FALSE))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427"/>
      <c r="AC17" s="4"/>
      <c r="AD17" s="116" t="str">
        <f>IF(LEFT($D17,6)&lt;&gt;"Star: ",IFERROR(VLOOKUP($I$22&amp;D17,'Database-Hidden'!$C$2:$E$120,3,FALSE),""),VLOOKUP(RIGHT($D17,LEN($D17)-6),'Star Players-Hidden'!$A$3:$AJ$87,32,FALSE))</f>
        <v/>
      </c>
      <c r="AE17" s="91"/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436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427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0</v>
      </c>
      <c r="AP18" s="4"/>
      <c r="AQ18" s="4"/>
      <c r="AR18" s="67"/>
      <c r="AS18" s="148" t="s">
        <v>42</v>
      </c>
      <c r="AT18" s="150">
        <f t="shared" ref="AT18:AU18" si="3">SUM(AT6:AT17)</f>
        <v>0</v>
      </c>
      <c r="AU18" s="151">
        <f t="shared" si="3"/>
        <v>0</v>
      </c>
      <c r="AV18" s="437">
        <f>AV4+SUM(AV6:AV17)</f>
        <v>2</v>
      </c>
      <c r="AW18" s="5"/>
      <c r="AX18" s="5"/>
    </row>
    <row r="19" spans="1:50" ht="12.75">
      <c r="A19" s="2"/>
      <c r="B19" s="153">
        <v>16</v>
      </c>
      <c r="C19" s="154"/>
      <c r="D19" s="155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162">
        <f t="shared" si="0"/>
        <v>0</v>
      </c>
      <c r="L19" s="164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427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</row>
    <row r="20" spans="1:50" ht="12.75">
      <c r="A20" s="2"/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960000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72" t="s">
        <v>65</v>
      </c>
      <c r="J21" s="562"/>
      <c r="K21" s="573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70000</v>
      </c>
      <c r="W21" s="525"/>
      <c r="X21" s="525"/>
      <c r="Y21" s="525"/>
      <c r="Z21" s="525"/>
      <c r="AA21" s="528"/>
      <c r="AB21" s="184">
        <f t="shared" ref="AB21:AB24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66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90">
        <f>AV18</f>
        <v>2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20000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519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1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10000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1210000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>
        <v>1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10000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0</v>
      </c>
      <c r="J25" s="542"/>
      <c r="K25" s="547"/>
      <c r="L25" s="544" t="str">
        <f>IFERROR(IF(VLOOKUP(I22,'Database-Hidden'!X2:Y28,1,FALSE)&lt;&gt;"","",""),"APOTHECARY")</f>
        <v/>
      </c>
      <c r="M25" s="542"/>
      <c r="N25" s="542"/>
      <c r="O25" s="542"/>
      <c r="P25" s="542"/>
      <c r="Q25" s="542"/>
      <c r="R25" s="542"/>
      <c r="S25" s="545"/>
      <c r="T25" s="198"/>
      <c r="U25" s="186" t="str">
        <f>IF(L25&lt;&gt;"","x","")</f>
        <v/>
      </c>
      <c r="V25" s="546" t="str">
        <f>IF(L25&lt;&gt;"",50000,"")</f>
        <v/>
      </c>
      <c r="W25" s="542"/>
      <c r="X25" s="542"/>
      <c r="Y25" s="542"/>
      <c r="Z25" s="542"/>
      <c r="AA25" s="547"/>
      <c r="AB25" s="187"/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250000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09">
        <f>MATCH(I22,'Database-Hidden'!A2:A120,0)</f>
        <v>77</v>
      </c>
      <c r="D28" s="209" t="str">
        <f t="shared" ref="D28:D37" si="5">I28&amp;IF(COUNTIF(D$4:D$19,I28)&gt;E28," (Too Many)","")</f>
        <v>Rotter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Rotter</v>
      </c>
    </row>
    <row r="29" spans="1:50" ht="17.25" hidden="1" customHeight="1">
      <c r="C29" s="209">
        <f t="shared" ref="C29:C37" si="6">C28+1</f>
        <v>78</v>
      </c>
      <c r="D29" s="209" t="str">
        <f t="shared" si="5"/>
        <v>Pestigor</v>
      </c>
      <c r="E29" s="210">
        <f t="array" ref="E29">IFERROR(IF(INDEX('Database-Hidden'!$A$2:$B$120,$C29,1)=$I$22,INDEX('Database-Hidden'!$A$2:$D$120,$C29,4),""),"")</f>
        <v>4</v>
      </c>
      <c r="I29" s="209" t="str">
        <f t="array" ref="I29">IFERROR(IF(INDEX('Database-Hidden'!$A$2:$B$120,$C29,1)=$I$22,INDEX('Database-Hidden'!$A$2:$B$120,$C29,2),""),"")</f>
        <v>Pestigor</v>
      </c>
    </row>
    <row r="30" spans="1:50" ht="17.25" hidden="1" customHeight="1">
      <c r="C30" s="209">
        <f t="shared" si="6"/>
        <v>79</v>
      </c>
      <c r="D30" s="209" t="str">
        <f t="shared" si="5"/>
        <v>Warrior</v>
      </c>
      <c r="E30" s="210">
        <f t="array" ref="E30">IFERROR(IF(INDEX('Database-Hidden'!$A$2:$B$120,$C30,1)=$I$22,INDEX('Database-Hidden'!$A$2:$D$120,$C30,4),""),"")</f>
        <v>4</v>
      </c>
      <c r="I30" s="209" t="str">
        <f t="array" ref="I30">IFERROR(IF(INDEX('Database-Hidden'!$A$2:$B$120,$C30,1)=$I$22,INDEX('Database-Hidden'!$A$2:$B$120,$C30,2),""),"")</f>
        <v>Warrior</v>
      </c>
    </row>
    <row r="31" spans="1:50" ht="17.25" hidden="1" customHeight="1">
      <c r="C31" s="209">
        <f t="shared" si="6"/>
        <v>80</v>
      </c>
      <c r="D31" s="209" t="str">
        <f t="shared" si="5"/>
        <v>Beast</v>
      </c>
      <c r="E31" s="210">
        <f t="array" ref="E31">IFERROR(IF(INDEX('Database-Hidden'!$A$2:$B$120,$C31,1)=$I$22,INDEX('Database-Hidden'!$A$2:$D$120,$C31,4),""),"")</f>
        <v>1</v>
      </c>
      <c r="I31" s="209" t="str">
        <f t="array" ref="I31">IFERROR(IF(INDEX('Database-Hidden'!$A$2:$B$120,$C31,1)=$I$22,INDEX('Database-Hidden'!$A$2:$B$120,$C31,2),""),"")</f>
        <v>Beast</v>
      </c>
    </row>
    <row r="32" spans="1:50" ht="17.25" hidden="1" customHeight="1">
      <c r="C32" s="209">
        <f t="shared" si="6"/>
        <v>81</v>
      </c>
      <c r="D32" s="209" t="str">
        <f t="shared" si="5"/>
        <v/>
      </c>
      <c r="E32" s="210" t="str">
        <f t="array" ref="E32">IFERROR(IF(INDEX('Database-Hidden'!$A$2:$B$120,$C32,1)=$I$22,INDEX('Database-Hidden'!$A$2:$D$120,$C32,4),""),"")</f>
        <v/>
      </c>
      <c r="I32" s="209" t="str">
        <f t="array" ref="I32">IFERROR(IF(INDEX('Database-Hidden'!$A$2:$B$120,$C32,1)=$I$22,INDEX('Database-Hidden'!$A$2:$B$120,$C32,2),""),"")</f>
        <v/>
      </c>
    </row>
    <row r="33" spans="3:9" ht="17.25" hidden="1" customHeight="1">
      <c r="C33" s="209">
        <f t="shared" si="6"/>
        <v>82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</row>
    <row r="34" spans="3:9" ht="17.25" hidden="1" customHeight="1">
      <c r="C34" s="209">
        <f t="shared" si="6"/>
        <v>83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</row>
    <row r="35" spans="3:9" ht="17.25" hidden="1" customHeight="1">
      <c r="C35" s="209">
        <f t="shared" si="6"/>
        <v>84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</row>
    <row r="36" spans="3:9" ht="17.25" hidden="1" customHeight="1">
      <c r="C36" s="209">
        <f t="shared" si="6"/>
        <v>85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</row>
    <row r="37" spans="3:9" ht="17.25" hidden="1" customHeight="1">
      <c r="C37" s="209">
        <f t="shared" si="6"/>
        <v>86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</row>
    <row r="38" spans="3:9" ht="17.25" hidden="1" customHeight="1">
      <c r="C38" s="211">
        <f>MATCH(I22,'Star Players-Hidden'!D2:AD2,0)</f>
        <v>18</v>
      </c>
      <c r="D38" s="211" t="str">
        <f t="shared" ref="D38:D49" ca="1" si="7">I38&amp;IF(COUNTIF(D$4:D$19,I38)&gt;1," (Too Many)","")</f>
        <v>Star: Brick Far'th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Brick Far'th")</f>
        <v>Star: Brick Far'th</v>
      </c>
    </row>
    <row r="39" spans="3:9" ht="17.25" hidden="1" customHeight="1">
      <c r="C39" s="209"/>
      <c r="D39" s="209" t="str">
        <f t="shared" si="7"/>
        <v>Star: Grashnak Blackhoof</v>
      </c>
      <c r="I39" s="213" t="s">
        <v>309</v>
      </c>
    </row>
    <row r="40" spans="3:9" ht="17.25" hidden="1" customHeight="1">
      <c r="C40" s="209"/>
      <c r="D40" s="209" t="str">
        <f t="shared" si="7"/>
        <v>Star: Grotty</v>
      </c>
      <c r="I40" s="209" t="s">
        <v>310</v>
      </c>
    </row>
    <row r="41" spans="3:9" ht="17.25" hidden="1" customHeight="1">
      <c r="C41" s="209"/>
      <c r="D41" s="209" t="str">
        <f t="shared" si="7"/>
        <v>Star: Guffle Pusmaw</v>
      </c>
      <c r="I41" s="209" t="s">
        <v>311</v>
      </c>
    </row>
    <row r="42" spans="3:9" ht="17.25" hidden="1" customHeight="1">
      <c r="C42" s="209"/>
      <c r="D42" s="209" t="str">
        <f t="shared" si="7"/>
        <v>Star: Lewdgrip Whiparm</v>
      </c>
      <c r="I42" s="209" t="s">
        <v>312</v>
      </c>
    </row>
    <row r="43" spans="3:9" ht="17.25" hidden="1" customHeight="1">
      <c r="C43" s="209"/>
      <c r="D43" s="209" t="str">
        <f t="shared" si="7"/>
        <v>Star: Lord Borak the Despoiler</v>
      </c>
      <c r="I43" s="209" t="s">
        <v>313</v>
      </c>
    </row>
    <row r="44" spans="3:9" ht="17.25" hidden="1" customHeight="1">
      <c r="C44" s="209"/>
      <c r="D44" s="209" t="str">
        <f t="shared" si="7"/>
        <v>Star: Max Spleenripper</v>
      </c>
      <c r="I44" s="209" t="s">
        <v>314</v>
      </c>
    </row>
    <row r="45" spans="3:9" ht="17.25" hidden="1" customHeight="1">
      <c r="C45" s="209"/>
      <c r="D45" s="209" t="str">
        <f t="shared" si="7"/>
        <v>Star: Morg'n'Thorg</v>
      </c>
      <c r="I45" s="209" t="s">
        <v>144</v>
      </c>
    </row>
    <row r="46" spans="3:9" ht="17.25" hidden="1" customHeight="1">
      <c r="C46" s="209"/>
      <c r="D46" s="209" t="str">
        <f t="shared" si="7"/>
        <v>Star: Wilhelm Chaney</v>
      </c>
      <c r="I46" s="209" t="s">
        <v>234</v>
      </c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</sheetData>
  <mergeCells count="27">
    <mergeCell ref="AN3:AQ3"/>
    <mergeCell ref="AR3:AV3"/>
    <mergeCell ref="AN21:AO21"/>
    <mergeCell ref="P2:S2"/>
    <mergeCell ref="V22:AA22"/>
    <mergeCell ref="V21:AA21"/>
    <mergeCell ref="I24:K24"/>
    <mergeCell ref="I23:K23"/>
    <mergeCell ref="I22:K22"/>
    <mergeCell ref="E24:H24"/>
    <mergeCell ref="E23:H23"/>
    <mergeCell ref="V23:AA23"/>
    <mergeCell ref="V24:AA24"/>
    <mergeCell ref="B20:D26"/>
    <mergeCell ref="E25:H25"/>
    <mergeCell ref="L21:S21"/>
    <mergeCell ref="I21:K21"/>
    <mergeCell ref="L23:S23"/>
    <mergeCell ref="L22:S22"/>
    <mergeCell ref="L25:S25"/>
    <mergeCell ref="E26:AA26"/>
    <mergeCell ref="I25:K25"/>
    <mergeCell ref="L24:S24"/>
    <mergeCell ref="E20:AA20"/>
    <mergeCell ref="V25:AA25"/>
    <mergeCell ref="E22:H22"/>
    <mergeCell ref="E21:H21"/>
  </mergeCells>
  <conditionalFormatting sqref="AB4:AB19">
    <cfRule type="cellIs" dxfId="174" priority="1" operator="equal">
      <formula>0</formula>
    </cfRule>
  </conditionalFormatting>
  <conditionalFormatting sqref="K4:K19">
    <cfRule type="cellIs" dxfId="173" priority="2" operator="equal">
      <formula>0</formula>
    </cfRule>
  </conditionalFormatting>
  <conditionalFormatting sqref="J4">
    <cfRule type="expression" dxfId="172" priority="3">
      <formula>K4&lt;&gt;SUM(AE4:AJ4)</formula>
    </cfRule>
  </conditionalFormatting>
  <conditionalFormatting sqref="I4:I19">
    <cfRule type="cellIs" dxfId="171" priority="4" stopIfTrue="1" operator="equal">
      <formula>"Player type quantity surpassed"</formula>
    </cfRule>
  </conditionalFormatting>
  <conditionalFormatting sqref="J5">
    <cfRule type="expression" dxfId="170" priority="5">
      <formula>K5&lt;&gt;SUM(AE5:AJ5)</formula>
    </cfRule>
  </conditionalFormatting>
  <conditionalFormatting sqref="J6">
    <cfRule type="expression" dxfId="169" priority="6">
      <formula>K6&lt;&gt;SUM(AE6:AJ6)</formula>
    </cfRule>
  </conditionalFormatting>
  <conditionalFormatting sqref="J7">
    <cfRule type="expression" dxfId="168" priority="7">
      <formula>K7&lt;&gt;SUM(AE7:AJ7)</formula>
    </cfRule>
  </conditionalFormatting>
  <conditionalFormatting sqref="J8">
    <cfRule type="expression" dxfId="167" priority="8">
      <formula>K8&lt;&gt;SUM(AE8:AJ8)</formula>
    </cfRule>
  </conditionalFormatting>
  <conditionalFormatting sqref="J9">
    <cfRule type="expression" dxfId="166" priority="9">
      <formula>K9&lt;&gt;SUM(AE9:AJ9)</formula>
    </cfRule>
  </conditionalFormatting>
  <conditionalFormatting sqref="J10">
    <cfRule type="expression" dxfId="165" priority="10">
      <formula>K10&lt;&gt;SUM(AE10:AJ10)</formula>
    </cfRule>
  </conditionalFormatting>
  <conditionalFormatting sqref="J11">
    <cfRule type="expression" dxfId="164" priority="11">
      <formula>K11&lt;&gt;SUM(AE11:AJ11)</formula>
    </cfRule>
  </conditionalFormatting>
  <conditionalFormatting sqref="J12">
    <cfRule type="expression" dxfId="163" priority="12">
      <formula>K12&lt;&gt;SUM(AE12:AJ12)</formula>
    </cfRule>
  </conditionalFormatting>
  <conditionalFormatting sqref="J13">
    <cfRule type="expression" dxfId="162" priority="13">
      <formula>K13&lt;&gt;SUM(AE13:AJ13)</formula>
    </cfRule>
  </conditionalFormatting>
  <conditionalFormatting sqref="J14">
    <cfRule type="expression" dxfId="161" priority="14">
      <formula>K14&lt;&gt;SUM(AE14:AJ14)</formula>
    </cfRule>
  </conditionalFormatting>
  <conditionalFormatting sqref="J15">
    <cfRule type="expression" dxfId="160" priority="15">
      <formula>K15&lt;&gt;SUM(AE15:AJ15)</formula>
    </cfRule>
  </conditionalFormatting>
  <conditionalFormatting sqref="J16">
    <cfRule type="expression" dxfId="159" priority="16">
      <formula>K16&lt;&gt;SUM(AE16:AJ16)</formula>
    </cfRule>
  </conditionalFormatting>
  <conditionalFormatting sqref="J17">
    <cfRule type="expression" dxfId="158" priority="17">
      <formula>K17&lt;&gt;SUM(AE17:AJ17)</formula>
    </cfRule>
  </conditionalFormatting>
  <conditionalFormatting sqref="J18">
    <cfRule type="expression" dxfId="157" priority="18">
      <formula>K18&lt;&gt;SUM(AE18:AJ18)</formula>
    </cfRule>
  </conditionalFormatting>
  <conditionalFormatting sqref="J19">
    <cfRule type="expression" dxfId="156" priority="19">
      <formula>K19&lt;&gt;SUM(AE19:AJ19)</formula>
    </cfRule>
  </conditionalFormatting>
  <conditionalFormatting sqref="E4:I19">
    <cfRule type="expression" dxfId="155" priority="20">
      <formula>AG4&gt;0</formula>
    </cfRule>
  </conditionalFormatting>
  <conditionalFormatting sqref="E4:I19">
    <cfRule type="expression" dxfId="154" priority="21">
      <formula>P4&gt;0</formula>
    </cfRule>
  </conditionalFormatting>
  <conditionalFormatting sqref="I4:I19 T4:W19 Z4:Z19 U27">
    <cfRule type="cellIs" dxfId="153" priority="22" stopIfTrue="1" operator="equal">
      <formula>0</formula>
    </cfRule>
  </conditionalFormatting>
  <conditionalFormatting sqref="AB27">
    <cfRule type="cellIs" dxfId="152" priority="23" stopIfTrue="1" operator="equal">
      <formula>"0,0"</formula>
    </cfRule>
  </conditionalFormatting>
  <conditionalFormatting sqref="P4:S19">
    <cfRule type="cellIs" dxfId="151" priority="24" stopIfTrue="1" operator="lessThanOrEqual">
      <formula>-1</formula>
    </cfRule>
  </conditionalFormatting>
  <conditionalFormatting sqref="V25:W25">
    <cfRule type="cellIs" dxfId="150" priority="25" stopIfTrue="1" operator="equal">
      <formula>-500</formula>
    </cfRule>
  </conditionalFormatting>
  <conditionalFormatting sqref="T25">
    <cfRule type="cellIs" dxfId="149" priority="26" stopIfTrue="1" operator="greaterThan">
      <formula>$V$25</formula>
    </cfRule>
  </conditionalFormatting>
  <conditionalFormatting sqref="AA4:AA19">
    <cfRule type="cellIs" dxfId="148" priority="27" stopIfTrue="1" operator="equal">
      <formula>"Star"</formula>
    </cfRule>
  </conditionalFormatting>
  <conditionalFormatting sqref="AA4:AA19">
    <cfRule type="cellIs" dxfId="147" priority="28" stopIfTrue="1" operator="equal">
      <formula>AB4</formula>
    </cfRule>
  </conditionalFormatting>
  <dataValidations count="2">
    <dataValidation type="list" allowBlank="1" showErrorMessage="1" sqref="D4:D19">
      <formula1>'RC2'!$D$28:$D$49</formula1>
    </dataValidation>
    <dataValidation type="list" allowBlank="1" showErrorMessage="1" sqref="I22">
      <formula1>'Database-Hidden'!$N$2:$N$28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7" t="s">
        <v>51</v>
      </c>
      <c r="AL3" s="2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71" t="s">
        <v>504</v>
      </c>
      <c r="D4" s="42" t="s">
        <v>242</v>
      </c>
      <c r="E4" s="73">
        <f>IF(LEFT($D4,6)&lt;&gt;"Star: ",IFERROR(VLOOKUP($I$22&amp;$D4,'Database-Hidden'!$C$2:$J$120,4,FALSE)-P4+AG4,""),VLOOKUP(RIGHT($D4,LEN($D4)-6),'Star Players-Hidden'!$A$3:$AK$87,33,FALSE))</f>
        <v>4</v>
      </c>
      <c r="F4" s="73">
        <f>IF(LEFT($D4,6)&lt;&gt;"Star: ",IFERROR(VLOOKUP($I$22&amp;$D4,'Database-Hidden'!$C$2:$J$120,5,FALSE)-Q4+AH4,""),VLOOKUP(RIGHT($D4,LEN($D4)-6),'Star Players-Hidden'!$A$3:$AK$87,34,FALSE))</f>
        <v>3</v>
      </c>
      <c r="G4" s="73">
        <f>IF(LEFT($D4,6)&lt;&gt;"Star: ",IFERROR(VLOOKUP($I$22&amp;$D4,'Database-Hidden'!$C$2:$J$120,6,FALSE)-R4+AI4,""),VLOOKUP(RIGHT($D4,LEN($D4)-6),'Star Players-Hidden'!$A$3:$AK$87,35,FALSE))</f>
        <v>2</v>
      </c>
      <c r="H4" s="75">
        <f>IF(LEFT($D4,6)&lt;&gt;"Star: ",IFERROR(VLOOKUP($I$22&amp;$D4,'Database-Hidden'!$C$2:$J$120,7,FALSE)-S4+AJ4,""),VLOOKUP(RIGHT($D4,LEN($D4)-6),'Star Players-Hidden'!$A$3:$AK$87,36,FALSE))</f>
        <v>9</v>
      </c>
      <c r="I4" s="76" t="str">
        <f>IF(LEFT($D4,6)&lt;&gt;"Star: ",IFERROR(VLOOKUP($I$22&amp;$D4,'Database-Hidden'!$C$2:$J$120,8,FALSE),""),VLOOKUP(RIGHT($D4,LEN($D4)-6),'Star Players-Hidden'!$A$3:$AK$87,31,FALSE))</f>
        <v>Block, Tackle, Thick Skull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/>
      <c r="W4" s="55">
        <v>1</v>
      </c>
      <c r="X4" s="52"/>
      <c r="Y4" s="52"/>
      <c r="Z4" s="56"/>
      <c r="AA4" s="57">
        <f t="shared" ref="AA4:AA19" si="1">2*T4+U4+3*V4+2*W4+5*Z4</f>
        <v>2</v>
      </c>
      <c r="AB4" s="58">
        <f t="shared" ref="AB4:AB17" si="2">IF(L4=1,0,AD4+(20000*O4)+(20000*AE4)+(30000*AF4)+(30000*AG4)+(50000*AH4)+(40000*AI4)+(50000*AJ4)+AK4)</f>
        <v>70000</v>
      </c>
      <c r="AC4" s="4"/>
      <c r="AD4" s="116">
        <f>IF(LEFT($D4,6)&lt;&gt;"Star: ",IFERROR(VLOOKUP($I$22&amp;D4,'Database-Hidden'!$C$2:$E$120,3,FALSE),""),VLOOKUP(RIGHT($D4,LEN($D4)-6),'Star Players-Hidden'!$A$3:$AJ$87,32,FALSE))</f>
        <v>70000</v>
      </c>
      <c r="AE4" s="60"/>
      <c r="AF4" s="61"/>
      <c r="AG4" s="61"/>
      <c r="AH4" s="61"/>
      <c r="AI4" s="61"/>
      <c r="AJ4" s="61"/>
      <c r="AK4" s="103"/>
      <c r="AL4" s="25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0</v>
      </c>
      <c r="AP4" s="4"/>
      <c r="AQ4" s="4"/>
      <c r="AR4" s="66"/>
      <c r="AS4" s="67"/>
      <c r="AT4" s="67"/>
      <c r="AU4" s="64" t="s">
        <v>70</v>
      </c>
      <c r="AV4" s="68">
        <v>1</v>
      </c>
      <c r="AW4" s="69"/>
      <c r="AX4" s="69"/>
    </row>
    <row r="5" spans="1:50" ht="12.75">
      <c r="A5" s="2"/>
      <c r="B5" s="70">
        <v>2</v>
      </c>
      <c r="C5" s="71" t="s">
        <v>506</v>
      </c>
      <c r="D5" s="72" t="s">
        <v>242</v>
      </c>
      <c r="E5" s="73">
        <f>IF(LEFT($D5,6)&lt;&gt;"Star: ",IFERROR(VLOOKUP($I$22&amp;$D5,'Database-Hidden'!$C$2:$J$120,4,FALSE)-P5+AG5,""),VLOOKUP(RIGHT($D5,LEN($D5)-6),'Star Players-Hidden'!$A$3:$AK$87,33,FALSE))</f>
        <v>4</v>
      </c>
      <c r="F5" s="73">
        <f>IF(LEFT($D5,6)&lt;&gt;"Star: ",IFERROR(VLOOKUP($I$22&amp;$D5,'Database-Hidden'!$C$2:$J$120,5,FALSE)-Q5+AH5,""),VLOOKUP(RIGHT($D5,LEN($D5)-6),'Star Players-Hidden'!$A$3:$AK$87,34,FALSE))</f>
        <v>3</v>
      </c>
      <c r="G5" s="73">
        <f>IF(LEFT($D5,6)&lt;&gt;"Star: ",IFERROR(VLOOKUP($I$22&amp;$D5,'Database-Hidden'!$C$2:$J$120,6,FALSE)-R5+AI5,""),VLOOKUP(RIGHT($D5,LEN($D5)-6),'Star Players-Hidden'!$A$3:$AK$87,35,FALSE))</f>
        <v>2</v>
      </c>
      <c r="H5" s="75">
        <f>IF(LEFT($D5,6)&lt;&gt;"Star: ",IFERROR(VLOOKUP($I$22&amp;$D5,'Database-Hidden'!$C$2:$J$120,7,FALSE)-S5+AJ5,""),VLOOKUP(RIGHT($D5,LEN($D5)-6),'Star Players-Hidden'!$A$3:$AK$87,36,FALSE))</f>
        <v>9</v>
      </c>
      <c r="I5" s="76" t="str">
        <f>IF(LEFT($D5,6)&lt;&gt;"Star: ",IFERROR(VLOOKUP($I$22&amp;$D5,'Database-Hidden'!$C$2:$J$120,8,FALSE),""),VLOOKUP(RIGHT($D5,LEN($D5)-6),'Star Players-Hidden'!$A$3:$AK$87,31,FALSE))</f>
        <v>Block, Tackle, Thick Skull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1</v>
      </c>
      <c r="X5" s="83"/>
      <c r="Y5" s="83"/>
      <c r="Z5" s="88"/>
      <c r="AA5" s="89">
        <f t="shared" si="1"/>
        <v>2</v>
      </c>
      <c r="AB5" s="58">
        <f t="shared" si="2"/>
        <v>70000</v>
      </c>
      <c r="AC5" s="4"/>
      <c r="AD5" s="116">
        <f>IF(LEFT($D5,6)&lt;&gt;"Star: ",IFERROR(VLOOKUP($I$22&amp;D5,'Database-Hidden'!$C$2:$E$120,3,FALSE),""),VLOOKUP(RIGHT($D5,LEN($D5)-6),'Star Players-Hidden'!$A$3:$AJ$87,32,FALSE))</f>
        <v>70000</v>
      </c>
      <c r="AE5" s="91"/>
      <c r="AF5" s="92"/>
      <c r="AG5" s="92"/>
      <c r="AH5" s="92"/>
      <c r="AI5" s="92"/>
      <c r="AJ5" s="92"/>
      <c r="AK5" s="103"/>
      <c r="AL5" s="25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71" t="s">
        <v>510</v>
      </c>
      <c r="D6" s="72" t="s">
        <v>242</v>
      </c>
      <c r="E6" s="73">
        <f>IF(LEFT($D6,6)&lt;&gt;"Star: ",IFERROR(VLOOKUP($I$22&amp;$D6,'Database-Hidden'!$C$2:$J$120,4,FALSE)-P6+AG6,""),VLOOKUP(RIGHT($D6,LEN($D6)-6),'Star Players-Hidden'!$A$3:$AK$87,33,FALSE))</f>
        <v>4</v>
      </c>
      <c r="F6" s="73">
        <f>IF(LEFT($D6,6)&lt;&gt;"Star: ",IFERROR(VLOOKUP($I$22&amp;$D6,'Database-Hidden'!$C$2:$J$120,5,FALSE)-Q6+AH6,""),VLOOKUP(RIGHT($D6,LEN($D6)-6),'Star Players-Hidden'!$A$3:$AK$87,34,FALSE))</f>
        <v>3</v>
      </c>
      <c r="G6" s="73">
        <f>IF(LEFT($D6,6)&lt;&gt;"Star: ",IFERROR(VLOOKUP($I$22&amp;$D6,'Database-Hidden'!$C$2:$J$120,6,FALSE)-R6+AI6,""),VLOOKUP(RIGHT($D6,LEN($D6)-6),'Star Players-Hidden'!$A$3:$AK$87,35,FALSE))</f>
        <v>2</v>
      </c>
      <c r="H6" s="75">
        <f>IF(LEFT($D6,6)&lt;&gt;"Star: ",IFERROR(VLOOKUP($I$22&amp;$D6,'Database-Hidden'!$C$2:$J$120,7,FALSE)-S6+AJ6,""),VLOOKUP(RIGHT($D6,LEN($D6)-6),'Star Players-Hidden'!$A$3:$AK$87,36,FALSE))</f>
        <v>9</v>
      </c>
      <c r="I6" s="76" t="str">
        <f>IF(LEFT($D6,6)&lt;&gt;"Star: ",IFERROR(VLOOKUP($I$22&amp;$D6,'Database-Hidden'!$C$2:$J$120,8,FALSE),""),VLOOKUP(RIGHT($D6,LEN($D6)-6),'Star Players-Hidden'!$A$3:$AK$87,31,FALSE))</f>
        <v>Block, Tackle, Thick Skull</v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>
        <f t="shared" si="2"/>
        <v>70000</v>
      </c>
      <c r="AC6" s="4"/>
      <c r="AD6" s="116">
        <f>IF(LEFT($D6,6)&lt;&gt;"Star: ",IFERROR(VLOOKUP($I$22&amp;D6,'Database-Hidden'!$C$2:$E$120,3,FALSE),""),VLOOKUP(RIGHT($D6,LEN($D6)-6),'Star Players-Hidden'!$A$3:$AJ$87,32,FALSE))</f>
        <v>70000</v>
      </c>
      <c r="AE6" s="91"/>
      <c r="AF6" s="103"/>
      <c r="AG6" s="103"/>
      <c r="AH6" s="103"/>
      <c r="AI6" s="103"/>
      <c r="AJ6" s="103"/>
      <c r="AK6" s="103"/>
      <c r="AL6" s="253" t="str">
        <f>IF(LEFT($D6,6)&lt;&gt;"Star: ","",VLOOKUP(RIGHT($D6,LEN($D6)-6),'Star Players-Hidden'!$A$3:$AK$87,37,FALSE))</f>
        <v/>
      </c>
      <c r="AM6" s="4"/>
      <c r="AN6" s="104" t="s">
        <v>83</v>
      </c>
      <c r="AO6" s="105">
        <v>60000</v>
      </c>
      <c r="AP6" s="106"/>
      <c r="AQ6" s="107"/>
      <c r="AR6" s="123" t="s">
        <v>265</v>
      </c>
      <c r="AS6" s="110" t="s">
        <v>375</v>
      </c>
      <c r="AT6" s="112">
        <v>3</v>
      </c>
      <c r="AU6" s="113">
        <v>3</v>
      </c>
      <c r="AV6" s="281">
        <v>1</v>
      </c>
      <c r="AW6" s="115"/>
      <c r="AX6" s="115"/>
    </row>
    <row r="7" spans="1:50" ht="12.75">
      <c r="A7" s="2"/>
      <c r="B7" s="70">
        <v>4</v>
      </c>
      <c r="C7" s="71" t="s">
        <v>513</v>
      </c>
      <c r="D7" s="72" t="s">
        <v>242</v>
      </c>
      <c r="E7" s="73">
        <f>IF(LEFT($D7,6)&lt;&gt;"Star: ",IFERROR(VLOOKUP($I$22&amp;$D7,'Database-Hidden'!$C$2:$J$120,4,FALSE)-P7+AG7,""),VLOOKUP(RIGHT($D7,LEN($D7)-6),'Star Players-Hidden'!$A$3:$AK$87,33,FALSE))</f>
        <v>4</v>
      </c>
      <c r="F7" s="73">
        <f>IF(LEFT($D7,6)&lt;&gt;"Star: ",IFERROR(VLOOKUP($I$22&amp;$D7,'Database-Hidden'!$C$2:$J$120,5,FALSE)-Q7+AH7,""),VLOOKUP(RIGHT($D7,LEN($D7)-6),'Star Players-Hidden'!$A$3:$AK$87,34,FALSE))</f>
        <v>3</v>
      </c>
      <c r="G7" s="73">
        <f>IF(LEFT($D7,6)&lt;&gt;"Star: ",IFERROR(VLOOKUP($I$22&amp;$D7,'Database-Hidden'!$C$2:$J$120,6,FALSE)-R7+AI7,""),VLOOKUP(RIGHT($D7,LEN($D7)-6),'Star Players-Hidden'!$A$3:$AK$87,35,FALSE))</f>
        <v>2</v>
      </c>
      <c r="H7" s="75">
        <f>IF(LEFT($D7,6)&lt;&gt;"Star: ",IFERROR(VLOOKUP($I$22&amp;$D7,'Database-Hidden'!$C$2:$J$120,7,FALSE)-S7+AJ7,""),VLOOKUP(RIGHT($D7,LEN($D7)-6),'Star Players-Hidden'!$A$3:$AK$87,36,FALSE))</f>
        <v>9</v>
      </c>
      <c r="I7" s="76" t="str">
        <f>IF(LEFT($D7,6)&lt;&gt;"Star: ",IFERROR(VLOOKUP($I$22&amp;$D7,'Database-Hidden'!$C$2:$J$120,8,FALSE),""),VLOOKUP(RIGHT($D7,LEN($D7)-6),'Star Players-Hidden'!$A$3:$AK$87,31,FALSE))</f>
        <v>Block, Tackle, Thick Skull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/>
      <c r="X7" s="83"/>
      <c r="Y7" s="83"/>
      <c r="Z7" s="88"/>
      <c r="AA7" s="89">
        <f t="shared" si="1"/>
        <v>0</v>
      </c>
      <c r="AB7" s="58">
        <f t="shared" si="2"/>
        <v>70000</v>
      </c>
      <c r="AC7" s="4"/>
      <c r="AD7" s="116">
        <f>IF(LEFT($D7,6)&lt;&gt;"Star: ",IFERROR(VLOOKUP($I$22&amp;D7,'Database-Hidden'!$C$2:$E$120,3,FALSE),""),VLOOKUP(RIGHT($D7,LEN($D7)-6),'Star Players-Hidden'!$A$3:$AJ$87,32,FALSE))</f>
        <v>70000</v>
      </c>
      <c r="AE7" s="91"/>
      <c r="AF7" s="103"/>
      <c r="AG7" s="103"/>
      <c r="AH7" s="103"/>
      <c r="AI7" s="103"/>
      <c r="AJ7" s="103"/>
      <c r="AK7" s="103"/>
      <c r="AL7" s="253" t="str">
        <f>IF(LEFT($D7,6)&lt;&gt;"Star: ","",VLOOKUP(RIGHT($D7,LEN($D7)-6),'Star Players-Hidden'!$A$3:$AK$87,37,FALSE))</f>
        <v/>
      </c>
      <c r="AM7" s="4"/>
      <c r="AN7" s="117" t="s">
        <v>86</v>
      </c>
      <c r="AO7" s="119">
        <v>40000</v>
      </c>
      <c r="AP7" s="121">
        <v>50000</v>
      </c>
      <c r="AQ7" s="122"/>
      <c r="AR7" s="134" t="s">
        <v>514</v>
      </c>
      <c r="AS7" s="126" t="s">
        <v>382</v>
      </c>
      <c r="AT7" s="128">
        <v>0</v>
      </c>
      <c r="AU7" s="130">
        <v>2</v>
      </c>
      <c r="AV7" s="135">
        <v>0</v>
      </c>
      <c r="AW7" s="132"/>
      <c r="AX7" s="132"/>
    </row>
    <row r="8" spans="1:50" ht="12.75">
      <c r="A8" s="2"/>
      <c r="B8" s="70">
        <v>5</v>
      </c>
      <c r="C8" s="71" t="s">
        <v>515</v>
      </c>
      <c r="D8" s="72" t="s">
        <v>242</v>
      </c>
      <c r="E8" s="73">
        <f>IF(LEFT($D8,6)&lt;&gt;"Star: ",IFERROR(VLOOKUP($I$22&amp;$D8,'Database-Hidden'!$C$2:$J$120,4,FALSE)-P8+AG8,""),VLOOKUP(RIGHT($D8,LEN($D8)-6),'Star Players-Hidden'!$A$3:$AK$87,33,FALSE))</f>
        <v>4</v>
      </c>
      <c r="F8" s="73">
        <f>IF(LEFT($D8,6)&lt;&gt;"Star: ",IFERROR(VLOOKUP($I$22&amp;$D8,'Database-Hidden'!$C$2:$J$120,5,FALSE)-Q8+AH8,""),VLOOKUP(RIGHT($D8,LEN($D8)-6),'Star Players-Hidden'!$A$3:$AK$87,34,FALSE))</f>
        <v>3</v>
      </c>
      <c r="G8" s="73">
        <f>IF(LEFT($D8,6)&lt;&gt;"Star: ",IFERROR(VLOOKUP($I$22&amp;$D8,'Database-Hidden'!$C$2:$J$120,6,FALSE)-R8+AI8,""),VLOOKUP(RIGHT($D8,LEN($D8)-6),'Star Players-Hidden'!$A$3:$AK$87,35,FALSE))</f>
        <v>2</v>
      </c>
      <c r="H8" s="75">
        <f>IF(LEFT($D8,6)&lt;&gt;"Star: ",IFERROR(VLOOKUP($I$22&amp;$D8,'Database-Hidden'!$C$2:$J$120,7,FALSE)-S8+AJ8,""),VLOOKUP(RIGHT($D8,LEN($D8)-6),'Star Players-Hidden'!$A$3:$AK$87,36,FALSE))</f>
        <v>9</v>
      </c>
      <c r="I8" s="76" t="str">
        <f>IF(LEFT($D8,6)&lt;&gt;"Star: ",IFERROR(VLOOKUP($I$22&amp;$D8,'Database-Hidden'!$C$2:$J$120,8,FALSE),""),VLOOKUP(RIGHT($D8,LEN($D8)-6),'Star Players-Hidden'!$A$3:$AK$87,31,FALSE))</f>
        <v>Block, Tackle, Thick Skull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70000</v>
      </c>
      <c r="AC8" s="4"/>
      <c r="AD8" s="116">
        <f>IF(LEFT($D8,6)&lt;&gt;"Star: ",IFERROR(VLOOKUP($I$22&amp;D8,'Database-Hidden'!$C$2:$E$120,3,FALSE),""),VLOOKUP(RIGHT($D8,LEN($D8)-6),'Star Players-Hidden'!$A$3:$AJ$87,32,FALSE))</f>
        <v>70000</v>
      </c>
      <c r="AE8" s="91"/>
      <c r="AF8" s="103"/>
      <c r="AG8" s="103"/>
      <c r="AH8" s="103"/>
      <c r="AI8" s="103"/>
      <c r="AJ8" s="103"/>
      <c r="AK8" s="103"/>
      <c r="AL8" s="253" t="str">
        <f>IF(LEFT($D8,6)&lt;&gt;"Star: ","",VLOOKUP(RIGHT($D8,LEN($D8)-6),'Star Players-Hidden'!$A$3:$AK$87,37,FALSE))</f>
        <v/>
      </c>
      <c r="AM8" s="4"/>
      <c r="AN8" s="117" t="s">
        <v>90</v>
      </c>
      <c r="AO8" s="119">
        <v>60000</v>
      </c>
      <c r="AP8" s="121">
        <v>80000</v>
      </c>
      <c r="AQ8" s="122"/>
      <c r="AR8" s="134" t="s">
        <v>2</v>
      </c>
      <c r="AS8" s="126" t="s">
        <v>382</v>
      </c>
      <c r="AT8" s="128">
        <v>0</v>
      </c>
      <c r="AU8" s="130">
        <v>3</v>
      </c>
      <c r="AV8" s="135">
        <v>0</v>
      </c>
      <c r="AW8" s="132"/>
      <c r="AX8" s="132"/>
    </row>
    <row r="9" spans="1:50" ht="12.75">
      <c r="A9" s="2"/>
      <c r="B9" s="70">
        <v>6</v>
      </c>
      <c r="C9" s="71" t="s">
        <v>516</v>
      </c>
      <c r="D9" s="72" t="s">
        <v>242</v>
      </c>
      <c r="E9" s="73">
        <f>IF(LEFT($D9,6)&lt;&gt;"Star: ",IFERROR(VLOOKUP($I$22&amp;$D9,'Database-Hidden'!$C$2:$J$120,4,FALSE)-P9+AG9,""),VLOOKUP(RIGHT($D9,LEN($D9)-6),'Star Players-Hidden'!$A$3:$AK$87,33,FALSE))</f>
        <v>4</v>
      </c>
      <c r="F9" s="73">
        <f>IF(LEFT($D9,6)&lt;&gt;"Star: ",IFERROR(VLOOKUP($I$22&amp;$D9,'Database-Hidden'!$C$2:$J$120,5,FALSE)-Q9+AH9,""),VLOOKUP(RIGHT($D9,LEN($D9)-6),'Star Players-Hidden'!$A$3:$AK$87,34,FALSE))</f>
        <v>3</v>
      </c>
      <c r="G9" s="73">
        <f>IF(LEFT($D9,6)&lt;&gt;"Star: ",IFERROR(VLOOKUP($I$22&amp;$D9,'Database-Hidden'!$C$2:$J$120,6,FALSE)-R9+AI9,""),VLOOKUP(RIGHT($D9,LEN($D9)-6),'Star Players-Hidden'!$A$3:$AK$87,35,FALSE))</f>
        <v>2</v>
      </c>
      <c r="H9" s="75">
        <f>IF(LEFT($D9,6)&lt;&gt;"Star: ",IFERROR(VLOOKUP($I$22&amp;$D9,'Database-Hidden'!$C$2:$J$120,7,FALSE)-S9+AJ9,""),VLOOKUP(RIGHT($D9,LEN($D9)-6),'Star Players-Hidden'!$A$3:$AK$87,36,FALSE))</f>
        <v>9</v>
      </c>
      <c r="I9" s="76" t="str">
        <f>IF(LEFT($D9,6)&lt;&gt;"Star: ",IFERROR(VLOOKUP($I$22&amp;$D9,'Database-Hidden'!$C$2:$J$120,8,FALSE),""),VLOOKUP(RIGHT($D9,LEN($D9)-6),'Star Players-Hidden'!$A$3:$AK$87,31,FALSE))</f>
        <v>Block, Tackle, Thick Skull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70000</v>
      </c>
      <c r="AC9" s="4"/>
      <c r="AD9" s="116">
        <f>IF(LEFT($D9,6)&lt;&gt;"Star: ",IFERROR(VLOOKUP($I$22&amp;D9,'Database-Hidden'!$C$2:$E$120,3,FALSE),""),VLOOKUP(RIGHT($D9,LEN($D9)-6),'Star Players-Hidden'!$A$3:$AJ$87,32,FALSE))</f>
        <v>70000</v>
      </c>
      <c r="AE9" s="91"/>
      <c r="AF9" s="92"/>
      <c r="AG9" s="103"/>
      <c r="AH9" s="103"/>
      <c r="AI9" s="103"/>
      <c r="AJ9" s="103"/>
      <c r="AK9" s="103"/>
      <c r="AL9" s="25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  <c r="AX9" s="132"/>
    </row>
    <row r="10" spans="1:50" ht="12.75">
      <c r="A10" s="2"/>
      <c r="B10" s="70">
        <v>7</v>
      </c>
      <c r="C10" s="71"/>
      <c r="D10" s="72"/>
      <c r="E10" s="73" t="str">
        <f>IF(LEFT($D10,6)&lt;&gt;"Star: ",IFERROR(VLOOKUP($I$22&amp;$D10,'Database-Hidden'!$C$2:$J$120,4,FALSE)-P10+AG10,""),VLOOKUP(RIGHT($D10,LEN($D10)-6),'Star Players-Hidden'!$A$3:$AK$87,33,FALSE))</f>
        <v/>
      </c>
      <c r="F10" s="73" t="str">
        <f>IF(LEFT($D10,6)&lt;&gt;"Star: ",IFERROR(VLOOKUP($I$22&amp;$D10,'Database-Hidden'!$C$2:$J$120,5,FALSE)-Q10+AH10,""),VLOOKUP(RIGHT($D10,LEN($D10)-6),'Star Players-Hidden'!$A$3:$AK$87,34,FALSE))</f>
        <v/>
      </c>
      <c r="G10" s="73" t="str">
        <f>IF(LEFT($D10,6)&lt;&gt;"Star: ",IFERROR(VLOOKUP($I$22&amp;$D10,'Database-Hidden'!$C$2:$J$120,6,FALSE)-R10+AI10,""),VLOOKUP(RIGHT($D10,LEN($D10)-6),'Star Players-Hidden'!$A$3:$AK$87,35,FALSE))</f>
        <v/>
      </c>
      <c r="H10" s="75" t="str">
        <f>IF(LEFT($D10,6)&lt;&gt;"Star: ",IFERROR(VLOOKUP($I$22&amp;$D10,'Database-Hidden'!$C$2:$J$120,7,FALSE)-S10+AJ10,""),VLOOKUP(RIGHT($D10,LEN($D10)-6),'Star Players-Hidden'!$A$3:$AK$87,36,FALSE))</f>
        <v/>
      </c>
      <c r="I10" s="76" t="str">
        <f>IF(LEFT($D10,6)&lt;&gt;"Star: ",IFERROR(VLOOKUP($I$22&amp;$D10,'Database-Hidden'!$C$2:$J$120,8,FALSE),""),VLOOKUP(RIGHT($D10,LEN($D10)-6),'Star Players-Hidden'!$A$3:$AK$87,31,FALSE))</f>
        <v/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/>
      <c r="AC10" s="4"/>
      <c r="AD10" s="116" t="str">
        <f>IF(LEFT($D10,6)&lt;&gt;"Star: ",IFERROR(VLOOKUP($I$22&amp;D10,'Database-Hidden'!$C$2:$E$120,3,FALSE),""),VLOOKUP(RIGHT($D10,LEN($D10)-6),'Star Players-Hidden'!$A$3:$AJ$87,32,FALSE))</f>
        <v/>
      </c>
      <c r="AE10" s="91"/>
      <c r="AF10" s="92"/>
      <c r="AG10" s="103"/>
      <c r="AH10" s="103"/>
      <c r="AI10" s="103"/>
      <c r="AJ10" s="103"/>
      <c r="AK10" s="103"/>
      <c r="AL10" s="25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  <c r="AX10" s="132"/>
    </row>
    <row r="11" spans="1:50" ht="12.75">
      <c r="A11" s="2"/>
      <c r="B11" s="70">
        <v>8</v>
      </c>
      <c r="C11" s="71" t="s">
        <v>517</v>
      </c>
      <c r="D11" s="72" t="s">
        <v>101</v>
      </c>
      <c r="E11" s="73">
        <f>IF(LEFT($D11,6)&lt;&gt;"Star: ",IFERROR(VLOOKUP($I$22&amp;$D11,'Database-Hidden'!$C$2:$J$120,4,FALSE)-P11+AG11,""),VLOOKUP(RIGHT($D11,LEN($D11)-6),'Star Players-Hidden'!$A$3:$AK$87,33,FALSE))</f>
        <v>5</v>
      </c>
      <c r="F11" s="73">
        <f>IF(LEFT($D11,6)&lt;&gt;"Star: ",IFERROR(VLOOKUP($I$22&amp;$D11,'Database-Hidden'!$C$2:$J$120,5,FALSE)-Q11+AH11,""),VLOOKUP(RIGHT($D11,LEN($D11)-6),'Star Players-Hidden'!$A$3:$AK$87,34,FALSE))</f>
        <v>3</v>
      </c>
      <c r="G11" s="73">
        <f>IF(LEFT($D11,6)&lt;&gt;"Star: ",IFERROR(VLOOKUP($I$22&amp;$D11,'Database-Hidden'!$C$2:$J$120,6,FALSE)-R11+AI11,""),VLOOKUP(RIGHT($D11,LEN($D11)-6),'Star Players-Hidden'!$A$3:$AK$87,35,FALSE))</f>
        <v>3</v>
      </c>
      <c r="H11" s="75">
        <f>IF(LEFT($D11,6)&lt;&gt;"Star: ",IFERROR(VLOOKUP($I$22&amp;$D11,'Database-Hidden'!$C$2:$J$120,7,FALSE)-S11+AJ11,""),VLOOKUP(RIGHT($D11,LEN($D11)-6),'Star Players-Hidden'!$A$3:$AK$87,36,FALSE))</f>
        <v>9</v>
      </c>
      <c r="I11" s="76" t="str">
        <f>IF(LEFT($D11,6)&lt;&gt;"Star: ",IFERROR(VLOOKUP($I$22&amp;$D11,'Database-Hidden'!$C$2:$J$120,8,FALSE),""),VLOOKUP(RIGHT($D11,LEN($D11)-6),'Star Players-Hidden'!$A$3:$AK$87,31,FALSE))</f>
        <v>Block, Thick Skull</v>
      </c>
      <c r="J11" s="77" t="s">
        <v>82</v>
      </c>
      <c r="K11" s="78">
        <f t="shared" si="0"/>
        <v>1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7">
        <v>1</v>
      </c>
      <c r="W11" s="87">
        <v>2</v>
      </c>
      <c r="X11" s="303">
        <v>2</v>
      </c>
      <c r="Y11" s="83"/>
      <c r="Z11" s="88"/>
      <c r="AA11" s="89">
        <f t="shared" si="1"/>
        <v>7</v>
      </c>
      <c r="AB11" s="58">
        <f t="shared" si="2"/>
        <v>100000</v>
      </c>
      <c r="AC11" s="4"/>
      <c r="AD11" s="116">
        <f>IF(LEFT($D11,6)&lt;&gt;"Star: ",IFERROR(VLOOKUP($I$22&amp;D11,'Database-Hidden'!$C$2:$E$120,3,FALSE),""),VLOOKUP(RIGHT($D11,LEN($D11)-6),'Star Players-Hidden'!$A$3:$AJ$87,32,FALSE))</f>
        <v>80000</v>
      </c>
      <c r="AE11" s="91">
        <v>1</v>
      </c>
      <c r="AF11" s="103"/>
      <c r="AG11" s="103"/>
      <c r="AH11" s="103"/>
      <c r="AI11" s="103"/>
      <c r="AJ11" s="103"/>
      <c r="AK11" s="103"/>
      <c r="AL11" s="25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  <c r="AX11" s="132"/>
    </row>
    <row r="12" spans="1:50" ht="12.75">
      <c r="A12" s="2"/>
      <c r="B12" s="70">
        <v>9</v>
      </c>
      <c r="C12" s="71"/>
      <c r="D12" s="72"/>
      <c r="E12" s="73" t="str">
        <f>IF(LEFT($D12,6)&lt;&gt;"Star: ",IFERROR(VLOOKUP($I$22&amp;$D12,'Database-Hidden'!$C$2:$J$120,4,FALSE)-P12+AG12,""),VLOOKUP(RIGHT($D12,LEN($D12)-6),'Star Players-Hidden'!$A$3:$AK$87,33,FALSE))</f>
        <v/>
      </c>
      <c r="F12" s="73" t="str">
        <f>IF(LEFT($D12,6)&lt;&gt;"Star: ",IFERROR(VLOOKUP($I$22&amp;$D12,'Database-Hidden'!$C$2:$J$120,5,FALSE)-Q12+AH12,""),VLOOKUP(RIGHT($D12,LEN($D12)-6),'Star Players-Hidden'!$A$3:$AK$87,34,FALSE))</f>
        <v/>
      </c>
      <c r="G12" s="73" t="str">
        <f>IF(LEFT($D12,6)&lt;&gt;"Star: ",IFERROR(VLOOKUP($I$22&amp;$D12,'Database-Hidden'!$C$2:$J$120,6,FALSE)-R12+AI12,""),VLOOKUP(RIGHT($D12,LEN($D12)-6),'Star Players-Hidden'!$A$3:$AK$87,35,FALSE))</f>
        <v/>
      </c>
      <c r="H12" s="75" t="str">
        <f>IF(LEFT($D12,6)&lt;&gt;"Star: ",IFERROR(VLOOKUP($I$22&amp;$D12,'Database-Hidden'!$C$2:$J$120,7,FALSE)-S12+AJ12,""),VLOOKUP(RIGHT($D12,LEN($D12)-6),'Star Players-Hidden'!$A$3:$AK$87,36,FALSE))</f>
        <v/>
      </c>
      <c r="I12" s="76" t="str">
        <f>IF(LEFT($D12,6)&lt;&gt;"Star: ",IFERROR(VLOOKUP($I$22&amp;$D12,'Database-Hidden'!$C$2:$J$120,8,FALSE),""),VLOOKUP(RIGHT($D12,LEN($D12)-6),'Star Players-Hidden'!$A$3:$AK$87,31,FALSE))</f>
        <v/>
      </c>
      <c r="J12" s="102"/>
      <c r="K12" s="78">
        <f t="shared" si="0"/>
        <v>0</v>
      </c>
      <c r="L12" s="80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303"/>
      <c r="Y12" s="83"/>
      <c r="Z12" s="88"/>
      <c r="AA12" s="89">
        <f t="shared" si="1"/>
        <v>0</v>
      </c>
      <c r="AB12" s="58"/>
      <c r="AC12" s="4"/>
      <c r="AD12" s="116" t="str">
        <f>IF(LEFT($D12,6)&lt;&gt;"Star: ",IFERROR(VLOOKUP($I$22&amp;D12,'Database-Hidden'!$C$2:$E$120,3,FALSE),""),VLOOKUP(RIGHT($D12,LEN($D12)-6),'Star Players-Hidden'!$A$3:$AJ$87,32,FALSE))</f>
        <v/>
      </c>
      <c r="AE12" s="138"/>
      <c r="AF12" s="103"/>
      <c r="AG12" s="103"/>
      <c r="AH12" s="92"/>
      <c r="AI12" s="103"/>
      <c r="AJ12" s="103"/>
      <c r="AK12" s="103"/>
      <c r="AL12" s="25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71"/>
      <c r="D13" s="72"/>
      <c r="E13" s="73" t="str">
        <f>IF(LEFT($D13,6)&lt;&gt;"Star: ",IFERROR(VLOOKUP($I$22&amp;$D13,'Database-Hidden'!$C$2:$J$120,4,FALSE)-P13+AG13,""),VLOOKUP(RIGHT($D13,LEN($D13)-6),'Star Players-Hidden'!$A$3:$AK$87,33,FALSE))</f>
        <v/>
      </c>
      <c r="F13" s="73" t="str">
        <f>IF(LEFT($D13,6)&lt;&gt;"Star: ",IFERROR(VLOOKUP($I$22&amp;$D13,'Database-Hidden'!$C$2:$J$120,5,FALSE)-Q13+AH13,""),VLOOKUP(RIGHT($D13,LEN($D13)-6),'Star Players-Hidden'!$A$3:$AK$87,34,FALSE))</f>
        <v/>
      </c>
      <c r="G13" s="73" t="str">
        <f>IF(LEFT($D13,6)&lt;&gt;"Star: ",IFERROR(VLOOKUP($I$22&amp;$D13,'Database-Hidden'!$C$2:$J$120,6,FALSE)-R13+AI13,""),VLOOKUP(RIGHT($D13,LEN($D13)-6),'Star Players-Hidden'!$A$3:$AK$87,35,FALSE))</f>
        <v/>
      </c>
      <c r="H13" s="75" t="str">
        <f>IF(LEFT($D13,6)&lt;&gt;"Star: ",IFERROR(VLOOKUP($I$22&amp;$D13,'Database-Hidden'!$C$2:$J$120,7,FALSE)-S13+AJ13,""),VLOOKUP(RIGHT($D13,LEN($D13)-6),'Star Players-Hidden'!$A$3:$AK$87,36,FALSE))</f>
        <v/>
      </c>
      <c r="I13" s="76" t="str">
        <f>IF(LEFT($D13,6)&lt;&gt;"Star: ",IFERROR(VLOOKUP($I$22&amp;$D13,'Database-Hidden'!$C$2:$J$120,8,FALSE),""),VLOOKUP(RIGHT($D13,LEN($D13)-6),'Star Players-Hidden'!$A$3:$AK$87,31,FALSE))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6" t="str">
        <f>IF(LEFT($D13,6)&lt;&gt;"Star: ",IFERROR(VLOOKUP($I$22&amp;D13,'Database-Hidden'!$C$2:$E$120,3,FALSE),""),VLOOKUP(RIGHT($D13,LEN($D13)-6),'Star Players-Hidden'!$A$3:$AJ$87,32,FALSE))</f>
        <v/>
      </c>
      <c r="AE13" s="138"/>
      <c r="AF13" s="92"/>
      <c r="AG13" s="103"/>
      <c r="AH13" s="103"/>
      <c r="AI13" s="103"/>
      <c r="AJ13" s="103"/>
      <c r="AK13" s="103"/>
      <c r="AL13" s="25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71" t="s">
        <v>518</v>
      </c>
      <c r="D14" s="72" t="s">
        <v>269</v>
      </c>
      <c r="E14" s="73">
        <f>IF(LEFT($D14,6)&lt;&gt;"Star: ",IFERROR(VLOOKUP($I$22&amp;$D14,'Database-Hidden'!$C$2:$J$120,4,FALSE)-P14+AG14,""),VLOOKUP(RIGHT($D14,LEN($D14)-6),'Star Players-Hidden'!$A$3:$AK$87,33,FALSE))</f>
        <v>6</v>
      </c>
      <c r="F14" s="73">
        <f>IF(LEFT($D14,6)&lt;&gt;"Star: ",IFERROR(VLOOKUP($I$22&amp;$D14,'Database-Hidden'!$C$2:$J$120,5,FALSE)-Q14+AH14,""),VLOOKUP(RIGHT($D14,LEN($D14)-6),'Star Players-Hidden'!$A$3:$AK$87,34,FALSE))</f>
        <v>3</v>
      </c>
      <c r="G14" s="73">
        <f>IF(LEFT($D14,6)&lt;&gt;"Star: ",IFERROR(VLOOKUP($I$22&amp;$D14,'Database-Hidden'!$C$2:$J$120,6,FALSE)-R14+AI14,""),VLOOKUP(RIGHT($D14,LEN($D14)-6),'Star Players-Hidden'!$A$3:$AK$87,35,FALSE))</f>
        <v>3</v>
      </c>
      <c r="H14" s="75">
        <f>IF(LEFT($D14,6)&lt;&gt;"Star: ",IFERROR(VLOOKUP($I$22&amp;$D14,'Database-Hidden'!$C$2:$J$120,7,FALSE)-S14+AJ14,""),VLOOKUP(RIGHT($D14,LEN($D14)-6),'Star Players-Hidden'!$A$3:$AK$87,36,FALSE))</f>
        <v>8</v>
      </c>
      <c r="I14" s="76" t="str">
        <f>IF(LEFT($D14,6)&lt;&gt;"Star: ",IFERROR(VLOOKUP($I$22&amp;$D14,'Database-Hidden'!$C$2:$J$120,8,FALSE),""),VLOOKUP(RIGHT($D14,LEN($D14)-6),'Star Players-Hidden'!$A$3:$AK$87,31,FALSE))</f>
        <v>Sure Hands, Thick Skull</v>
      </c>
      <c r="J14" s="77" t="s">
        <v>155</v>
      </c>
      <c r="K14" s="78">
        <f t="shared" si="0"/>
        <v>1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7">
        <v>2</v>
      </c>
      <c r="W14" s="87"/>
      <c r="X14" s="83"/>
      <c r="Y14" s="83"/>
      <c r="Z14" s="88"/>
      <c r="AA14" s="89">
        <f t="shared" si="1"/>
        <v>6</v>
      </c>
      <c r="AB14" s="58">
        <f t="shared" si="2"/>
        <v>100000</v>
      </c>
      <c r="AC14" s="4"/>
      <c r="AD14" s="116">
        <f>IF(LEFT($D14,6)&lt;&gt;"Star: ",IFERROR(VLOOKUP($I$22&amp;D14,'Database-Hidden'!$C$2:$E$120,3,FALSE),""),VLOOKUP(RIGHT($D14,LEN($D14)-6),'Star Players-Hidden'!$A$3:$AJ$87,32,FALSE))</f>
        <v>80000</v>
      </c>
      <c r="AE14" s="91">
        <v>1</v>
      </c>
      <c r="AF14" s="103"/>
      <c r="AG14" s="103"/>
      <c r="AH14" s="103"/>
      <c r="AI14" s="103"/>
      <c r="AJ14" s="103"/>
      <c r="AK14" s="103"/>
      <c r="AL14" s="25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71"/>
      <c r="D15" s="72"/>
      <c r="E15" s="73" t="str">
        <f>IF(LEFT($D15,6)&lt;&gt;"Star: ",IFERROR(VLOOKUP($I$22&amp;$D15,'Database-Hidden'!$C$2:$J$120,4,FALSE)-P15+AG15,""),VLOOKUP(RIGHT($D15,LEN($D15)-6),'Star Players-Hidden'!$A$3:$AK$87,33,FALSE))</f>
        <v/>
      </c>
      <c r="F15" s="73" t="str">
        <f>IF(LEFT($D15,6)&lt;&gt;"Star: ",IFERROR(VLOOKUP($I$22&amp;$D15,'Database-Hidden'!$C$2:$J$120,5,FALSE)-Q15+AH15,""),VLOOKUP(RIGHT($D15,LEN($D15)-6),'Star Players-Hidden'!$A$3:$AK$87,34,FALSE))</f>
        <v/>
      </c>
      <c r="G15" s="73" t="str">
        <f>IF(LEFT($D15,6)&lt;&gt;"Star: ",IFERROR(VLOOKUP($I$22&amp;$D15,'Database-Hidden'!$C$2:$J$120,6,FALSE)-R15+AI15,""),VLOOKUP(RIGHT($D15,LEN($D15)-6),'Star Players-Hidden'!$A$3:$AK$87,35,FALSE))</f>
        <v/>
      </c>
      <c r="H15" s="75" t="str">
        <f>IF(LEFT($D15,6)&lt;&gt;"Star: ",IFERROR(VLOOKUP($I$22&amp;$D15,'Database-Hidden'!$C$2:$J$120,7,FALSE)-S15+AJ15,""),VLOOKUP(RIGHT($D15,LEN($D15)-6),'Star Players-Hidden'!$A$3:$AK$87,36,FALSE))</f>
        <v/>
      </c>
      <c r="I15" s="76" t="str">
        <f>IF(LEFT($D15,6)&lt;&gt;"Star: ",IFERROR(VLOOKUP($I$22&amp;$D15,'Database-Hidden'!$C$2:$J$120,8,FALSE),""),VLOOKUP(RIGHT($D15,LEN($D15)-6),'Star Players-Hidden'!$A$3:$AK$87,31,FALSE))</f>
        <v/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/>
      <c r="AC15" s="4"/>
      <c r="AD15" s="116" t="str">
        <f>IF(LEFT($D15,6)&lt;&gt;"Star: ",IFERROR(VLOOKUP($I$22&amp;D15,'Database-Hidden'!$C$2:$E$120,3,FALSE),""),VLOOKUP(RIGHT($D15,LEN($D15)-6),'Star Players-Hidden'!$A$3:$AJ$87,32,FALSE))</f>
        <v/>
      </c>
      <c r="AE15" s="91"/>
      <c r="AF15" s="103"/>
      <c r="AG15" s="103"/>
      <c r="AH15" s="103"/>
      <c r="AI15" s="103"/>
      <c r="AJ15" s="103"/>
      <c r="AK15" s="103"/>
      <c r="AL15" s="25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71" t="s">
        <v>520</v>
      </c>
      <c r="D16" s="72" t="s">
        <v>285</v>
      </c>
      <c r="E16" s="73">
        <f>IF(LEFT($D16,6)&lt;&gt;"Star: ",IFERROR(VLOOKUP($I$22&amp;$D16,'Database-Hidden'!$C$2:$J$120,4,FALSE)-P16+AG16,""),VLOOKUP(RIGHT($D16,LEN($D16)-6),'Star Players-Hidden'!$A$3:$AK$87,33,FALSE))</f>
        <v>5</v>
      </c>
      <c r="F16" s="73">
        <f>IF(LEFT($D16,6)&lt;&gt;"Star: ",IFERROR(VLOOKUP($I$22&amp;$D16,'Database-Hidden'!$C$2:$J$120,5,FALSE)-Q16+AH16,""),VLOOKUP(RIGHT($D16,LEN($D16)-6),'Star Players-Hidden'!$A$3:$AK$87,34,FALSE))</f>
        <v>3</v>
      </c>
      <c r="G16" s="73">
        <f>IF(LEFT($D16,6)&lt;&gt;"Star: ",IFERROR(VLOOKUP($I$22&amp;$D16,'Database-Hidden'!$C$2:$J$120,6,FALSE)-R16+AI16,""),VLOOKUP(RIGHT($D16,LEN($D16)-6),'Star Players-Hidden'!$A$3:$AK$87,35,FALSE))</f>
        <v>2</v>
      </c>
      <c r="H16" s="75">
        <f>IF(LEFT($D16,6)&lt;&gt;"Star: ",IFERROR(VLOOKUP($I$22&amp;$D16,'Database-Hidden'!$C$2:$J$120,7,FALSE)-S16+AJ16,""),VLOOKUP(RIGHT($D16,LEN($D16)-6),'Star Players-Hidden'!$A$3:$AK$87,36,FALSE))</f>
        <v>8</v>
      </c>
      <c r="I16" s="76" t="str">
        <f>IF(LEFT($D16,6)&lt;&gt;"Star: ",IFERROR(VLOOKUP($I$22&amp;$D16,'Database-Hidden'!$C$2:$J$120,8,FALSE),""),VLOOKUP(RIGHT($D16,LEN($D16)-6),'Star Players-Hidden'!$A$3:$AK$87,31,FALSE))</f>
        <v>Block, Dauntless, Frenzy, Thick Skull</v>
      </c>
      <c r="J16" s="77" t="s">
        <v>477</v>
      </c>
      <c r="K16" s="78">
        <f t="shared" si="0"/>
        <v>1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>
        <v>1</v>
      </c>
      <c r="X16" s="83"/>
      <c r="Y16" s="83"/>
      <c r="Z16" s="88">
        <v>1</v>
      </c>
      <c r="AA16" s="89">
        <f t="shared" si="1"/>
        <v>7</v>
      </c>
      <c r="AB16" s="58">
        <f t="shared" si="2"/>
        <v>110000</v>
      </c>
      <c r="AC16" s="4"/>
      <c r="AD16" s="116">
        <f>IF(LEFT($D16,6)&lt;&gt;"Star: ",IFERROR(VLOOKUP($I$22&amp;D16,'Database-Hidden'!$C$2:$E$120,3,FALSE),""),VLOOKUP(RIGHT($D16,LEN($D16)-6),'Star Players-Hidden'!$A$3:$AJ$87,32,FALSE))</f>
        <v>90000</v>
      </c>
      <c r="AE16" s="91">
        <v>1</v>
      </c>
      <c r="AF16" s="103"/>
      <c r="AG16" s="103"/>
      <c r="AH16" s="103"/>
      <c r="AI16" s="103"/>
      <c r="AJ16" s="103"/>
      <c r="AK16" s="103"/>
      <c r="AL16" s="25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71" t="s">
        <v>521</v>
      </c>
      <c r="D17" s="72" t="s">
        <v>285</v>
      </c>
      <c r="E17" s="73">
        <f>IF(LEFT($D17,6)&lt;&gt;"Star: ",IFERROR(VLOOKUP($I$22&amp;$D17,'Database-Hidden'!$C$2:$J$120,4,FALSE)-P17+AG17,""),VLOOKUP(RIGHT($D17,LEN($D17)-6),'Star Players-Hidden'!$A$3:$AK$87,33,FALSE))</f>
        <v>5</v>
      </c>
      <c r="F17" s="73">
        <f>IF(LEFT($D17,6)&lt;&gt;"Star: ",IFERROR(VLOOKUP($I$22&amp;$D17,'Database-Hidden'!$C$2:$J$120,5,FALSE)-Q17+AH17,""),VLOOKUP(RIGHT($D17,LEN($D17)-6),'Star Players-Hidden'!$A$3:$AK$87,34,FALSE))</f>
        <v>3</v>
      </c>
      <c r="G17" s="73">
        <f>IF(LEFT($D17,6)&lt;&gt;"Star: ",IFERROR(VLOOKUP($I$22&amp;$D17,'Database-Hidden'!$C$2:$J$120,6,FALSE)-R17+AI17,""),VLOOKUP(RIGHT($D17,LEN($D17)-6),'Star Players-Hidden'!$A$3:$AK$87,35,FALSE))</f>
        <v>2</v>
      </c>
      <c r="H17" s="75">
        <f>IF(LEFT($D17,6)&lt;&gt;"Star: ",IFERROR(VLOOKUP($I$22&amp;$D17,'Database-Hidden'!$C$2:$J$120,7,FALSE)-S17+AJ17,""),VLOOKUP(RIGHT($D17,LEN($D17)-6),'Star Players-Hidden'!$A$3:$AK$87,36,FALSE))</f>
        <v>8</v>
      </c>
      <c r="I17" s="76" t="str">
        <f>IF(LEFT($D17,6)&lt;&gt;"Star: ",IFERROR(VLOOKUP($I$22&amp;$D17,'Database-Hidden'!$C$2:$J$120,8,FALSE),""),VLOOKUP(RIGHT($D17,LEN($D17)-6),'Star Players-Hidden'!$A$3:$AK$87,31,FALSE))</f>
        <v>Block, Dauntless, Frenzy, Thick Skull</v>
      </c>
      <c r="J17" s="77" t="s">
        <v>477</v>
      </c>
      <c r="K17" s="78">
        <f t="shared" si="0"/>
        <v>1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>
        <v>1</v>
      </c>
      <c r="X17" s="83"/>
      <c r="Y17" s="83"/>
      <c r="Z17" s="88">
        <v>1</v>
      </c>
      <c r="AA17" s="89">
        <f t="shared" si="1"/>
        <v>7</v>
      </c>
      <c r="AB17" s="58">
        <f t="shared" si="2"/>
        <v>110000</v>
      </c>
      <c r="AC17" s="4"/>
      <c r="AD17" s="116">
        <f>IF(LEFT($D17,6)&lt;&gt;"Star: ",IFERROR(VLOOKUP($I$22&amp;D17,'Database-Hidden'!$C$2:$E$120,3,FALSE),""),VLOOKUP(RIGHT($D17,LEN($D17)-6),'Star Players-Hidden'!$A$3:$AJ$87,32,FALSE))</f>
        <v>90000</v>
      </c>
      <c r="AE17" s="91">
        <v>1</v>
      </c>
      <c r="AF17" s="103"/>
      <c r="AG17" s="103"/>
      <c r="AH17" s="103"/>
      <c r="AI17" s="103"/>
      <c r="AJ17" s="103"/>
      <c r="AK17" s="103"/>
      <c r="AL17" s="25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71"/>
      <c r="D18" s="72"/>
      <c r="E18" s="73" t="str">
        <f>IF(LEFT($D18,6)&lt;&gt;"Star: ",IFERROR(VLOOKUP($I$22&amp;$D18,'Database-Hidden'!$C$2:$J$120,4,FALSE)-P18+AG18,""),VLOOKUP(RIGHT($D18,LEN($D18)-6),'Star Players-Hidden'!$A$3:$AK$87,33,FALSE))</f>
        <v/>
      </c>
      <c r="F18" s="73" t="str">
        <f>IF(LEFT($D18,6)&lt;&gt;"Star: ",IFERROR(VLOOKUP($I$22&amp;$D18,'Database-Hidden'!$C$2:$J$120,5,FALSE)-Q18+AH18,""),VLOOKUP(RIGHT($D18,LEN($D18)-6),'Star Players-Hidden'!$A$3:$AK$87,34,FALSE))</f>
        <v/>
      </c>
      <c r="G18" s="73" t="str">
        <f>IF(LEFT($D18,6)&lt;&gt;"Star: ",IFERROR(VLOOKUP($I$22&amp;$D18,'Database-Hidden'!$C$2:$J$120,6,FALSE)-R18+AI18,""),VLOOKUP(RIGHT($D18,LEN($D18)-6),'Star Players-Hidden'!$A$3:$AK$87,35,FALSE))</f>
        <v/>
      </c>
      <c r="H18" s="75" t="str">
        <f>IF(LEFT($D18,6)&lt;&gt;"Star: ",IFERROR(VLOOKUP($I$22&amp;$D18,'Database-Hidden'!$C$2:$J$120,7,FALSE)-S18+AJ18,""),VLOOKUP(RIGHT($D18,LEN($D18)-6),'Star Players-Hidden'!$A$3:$AK$87,36,FALSE))</f>
        <v/>
      </c>
      <c r="I18" s="76" t="str">
        <f>IF(LEFT($D18,6)&lt;&gt;"Star: ",IFERROR(VLOOKUP($I$22&amp;$D18,'Database-Hidden'!$C$2:$J$120,8,FALSE),""),VLOOKUP(RIGHT($D18,LEN($D18)-6),'Star Players-Hidden'!$A$3:$AK$87,31,FALSE))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IF(LEFT($D18,6)&lt;&gt;"Star: ",IFERROR(VLOOKUP($I$22&amp;D18,'Database-Hidden'!$C$2:$E$120,3,FALSE),""),VLOOKUP(RIGHT($D18,LEN($D18)-6),'Star Players-Hidden'!$A$3:$AJ$87,32,FALSE))</f>
        <v/>
      </c>
      <c r="AE18" s="91"/>
      <c r="AF18" s="92"/>
      <c r="AG18" s="103"/>
      <c r="AH18" s="103"/>
      <c r="AI18" s="103"/>
      <c r="AJ18" s="103"/>
      <c r="AK18" s="103"/>
      <c r="AL18" s="25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30000</v>
      </c>
      <c r="AP18" s="4"/>
      <c r="AQ18" s="4"/>
      <c r="AR18" s="67"/>
      <c r="AS18" s="148" t="s">
        <v>42</v>
      </c>
      <c r="AT18" s="150">
        <f t="shared" ref="AT18:AU18" si="3">SUM(AT6:AT17)</f>
        <v>3</v>
      </c>
      <c r="AU18" s="151">
        <f t="shared" si="3"/>
        <v>8</v>
      </c>
      <c r="AV18" s="152">
        <f>AV4+SUM(AV6:AV17)</f>
        <v>2</v>
      </c>
      <c r="AW18" s="5"/>
      <c r="AX18" s="5"/>
    </row>
    <row r="19" spans="1:50" ht="12.75">
      <c r="A19" s="2"/>
      <c r="B19" s="153">
        <v>16</v>
      </c>
      <c r="C19" s="154"/>
      <c r="D19" s="155"/>
      <c r="E19" s="73" t="str">
        <f>IF(LEFT($D19,6)&lt;&gt;"Star: ",IFERROR(VLOOKUP($I$22&amp;$D19,'Database-Hidden'!$C$2:$J$120,4,FALSE)-P19+AG19,""),VLOOKUP(RIGHT($D19,LEN($D19)-6),'Star Players-Hidden'!$A$3:$AK$87,33,FALSE))</f>
        <v/>
      </c>
      <c r="F19" s="73" t="str">
        <f>IF(LEFT($D19,6)&lt;&gt;"Star: ",IFERROR(VLOOKUP($I$22&amp;$D19,'Database-Hidden'!$C$2:$J$120,5,FALSE)-Q19+AH19,""),VLOOKUP(RIGHT($D19,LEN($D19)-6),'Star Players-Hidden'!$A$3:$AK$87,34,FALSE))</f>
        <v/>
      </c>
      <c r="G19" s="73" t="str">
        <f>IF(LEFT($D19,6)&lt;&gt;"Star: ",IFERROR(VLOOKUP($I$22&amp;$D19,'Database-Hidden'!$C$2:$J$120,6,FALSE)-R19+AI19,""),VLOOKUP(RIGHT($D19,LEN($D19)-6),'Star Players-Hidden'!$A$3:$AK$87,35,FALSE))</f>
        <v/>
      </c>
      <c r="H19" s="75" t="str">
        <f>IF(LEFT($D19,6)&lt;&gt;"Star: ",IFERROR(VLOOKUP($I$22&amp;$D19,'Database-Hidden'!$C$2:$J$120,7,FALSE)-S19+AJ19,""),VLOOKUP(RIGHT($D19,LEN($D19)-6),'Star Players-Hidden'!$A$3:$AK$87,36,FALSE))</f>
        <v/>
      </c>
      <c r="I19" s="76" t="str">
        <f>IF(LEFT($D19,6)&lt;&gt;"Star: ",IFERROR(VLOOKUP($I$22&amp;$D19,'Database-Hidden'!$C$2:$J$120,8,FALSE),""),VLOOKUP(RIGHT($D19,LEN($D19)-6),'Star Players-Hidden'!$A$3:$AK$87,31,FALSE))</f>
        <v/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/>
      <c r="AC19" s="4"/>
      <c r="AD19" s="174" t="str">
        <f>IF(LEFT($D19,6)&lt;&gt;"Star: ",IFERROR(VLOOKUP($I$22&amp;D19,'Database-Hidden'!$C$2:$E$120,3,FALSE),""),VLOOKUP(RIGHT($D19,LEN($D19)-6),'Star Players-Hidden'!$A$3:$AJ$87,32,FALSE))</f>
        <v/>
      </c>
      <c r="AE19" s="175"/>
      <c r="AF19" s="176"/>
      <c r="AG19" s="176"/>
      <c r="AH19" s="176"/>
      <c r="AI19" s="176"/>
      <c r="AJ19" s="176"/>
      <c r="AK19" s="176"/>
      <c r="AL19" s="315" t="str">
        <f>IF(LEFT($D19,6)&lt;&gt;"Star: ","",VLOOKUP(RIGHT($D19,LEN($D19)-6),'Star Players-Hidden'!$A$3:$AK$87,37,FALSE))</f>
        <v/>
      </c>
      <c r="AM19" s="4"/>
      <c r="AV19" s="179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840000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37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302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2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20000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30000</v>
      </c>
      <c r="AP22" s="4"/>
      <c r="AQ22" s="4"/>
      <c r="AR22" s="4"/>
      <c r="AS22" s="4"/>
      <c r="AT22" s="4"/>
      <c r="AU22" s="4"/>
      <c r="AV22" s="5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522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30000</v>
      </c>
      <c r="AP23" s="4"/>
      <c r="AQ23" s="4"/>
      <c r="AR23" s="4"/>
      <c r="AS23" s="4"/>
      <c r="AT23" s="4"/>
      <c r="AU23" s="4"/>
      <c r="AV23" s="5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1060000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15000</v>
      </c>
      <c r="AP24" s="4"/>
      <c r="AQ24" s="4"/>
      <c r="AR24" s="4"/>
      <c r="AS24" s="4"/>
      <c r="AT24" s="4"/>
      <c r="AU24" s="4"/>
      <c r="AV24" s="5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30000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40000</v>
      </c>
      <c r="AP25" s="4"/>
      <c r="AQ25" s="4"/>
      <c r="AR25" s="4"/>
      <c r="AS25" s="4"/>
      <c r="AT25" s="4"/>
      <c r="AU25" s="4"/>
      <c r="AV25" s="5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220000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110000</v>
      </c>
      <c r="AP26" s="4"/>
      <c r="AQ26" s="4"/>
      <c r="AR26" s="4"/>
      <c r="AS26" s="4"/>
      <c r="AT26" s="4"/>
      <c r="AU26" s="4"/>
      <c r="AV26" s="5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4"/>
      <c r="AX27" s="4"/>
    </row>
    <row r="28" spans="1:50" ht="17.25" hidden="1" customHeight="1">
      <c r="C28" s="209">
        <f>MATCH(I22,'Database-Hidden'!A2:A120,0)</f>
        <v>31</v>
      </c>
      <c r="D28" s="209" t="str">
        <f t="shared" ref="D28:D37" si="5">I28&amp;IF(COUNTIF(D$4:D$19,I28)&gt;E28," (Too Many)","")</f>
        <v>Blocker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Blocker</v>
      </c>
      <c r="AV28" s="179"/>
    </row>
    <row r="29" spans="1:50" ht="17.25" hidden="1" customHeight="1">
      <c r="C29" s="209">
        <f t="shared" ref="C29:C37" si="6">C28+1</f>
        <v>32</v>
      </c>
      <c r="D29" s="209" t="str">
        <f t="shared" si="5"/>
        <v>Runner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Runner</v>
      </c>
      <c r="AV29" s="179"/>
    </row>
    <row r="30" spans="1:50" ht="17.25" hidden="1" customHeight="1">
      <c r="C30" s="209">
        <f t="shared" si="6"/>
        <v>33</v>
      </c>
      <c r="D30" s="209" t="str">
        <f t="shared" si="5"/>
        <v>Blitzer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Blitzer</v>
      </c>
      <c r="AV30" s="179"/>
    </row>
    <row r="31" spans="1:50" ht="17.25" hidden="1" customHeight="1">
      <c r="C31" s="209">
        <f t="shared" si="6"/>
        <v>34</v>
      </c>
      <c r="D31" s="209" t="str">
        <f t="shared" si="5"/>
        <v>Troll Slayer</v>
      </c>
      <c r="E31" s="210">
        <f t="array" ref="E31">IFERROR(IF(INDEX('Database-Hidden'!$A$2:$B$120,$C31,1)=$I$22,INDEX('Database-Hidden'!$A$2:$D$120,$C31,4),""),"")</f>
        <v>2</v>
      </c>
      <c r="I31" s="209" t="str">
        <f t="array" ref="I31">IFERROR(IF(INDEX('Database-Hidden'!$A$2:$B$120,$C31,1)=$I$22,INDEX('Database-Hidden'!$A$2:$B$120,$C31,2),""),"")</f>
        <v>Troll Slayer</v>
      </c>
      <c r="AV31" s="179"/>
    </row>
    <row r="32" spans="1:50" ht="17.25" hidden="1" customHeight="1">
      <c r="C32" s="209">
        <f t="shared" si="6"/>
        <v>35</v>
      </c>
      <c r="D32" s="209" t="str">
        <f t="shared" si="5"/>
        <v>Deathroller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Deathroller</v>
      </c>
      <c r="AV32" s="179"/>
    </row>
    <row r="33" spans="3:48" ht="17.25" hidden="1" customHeight="1">
      <c r="C33" s="209">
        <f t="shared" si="6"/>
        <v>36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  <c r="AV33" s="179"/>
    </row>
    <row r="34" spans="3:48" ht="17.25" hidden="1" customHeight="1">
      <c r="C34" s="209">
        <f t="shared" si="6"/>
        <v>37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  <c r="AV34" s="179"/>
    </row>
    <row r="35" spans="3:48" ht="17.25" hidden="1" customHeight="1">
      <c r="C35" s="209">
        <f t="shared" si="6"/>
        <v>38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  <c r="AV35" s="179"/>
    </row>
    <row r="36" spans="3:48" ht="17.25" hidden="1" customHeight="1">
      <c r="C36" s="209">
        <f t="shared" si="6"/>
        <v>39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  <c r="AV36" s="179"/>
    </row>
    <row r="37" spans="3:48" ht="17.25" hidden="1" customHeight="1">
      <c r="C37" s="209">
        <f t="shared" si="6"/>
        <v>40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  <c r="AV37" s="179"/>
    </row>
    <row r="38" spans="3:48" ht="17.25" hidden="1" customHeight="1">
      <c r="C38" s="211">
        <f>MATCH(I22,'Star Players-Hidden'!D2:AD2,0)</f>
        <v>7</v>
      </c>
      <c r="D38" s="211" t="str">
        <f t="shared" ref="D38:D49" ca="1" si="7">I38&amp;IF(COUNTIF(D$4:D$19,I38)&gt;1," (Too Many)","")</f>
        <v>Star: Barik Farblast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Barik Farblast")</f>
        <v>Star: Barik Farblast</v>
      </c>
      <c r="AV38" s="179"/>
    </row>
    <row r="39" spans="3:48" ht="17.25" hidden="1" customHeight="1">
      <c r="C39" s="209"/>
      <c r="D39" s="209" t="str">
        <f t="shared" si="7"/>
        <v>Star: Boomer Eziasson</v>
      </c>
      <c r="I39" s="213" t="s">
        <v>305</v>
      </c>
      <c r="AV39" s="179"/>
    </row>
    <row r="40" spans="3:48" ht="17.25" hidden="1" customHeight="1">
      <c r="C40" s="209"/>
      <c r="D40" s="209" t="str">
        <f t="shared" si="7"/>
        <v>Star: Flint Churnblade</v>
      </c>
      <c r="I40" s="209" t="s">
        <v>306</v>
      </c>
      <c r="AV40" s="179"/>
    </row>
    <row r="41" spans="3:48" ht="17.25" hidden="1" customHeight="1">
      <c r="C41" s="209"/>
      <c r="D41" s="209" t="str">
        <f t="shared" si="7"/>
        <v>Star: Grim Ironjaw</v>
      </c>
      <c r="I41" s="209" t="s">
        <v>307</v>
      </c>
      <c r="AV41" s="179"/>
    </row>
    <row r="42" spans="3:48" ht="17.25" hidden="1" customHeight="1">
      <c r="C42" s="209"/>
      <c r="D42" s="209" t="str">
        <f t="shared" si="7"/>
        <v>Star: Morg'n'Thorg</v>
      </c>
      <c r="I42" s="209" t="s">
        <v>144</v>
      </c>
      <c r="AV42" s="179"/>
    </row>
    <row r="43" spans="3:48" ht="17.25" hidden="1" customHeight="1">
      <c r="C43" s="209"/>
      <c r="D43" s="209" t="str">
        <f t="shared" si="7"/>
        <v/>
      </c>
      <c r="I43" s="209"/>
      <c r="AV43" s="179"/>
    </row>
    <row r="44" spans="3:48" ht="17.25" hidden="1" customHeight="1">
      <c r="C44" s="209"/>
      <c r="D44" s="209" t="str">
        <f t="shared" si="7"/>
        <v/>
      </c>
      <c r="I44" s="209"/>
      <c r="AV44" s="179"/>
    </row>
    <row r="45" spans="3:48" ht="17.25" hidden="1" customHeight="1">
      <c r="C45" s="209"/>
      <c r="D45" s="209" t="str">
        <f t="shared" si="7"/>
        <v/>
      </c>
      <c r="I45" s="209"/>
      <c r="AV45" s="179"/>
    </row>
    <row r="46" spans="3:48" ht="17.25" hidden="1" customHeight="1">
      <c r="C46" s="209"/>
      <c r="D46" s="209" t="str">
        <f t="shared" si="7"/>
        <v/>
      </c>
      <c r="I46" s="209"/>
      <c r="AV46" s="179"/>
    </row>
    <row r="47" spans="3:48" ht="17.25" hidden="1" customHeight="1">
      <c r="C47" s="209"/>
      <c r="D47" s="209" t="str">
        <f t="shared" si="7"/>
        <v/>
      </c>
      <c r="I47" s="209"/>
      <c r="AV47" s="179"/>
    </row>
    <row r="48" spans="3:48" ht="17.25" hidden="1" customHeight="1">
      <c r="C48" s="209"/>
      <c r="D48" s="209" t="str">
        <f t="shared" si="7"/>
        <v/>
      </c>
      <c r="I48" s="209"/>
      <c r="AV48" s="179"/>
    </row>
    <row r="49" spans="3:48" ht="17.25" hidden="1" customHeight="1">
      <c r="C49" s="209"/>
      <c r="D49" s="209" t="str">
        <f t="shared" si="7"/>
        <v/>
      </c>
      <c r="I49" s="209"/>
      <c r="AV49" s="179"/>
    </row>
  </sheetData>
  <mergeCells count="27">
    <mergeCell ref="L21:S21"/>
    <mergeCell ref="AN3:AQ3"/>
    <mergeCell ref="AR3:AV3"/>
    <mergeCell ref="P2:S2"/>
    <mergeCell ref="V21:AA21"/>
    <mergeCell ref="AN21:AO21"/>
    <mergeCell ref="I23:K23"/>
    <mergeCell ref="L22:S22"/>
    <mergeCell ref="I22:K22"/>
    <mergeCell ref="L23:S23"/>
    <mergeCell ref="E22:H22"/>
    <mergeCell ref="E21:H21"/>
    <mergeCell ref="B20:D26"/>
    <mergeCell ref="E23:H23"/>
    <mergeCell ref="E24:H24"/>
    <mergeCell ref="E20:AA20"/>
    <mergeCell ref="I21:K21"/>
    <mergeCell ref="E26:AA26"/>
    <mergeCell ref="V22:AA22"/>
    <mergeCell ref="L24:S24"/>
    <mergeCell ref="I24:K24"/>
    <mergeCell ref="E25:H25"/>
    <mergeCell ref="L25:S25"/>
    <mergeCell ref="I25:K25"/>
    <mergeCell ref="V23:AA23"/>
    <mergeCell ref="V25:AA25"/>
    <mergeCell ref="V24:AA24"/>
  </mergeCells>
  <conditionalFormatting sqref="J4">
    <cfRule type="expression" dxfId="146" priority="1">
      <formula>K4&lt;&gt;SUM(AE4:AJ4)</formula>
    </cfRule>
  </conditionalFormatting>
  <conditionalFormatting sqref="K4:K19">
    <cfRule type="cellIs" dxfId="145" priority="2" operator="equal">
      <formula>0</formula>
    </cfRule>
  </conditionalFormatting>
  <conditionalFormatting sqref="AB4:AB19">
    <cfRule type="cellIs" dxfId="144" priority="3" operator="equal">
      <formula>0</formula>
    </cfRule>
  </conditionalFormatting>
  <conditionalFormatting sqref="E4:I19">
    <cfRule type="expression" dxfId="143" priority="4">
      <formula>AG4&gt;0</formula>
    </cfRule>
  </conditionalFormatting>
  <conditionalFormatting sqref="E4:I19">
    <cfRule type="expression" dxfId="142" priority="5">
      <formula>P4&gt;0</formula>
    </cfRule>
  </conditionalFormatting>
  <conditionalFormatting sqref="T4:T19 U4:U19 V4:W19 Z4:Z19 U27">
    <cfRule type="cellIs" dxfId="141" priority="6" stopIfTrue="1" operator="equal">
      <formula>0</formula>
    </cfRule>
  </conditionalFormatting>
  <conditionalFormatting sqref="K4:K19">
    <cfRule type="cellIs" dxfId="140" priority="7" stopIfTrue="1" operator="equal">
      <formula>"n/a"</formula>
    </cfRule>
  </conditionalFormatting>
  <conditionalFormatting sqref="P4:S19">
    <cfRule type="cellIs" dxfId="139" priority="8" stopIfTrue="1" operator="lessThanOrEqual">
      <formula>-1</formula>
    </cfRule>
  </conditionalFormatting>
  <conditionalFormatting sqref="V25:W25">
    <cfRule type="cellIs" dxfId="138" priority="9" stopIfTrue="1" operator="equal">
      <formula>-500</formula>
    </cfRule>
  </conditionalFormatting>
  <conditionalFormatting sqref="T25">
    <cfRule type="cellIs" dxfId="137" priority="10" stopIfTrue="1" operator="greaterThan">
      <formula>$V$25</formula>
    </cfRule>
  </conditionalFormatting>
  <conditionalFormatting sqref="AA4:AA19">
    <cfRule type="cellIs" dxfId="136" priority="11" stopIfTrue="1" operator="equal">
      <formula>"Star"</formula>
    </cfRule>
  </conditionalFormatting>
  <conditionalFormatting sqref="AA4:AA19">
    <cfRule type="cellIs" dxfId="135" priority="12" stopIfTrue="1" operator="equal">
      <formula>AB4</formula>
    </cfRule>
  </conditionalFormatting>
  <conditionalFormatting sqref="I4:I19">
    <cfRule type="cellIs" dxfId="134" priority="13" stopIfTrue="1" operator="equal">
      <formula>0</formula>
    </cfRule>
  </conditionalFormatting>
  <conditionalFormatting sqref="I4:I19">
    <cfRule type="cellIs" dxfId="133" priority="14" stopIfTrue="1" operator="equal">
      <formula>"Player type quantity surpassed"</formula>
    </cfRule>
  </conditionalFormatting>
  <conditionalFormatting sqref="J5">
    <cfRule type="expression" dxfId="132" priority="15">
      <formula>K5&lt;&gt;SUM(AE5:AJ5)</formula>
    </cfRule>
  </conditionalFormatting>
  <conditionalFormatting sqref="J6">
    <cfRule type="expression" dxfId="131" priority="16">
      <formula>K6&lt;&gt;SUM(AE6:AJ6)</formula>
    </cfRule>
  </conditionalFormatting>
  <conditionalFormatting sqref="J7">
    <cfRule type="expression" dxfId="130" priority="17">
      <formula>K7&lt;&gt;SUM(AE7:AJ7)</formula>
    </cfRule>
  </conditionalFormatting>
  <conditionalFormatting sqref="J8">
    <cfRule type="expression" dxfId="129" priority="18">
      <formula>K8&lt;&gt;SUM(AE8:AJ8)</formula>
    </cfRule>
  </conditionalFormatting>
  <conditionalFormatting sqref="J9">
    <cfRule type="expression" dxfId="128" priority="19">
      <formula>K9&lt;&gt;SUM(AE9:AJ9)</formula>
    </cfRule>
  </conditionalFormatting>
  <conditionalFormatting sqref="J10">
    <cfRule type="expression" dxfId="127" priority="20">
      <formula>K10&lt;&gt;SUM(AE10:AJ10)</formula>
    </cfRule>
  </conditionalFormatting>
  <conditionalFormatting sqref="J11">
    <cfRule type="expression" dxfId="126" priority="21">
      <formula>K11&lt;&gt;SUM(AE11:AJ11)</formula>
    </cfRule>
  </conditionalFormatting>
  <conditionalFormatting sqref="J12">
    <cfRule type="expression" dxfId="125" priority="22">
      <formula>K12&lt;&gt;SUM(AE12:AJ12)</formula>
    </cfRule>
  </conditionalFormatting>
  <conditionalFormatting sqref="J13">
    <cfRule type="expression" dxfId="124" priority="23">
      <formula>K13&lt;&gt;SUM(AE13:AJ13)</formula>
    </cfRule>
  </conditionalFormatting>
  <conditionalFormatting sqref="J14">
    <cfRule type="expression" dxfId="123" priority="24">
      <formula>K14&lt;&gt;SUM(AE14:AJ14)</formula>
    </cfRule>
  </conditionalFormatting>
  <conditionalFormatting sqref="J15">
    <cfRule type="expression" dxfId="122" priority="25">
      <formula>K15&lt;&gt;SUM(AE15:AJ15)</formula>
    </cfRule>
  </conditionalFormatting>
  <conditionalFormatting sqref="J16:J17">
    <cfRule type="expression" dxfId="121" priority="26">
      <formula>K16&lt;&gt;SUM(AE16:AJ16)</formula>
    </cfRule>
  </conditionalFormatting>
  <conditionalFormatting sqref="J17">
    <cfRule type="expression" dxfId="120" priority="27">
      <formula>K17&lt;&gt;SUM(AE17:AJ17)</formula>
    </cfRule>
  </conditionalFormatting>
  <conditionalFormatting sqref="J18">
    <cfRule type="expression" dxfId="119" priority="28">
      <formula>K18&lt;&gt;SUM(AE18:AJ18)</formula>
    </cfRule>
  </conditionalFormatting>
  <conditionalFormatting sqref="J19">
    <cfRule type="expression" dxfId="118" priority="29">
      <formula>K19&lt;&gt;SUM(AE19:AJ19)</formula>
    </cfRule>
  </conditionalFormatting>
  <dataValidations count="2">
    <dataValidation type="list" allowBlank="1" showErrorMessage="1" sqref="D4:D19">
      <formula1>'RP1'!$D$28:$D$49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389" t="s">
        <v>523</v>
      </c>
      <c r="D4" s="42" t="s">
        <v>108</v>
      </c>
      <c r="E4" s="43">
        <f>IFERROR(VLOOKUP($I$22&amp;$D4,'Database-Hidden'!$C$2:$J$120,4,FALSE)-P4+AG4,"")</f>
        <v>6</v>
      </c>
      <c r="F4" s="44">
        <f>IFERROR(VLOOKUP($I$22&amp;$D4,'Database-Hidden'!$C$2:$J$120,5,FALSE)-Q4+AH4,"")</f>
        <v>3</v>
      </c>
      <c r="G4" s="44">
        <f>IFERROR(VLOOKUP($I$22&amp;$D4,'Database-Hidden'!$C$2:$J$120,6,FALSE)-R4+AI4,"")</f>
        <v>3</v>
      </c>
      <c r="H4" s="45">
        <f>IFERROR(VLOOKUP($I$22&amp;$D4,'Database-Hidden'!$C$2:$J$120,7,FALSE)-S4+AJ4,"")</f>
        <v>8</v>
      </c>
      <c r="I4" s="46" t="str">
        <f>IFERROR(VLOOKUP($I$22&amp;$D4,'Database-Hidden'!$C$2:$J$120,8,FALSE),"")</f>
        <v>Pass, Sure Hands</v>
      </c>
      <c r="J4" s="47" t="s">
        <v>524</v>
      </c>
      <c r="K4" s="48">
        <f t="shared" ref="K4:K19" si="0">IF(AA4&gt;175,6,IF(AA4&gt;75,5,IF(AA4&gt;50,4,IF(AA4&gt;30,3,IF(AA4&gt;15,2,IF(AA4&gt;5,1,0))))))</f>
        <v>1</v>
      </c>
      <c r="L4" s="49"/>
      <c r="M4" s="49"/>
      <c r="N4" s="49">
        <v>1</v>
      </c>
      <c r="O4" s="50"/>
      <c r="P4" s="51"/>
      <c r="Q4" s="52"/>
      <c r="R4" s="52"/>
      <c r="S4" s="53"/>
      <c r="T4" s="54"/>
      <c r="U4" s="55">
        <v>10</v>
      </c>
      <c r="V4" s="55"/>
      <c r="W4" s="55"/>
      <c r="X4" s="52"/>
      <c r="Y4" s="52"/>
      <c r="Z4" s="56">
        <v>1</v>
      </c>
      <c r="AA4" s="57">
        <f t="shared" ref="AA4:AA19" si="1">2*T4+U4+3*V4+2*W4+5*Z4</f>
        <v>15</v>
      </c>
      <c r="AB4" s="58">
        <f t="shared" ref="AB4:AB19" si="2">IF(L4=1,0,AD4+(20000*O4)+(20000*AE4)+(30000*AF4)+(30000*AG4)+(50000*AH4)+(40000*AI4)+(50000*AJ4)+AK4)</f>
        <v>90000</v>
      </c>
      <c r="AC4" s="4"/>
      <c r="AD4" s="59">
        <f>IFERROR(VLOOKUP($I$22&amp;D4,'Database-Hidden'!$C$2:$E$120,3,FALSE),"")</f>
        <v>70000</v>
      </c>
      <c r="AE4" s="60">
        <v>1</v>
      </c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190000</v>
      </c>
      <c r="AP4" s="4"/>
      <c r="AQ4" s="4"/>
      <c r="AR4" s="66"/>
      <c r="AS4" s="67"/>
      <c r="AT4" s="67"/>
      <c r="AU4" s="64" t="s">
        <v>70</v>
      </c>
      <c r="AV4" s="68">
        <v>5</v>
      </c>
      <c r="AW4" s="69"/>
      <c r="AX4" s="69"/>
    </row>
    <row r="5" spans="1:50" ht="12.75">
      <c r="A5" s="2"/>
      <c r="B5" s="70">
        <v>2</v>
      </c>
      <c r="C5" s="438" t="s">
        <v>525</v>
      </c>
      <c r="D5" s="72" t="s">
        <v>113</v>
      </c>
      <c r="E5" s="73">
        <f>IFERROR(VLOOKUP($I$22&amp;$D5,'Database-Hidden'!$C$2:$J$120,4,FALSE)-P5+AG5,"")</f>
        <v>8</v>
      </c>
      <c r="F5" s="74">
        <f>IFERROR(VLOOKUP($I$22&amp;$D5,'Database-Hidden'!$C$2:$J$120,5,FALSE)-Q5+AH5,"")</f>
        <v>2</v>
      </c>
      <c r="G5" s="74">
        <f>IFERROR(VLOOKUP($I$22&amp;$D5,'Database-Hidden'!$C$2:$J$120,6,FALSE)-R5+AI5,"")</f>
        <v>3</v>
      </c>
      <c r="H5" s="75">
        <f>IFERROR(VLOOKUP($I$22&amp;$D5,'Database-Hidden'!$C$2:$J$120,7,FALSE)-S5+AJ5,"")</f>
        <v>7</v>
      </c>
      <c r="I5" s="76" t="str">
        <f>IFERROR(VLOOKUP($I$22&amp;$D5,'Database-Hidden'!$C$2:$J$120,8,FALSE),"")</f>
        <v>Dodge, Catch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60000</v>
      </c>
      <c r="AC5" s="4"/>
      <c r="AD5" s="90">
        <f>IFERROR(VLOOKUP($I$22&amp;D5,'Database-Hidden'!$C$2:$E$120,3,FALSE),"")</f>
        <v>60000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/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439" t="s">
        <v>526</v>
      </c>
      <c r="D6" s="72" t="s">
        <v>101</v>
      </c>
      <c r="E6" s="73">
        <f>IFERROR(VLOOKUP($I$22&amp;$D6,'Database-Hidden'!$C$2:$J$120,4,FALSE)-P6+AG6,"")</f>
        <v>7</v>
      </c>
      <c r="F6" s="74">
        <f>IFERROR(VLOOKUP($I$22&amp;$D6,'Database-Hidden'!$C$2:$J$120,5,FALSE)-Q6+AH6,"")</f>
        <v>3</v>
      </c>
      <c r="G6" s="74">
        <f>IFERROR(VLOOKUP($I$22&amp;$D6,'Database-Hidden'!$C$2:$J$120,6,FALSE)-R6+AI6,"")</f>
        <v>4</v>
      </c>
      <c r="H6" s="75">
        <f>IFERROR(VLOOKUP($I$22&amp;$D6,'Database-Hidden'!$C$2:$J$120,7,FALSE)-S6+AJ6,"")</f>
        <v>8</v>
      </c>
      <c r="I6" s="76" t="str">
        <f>IFERROR(VLOOKUP($I$22&amp;$D6,'Database-Hidden'!$C$2:$J$120,8,FALSE),"")</f>
        <v>Block</v>
      </c>
      <c r="J6" s="77" t="s">
        <v>527</v>
      </c>
      <c r="K6" s="78">
        <f t="shared" si="0"/>
        <v>2</v>
      </c>
      <c r="L6" s="79"/>
      <c r="M6" s="79"/>
      <c r="N6" s="80">
        <v>1</v>
      </c>
      <c r="O6" s="81"/>
      <c r="P6" s="82"/>
      <c r="Q6" s="83"/>
      <c r="R6" s="83"/>
      <c r="S6" s="84"/>
      <c r="T6" s="85"/>
      <c r="U6" s="87">
        <v>1</v>
      </c>
      <c r="V6" s="87">
        <v>4</v>
      </c>
      <c r="W6" s="87">
        <v>2</v>
      </c>
      <c r="X6" s="83"/>
      <c r="Y6" s="303"/>
      <c r="Z6" s="88">
        <v>1</v>
      </c>
      <c r="AA6" s="89">
        <f t="shared" si="1"/>
        <v>22</v>
      </c>
      <c r="AB6" s="58">
        <f t="shared" si="2"/>
        <v>150000</v>
      </c>
      <c r="AC6" s="4"/>
      <c r="AD6" s="90">
        <f>IFERROR(VLOOKUP($I$22&amp;D6,'Database-Hidden'!$C$2:$E$120,3,FALSE),"")</f>
        <v>90000</v>
      </c>
      <c r="AE6" s="91">
        <v>1</v>
      </c>
      <c r="AF6" s="103"/>
      <c r="AG6" s="103"/>
      <c r="AH6" s="103"/>
      <c r="AI6" s="92">
        <v>1</v>
      </c>
      <c r="AJ6" s="103"/>
      <c r="AK6" s="62"/>
      <c r="AL6" s="63" t="str">
        <f>IF(LEFT($D6,6)&lt;&gt;"Star: ","",VLOOKUP(RIGHT($D6,LEN($D6)-6),'Star Players-Hidden'!$A$3:$AK$87,37,FALSE))</f>
        <v/>
      </c>
      <c r="AM6" s="4"/>
      <c r="AN6" s="104" t="s">
        <v>83</v>
      </c>
      <c r="AO6" s="105"/>
      <c r="AP6" s="106"/>
      <c r="AQ6" s="107"/>
      <c r="AR6" s="108"/>
      <c r="AS6" s="110"/>
      <c r="AT6" s="111"/>
      <c r="AU6" s="113"/>
      <c r="AV6" s="136"/>
      <c r="AW6" s="115"/>
      <c r="AX6" s="115"/>
    </row>
    <row r="7" spans="1:50" ht="12.75">
      <c r="A7" s="2"/>
      <c r="B7" s="70">
        <v>4</v>
      </c>
      <c r="C7" s="438" t="s">
        <v>528</v>
      </c>
      <c r="D7" s="72" t="s">
        <v>101</v>
      </c>
      <c r="E7" s="73">
        <f>IFERROR(VLOOKUP($I$22&amp;$D7,'Database-Hidden'!$C$2:$J$120,4,FALSE)-P7+AG7,"")</f>
        <v>7</v>
      </c>
      <c r="F7" s="74">
        <f>IFERROR(VLOOKUP($I$22&amp;$D7,'Database-Hidden'!$C$2:$J$120,5,FALSE)-Q7+AH7,"")</f>
        <v>3</v>
      </c>
      <c r="G7" s="74">
        <f>IFERROR(VLOOKUP($I$22&amp;$D7,'Database-Hidden'!$C$2:$J$120,6,FALSE)-R7+AI7,"")</f>
        <v>3</v>
      </c>
      <c r="H7" s="75">
        <f>IFERROR(VLOOKUP($I$22&amp;$D7,'Database-Hidden'!$C$2:$J$120,7,FALSE)-S7+AJ7,"")</f>
        <v>8</v>
      </c>
      <c r="I7" s="76" t="str">
        <f>IFERROR(VLOOKUP($I$22&amp;$D7,'Database-Hidden'!$C$2:$J$120,8,FALSE),"")</f>
        <v>Block</v>
      </c>
      <c r="J7" s="77" t="s">
        <v>529</v>
      </c>
      <c r="K7" s="78">
        <f t="shared" si="0"/>
        <v>2</v>
      </c>
      <c r="L7" s="79"/>
      <c r="M7" s="79"/>
      <c r="N7" s="80">
        <v>1</v>
      </c>
      <c r="O7" s="81"/>
      <c r="P7" s="82"/>
      <c r="Q7" s="83"/>
      <c r="R7" s="83"/>
      <c r="S7" s="84"/>
      <c r="T7" s="85"/>
      <c r="U7" s="86"/>
      <c r="V7" s="87">
        <v>3</v>
      </c>
      <c r="W7" s="87">
        <v>3</v>
      </c>
      <c r="X7" s="83"/>
      <c r="Y7" s="303"/>
      <c r="Z7" s="88">
        <v>1</v>
      </c>
      <c r="AA7" s="89">
        <f t="shared" si="1"/>
        <v>20</v>
      </c>
      <c r="AB7" s="58">
        <f t="shared" si="2"/>
        <v>130000</v>
      </c>
      <c r="AC7" s="4"/>
      <c r="AD7" s="116">
        <f>IFERROR(VLOOKUP($I$22&amp;D7,'Database-Hidden'!$C$2:$E$120,3,FALSE),"")</f>
        <v>90000</v>
      </c>
      <c r="AE7" s="91">
        <v>2</v>
      </c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4"/>
      <c r="AN7" s="117" t="s">
        <v>86</v>
      </c>
      <c r="AO7" s="118"/>
      <c r="AP7" s="120"/>
      <c r="AQ7" s="122"/>
      <c r="AR7" s="123"/>
      <c r="AS7" s="125"/>
      <c r="AT7" s="127"/>
      <c r="AU7" s="129"/>
      <c r="AV7" s="137"/>
      <c r="AW7" s="132"/>
      <c r="AX7" s="132"/>
    </row>
    <row r="8" spans="1:50" ht="12.75">
      <c r="A8" s="2"/>
      <c r="B8" s="70">
        <v>5</v>
      </c>
      <c r="C8" s="439" t="s">
        <v>530</v>
      </c>
      <c r="D8" s="72" t="s">
        <v>101</v>
      </c>
      <c r="E8" s="73">
        <f>IFERROR(VLOOKUP($I$22&amp;$D8,'Database-Hidden'!$C$2:$J$120,4,FALSE)-P8+AG8,"")</f>
        <v>7</v>
      </c>
      <c r="F8" s="74">
        <f>IFERROR(VLOOKUP($I$22&amp;$D8,'Database-Hidden'!$C$2:$J$120,5,FALSE)-Q8+AH8,"")</f>
        <v>3</v>
      </c>
      <c r="G8" s="74">
        <f>IFERROR(VLOOKUP($I$22&amp;$D8,'Database-Hidden'!$C$2:$J$120,6,FALSE)-R8+AI8,"")</f>
        <v>3</v>
      </c>
      <c r="H8" s="75">
        <f>IFERROR(VLOOKUP($I$22&amp;$D8,'Database-Hidden'!$C$2:$J$120,7,FALSE)-S8+AJ8,"")</f>
        <v>8</v>
      </c>
      <c r="I8" s="76" t="str">
        <f>IFERROR(VLOOKUP($I$22&amp;$D8,'Database-Hidden'!$C$2:$J$120,8,FALSE),"")</f>
        <v>Block</v>
      </c>
      <c r="J8" s="102"/>
      <c r="K8" s="78">
        <f t="shared" si="0"/>
        <v>0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6"/>
      <c r="X8" s="83"/>
      <c r="Y8" s="83"/>
      <c r="Z8" s="88"/>
      <c r="AA8" s="89">
        <f t="shared" si="1"/>
        <v>0</v>
      </c>
      <c r="AB8" s="58">
        <f t="shared" si="2"/>
        <v>90000</v>
      </c>
      <c r="AC8" s="4"/>
      <c r="AD8" s="116">
        <f>IFERROR(VLOOKUP($I$22&amp;D8,'Database-Hidden'!$C$2:$E$120,3,FALSE),"")</f>
        <v>90000</v>
      </c>
      <c r="AE8" s="91"/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7"/>
      <c r="AW8" s="132"/>
      <c r="AX8" s="132"/>
    </row>
    <row r="9" spans="1:50" ht="12.75">
      <c r="A9" s="2"/>
      <c r="B9" s="70">
        <v>6</v>
      </c>
      <c r="C9" s="439" t="s">
        <v>531</v>
      </c>
      <c r="D9" s="72" t="s">
        <v>101</v>
      </c>
      <c r="E9" s="73">
        <f>IFERROR(VLOOKUP($I$22&amp;$D9,'Database-Hidden'!$C$2:$J$120,4,FALSE)-P9+AG9,"")</f>
        <v>7</v>
      </c>
      <c r="F9" s="74">
        <f>IFERROR(VLOOKUP($I$22&amp;$D9,'Database-Hidden'!$C$2:$J$120,5,FALSE)-Q9+AH9,"")</f>
        <v>3</v>
      </c>
      <c r="G9" s="74">
        <f>IFERROR(VLOOKUP($I$22&amp;$D9,'Database-Hidden'!$C$2:$J$120,6,FALSE)-R9+AI9,"")</f>
        <v>3</v>
      </c>
      <c r="H9" s="75">
        <f>IFERROR(VLOOKUP($I$22&amp;$D9,'Database-Hidden'!$C$2:$J$120,7,FALSE)-S9+AJ9,"")</f>
        <v>8</v>
      </c>
      <c r="I9" s="76" t="str">
        <f>IFERROR(VLOOKUP($I$22&amp;$D9,'Database-Hidden'!$C$2:$J$120,8,FALSE),"")</f>
        <v>Block</v>
      </c>
      <c r="J9" s="77" t="s">
        <v>82</v>
      </c>
      <c r="K9" s="78">
        <f t="shared" si="0"/>
        <v>1</v>
      </c>
      <c r="L9" s="79"/>
      <c r="M9" s="79"/>
      <c r="N9" s="80">
        <v>1</v>
      </c>
      <c r="O9" s="81"/>
      <c r="P9" s="82"/>
      <c r="Q9" s="83"/>
      <c r="R9" s="83"/>
      <c r="S9" s="84"/>
      <c r="T9" s="85"/>
      <c r="U9" s="86"/>
      <c r="V9" s="87">
        <v>1</v>
      </c>
      <c r="W9" s="87">
        <v>3</v>
      </c>
      <c r="X9" s="83"/>
      <c r="Y9" s="303"/>
      <c r="Z9" s="88">
        <v>1</v>
      </c>
      <c r="AA9" s="89">
        <f t="shared" si="1"/>
        <v>14</v>
      </c>
      <c r="AB9" s="58">
        <f t="shared" si="2"/>
        <v>110000</v>
      </c>
      <c r="AC9" s="4"/>
      <c r="AD9" s="116">
        <f>IFERROR(VLOOKUP($I$22&amp;D9,'Database-Hidden'!$C$2:$E$120,3,FALSE),"")</f>
        <v>90000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7"/>
      <c r="AW9" s="132"/>
      <c r="AX9" s="132"/>
    </row>
    <row r="10" spans="1:50" ht="22.5">
      <c r="A10" s="2"/>
      <c r="B10" s="70">
        <v>7</v>
      </c>
      <c r="C10" s="438" t="s">
        <v>532</v>
      </c>
      <c r="D10" s="72" t="s">
        <v>361</v>
      </c>
      <c r="E10" s="73">
        <f>IFERROR(VLOOKUP($I$22&amp;$D10,'Database-Hidden'!$C$2:$J$120,4,FALSE)-P10+AG10,"")</f>
        <v>5</v>
      </c>
      <c r="F10" s="74">
        <f>IFERROR(VLOOKUP($I$22&amp;$D10,'Database-Hidden'!$C$2:$J$120,5,FALSE)-Q10+AH10,"")</f>
        <v>5</v>
      </c>
      <c r="G10" s="74">
        <f>IFERROR(VLOOKUP($I$22&amp;$D10,'Database-Hidden'!$C$2:$J$120,6,FALSE)-R10+AI10,"")</f>
        <v>2</v>
      </c>
      <c r="H10" s="75">
        <f>IFERROR(VLOOKUP($I$22&amp;$D10,'Database-Hidden'!$C$2:$J$120,7,FALSE)-S10+AJ10,"")</f>
        <v>9</v>
      </c>
      <c r="I10" s="76" t="str">
        <f>IFERROR(VLOOKUP($I$22&amp;$D10,'Database-Hidden'!$C$2:$J$120,8,FALSE),"")</f>
        <v>Loner, Bone-Head, Mighty Blow, Thick Skull, Throw Team-mate</v>
      </c>
      <c r="J10" s="77" t="s">
        <v>533</v>
      </c>
      <c r="K10" s="78">
        <f t="shared" si="0"/>
        <v>2</v>
      </c>
      <c r="L10" s="79"/>
      <c r="M10" s="79"/>
      <c r="N10" s="80">
        <v>1</v>
      </c>
      <c r="O10" s="81"/>
      <c r="P10" s="82"/>
      <c r="Q10" s="83"/>
      <c r="R10" s="83"/>
      <c r="S10" s="84"/>
      <c r="T10" s="85"/>
      <c r="U10" s="87"/>
      <c r="V10" s="87"/>
      <c r="W10" s="87">
        <v>5</v>
      </c>
      <c r="X10" s="83"/>
      <c r="Y10" s="303"/>
      <c r="Z10" s="88">
        <v>2</v>
      </c>
      <c r="AA10" s="89">
        <f t="shared" si="1"/>
        <v>20</v>
      </c>
      <c r="AB10" s="58">
        <f t="shared" si="2"/>
        <v>190000</v>
      </c>
      <c r="AC10" s="4"/>
      <c r="AD10" s="116">
        <f>IFERROR(VLOOKUP($I$22&amp;D10,'Database-Hidden'!$C$2:$E$120,3,FALSE),"")</f>
        <v>140000</v>
      </c>
      <c r="AE10" s="91">
        <v>1</v>
      </c>
      <c r="AF10" s="92">
        <v>1</v>
      </c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7"/>
      <c r="AW10" s="132"/>
      <c r="AX10" s="132"/>
    </row>
    <row r="11" spans="1:50" ht="12.75">
      <c r="A11" s="2"/>
      <c r="B11" s="70">
        <v>8</v>
      </c>
      <c r="C11" s="439" t="s">
        <v>534</v>
      </c>
      <c r="D11" s="72" t="s">
        <v>68</v>
      </c>
      <c r="E11" s="73">
        <f>IFERROR(VLOOKUP($I$22&amp;$D11,'Database-Hidden'!$C$2:$J$120,4,FALSE)-P11+AG11,"")</f>
        <v>6</v>
      </c>
      <c r="F11" s="74">
        <f>IFERROR(VLOOKUP($I$22&amp;$D11,'Database-Hidden'!$C$2:$J$120,5,FALSE)-Q11+AH11,"")</f>
        <v>3</v>
      </c>
      <c r="G11" s="74">
        <f>IFERROR(VLOOKUP($I$22&amp;$D11,'Database-Hidden'!$C$2:$J$120,6,FALSE)-R11+AI11,"")</f>
        <v>3</v>
      </c>
      <c r="H11" s="75">
        <f>IFERROR(VLOOKUP($I$22&amp;$D11,'Database-Hidden'!$C$2:$J$120,7,FALSE)-S11+AJ11,"")</f>
        <v>8</v>
      </c>
      <c r="I11" s="76">
        <f>IFERROR(VLOOKUP($I$22&amp;$D11,'Database-Hidden'!$C$2:$J$120,8,FALSE),"")</f>
        <v>0</v>
      </c>
      <c r="J11" s="77" t="s">
        <v>155</v>
      </c>
      <c r="K11" s="78">
        <f t="shared" si="0"/>
        <v>1</v>
      </c>
      <c r="L11" s="79"/>
      <c r="M11" s="79"/>
      <c r="N11" s="80">
        <v>1</v>
      </c>
      <c r="O11" s="81"/>
      <c r="P11" s="82"/>
      <c r="Q11" s="83"/>
      <c r="R11" s="83"/>
      <c r="S11" s="84"/>
      <c r="T11" s="85"/>
      <c r="U11" s="86"/>
      <c r="V11" s="86"/>
      <c r="W11" s="87">
        <v>3</v>
      </c>
      <c r="X11" s="83"/>
      <c r="Y11" s="303"/>
      <c r="Z11" s="88">
        <v>1</v>
      </c>
      <c r="AA11" s="89">
        <f t="shared" si="1"/>
        <v>11</v>
      </c>
      <c r="AB11" s="58">
        <f t="shared" si="2"/>
        <v>70000</v>
      </c>
      <c r="AC11" s="4"/>
      <c r="AD11" s="116">
        <f>IFERROR(VLOOKUP($I$22&amp;D11,'Database-Hidden'!$C$2:$E$120,3,FALSE),"")</f>
        <v>50000</v>
      </c>
      <c r="AE11" s="91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7"/>
      <c r="AW11" s="132"/>
      <c r="AX11" s="132"/>
    </row>
    <row r="12" spans="1:50" ht="12.75">
      <c r="A12" s="2"/>
      <c r="B12" s="70">
        <v>9</v>
      </c>
      <c r="C12" s="438" t="s">
        <v>535</v>
      </c>
      <c r="D12" s="72" t="s">
        <v>68</v>
      </c>
      <c r="E12" s="73">
        <f>IFERROR(VLOOKUP($I$22&amp;$D12,'Database-Hidden'!$C$2:$J$120,4,FALSE)-P12+AG12,"")</f>
        <v>6</v>
      </c>
      <c r="F12" s="74">
        <f>IFERROR(VLOOKUP($I$22&amp;$D12,'Database-Hidden'!$C$2:$J$120,5,FALSE)-Q12+AH12,"")</f>
        <v>3</v>
      </c>
      <c r="G12" s="74">
        <f>IFERROR(VLOOKUP($I$22&amp;$D12,'Database-Hidden'!$C$2:$J$120,6,FALSE)-R12+AI12,"")</f>
        <v>3</v>
      </c>
      <c r="H12" s="75">
        <f>IFERROR(VLOOKUP($I$22&amp;$D12,'Database-Hidden'!$C$2:$J$120,7,FALSE)-S12+AJ12,"")</f>
        <v>8</v>
      </c>
      <c r="I12" s="76">
        <f>IFERROR(VLOOKUP($I$22&amp;$D12,'Database-Hidden'!$C$2:$J$120,8,FALSE),"")</f>
        <v>0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/>
      <c r="AA12" s="89">
        <f t="shared" si="1"/>
        <v>0</v>
      </c>
      <c r="AB12" s="58">
        <f t="shared" si="2"/>
        <v>50000</v>
      </c>
      <c r="AC12" s="4"/>
      <c r="AD12" s="116">
        <f>IFERROR(VLOOKUP($I$22&amp;D12,'Database-Hidden'!$C$2:$E$120,3,FALSE),"")</f>
        <v>50000</v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7"/>
      <c r="AW12" s="132"/>
      <c r="AX12" s="132"/>
    </row>
    <row r="13" spans="1:50" ht="12.75">
      <c r="A13" s="2"/>
      <c r="B13" s="70">
        <v>10</v>
      </c>
      <c r="C13" s="438" t="s">
        <v>536</v>
      </c>
      <c r="D13" s="72" t="s">
        <v>68</v>
      </c>
      <c r="E13" s="73">
        <f>IFERROR(VLOOKUP($I$22&amp;$D13,'Database-Hidden'!$C$2:$J$120,4,FALSE)-P13+AG13,"")</f>
        <v>6</v>
      </c>
      <c r="F13" s="74">
        <f>IFERROR(VLOOKUP($I$22&amp;$D13,'Database-Hidden'!$C$2:$J$120,5,FALSE)-Q13+AH13,"")</f>
        <v>3</v>
      </c>
      <c r="G13" s="74">
        <f>IFERROR(VLOOKUP($I$22&amp;$D13,'Database-Hidden'!$C$2:$J$120,6,FALSE)-R13+AI13,"")</f>
        <v>3</v>
      </c>
      <c r="H13" s="75">
        <f>IFERROR(VLOOKUP($I$22&amp;$D13,'Database-Hidden'!$C$2:$J$120,7,FALSE)-S13+AJ13,"")</f>
        <v>8</v>
      </c>
      <c r="I13" s="76">
        <f>IFERROR(VLOOKUP($I$22&amp;$D13,'Database-Hidden'!$C$2:$J$120,8,FALSE),"")</f>
        <v>0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50000</v>
      </c>
      <c r="AC13" s="4"/>
      <c r="AD13" s="116">
        <f>IFERROR(VLOOKUP($I$22&amp;D13,'Database-Hidden'!$C$2:$E$120,3,FALSE),"")</f>
        <v>50000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7"/>
      <c r="AW13" s="132"/>
      <c r="AX13" s="132"/>
    </row>
    <row r="14" spans="1:50" ht="12.75">
      <c r="A14" s="2"/>
      <c r="B14" s="70">
        <v>11</v>
      </c>
      <c r="C14" s="438" t="s">
        <v>537</v>
      </c>
      <c r="D14" s="72" t="s">
        <v>68</v>
      </c>
      <c r="E14" s="73">
        <f>IFERROR(VLOOKUP($I$22&amp;$D14,'Database-Hidden'!$C$2:$J$120,4,FALSE)-P14+AG14,"")</f>
        <v>6</v>
      </c>
      <c r="F14" s="74">
        <f>IFERROR(VLOOKUP($I$22&amp;$D14,'Database-Hidden'!$C$2:$J$120,5,FALSE)-Q14+AH14,"")</f>
        <v>3</v>
      </c>
      <c r="G14" s="74">
        <f>IFERROR(VLOOKUP($I$22&amp;$D14,'Database-Hidden'!$C$2:$J$120,6,FALSE)-R14+AI14,"")</f>
        <v>3</v>
      </c>
      <c r="H14" s="75">
        <f>IFERROR(VLOOKUP($I$22&amp;$D14,'Database-Hidden'!$C$2:$J$120,7,FALSE)-S14+AJ14,"")</f>
        <v>8</v>
      </c>
      <c r="I14" s="76">
        <f>IFERROR(VLOOKUP($I$22&amp;$D14,'Database-Hidden'!$C$2:$J$120,8,FALSE),"")</f>
        <v>0</v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>
        <f t="shared" si="2"/>
        <v>50000</v>
      </c>
      <c r="AC14" s="4"/>
      <c r="AD14" s="116">
        <f>IFERROR(VLOOKUP($I$22&amp;D14,'Database-Hidden'!$C$2:$E$120,3,FALSE),"")</f>
        <v>50000</v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7"/>
      <c r="AW14" s="132"/>
      <c r="AX14" s="132"/>
    </row>
    <row r="15" spans="1:50" ht="12.75">
      <c r="A15" s="2"/>
      <c r="B15" s="70">
        <v>12</v>
      </c>
      <c r="C15" s="438" t="s">
        <v>539</v>
      </c>
      <c r="D15" s="72" t="s">
        <v>68</v>
      </c>
      <c r="E15" s="73">
        <f>IFERROR(VLOOKUP($I$22&amp;$D15,'Database-Hidden'!$C$2:$J$120,4,FALSE)-P15+AG15,"")</f>
        <v>6</v>
      </c>
      <c r="F15" s="74">
        <f>IFERROR(VLOOKUP($I$22&amp;$D15,'Database-Hidden'!$C$2:$J$120,5,FALSE)-Q15+AH15,"")</f>
        <v>3</v>
      </c>
      <c r="G15" s="74">
        <f>IFERROR(VLOOKUP($I$22&amp;$D15,'Database-Hidden'!$C$2:$J$120,6,FALSE)-R15+AI15,"")</f>
        <v>3</v>
      </c>
      <c r="H15" s="75">
        <f>IFERROR(VLOOKUP($I$22&amp;$D15,'Database-Hidden'!$C$2:$J$120,7,FALSE)-S15+AJ15,"")</f>
        <v>8</v>
      </c>
      <c r="I15" s="76">
        <f>IFERROR(VLOOKUP($I$22&amp;$D15,'Database-Hidden'!$C$2:$J$120,8,FALSE),"")</f>
        <v>0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>
        <f t="shared" si="2"/>
        <v>50000</v>
      </c>
      <c r="AC15" s="4"/>
      <c r="AD15" s="116">
        <f>IFERROR(VLOOKUP($I$22&amp;D15,'Database-Hidden'!$C$2:$E$120,3,FALSE),"")</f>
        <v>50000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7"/>
      <c r="AW15" s="132"/>
      <c r="AX15" s="132"/>
    </row>
    <row r="16" spans="1:50" ht="12.75">
      <c r="A16" s="2"/>
      <c r="B16" s="70">
        <v>13</v>
      </c>
      <c r="C16" s="438"/>
      <c r="D16" s="72"/>
      <c r="E16" s="73" t="str">
        <f>IFERROR(VLOOKUP($I$22&amp;$D16,'Database-Hidden'!$C$2:$J$120,4,FALSE)-P16+AG16,"")</f>
        <v/>
      </c>
      <c r="F16" s="74" t="str">
        <f>IFERROR(VLOOKUP($I$22&amp;$D16,'Database-Hidden'!$C$2:$J$120,5,FALSE)-Q16+AH16,"")</f>
        <v/>
      </c>
      <c r="G16" s="74" t="str">
        <f>IFERROR(VLOOKUP($I$22&amp;$D16,'Database-Hidden'!$C$2:$J$120,6,FALSE)-R16+AI16,"")</f>
        <v/>
      </c>
      <c r="H16" s="75" t="str">
        <f>IFERROR(VLOOKUP($I$22&amp;$D16,'Database-Hidden'!$C$2:$J$120,7,FALSE)-S16+AJ16,"")</f>
        <v/>
      </c>
      <c r="I16" s="76" t="str">
        <f>IFERROR(VLOOKUP($I$22&amp;$D16,'Database-Hidden'!$C$2:$J$120,8,FALSE),"")</f>
        <v/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/>
      <c r="AC16" s="4"/>
      <c r="AD16" s="116" t="str">
        <f>IFERROR(VLOOKUP($I$22&amp;D16,'Database-Hidden'!$C$2:$E$120,3,FALSE),"")</f>
        <v/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7"/>
      <c r="AW16" s="132"/>
      <c r="AX16" s="132"/>
    </row>
    <row r="17" spans="1:50" ht="12.75">
      <c r="A17" s="2"/>
      <c r="B17" s="70">
        <v>14</v>
      </c>
      <c r="C17" s="438"/>
      <c r="D17" s="72"/>
      <c r="E17" s="73" t="str">
        <f>IFERROR(VLOOKUP($I$22&amp;$D17,'Database-Hidden'!$C$2:$J$120,4,FALSE)-P17+AG17,"")</f>
        <v/>
      </c>
      <c r="F17" s="74" t="str">
        <f>IFERROR(VLOOKUP($I$22&amp;$D17,'Database-Hidden'!$C$2:$J$120,5,FALSE)-Q17+AH17,"")</f>
        <v/>
      </c>
      <c r="G17" s="74" t="str">
        <f>IFERROR(VLOOKUP($I$22&amp;$D17,'Database-Hidden'!$C$2:$J$120,6,FALSE)-R17+AI17,"")</f>
        <v/>
      </c>
      <c r="H17" s="75" t="str">
        <f>IFERROR(VLOOKUP($I$22&amp;$D17,'Database-Hidden'!$C$2:$J$120,7,FALSE)-S17+AJ17,"")</f>
        <v/>
      </c>
      <c r="I17" s="76" t="str">
        <f>IFERROR(VLOOKUP($I$22&amp;$D17,'Database-Hidden'!$C$2:$J$120,8,FALSE),"")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IFERROR(VLOOKUP($I$22&amp;D17,'Database-Hidden'!$C$2:$E$120,3,FALSE),"")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58"/>
      <c r="AW17" s="132"/>
      <c r="AX17" s="132"/>
    </row>
    <row r="18" spans="1:50" ht="12.75">
      <c r="A18" s="2"/>
      <c r="B18" s="70">
        <v>15</v>
      </c>
      <c r="C18" s="438"/>
      <c r="D18" s="72"/>
      <c r="E18" s="73" t="str">
        <f>IFERROR(VLOOKUP($I$22&amp;$D18,'Database-Hidden'!$C$2:$J$120,4,FALSE)-P18+AG18,"")</f>
        <v/>
      </c>
      <c r="F18" s="74" t="str">
        <f>IFERROR(VLOOKUP($I$22&amp;$D18,'Database-Hidden'!$C$2:$J$120,5,FALSE)-Q18+AH18,"")</f>
        <v/>
      </c>
      <c r="G18" s="74" t="str">
        <f>IFERROR(VLOOKUP($I$22&amp;$D18,'Database-Hidden'!$C$2:$J$120,6,FALSE)-R18+AI18,"")</f>
        <v/>
      </c>
      <c r="H18" s="75" t="str">
        <f>IFERROR(VLOOKUP($I$22&amp;$D18,'Database-Hidden'!$C$2:$J$120,7,FALSE)-S18+AJ18,"")</f>
        <v/>
      </c>
      <c r="I18" s="76" t="str">
        <f>IFERROR(VLOOKUP($I$22&amp;$D18,'Database-Hidden'!$C$2:$J$120,8,FALSE),"")</f>
        <v/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/>
      <c r="AC18" s="4"/>
      <c r="AD18" s="116" t="str">
        <f>IFERROR(VLOOKUP($I$22&amp;D18,'Database-Hidden'!$C$2:$E$120,3,FALSE),"")</f>
        <v/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190000</v>
      </c>
      <c r="AP18" s="4"/>
      <c r="AQ18" s="4"/>
      <c r="AR18" s="67"/>
      <c r="AS18" s="148" t="s">
        <v>42</v>
      </c>
      <c r="AT18" s="150">
        <f t="shared" ref="AT18:AU18" si="3">SUM(AT6:AT17)</f>
        <v>0</v>
      </c>
      <c r="AU18" s="151">
        <f t="shared" si="3"/>
        <v>0</v>
      </c>
      <c r="AV18" s="152">
        <f>AV4+SUM(AV6:AV17)</f>
        <v>5</v>
      </c>
      <c r="AW18" s="5"/>
      <c r="AX18" s="5"/>
    </row>
    <row r="19" spans="1:50" ht="12.75">
      <c r="A19" s="2"/>
      <c r="B19" s="153">
        <v>16</v>
      </c>
      <c r="C19" s="442" t="s">
        <v>545</v>
      </c>
      <c r="D19" s="155" t="s">
        <v>108</v>
      </c>
      <c r="E19" s="156">
        <f>IFERROR(VLOOKUP($I$22&amp;$D19,'Database-Hidden'!$C$2:$J$120,4,FALSE)-P19+AG19,"")</f>
        <v>6</v>
      </c>
      <c r="F19" s="157">
        <f>IFERROR(VLOOKUP($I$22&amp;$D19,'Database-Hidden'!$C$2:$J$120,5,FALSE)-Q19+AH19,"")</f>
        <v>3</v>
      </c>
      <c r="G19" s="157">
        <f>IFERROR(VLOOKUP($I$22&amp;$D19,'Database-Hidden'!$C$2:$J$120,6,FALSE)-R19+AI19,"")</f>
        <v>3</v>
      </c>
      <c r="H19" s="159">
        <f>IFERROR(VLOOKUP($I$22&amp;$D19,'Database-Hidden'!$C$2:$J$120,7,FALSE)-S19+AJ19,"")</f>
        <v>8</v>
      </c>
      <c r="I19" s="160" t="str">
        <f>IFERROR(VLOOKUP($I$22&amp;$D19,'Database-Hidden'!$C$2:$J$120,8,FALSE),"")</f>
        <v>Pass, Sure Hands</v>
      </c>
      <c r="J19" s="161" t="s">
        <v>548</v>
      </c>
      <c r="K19" s="162">
        <f t="shared" si="0"/>
        <v>2</v>
      </c>
      <c r="L19" s="163"/>
      <c r="M19" s="163"/>
      <c r="N19" s="164">
        <v>1</v>
      </c>
      <c r="O19" s="165"/>
      <c r="P19" s="166"/>
      <c r="Q19" s="167"/>
      <c r="R19" s="167"/>
      <c r="S19" s="168"/>
      <c r="T19" s="169"/>
      <c r="U19" s="171">
        <v>4</v>
      </c>
      <c r="V19" s="171">
        <v>1</v>
      </c>
      <c r="W19" s="171">
        <v>1</v>
      </c>
      <c r="X19" s="167"/>
      <c r="Y19" s="372"/>
      <c r="Z19" s="172">
        <v>2</v>
      </c>
      <c r="AA19" s="173">
        <f t="shared" si="1"/>
        <v>19</v>
      </c>
      <c r="AB19" s="58">
        <f t="shared" si="2"/>
        <v>110000</v>
      </c>
      <c r="AC19" s="4"/>
      <c r="AD19" s="174">
        <f>IFERROR(VLOOKUP($I$22&amp;D19,'Database-Hidden'!$C$2:$E$120,3,FALSE),"")</f>
        <v>70000</v>
      </c>
      <c r="AE19" s="175">
        <v>2</v>
      </c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</row>
    <row r="20" spans="1:50" ht="12.75">
      <c r="B20" s="530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1200000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550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50000</v>
      </c>
      <c r="W21" s="525"/>
      <c r="X21" s="525"/>
      <c r="Y21" s="525"/>
      <c r="Z21" s="525"/>
      <c r="AA21" s="528"/>
      <c r="AB21" s="184">
        <f t="shared" ref="AB21:AB25" si="4">T21*V21</f>
        <v>150000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362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5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50000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190000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HEAD COACH</v>
      </c>
      <c r="F23" s="509"/>
      <c r="G23" s="509"/>
      <c r="H23" s="512"/>
      <c r="I23" s="543" t="s">
        <v>552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/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1450000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/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190000</v>
      </c>
      <c r="J25" s="542"/>
      <c r="K25" s="547"/>
      <c r="L25" s="544" t="str">
        <f>IFERROR(IF(VLOOKUP(I22,'Database-Hidden'!X2:Y28,1,FALSE)&lt;&gt;"","",""),"APOTHECARY")</f>
        <v>APOTHECARY</v>
      </c>
      <c r="M25" s="542"/>
      <c r="N25" s="542"/>
      <c r="O25" s="542"/>
      <c r="P25" s="542"/>
      <c r="Q25" s="542"/>
      <c r="R25" s="542"/>
      <c r="S25" s="545"/>
      <c r="T25" s="198">
        <v>1</v>
      </c>
      <c r="U25" s="186" t="str">
        <f>IF(L25&lt;&gt;"","x","")</f>
        <v>x</v>
      </c>
      <c r="V25" s="546">
        <f>IF(L25&lt;&gt;"",50000,"")</f>
        <v>50000</v>
      </c>
      <c r="W25" s="542"/>
      <c r="X25" s="542"/>
      <c r="Y25" s="542"/>
      <c r="Z25" s="542"/>
      <c r="AA25" s="547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250000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190000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09">
        <f>MATCH(I22,'Database-Hidden'!A2:A120,0)</f>
        <v>54</v>
      </c>
      <c r="D28" s="209" t="str">
        <f t="shared" ref="D28:D37" si="5">I28&amp;IF(COUNTIF(D$4:D$19,I28)&gt;E28," (Too Many)","")</f>
        <v>Lineman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Lineman</v>
      </c>
    </row>
    <row r="29" spans="1:50" ht="17.25" hidden="1" customHeight="1">
      <c r="C29" s="209">
        <f t="shared" ref="C29:C37" si="6">C28+1</f>
        <v>55</v>
      </c>
      <c r="D29" s="209" t="str">
        <f t="shared" si="5"/>
        <v>Catcher</v>
      </c>
      <c r="E29" s="210">
        <f t="array" ref="E29">IFERROR(IF(INDEX('Database-Hidden'!$A$2:$B$120,$C29,1)=$I$22,INDEX('Database-Hidden'!$A$2:$D$120,$C29,4),""),"")</f>
        <v>2</v>
      </c>
      <c r="I29" s="209" t="str">
        <f t="array" ref="I29">IFERROR(IF(INDEX('Database-Hidden'!$A$2:$B$120,$C29,1)=$I$22,INDEX('Database-Hidden'!$A$2:$B$120,$C29,2),""),"")</f>
        <v>Catcher</v>
      </c>
    </row>
    <row r="30" spans="1:50" ht="17.25" hidden="1" customHeight="1">
      <c r="C30" s="209">
        <f t="shared" si="6"/>
        <v>56</v>
      </c>
      <c r="D30" s="209" t="str">
        <f t="shared" si="5"/>
        <v>Thrower</v>
      </c>
      <c r="E30" s="210">
        <f t="array" ref="E30">IFERROR(IF(INDEX('Database-Hidden'!$A$2:$B$120,$C30,1)=$I$22,INDEX('Database-Hidden'!$A$2:$D$120,$C30,4),""),"")</f>
        <v>2</v>
      </c>
      <c r="I30" s="209" t="str">
        <f t="array" ref="I30">IFERROR(IF(INDEX('Database-Hidden'!$A$2:$B$120,$C30,1)=$I$22,INDEX('Database-Hidden'!$A$2:$B$120,$C30,2),""),"")</f>
        <v>Thrower</v>
      </c>
    </row>
    <row r="31" spans="1:50" ht="17.25" hidden="1" customHeight="1">
      <c r="C31" s="209">
        <f t="shared" si="6"/>
        <v>57</v>
      </c>
      <c r="D31" s="209" t="str">
        <f t="shared" si="5"/>
        <v>Blitzer</v>
      </c>
      <c r="E31" s="210">
        <f t="array" ref="E31">IFERROR(IF(INDEX('Database-Hidden'!$A$2:$B$120,$C31,1)=$I$22,INDEX('Database-Hidden'!$A$2:$D$120,$C31,4),""),"")</f>
        <v>4</v>
      </c>
      <c r="I31" s="209" t="str">
        <f t="array" ref="I31">IFERROR(IF(INDEX('Database-Hidden'!$A$2:$B$120,$C31,1)=$I$22,INDEX('Database-Hidden'!$A$2:$B$120,$C31,2),""),"")</f>
        <v>Blitzer</v>
      </c>
    </row>
    <row r="32" spans="1:50" ht="17.25" hidden="1" customHeight="1">
      <c r="C32" s="209">
        <f t="shared" si="6"/>
        <v>58</v>
      </c>
      <c r="D32" s="209" t="str">
        <f t="shared" si="5"/>
        <v>Ogre</v>
      </c>
      <c r="E32" s="210">
        <f t="array" ref="E32">IFERROR(IF(INDEX('Database-Hidden'!$A$2:$B$120,$C32,1)=$I$22,INDEX('Database-Hidden'!$A$2:$D$120,$C32,4),""),"")</f>
        <v>1</v>
      </c>
      <c r="I32" s="209" t="str">
        <f t="array" ref="I32">IFERROR(IF(INDEX('Database-Hidden'!$A$2:$B$120,$C32,1)=$I$22,INDEX('Database-Hidden'!$A$2:$B$120,$C32,2),""),"")</f>
        <v>Ogre</v>
      </c>
    </row>
    <row r="33" spans="3:9" ht="17.25" hidden="1" customHeight="1">
      <c r="C33" s="209">
        <f t="shared" si="6"/>
        <v>59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</row>
    <row r="34" spans="3:9" ht="17.25" hidden="1" customHeight="1">
      <c r="C34" s="209">
        <f t="shared" si="6"/>
        <v>60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</row>
    <row r="35" spans="3:9" ht="17.25" hidden="1" customHeight="1">
      <c r="C35" s="209">
        <f t="shared" si="6"/>
        <v>61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</row>
    <row r="36" spans="3:9" ht="17.25" hidden="1" customHeight="1">
      <c r="C36" s="209">
        <f t="shared" si="6"/>
        <v>62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</row>
    <row r="37" spans="3:9" ht="17.25" hidden="1" customHeight="1">
      <c r="C37" s="209">
        <f t="shared" si="6"/>
        <v>63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</row>
    <row r="38" spans="3:9" ht="17.25" hidden="1" customHeight="1">
      <c r="C38" s="211">
        <f>MATCH(I22,'Star Players-Hidden'!D2:AD2,0)</f>
        <v>12</v>
      </c>
      <c r="D38" s="211" t="str">
        <f t="shared" ref="D38:D49" ca="1" si="7">I38&amp;IF(COUNTIF(D$4:D$19,I38)&gt;1," (Too Many)","")</f>
        <v>Star: Buggy Baconbreath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Buggy Baconbreath")</f>
        <v>Star: Buggy Baconbreath</v>
      </c>
    </row>
    <row r="39" spans="3:9" ht="17.25" hidden="1" customHeight="1">
      <c r="C39" s="209"/>
      <c r="D39" s="209" t="str">
        <f t="shared" si="7"/>
        <v>Star: Griff Oberwald</v>
      </c>
      <c r="I39" s="213" t="s">
        <v>368</v>
      </c>
    </row>
    <row r="40" spans="3:9" ht="17.25" hidden="1" customHeight="1">
      <c r="C40" s="209"/>
      <c r="D40" s="209" t="str">
        <f t="shared" si="7"/>
        <v>Star: Helmut Wulf</v>
      </c>
      <c r="I40" s="209" t="s">
        <v>232</v>
      </c>
    </row>
    <row r="41" spans="3:9" ht="17.25" hidden="1" customHeight="1">
      <c r="C41" s="209"/>
      <c r="D41" s="209" t="str">
        <f t="shared" si="7"/>
        <v>Star: Karla Von Kill</v>
      </c>
      <c r="I41" s="209" t="s">
        <v>233</v>
      </c>
    </row>
    <row r="42" spans="3:9" ht="17.25" hidden="1" customHeight="1">
      <c r="C42" s="209"/>
      <c r="D42" s="209" t="str">
        <f t="shared" si="7"/>
        <v>Star: Mighty Zug</v>
      </c>
      <c r="I42" s="209" t="s">
        <v>369</v>
      </c>
    </row>
    <row r="43" spans="3:9" ht="17.25" hidden="1" customHeight="1">
      <c r="C43" s="209"/>
      <c r="D43" s="209" t="str">
        <f t="shared" si="7"/>
        <v>Star: Morg'n'Thorg</v>
      </c>
      <c r="I43" s="209" t="s">
        <v>144</v>
      </c>
    </row>
    <row r="44" spans="3:9" ht="17.25" hidden="1" customHeight="1">
      <c r="C44" s="209"/>
      <c r="D44" s="209" t="str">
        <f t="shared" si="7"/>
        <v>Star: Zara the Slayer</v>
      </c>
      <c r="I44" s="209" t="s">
        <v>148</v>
      </c>
    </row>
    <row r="45" spans="3:9" ht="17.25" hidden="1" customHeight="1">
      <c r="C45" s="209"/>
      <c r="D45" s="209" t="str">
        <f t="shared" si="7"/>
        <v/>
      </c>
      <c r="I45" s="209"/>
    </row>
    <row r="46" spans="3:9" ht="17.25" hidden="1" customHeight="1">
      <c r="C46" s="209"/>
      <c r="D46" s="209" t="str">
        <f t="shared" si="7"/>
        <v/>
      </c>
      <c r="I46" s="209"/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</sheetData>
  <mergeCells count="27">
    <mergeCell ref="AN3:AQ3"/>
    <mergeCell ref="P2:S2"/>
    <mergeCell ref="AR3:AV3"/>
    <mergeCell ref="V21:AA21"/>
    <mergeCell ref="AN21:AO21"/>
    <mergeCell ref="E20:AA20"/>
    <mergeCell ref="L21:S21"/>
    <mergeCell ref="L25:S25"/>
    <mergeCell ref="E26:AA26"/>
    <mergeCell ref="V24:AA24"/>
    <mergeCell ref="V23:AA23"/>
    <mergeCell ref="V22:AA22"/>
    <mergeCell ref="V25:AA25"/>
    <mergeCell ref="L23:S23"/>
    <mergeCell ref="L24:S24"/>
    <mergeCell ref="L22:S22"/>
    <mergeCell ref="E24:H24"/>
    <mergeCell ref="B20:D26"/>
    <mergeCell ref="I22:K22"/>
    <mergeCell ref="E22:H22"/>
    <mergeCell ref="E25:H25"/>
    <mergeCell ref="I25:K25"/>
    <mergeCell ref="I23:K23"/>
    <mergeCell ref="E23:H23"/>
    <mergeCell ref="I24:K24"/>
    <mergeCell ref="E21:H21"/>
    <mergeCell ref="I21:K21"/>
  </mergeCells>
  <conditionalFormatting sqref="J4">
    <cfRule type="expression" dxfId="117" priority="1">
      <formula>K4&lt;&gt;SUM(AE4:AJ4)</formula>
    </cfRule>
  </conditionalFormatting>
  <conditionalFormatting sqref="K4:K19">
    <cfRule type="cellIs" dxfId="116" priority="2" operator="equal">
      <formula>0</formula>
    </cfRule>
  </conditionalFormatting>
  <conditionalFormatting sqref="AB4:AB19">
    <cfRule type="cellIs" dxfId="115" priority="3" operator="equal">
      <formula>0</formula>
    </cfRule>
  </conditionalFormatting>
  <conditionalFormatting sqref="E4:H19">
    <cfRule type="expression" dxfId="114" priority="4">
      <formula>AG4&gt;0</formula>
    </cfRule>
  </conditionalFormatting>
  <conditionalFormatting sqref="E4:H19">
    <cfRule type="expression" dxfId="113" priority="5">
      <formula>P4&gt;0</formula>
    </cfRule>
  </conditionalFormatting>
  <conditionalFormatting sqref="T4:T19 U4:U19 V4:W19 Z4:Z19 U27">
    <cfRule type="cellIs" dxfId="112" priority="6" stopIfTrue="1" operator="equal">
      <formula>0</formula>
    </cfRule>
  </conditionalFormatting>
  <conditionalFormatting sqref="K4:K19">
    <cfRule type="cellIs" dxfId="111" priority="7" stopIfTrue="1" operator="equal">
      <formula>"n/a"</formula>
    </cfRule>
  </conditionalFormatting>
  <conditionalFormatting sqref="P4:S19">
    <cfRule type="cellIs" dxfId="110" priority="8" stopIfTrue="1" operator="lessThanOrEqual">
      <formula>-1</formula>
    </cfRule>
  </conditionalFormatting>
  <conditionalFormatting sqref="V25:W25">
    <cfRule type="cellIs" dxfId="109" priority="9" stopIfTrue="1" operator="equal">
      <formula>-500</formula>
    </cfRule>
  </conditionalFormatting>
  <conditionalFormatting sqref="T25">
    <cfRule type="cellIs" dxfId="108" priority="10" stopIfTrue="1" operator="greaterThan">
      <formula>$V$25</formula>
    </cfRule>
  </conditionalFormatting>
  <conditionalFormatting sqref="AA4:AA19">
    <cfRule type="cellIs" dxfId="107" priority="11" stopIfTrue="1" operator="equal">
      <formula>"Star"</formula>
    </cfRule>
  </conditionalFormatting>
  <conditionalFormatting sqref="AA4:AA19">
    <cfRule type="cellIs" dxfId="106" priority="12" stopIfTrue="1" operator="equal">
      <formula>AB4</formula>
    </cfRule>
  </conditionalFormatting>
  <conditionalFormatting sqref="I4:I19">
    <cfRule type="cellIs" dxfId="105" priority="13" stopIfTrue="1" operator="equal">
      <formula>0</formula>
    </cfRule>
  </conditionalFormatting>
  <conditionalFormatting sqref="I4:I19">
    <cfRule type="cellIs" dxfId="104" priority="14" stopIfTrue="1" operator="equal">
      <formula>"Player type quantity surpassed"</formula>
    </cfRule>
  </conditionalFormatting>
  <conditionalFormatting sqref="J5">
    <cfRule type="expression" dxfId="103" priority="15">
      <formula>K5&lt;&gt;SUM(AE5:AJ5)</formula>
    </cfRule>
  </conditionalFormatting>
  <conditionalFormatting sqref="J6">
    <cfRule type="expression" dxfId="102" priority="16">
      <formula>K6&lt;&gt;SUM(AE6:AJ6)</formula>
    </cfRule>
  </conditionalFormatting>
  <conditionalFormatting sqref="J7">
    <cfRule type="expression" dxfId="101" priority="17">
      <formula>K7&lt;&gt;SUM(AE7:AJ7)</formula>
    </cfRule>
  </conditionalFormatting>
  <conditionalFormatting sqref="J8">
    <cfRule type="expression" dxfId="100" priority="18">
      <formula>K8&lt;&gt;SUM(AE8:AJ8)</formula>
    </cfRule>
  </conditionalFormatting>
  <conditionalFormatting sqref="J9">
    <cfRule type="expression" dxfId="99" priority="19">
      <formula>K9&lt;&gt;SUM(AE9:AJ9)</formula>
    </cfRule>
  </conditionalFormatting>
  <conditionalFormatting sqref="J10">
    <cfRule type="expression" dxfId="98" priority="20">
      <formula>K10&lt;&gt;SUM(AE10:AJ10)</formula>
    </cfRule>
  </conditionalFormatting>
  <conditionalFormatting sqref="J11">
    <cfRule type="expression" dxfId="97" priority="21">
      <formula>K11&lt;&gt;SUM(AE11:AJ11)</formula>
    </cfRule>
  </conditionalFormatting>
  <conditionalFormatting sqref="J12">
    <cfRule type="expression" dxfId="96" priority="22">
      <formula>K12&lt;&gt;SUM(AE12:AJ12)</formula>
    </cfRule>
  </conditionalFormatting>
  <conditionalFormatting sqref="J13">
    <cfRule type="expression" dxfId="95" priority="23">
      <formula>K13&lt;&gt;SUM(AE13:AJ13)</formula>
    </cfRule>
  </conditionalFormatting>
  <conditionalFormatting sqref="J14">
    <cfRule type="expression" dxfId="94" priority="24">
      <formula>K14&lt;&gt;SUM(AE14:AJ14)</formula>
    </cfRule>
  </conditionalFormatting>
  <conditionalFormatting sqref="J15">
    <cfRule type="expression" dxfId="93" priority="25">
      <formula>K15&lt;&gt;SUM(AE15:AJ15)</formula>
    </cfRule>
  </conditionalFormatting>
  <conditionalFormatting sqref="J16">
    <cfRule type="expression" dxfId="92" priority="26">
      <formula>K16&lt;&gt;SUM(AE16:AJ16)</formula>
    </cfRule>
  </conditionalFormatting>
  <conditionalFormatting sqref="J17">
    <cfRule type="expression" dxfId="91" priority="27">
      <formula>K17&lt;&gt;SUM(AE17:AJ17)</formula>
    </cfRule>
  </conditionalFormatting>
  <conditionalFormatting sqref="J18">
    <cfRule type="expression" dxfId="90" priority="28">
      <formula>K18&lt;&gt;SUM(AE18:AJ18)</formula>
    </cfRule>
  </conditionalFormatting>
  <conditionalFormatting sqref="J19">
    <cfRule type="expression" dxfId="89" priority="29">
      <formula>K19&lt;&gt;SUM(AE19:AJ19)</formula>
    </cfRule>
  </conditionalFormatting>
  <dataValidations count="2">
    <dataValidation type="list" allowBlank="1" showErrorMessage="1" sqref="D4:D19">
      <formula1>'TL1'!$D$28:$D$49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49"/>
  <sheetViews>
    <sheetView showGridLines="0" workbookViewId="0"/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8" width="10.7109375" customWidth="1"/>
    <col min="49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 spans="1:50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  <c r="AX3" s="12"/>
    </row>
    <row r="4" spans="1:50" ht="12.75">
      <c r="A4" s="2"/>
      <c r="B4" s="40">
        <v>1</v>
      </c>
      <c r="C4" s="389" t="s">
        <v>538</v>
      </c>
      <c r="D4" s="42" t="s">
        <v>111</v>
      </c>
      <c r="E4" s="43">
        <f>IFERROR(VLOOKUP($I$22&amp;$D4,'Database-Hidden'!$C$2:$J$120,4,FALSE)-P4+AG4,"")</f>
        <v>3</v>
      </c>
      <c r="F4" s="44">
        <f>IFERROR(VLOOKUP($I$22&amp;$D4,'Database-Hidden'!$C$2:$J$120,5,FALSE)-Q4+AH4,"")</f>
        <v>5</v>
      </c>
      <c r="G4" s="44">
        <f>IFERROR(VLOOKUP($I$22&amp;$D4,'Database-Hidden'!$C$2:$J$120,6,FALSE)-R4+AI4,"")</f>
        <v>1</v>
      </c>
      <c r="H4" s="45">
        <f>IFERROR(VLOOKUP($I$22&amp;$D4,'Database-Hidden'!$C$2:$J$120,7,FALSE)-S4+AJ4,"")</f>
        <v>9</v>
      </c>
      <c r="I4" s="46" t="str">
        <f>IFERROR(VLOOKUP($I$22&amp;$D4,'Database-Hidden'!$C$2:$J$120,8,FALSE),"")</f>
        <v>Mighty Blow, Regeneration</v>
      </c>
      <c r="J4" s="47" t="s">
        <v>540</v>
      </c>
      <c r="K4" s="48">
        <f t="shared" ref="K4:K19" si="0">IF(AA4&gt;175,6,IF(AA4&gt;75,5,IF(AA4&gt;50,4,IF(AA4&gt;30,3,IF(AA4&gt;15,2,IF(AA4&gt;5,1,0))))))</f>
        <v>2</v>
      </c>
      <c r="L4" s="49"/>
      <c r="M4" s="49"/>
      <c r="N4" s="49">
        <v>1</v>
      </c>
      <c r="O4" s="50"/>
      <c r="P4" s="51"/>
      <c r="Q4" s="52"/>
      <c r="R4" s="52"/>
      <c r="S4" s="53"/>
      <c r="T4" s="54"/>
      <c r="U4" s="55"/>
      <c r="V4" s="55"/>
      <c r="W4" s="55">
        <v>8</v>
      </c>
      <c r="X4" s="52">
        <v>3</v>
      </c>
      <c r="Y4" s="52"/>
      <c r="Z4" s="56">
        <v>1</v>
      </c>
      <c r="AA4" s="57">
        <f t="shared" ref="AA4:AA19" si="1">2*T4+U4+3*V4+2*W4+5*Z4</f>
        <v>21</v>
      </c>
      <c r="AB4" s="58">
        <f t="shared" ref="AB4:AB19" si="2">IF(L4=1,0,AD4+(20000*O4)+(20000*AE4)+(30000*AF4)+(30000*AG4)+(50000*AH4)+(40000*AI4)+(50000*AJ4)+AK4)</f>
        <v>170000</v>
      </c>
      <c r="AC4" s="4"/>
      <c r="AD4" s="59">
        <f>IFERROR(VLOOKUP($I$22&amp;D4,'Database-Hidden'!$C$2:$E$120,3,FALSE),"")</f>
        <v>120000</v>
      </c>
      <c r="AE4" s="60">
        <v>1</v>
      </c>
      <c r="AF4" s="61">
        <v>1</v>
      </c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f>1440000-1290000</f>
        <v>150000</v>
      </c>
      <c r="AP4" s="4"/>
      <c r="AQ4" s="4"/>
      <c r="AR4" s="66"/>
      <c r="AS4" s="67"/>
      <c r="AT4" s="67"/>
      <c r="AU4" s="64" t="s">
        <v>70</v>
      </c>
      <c r="AV4" s="68">
        <v>5</v>
      </c>
      <c r="AW4" s="69"/>
      <c r="AX4" s="69"/>
    </row>
    <row r="5" spans="1:50" ht="12.75">
      <c r="A5" s="2"/>
      <c r="B5" s="70">
        <v>2</v>
      </c>
      <c r="C5" s="440" t="s">
        <v>541</v>
      </c>
      <c r="D5" s="72" t="s">
        <v>111</v>
      </c>
      <c r="E5" s="73">
        <f>IFERROR(VLOOKUP($I$22&amp;$D5,'Database-Hidden'!$C$2:$J$120,4,FALSE)-P5+AG5,"")</f>
        <v>3</v>
      </c>
      <c r="F5" s="74">
        <f>IFERROR(VLOOKUP($I$22&amp;$D5,'Database-Hidden'!$C$2:$J$120,5,FALSE)-Q5+AH5,"")</f>
        <v>5</v>
      </c>
      <c r="G5" s="74">
        <f>IFERROR(VLOOKUP($I$22&amp;$D5,'Database-Hidden'!$C$2:$J$120,6,FALSE)-R5+AI5,"")</f>
        <v>1</v>
      </c>
      <c r="H5" s="75">
        <f>IFERROR(VLOOKUP($I$22&amp;$D5,'Database-Hidden'!$C$2:$J$120,7,FALSE)-S5+AJ5,"")</f>
        <v>9</v>
      </c>
      <c r="I5" s="76" t="str">
        <f>IFERROR(VLOOKUP($I$22&amp;$D5,'Database-Hidden'!$C$2:$J$120,8,FALSE),"")</f>
        <v>Mighty Blow, Regeneration</v>
      </c>
      <c r="J5" s="77"/>
      <c r="K5" s="78">
        <f t="shared" si="0"/>
        <v>0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/>
      <c r="X5" s="83"/>
      <c r="Y5" s="83"/>
      <c r="Z5" s="88"/>
      <c r="AA5" s="89">
        <f t="shared" si="1"/>
        <v>0</v>
      </c>
      <c r="AB5" s="58">
        <f t="shared" si="2"/>
        <v>120000</v>
      </c>
      <c r="AC5" s="4"/>
      <c r="AD5" s="90">
        <f>IFERROR(VLOOKUP($I$22&amp;D5,'Database-Hidden'!$C$2:$E$120,3,FALSE),"")</f>
        <v>120000</v>
      </c>
      <c r="AE5" s="91"/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 t="s">
        <v>542</v>
      </c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  <c r="AX5" s="100"/>
    </row>
    <row r="6" spans="1:50" ht="12.75">
      <c r="A6" s="2"/>
      <c r="B6" s="70">
        <v>3</v>
      </c>
      <c r="C6" s="441"/>
      <c r="D6" s="72"/>
      <c r="E6" s="73" t="str">
        <f>IFERROR(VLOOKUP($I$22&amp;$D6,'Database-Hidden'!$C$2:$J$120,4,FALSE)-P6+AG6,"")</f>
        <v/>
      </c>
      <c r="F6" s="74" t="str">
        <f>IFERROR(VLOOKUP($I$22&amp;$D6,'Database-Hidden'!$C$2:$J$120,5,FALSE)-Q6+AH6,"")</f>
        <v/>
      </c>
      <c r="G6" s="74" t="str">
        <f>IFERROR(VLOOKUP($I$22&amp;$D6,'Database-Hidden'!$C$2:$J$120,6,FALSE)-R6+AI6,"")</f>
        <v/>
      </c>
      <c r="H6" s="75" t="str">
        <f>IFERROR(VLOOKUP($I$22&amp;$D6,'Database-Hidden'!$C$2:$J$120,7,FALSE)-S6+AJ6,"")</f>
        <v/>
      </c>
      <c r="I6" s="76" t="str">
        <f>IFERROR(VLOOKUP($I$22&amp;$D6,'Database-Hidden'!$C$2:$J$120,8,FALSE),"")</f>
        <v/>
      </c>
      <c r="J6" s="102"/>
      <c r="K6" s="78">
        <f t="shared" si="0"/>
        <v>0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6"/>
      <c r="X6" s="83"/>
      <c r="Y6" s="83"/>
      <c r="Z6" s="88"/>
      <c r="AA6" s="89">
        <f t="shared" si="1"/>
        <v>0</v>
      </c>
      <c r="AB6" s="58"/>
      <c r="AC6" s="4"/>
      <c r="AD6" s="90" t="str">
        <f>IFERROR(VLOOKUP($I$22&amp;D6,'Database-Hidden'!$C$2:$E$120,3,FALSE),"")</f>
        <v/>
      </c>
      <c r="AE6" s="91"/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1">
        <v>10</v>
      </c>
      <c r="AN6" s="104" t="s">
        <v>83</v>
      </c>
      <c r="AO6" s="105">
        <v>30000</v>
      </c>
      <c r="AP6" s="106" t="s">
        <v>337</v>
      </c>
      <c r="AQ6" s="107" t="s">
        <v>337</v>
      </c>
      <c r="AR6" s="108" t="s">
        <v>543</v>
      </c>
      <c r="AS6" s="110" t="s">
        <v>87</v>
      </c>
      <c r="AT6" s="112">
        <v>1</v>
      </c>
      <c r="AU6" s="113">
        <v>1</v>
      </c>
      <c r="AV6" s="281">
        <v>1</v>
      </c>
      <c r="AW6" s="115"/>
      <c r="AX6" s="115"/>
    </row>
    <row r="7" spans="1:50" ht="12.75">
      <c r="A7" s="2"/>
      <c r="B7" s="70">
        <v>4</v>
      </c>
      <c r="C7" s="438" t="s">
        <v>544</v>
      </c>
      <c r="D7" s="72" t="s">
        <v>106</v>
      </c>
      <c r="E7" s="73">
        <f>IFERROR(VLOOKUP($I$22&amp;$D7,'Database-Hidden'!$C$2:$J$120,4,FALSE)-P7+AG7,"")</f>
        <v>6</v>
      </c>
      <c r="F7" s="74">
        <f>IFERROR(VLOOKUP($I$22&amp;$D7,'Database-Hidden'!$C$2:$J$120,5,FALSE)-Q7+AH7,"")</f>
        <v>3</v>
      </c>
      <c r="G7" s="74">
        <f>IFERROR(VLOOKUP($I$22&amp;$D7,'Database-Hidden'!$C$2:$J$120,6,FALSE)-R7+AI7,"")</f>
        <v>3</v>
      </c>
      <c r="H7" s="75">
        <f>IFERROR(VLOOKUP($I$22&amp;$D7,'Database-Hidden'!$C$2:$J$120,7,FALSE)-S7+AJ7,"")</f>
        <v>8</v>
      </c>
      <c r="I7" s="76" t="str">
        <f>IFERROR(VLOOKUP($I$22&amp;$D7,'Database-Hidden'!$C$2:$J$120,8,FALSE),"")</f>
        <v>Block, Regeneration</v>
      </c>
      <c r="J7" s="77" t="s">
        <v>529</v>
      </c>
      <c r="K7" s="78">
        <f t="shared" si="0"/>
        <v>2</v>
      </c>
      <c r="L7" s="79"/>
      <c r="M7" s="79"/>
      <c r="N7" s="80">
        <v>1</v>
      </c>
      <c r="O7" s="81"/>
      <c r="P7" s="82"/>
      <c r="Q7" s="83"/>
      <c r="R7" s="83"/>
      <c r="S7" s="84"/>
      <c r="T7" s="369"/>
      <c r="U7" s="87">
        <v>1</v>
      </c>
      <c r="V7" s="86"/>
      <c r="W7" s="87">
        <v>1</v>
      </c>
      <c r="X7" s="83"/>
      <c r="Y7" s="83"/>
      <c r="Z7" s="88">
        <v>3</v>
      </c>
      <c r="AA7" s="89">
        <f t="shared" si="1"/>
        <v>18</v>
      </c>
      <c r="AB7" s="58">
        <f t="shared" si="2"/>
        <v>130000</v>
      </c>
      <c r="AC7" s="4"/>
      <c r="AD7" s="116">
        <f>IFERROR(VLOOKUP($I$22&amp;D7,'Database-Hidden'!$C$2:$E$120,3,FALSE),"")</f>
        <v>90000</v>
      </c>
      <c r="AE7" s="91">
        <v>2</v>
      </c>
      <c r="AF7" s="103"/>
      <c r="AG7" s="92"/>
      <c r="AH7" s="103"/>
      <c r="AI7" s="103"/>
      <c r="AJ7" s="92"/>
      <c r="AK7" s="62"/>
      <c r="AL7" s="63" t="str">
        <f>IF(LEFT($D7,6)&lt;&gt;"Star: ","",VLOOKUP(RIGHT($D7,LEN($D7)-6),'Star Players-Hidden'!$A$3:$AK$87,37,FALSE))</f>
        <v/>
      </c>
      <c r="AM7" s="1">
        <v>24</v>
      </c>
      <c r="AN7" s="117" t="s">
        <v>86</v>
      </c>
      <c r="AO7" s="119">
        <v>70000</v>
      </c>
      <c r="AP7" s="121">
        <v>60000</v>
      </c>
      <c r="AQ7" s="289">
        <v>20000</v>
      </c>
      <c r="AR7" s="134" t="s">
        <v>546</v>
      </c>
      <c r="AS7" s="126" t="s">
        <v>84</v>
      </c>
      <c r="AT7" s="128">
        <v>3</v>
      </c>
      <c r="AU7" s="130">
        <v>1</v>
      </c>
      <c r="AV7" s="135">
        <v>1</v>
      </c>
      <c r="AW7" s="132"/>
      <c r="AX7" s="132"/>
    </row>
    <row r="8" spans="1:50" ht="22.5">
      <c r="A8" s="2"/>
      <c r="B8" s="70">
        <v>5</v>
      </c>
      <c r="C8" s="443" t="s">
        <v>547</v>
      </c>
      <c r="D8" s="72" t="s">
        <v>106</v>
      </c>
      <c r="E8" s="73">
        <f>IFERROR(VLOOKUP($I$22&amp;$D8,'Database-Hidden'!$C$2:$J$120,4,FALSE)-P8+AG8,"")</f>
        <v>6</v>
      </c>
      <c r="F8" s="74">
        <f>IFERROR(VLOOKUP($I$22&amp;$D8,'Database-Hidden'!$C$2:$J$120,5,FALSE)-Q8+AH8,"")</f>
        <v>3</v>
      </c>
      <c r="G8" s="74">
        <f>IFERROR(VLOOKUP($I$22&amp;$D8,'Database-Hidden'!$C$2:$J$120,6,FALSE)-R8+AI8,"")</f>
        <v>3</v>
      </c>
      <c r="H8" s="75">
        <f>IFERROR(VLOOKUP($I$22&amp;$D8,'Database-Hidden'!$C$2:$J$120,7,FALSE)-S8+AJ8,"")</f>
        <v>8</v>
      </c>
      <c r="I8" s="76" t="str">
        <f>IFERROR(VLOOKUP($I$22&amp;$D8,'Database-Hidden'!$C$2:$J$120,8,FALSE),"")</f>
        <v>Block, Regeneration</v>
      </c>
      <c r="J8" s="77" t="s">
        <v>82</v>
      </c>
      <c r="K8" s="78">
        <f t="shared" si="0"/>
        <v>1</v>
      </c>
      <c r="L8" s="79"/>
      <c r="M8" s="79"/>
      <c r="N8" s="80">
        <v>1</v>
      </c>
      <c r="O8" s="81"/>
      <c r="P8" s="82"/>
      <c r="Q8" s="83"/>
      <c r="R8" s="83"/>
      <c r="S8" s="84"/>
      <c r="T8" s="85"/>
      <c r="U8" s="86"/>
      <c r="V8" s="86"/>
      <c r="W8" s="87">
        <v>3</v>
      </c>
      <c r="X8" s="83"/>
      <c r="Y8" s="83"/>
      <c r="Z8" s="88">
        <v>1</v>
      </c>
      <c r="AA8" s="89">
        <f t="shared" si="1"/>
        <v>11</v>
      </c>
      <c r="AB8" s="58">
        <f t="shared" si="2"/>
        <v>110000</v>
      </c>
      <c r="AC8" s="4"/>
      <c r="AD8" s="116">
        <f>IFERROR(VLOOKUP($I$22&amp;D8,'Database-Hidden'!$C$2:$E$120,3,FALSE),"")</f>
        <v>90000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4"/>
      <c r="AN8" s="117" t="s">
        <v>90</v>
      </c>
      <c r="AO8" s="118"/>
      <c r="AP8" s="120"/>
      <c r="AQ8" s="122"/>
      <c r="AR8" s="123"/>
      <c r="AS8" s="125"/>
      <c r="AT8" s="127"/>
      <c r="AU8" s="129"/>
      <c r="AV8" s="131"/>
      <c r="AW8" s="132"/>
      <c r="AX8" s="132"/>
    </row>
    <row r="9" spans="1:50" ht="22.5">
      <c r="A9" s="2"/>
      <c r="B9" s="70">
        <v>6</v>
      </c>
      <c r="C9" s="443" t="s">
        <v>549</v>
      </c>
      <c r="D9" s="72" t="s">
        <v>97</v>
      </c>
      <c r="E9" s="73">
        <f>IFERROR(VLOOKUP($I$22&amp;$D9,'Database-Hidden'!$C$2:$J$120,4,FALSE)-P9+AG9,"")</f>
        <v>7</v>
      </c>
      <c r="F9" s="74">
        <f>IFERROR(VLOOKUP($I$22&amp;$D9,'Database-Hidden'!$C$2:$J$120,5,FALSE)-Q9+AH9,"")</f>
        <v>3</v>
      </c>
      <c r="G9" s="74">
        <f>IFERROR(VLOOKUP($I$22&amp;$D9,'Database-Hidden'!$C$2:$J$120,6,FALSE)-R9+AI9,"")</f>
        <v>3</v>
      </c>
      <c r="H9" s="75">
        <f>IFERROR(VLOOKUP($I$22&amp;$D9,'Database-Hidden'!$C$2:$J$120,7,FALSE)-S9+AJ9,"")</f>
        <v>7</v>
      </c>
      <c r="I9" s="76" t="str">
        <f>IFERROR(VLOOKUP($I$22&amp;$D9,'Database-Hidden'!$C$2:$J$120,8,FALSE),"")</f>
        <v>Dodge</v>
      </c>
      <c r="J9" s="77" t="s">
        <v>155</v>
      </c>
      <c r="K9" s="78">
        <f t="shared" si="0"/>
        <v>1</v>
      </c>
      <c r="L9" s="79"/>
      <c r="M9" s="79"/>
      <c r="N9" s="80">
        <v>1</v>
      </c>
      <c r="O9" s="81"/>
      <c r="P9" s="82"/>
      <c r="Q9" s="83"/>
      <c r="R9" s="83"/>
      <c r="S9" s="84"/>
      <c r="T9" s="444"/>
      <c r="U9" s="445"/>
      <c r="V9" s="446">
        <v>3</v>
      </c>
      <c r="W9" s="445"/>
      <c r="X9" s="447"/>
      <c r="Y9" s="83"/>
      <c r="Z9" s="88"/>
      <c r="AA9" s="89">
        <f t="shared" si="1"/>
        <v>9</v>
      </c>
      <c r="AB9" s="58">
        <f t="shared" si="2"/>
        <v>90000</v>
      </c>
      <c r="AC9" s="4"/>
      <c r="AD9" s="116">
        <f>IFERROR(VLOOKUP($I$22&amp;D9,'Database-Hidden'!$C$2:$E$120,3,FALSE),"")</f>
        <v>70000</v>
      </c>
      <c r="AE9" s="91">
        <v>1</v>
      </c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8"/>
      <c r="AP9" s="120"/>
      <c r="AQ9" s="122"/>
      <c r="AR9" s="123"/>
      <c r="AS9" s="125"/>
      <c r="AT9" s="127"/>
      <c r="AU9" s="129"/>
      <c r="AV9" s="131"/>
      <c r="AW9" s="132"/>
      <c r="AX9" s="132"/>
    </row>
    <row r="10" spans="1:50" ht="12.75">
      <c r="A10" s="2"/>
      <c r="B10" s="70">
        <v>7</v>
      </c>
      <c r="C10" s="448" t="s">
        <v>551</v>
      </c>
      <c r="D10" s="72" t="s">
        <v>97</v>
      </c>
      <c r="E10" s="73">
        <f>IFERROR(VLOOKUP($I$22&amp;$D10,'Database-Hidden'!$C$2:$J$120,4,FALSE)-P10+AG10,"")</f>
        <v>7</v>
      </c>
      <c r="F10" s="74">
        <f>IFERROR(VLOOKUP($I$22&amp;$D10,'Database-Hidden'!$C$2:$J$120,5,FALSE)-Q10+AH10,"")</f>
        <v>3</v>
      </c>
      <c r="G10" s="74">
        <f>IFERROR(VLOOKUP($I$22&amp;$D10,'Database-Hidden'!$C$2:$J$120,6,FALSE)-R10+AI10,"")</f>
        <v>3</v>
      </c>
      <c r="H10" s="75">
        <f>IFERROR(VLOOKUP($I$22&amp;$D10,'Database-Hidden'!$C$2:$J$120,7,FALSE)-S10+AJ10,"")</f>
        <v>7</v>
      </c>
      <c r="I10" s="76" t="str">
        <f>IFERROR(VLOOKUP($I$22&amp;$D10,'Database-Hidden'!$C$2:$J$120,8,FALSE),"")</f>
        <v>Dodge</v>
      </c>
      <c r="J10" s="77" t="s">
        <v>553</v>
      </c>
      <c r="K10" s="78">
        <f t="shared" si="0"/>
        <v>2</v>
      </c>
      <c r="L10" s="79"/>
      <c r="M10" s="79"/>
      <c r="N10" s="80">
        <v>1</v>
      </c>
      <c r="O10" s="81"/>
      <c r="P10" s="82"/>
      <c r="Q10" s="83"/>
      <c r="R10" s="83"/>
      <c r="S10" s="84"/>
      <c r="T10" s="449">
        <v>1</v>
      </c>
      <c r="U10" s="450"/>
      <c r="V10" s="451">
        <v>5</v>
      </c>
      <c r="W10" s="450"/>
      <c r="X10" s="452"/>
      <c r="Y10" s="83"/>
      <c r="Z10" s="88"/>
      <c r="AA10" s="89">
        <f t="shared" si="1"/>
        <v>17</v>
      </c>
      <c r="AB10" s="58">
        <f t="shared" si="2"/>
        <v>110000</v>
      </c>
      <c r="AC10" s="4"/>
      <c r="AD10" s="116">
        <f>IFERROR(VLOOKUP($I$22&amp;D10,'Database-Hidden'!$C$2:$E$120,3,FALSE),"")</f>
        <v>70000</v>
      </c>
      <c r="AE10" s="91">
        <v>2</v>
      </c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  <c r="AX10" s="132"/>
    </row>
    <row r="11" spans="1:50" ht="22.5">
      <c r="A11" s="2"/>
      <c r="B11" s="70">
        <v>8</v>
      </c>
      <c r="C11" s="443" t="s">
        <v>554</v>
      </c>
      <c r="D11" s="72" t="s">
        <v>97</v>
      </c>
      <c r="E11" s="73">
        <f>IFERROR(VLOOKUP($I$22&amp;$D11,'Database-Hidden'!$C$2:$J$120,4,FALSE)-P11+AG11,"")</f>
        <v>7</v>
      </c>
      <c r="F11" s="74">
        <f>IFERROR(VLOOKUP($I$22&amp;$D11,'Database-Hidden'!$C$2:$J$120,5,FALSE)-Q11+AH11,"")</f>
        <v>3</v>
      </c>
      <c r="G11" s="74">
        <f>IFERROR(VLOOKUP($I$22&amp;$D11,'Database-Hidden'!$C$2:$J$120,6,FALSE)-R11+AI11,"")</f>
        <v>3</v>
      </c>
      <c r="H11" s="75">
        <f>IFERROR(VLOOKUP($I$22&amp;$D11,'Database-Hidden'!$C$2:$J$120,7,FALSE)-S11+AJ11,"")</f>
        <v>7</v>
      </c>
      <c r="I11" s="76" t="str">
        <f>IFERROR(VLOOKUP($I$22&amp;$D11,'Database-Hidden'!$C$2:$J$120,8,FALSE),"")</f>
        <v>Dodge</v>
      </c>
      <c r="J11" s="77" t="s">
        <v>155</v>
      </c>
      <c r="K11" s="78">
        <f t="shared" si="0"/>
        <v>1</v>
      </c>
      <c r="L11" s="79"/>
      <c r="M11" s="79"/>
      <c r="N11" s="80">
        <v>1</v>
      </c>
      <c r="O11" s="81"/>
      <c r="P11" s="82"/>
      <c r="Q11" s="83"/>
      <c r="R11" s="83"/>
      <c r="S11" s="84"/>
      <c r="T11" s="453"/>
      <c r="U11" s="454"/>
      <c r="V11" s="455">
        <v>1</v>
      </c>
      <c r="W11" s="455">
        <v>3</v>
      </c>
      <c r="X11" s="456">
        <v>2</v>
      </c>
      <c r="Y11" s="83"/>
      <c r="Z11" s="88">
        <v>1</v>
      </c>
      <c r="AA11" s="89">
        <f t="shared" si="1"/>
        <v>14</v>
      </c>
      <c r="AB11" s="58">
        <f t="shared" si="2"/>
        <v>90000</v>
      </c>
      <c r="AC11" s="4"/>
      <c r="AD11" s="116">
        <f>IFERROR(VLOOKUP($I$22&amp;D11,'Database-Hidden'!$C$2:$E$120,3,FALSE),"")</f>
        <v>70000</v>
      </c>
      <c r="AE11" s="91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  <c r="AX11" s="132"/>
    </row>
    <row r="12" spans="1:50" ht="12.75">
      <c r="A12" s="2"/>
      <c r="B12" s="70">
        <v>9</v>
      </c>
      <c r="C12" s="438" t="s">
        <v>555</v>
      </c>
      <c r="D12" s="72" t="s">
        <v>97</v>
      </c>
      <c r="E12" s="73">
        <f>IFERROR(VLOOKUP($I$22&amp;$D12,'Database-Hidden'!$C$2:$J$120,4,FALSE)-P12+AG12,"")</f>
        <v>7</v>
      </c>
      <c r="F12" s="74">
        <f>IFERROR(VLOOKUP($I$22&amp;$D12,'Database-Hidden'!$C$2:$J$120,5,FALSE)-Q12+AH12,"")</f>
        <v>3</v>
      </c>
      <c r="G12" s="74">
        <f>IFERROR(VLOOKUP($I$22&amp;$D12,'Database-Hidden'!$C$2:$J$120,6,FALSE)-R12+AI12,"")</f>
        <v>3</v>
      </c>
      <c r="H12" s="75">
        <f>IFERROR(VLOOKUP($I$22&amp;$D12,'Database-Hidden'!$C$2:$J$120,7,FALSE)-S12+AJ12,"")</f>
        <v>7</v>
      </c>
      <c r="I12" s="76" t="str">
        <f>IFERROR(VLOOKUP($I$22&amp;$D12,'Database-Hidden'!$C$2:$J$120,8,FALSE),"")</f>
        <v>Dodge</v>
      </c>
      <c r="J12" s="77" t="s">
        <v>556</v>
      </c>
      <c r="K12" s="78">
        <f t="shared" si="0"/>
        <v>2</v>
      </c>
      <c r="L12" s="79"/>
      <c r="M12" s="79"/>
      <c r="N12" s="80">
        <v>1</v>
      </c>
      <c r="O12" s="81"/>
      <c r="P12" s="82"/>
      <c r="Q12" s="83"/>
      <c r="R12" s="83"/>
      <c r="S12" s="84"/>
      <c r="T12" s="453"/>
      <c r="U12" s="451">
        <v>2</v>
      </c>
      <c r="V12" s="451">
        <v>5</v>
      </c>
      <c r="W12" s="450">
        <v>1</v>
      </c>
      <c r="X12" s="452"/>
      <c r="Y12" s="83"/>
      <c r="Z12" s="88">
        <v>2</v>
      </c>
      <c r="AA12" s="89">
        <f t="shared" si="1"/>
        <v>29</v>
      </c>
      <c r="AB12" s="58">
        <f t="shared" si="2"/>
        <v>120000</v>
      </c>
      <c r="AC12" s="4"/>
      <c r="AD12" s="116">
        <f>IFERROR(VLOOKUP($I$22&amp;D12,'Database-Hidden'!$C$2:$E$120,3,FALSE),"")</f>
        <v>70000</v>
      </c>
      <c r="AE12" s="91">
        <v>1</v>
      </c>
      <c r="AF12" s="92">
        <v>1</v>
      </c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  <c r="AX12" s="132"/>
    </row>
    <row r="13" spans="1:50" ht="12.75">
      <c r="A13" s="2"/>
      <c r="B13" s="70">
        <v>10</v>
      </c>
      <c r="C13" s="438"/>
      <c r="D13" s="72"/>
      <c r="E13" s="73" t="str">
        <f>IFERROR(VLOOKUP($I$22&amp;$D13,'Database-Hidden'!$C$2:$J$120,4,FALSE)-P13+AG13,"")</f>
        <v/>
      </c>
      <c r="F13" s="74" t="str">
        <f>IFERROR(VLOOKUP($I$22&amp;$D13,'Database-Hidden'!$C$2:$J$120,5,FALSE)-Q13+AH13,"")</f>
        <v/>
      </c>
      <c r="G13" s="74" t="str">
        <f>IFERROR(VLOOKUP($I$22&amp;$D13,'Database-Hidden'!$C$2:$J$120,6,FALSE)-R13+AI13,"")</f>
        <v/>
      </c>
      <c r="H13" s="75" t="str">
        <f>IFERROR(VLOOKUP($I$22&amp;$D13,'Database-Hidden'!$C$2:$J$120,7,FALSE)-S13+AJ13,"")</f>
        <v/>
      </c>
      <c r="I13" s="76" t="str">
        <f>IFERROR(VLOOKUP($I$22&amp;$D13,'Database-Hidden'!$C$2:$J$120,8,FALSE),"")</f>
        <v/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/>
      <c r="AC13" s="4"/>
      <c r="AD13" s="116" t="str">
        <f>IFERROR(VLOOKUP($I$22&amp;D13,'Database-Hidden'!$C$2:$E$120,3,FALSE),"")</f>
        <v/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  <c r="AX13" s="132"/>
    </row>
    <row r="14" spans="1:50" ht="12.75">
      <c r="A14" s="2"/>
      <c r="B14" s="70">
        <v>11</v>
      </c>
      <c r="C14" s="438"/>
      <c r="D14" s="72"/>
      <c r="E14" s="73" t="str">
        <f>IFERROR(VLOOKUP($I$22&amp;$D14,'Database-Hidden'!$C$2:$J$120,4,FALSE)-P14+AG14,"")</f>
        <v/>
      </c>
      <c r="F14" s="74" t="str">
        <f>IFERROR(VLOOKUP($I$22&amp;$D14,'Database-Hidden'!$C$2:$J$120,5,FALSE)-Q14+AH14,"")</f>
        <v/>
      </c>
      <c r="G14" s="74" t="str">
        <f>IFERROR(VLOOKUP($I$22&amp;$D14,'Database-Hidden'!$C$2:$J$120,6,FALSE)-R14+AI14,"")</f>
        <v/>
      </c>
      <c r="H14" s="75" t="str">
        <f>IFERROR(VLOOKUP($I$22&amp;$D14,'Database-Hidden'!$C$2:$J$120,7,FALSE)-S14+AJ14,"")</f>
        <v/>
      </c>
      <c r="I14" s="76" t="str">
        <f>IFERROR(VLOOKUP($I$22&amp;$D14,'Database-Hidden'!$C$2:$J$120,8,FALSE),"")</f>
        <v/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/>
      <c r="AC14" s="4"/>
      <c r="AD14" s="116" t="str">
        <f>IFERROR(VLOOKUP($I$22&amp;D14,'Database-Hidden'!$C$2:$E$120,3,FALSE),"")</f>
        <v/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  <c r="AX14" s="132"/>
    </row>
    <row r="15" spans="1:50" ht="12.75">
      <c r="A15" s="2"/>
      <c r="B15" s="70">
        <v>12</v>
      </c>
      <c r="C15" s="438" t="s">
        <v>557</v>
      </c>
      <c r="D15" s="72" t="s">
        <v>79</v>
      </c>
      <c r="E15" s="73">
        <f>IFERROR(VLOOKUP($I$22&amp;$D15,'Database-Hidden'!$C$2:$J$120,4,FALSE)-P15+AG15,"")</f>
        <v>4</v>
      </c>
      <c r="F15" s="74">
        <f>IFERROR(VLOOKUP($I$22&amp;$D15,'Database-Hidden'!$C$2:$J$120,5,FALSE)-Q15+AH15,"")</f>
        <v>3</v>
      </c>
      <c r="G15" s="74">
        <f>IFERROR(VLOOKUP($I$22&amp;$D15,'Database-Hidden'!$C$2:$J$120,6,FALSE)-R15+AI15,"")</f>
        <v>2</v>
      </c>
      <c r="H15" s="75">
        <f>IFERROR(VLOOKUP($I$22&amp;$D15,'Database-Hidden'!$C$2:$J$120,7,FALSE)-S15+AJ15,"")</f>
        <v>8</v>
      </c>
      <c r="I15" s="76" t="str">
        <f>IFERROR(VLOOKUP($I$22&amp;$D15,'Database-Hidden'!$C$2:$J$120,8,FALSE),"")</f>
        <v>Regeneration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/>
      <c r="X15" s="83"/>
      <c r="Y15" s="83"/>
      <c r="Z15" s="88"/>
      <c r="AA15" s="89">
        <f t="shared" si="1"/>
        <v>0</v>
      </c>
      <c r="AB15" s="58">
        <f t="shared" si="2"/>
        <v>40000</v>
      </c>
      <c r="AC15" s="4"/>
      <c r="AD15" s="116">
        <f>IFERROR(VLOOKUP($I$22&amp;D15,'Database-Hidden'!$C$2:$E$120,3,FALSE),"")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  <c r="AX15" s="132"/>
    </row>
    <row r="16" spans="1:50" ht="12.75">
      <c r="A16" s="2"/>
      <c r="B16" s="70">
        <v>13</v>
      </c>
      <c r="C16" s="438" t="s">
        <v>558</v>
      </c>
      <c r="D16" s="72" t="s">
        <v>79</v>
      </c>
      <c r="E16" s="73">
        <f>IFERROR(VLOOKUP($I$22&amp;$D16,'Database-Hidden'!$C$2:$J$120,4,FALSE)-P16+AG16,"")</f>
        <v>4</v>
      </c>
      <c r="F16" s="74">
        <f>IFERROR(VLOOKUP($I$22&amp;$D16,'Database-Hidden'!$C$2:$J$120,5,FALSE)-Q16+AH16,"")</f>
        <v>3</v>
      </c>
      <c r="G16" s="74">
        <f>IFERROR(VLOOKUP($I$22&amp;$D16,'Database-Hidden'!$C$2:$J$120,6,FALSE)-R16+AI16,"")</f>
        <v>2</v>
      </c>
      <c r="H16" s="75">
        <f>IFERROR(VLOOKUP($I$22&amp;$D16,'Database-Hidden'!$C$2:$J$120,7,FALSE)-S16+AJ16,"")</f>
        <v>8</v>
      </c>
      <c r="I16" s="76" t="str">
        <f>IFERROR(VLOOKUP($I$22&amp;$D16,'Database-Hidden'!$C$2:$J$120,8,FALSE),"")</f>
        <v>Regeneration</v>
      </c>
      <c r="J16" s="77"/>
      <c r="K16" s="78">
        <f t="shared" si="0"/>
        <v>0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6"/>
      <c r="W16" s="87"/>
      <c r="X16" s="83"/>
      <c r="Y16" s="83"/>
      <c r="Z16" s="88"/>
      <c r="AA16" s="89">
        <f t="shared" si="1"/>
        <v>0</v>
      </c>
      <c r="AB16" s="58">
        <f t="shared" si="2"/>
        <v>40000</v>
      </c>
      <c r="AC16" s="4"/>
      <c r="AD16" s="116">
        <f>IFERROR(VLOOKUP($I$22&amp;D16,'Database-Hidden'!$C$2:$E$120,3,FALSE),"")</f>
        <v>40000</v>
      </c>
      <c r="AE16" s="91"/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  <c r="AX16" s="132"/>
    </row>
    <row r="17" spans="1:50" ht="12.75">
      <c r="A17" s="2"/>
      <c r="B17" s="70">
        <v>14</v>
      </c>
      <c r="C17" s="457" t="s">
        <v>559</v>
      </c>
      <c r="D17" s="72" t="s">
        <v>79</v>
      </c>
      <c r="E17" s="73">
        <f>IFERROR(VLOOKUP($I$22&amp;$D17,'Database-Hidden'!$C$2:$J$120,4,FALSE)-P17+AG17,"")</f>
        <v>4</v>
      </c>
      <c r="F17" s="74">
        <f>IFERROR(VLOOKUP($I$22&amp;$D17,'Database-Hidden'!$C$2:$J$120,5,FALSE)-Q17+AH17,"")</f>
        <v>3</v>
      </c>
      <c r="G17" s="74">
        <f>IFERROR(VLOOKUP($I$22&amp;$D17,'Database-Hidden'!$C$2:$J$120,6,FALSE)-R17+AI17,"")</f>
        <v>2</v>
      </c>
      <c r="H17" s="75">
        <f>IFERROR(VLOOKUP($I$22&amp;$D17,'Database-Hidden'!$C$2:$J$120,7,FALSE)-S17+AJ17,"")</f>
        <v>8</v>
      </c>
      <c r="I17" s="76" t="str">
        <f>IFERROR(VLOOKUP($I$22&amp;$D17,'Database-Hidden'!$C$2:$J$120,8,FALSE),"")</f>
        <v>Regeneration</v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>
        <f t="shared" si="2"/>
        <v>40000</v>
      </c>
      <c r="AC17" s="4"/>
      <c r="AD17" s="116">
        <f>IFERROR(VLOOKUP($I$22&amp;D17,'Database-Hidden'!$C$2:$E$120,3,FALSE),"")</f>
        <v>40000</v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  <c r="AX17" s="132"/>
    </row>
    <row r="18" spans="1:50" ht="12.75">
      <c r="A18" s="2"/>
      <c r="B18" s="70">
        <v>15</v>
      </c>
      <c r="C18" s="457" t="s">
        <v>560</v>
      </c>
      <c r="D18" s="72" t="s">
        <v>79</v>
      </c>
      <c r="E18" s="73">
        <f>IFERROR(VLOOKUP($I$22&amp;$D18,'Database-Hidden'!$C$2:$J$120,4,FALSE)-P18+AG18,"")</f>
        <v>4</v>
      </c>
      <c r="F18" s="74">
        <f>IFERROR(VLOOKUP($I$22&amp;$D18,'Database-Hidden'!$C$2:$J$120,5,FALSE)-Q18+AH18,"")</f>
        <v>3</v>
      </c>
      <c r="G18" s="74">
        <f>IFERROR(VLOOKUP($I$22&amp;$D18,'Database-Hidden'!$C$2:$J$120,6,FALSE)-R18+AI18,"")</f>
        <v>2</v>
      </c>
      <c r="H18" s="75">
        <f>IFERROR(VLOOKUP($I$22&amp;$D18,'Database-Hidden'!$C$2:$J$120,7,FALSE)-S18+AJ18,"")</f>
        <v>8</v>
      </c>
      <c r="I18" s="76" t="str">
        <f>IFERROR(VLOOKUP($I$22&amp;$D18,'Database-Hidden'!$C$2:$J$120,8,FALSE),"")</f>
        <v>Regeneration</v>
      </c>
      <c r="J18" s="77"/>
      <c r="K18" s="78">
        <f t="shared" si="0"/>
        <v>0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6"/>
      <c r="W18" s="87"/>
      <c r="X18" s="83"/>
      <c r="Y18" s="83"/>
      <c r="Z18" s="88"/>
      <c r="AA18" s="89">
        <f t="shared" si="1"/>
        <v>0</v>
      </c>
      <c r="AB18" s="58">
        <f t="shared" si="2"/>
        <v>40000</v>
      </c>
      <c r="AC18" s="4"/>
      <c r="AD18" s="116">
        <f>IFERROR(VLOOKUP($I$22&amp;D18,'Database-Hidden'!$C$2:$E$120,3,FALSE),"")</f>
        <v>40000</v>
      </c>
      <c r="AE18" s="91"/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170000</v>
      </c>
      <c r="AP18" s="4"/>
      <c r="AQ18" s="4"/>
      <c r="AR18" s="67"/>
      <c r="AS18" s="148" t="s">
        <v>42</v>
      </c>
      <c r="AT18" s="150">
        <f t="shared" ref="AT18:AU18" si="3">SUM(AT6:AT17)</f>
        <v>4</v>
      </c>
      <c r="AU18" s="151">
        <f t="shared" si="3"/>
        <v>2</v>
      </c>
      <c r="AV18" s="152">
        <f>AV4+SUM(AV6:AV17)</f>
        <v>7</v>
      </c>
      <c r="AW18" s="5"/>
      <c r="AX18" s="5"/>
    </row>
    <row r="19" spans="1:50" ht="12.75">
      <c r="A19" s="2"/>
      <c r="B19" s="153">
        <v>16</v>
      </c>
      <c r="C19" s="458" t="s">
        <v>561</v>
      </c>
      <c r="D19" s="155" t="s">
        <v>79</v>
      </c>
      <c r="E19" s="156">
        <f>IFERROR(VLOOKUP($I$22&amp;$D19,'Database-Hidden'!$C$2:$J$120,4,FALSE)-P19+AG19,"")</f>
        <v>4</v>
      </c>
      <c r="F19" s="157">
        <f>IFERROR(VLOOKUP($I$22&amp;$D19,'Database-Hidden'!$C$2:$J$120,5,FALSE)-Q19+AH19,"")</f>
        <v>3</v>
      </c>
      <c r="G19" s="157">
        <f>IFERROR(VLOOKUP($I$22&amp;$D19,'Database-Hidden'!$C$2:$J$120,6,FALSE)-R19+AI19,"")</f>
        <v>2</v>
      </c>
      <c r="H19" s="159">
        <f>IFERROR(VLOOKUP($I$22&amp;$D19,'Database-Hidden'!$C$2:$J$120,7,FALSE)-S19+AJ19,"")</f>
        <v>8</v>
      </c>
      <c r="I19" s="160" t="str">
        <f>IFERROR(VLOOKUP($I$22&amp;$D19,'Database-Hidden'!$C$2:$J$120,8,FALSE),"")</f>
        <v>Regeneration</v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>
        <f t="shared" si="2"/>
        <v>40000</v>
      </c>
      <c r="AC19" s="4"/>
      <c r="AD19" s="174">
        <f>IFERROR(VLOOKUP($I$22&amp;D19,'Database-Hidden'!$C$2:$E$120,3,FALSE),"")</f>
        <v>40000</v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</row>
    <row r="20" spans="1:50" ht="12.75">
      <c r="B20" s="586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1140000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spans="1:50" ht="12.75">
      <c r="A21" s="2"/>
      <c r="B21" s="531"/>
      <c r="C21" s="507"/>
      <c r="D21" s="532"/>
      <c r="E21" s="581" t="s">
        <v>117</v>
      </c>
      <c r="F21" s="525"/>
      <c r="G21" s="525"/>
      <c r="H21" s="540"/>
      <c r="I21" s="582" t="s">
        <v>31</v>
      </c>
      <c r="J21" s="525"/>
      <c r="K21" s="528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IFERROR(VLOOKUP(I22,'Database-Hidden'!N2:O28,2,FALSE),"")</f>
        <v>70000</v>
      </c>
      <c r="W21" s="525"/>
      <c r="X21" s="525"/>
      <c r="Y21" s="525"/>
      <c r="Z21" s="525"/>
      <c r="AA21" s="528"/>
      <c r="AB21" s="184">
        <f t="shared" ref="AB21:AB24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12.75">
      <c r="A22" s="2"/>
      <c r="B22" s="531"/>
      <c r="C22" s="507"/>
      <c r="D22" s="532"/>
      <c r="E22" s="529" t="s">
        <v>126</v>
      </c>
      <c r="F22" s="509"/>
      <c r="G22" s="509"/>
      <c r="H22" s="512"/>
      <c r="I22" s="543" t="s">
        <v>32</v>
      </c>
      <c r="J22" s="509"/>
      <c r="K22" s="510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7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70000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170000</v>
      </c>
      <c r="AP22" s="4"/>
      <c r="AQ22" s="4"/>
      <c r="AR22" s="4"/>
      <c r="AS22" s="4"/>
      <c r="AT22" s="4"/>
      <c r="AU22" s="4"/>
      <c r="AV22" s="4"/>
      <c r="AW22" s="4"/>
      <c r="AX22" s="4"/>
    </row>
    <row r="23" spans="1:50" ht="12.75">
      <c r="A23" s="2"/>
      <c r="B23" s="531"/>
      <c r="C23" s="507"/>
      <c r="D23" s="532"/>
      <c r="E23" s="529" t="str">
        <f>IFERROR(IF(VLOOKUP(I22,'Database-Hidden'!X2:Y28,2,FALSE)="Yes","NECROMANCER","HEAD COACH"),"HEAD COACH")</f>
        <v>NECROMANCER</v>
      </c>
      <c r="F23" s="509"/>
      <c r="G23" s="509"/>
      <c r="H23" s="512"/>
      <c r="I23" s="543" t="s">
        <v>552</v>
      </c>
      <c r="J23" s="509"/>
      <c r="K23" s="510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2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20000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20000</v>
      </c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12.75">
      <c r="A24" s="2"/>
      <c r="B24" s="531"/>
      <c r="C24" s="507"/>
      <c r="D24" s="532"/>
      <c r="E24" s="529" t="s">
        <v>131</v>
      </c>
      <c r="F24" s="509"/>
      <c r="G24" s="509"/>
      <c r="H24" s="512"/>
      <c r="I24" s="548">
        <f>AB20+AB26</f>
        <v>1460000</v>
      </c>
      <c r="J24" s="509"/>
      <c r="K24" s="510"/>
      <c r="L24" s="513" t="s">
        <v>128</v>
      </c>
      <c r="M24" s="509"/>
      <c r="N24" s="509"/>
      <c r="O24" s="509"/>
      <c r="P24" s="509"/>
      <c r="Q24" s="509"/>
      <c r="R24" s="509"/>
      <c r="S24" s="514"/>
      <c r="T24" s="190">
        <v>2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20000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20000</v>
      </c>
      <c r="AP24" s="4"/>
      <c r="AQ24" s="4"/>
      <c r="AR24" s="4"/>
      <c r="AS24" s="4"/>
      <c r="AT24" s="4"/>
      <c r="AU24" s="4"/>
      <c r="AV24" s="4"/>
      <c r="AW24" s="4"/>
      <c r="AX24" s="4"/>
    </row>
    <row r="25" spans="1:50" ht="12.75">
      <c r="A25" s="2"/>
      <c r="B25" s="531"/>
      <c r="C25" s="507"/>
      <c r="D25" s="532"/>
      <c r="E25" s="541" t="s">
        <v>133</v>
      </c>
      <c r="F25" s="542"/>
      <c r="G25" s="542"/>
      <c r="H25" s="547"/>
      <c r="I25" s="549">
        <f>AO18</f>
        <v>170000</v>
      </c>
      <c r="J25" s="542"/>
      <c r="K25" s="547"/>
      <c r="L25" s="544" t="str">
        <f>IFERROR(IF(VLOOKUP(I22,'Database-Hidden'!X2:Y28,1,FALSE)&lt;&gt;"","",""),"APOTHECARY")</f>
        <v/>
      </c>
      <c r="M25" s="542"/>
      <c r="N25" s="542"/>
      <c r="O25" s="542"/>
      <c r="P25" s="542"/>
      <c r="Q25" s="542"/>
      <c r="R25" s="542"/>
      <c r="S25" s="545"/>
      <c r="T25" s="198"/>
      <c r="U25" s="186" t="str">
        <f>IF(L25&lt;&gt;"","x","")</f>
        <v/>
      </c>
      <c r="V25" s="546" t="str">
        <f>IF(L25&lt;&gt;"",50000,"")</f>
        <v/>
      </c>
      <c r="W25" s="542"/>
      <c r="X25" s="542"/>
      <c r="Y25" s="542"/>
      <c r="Z25" s="542"/>
      <c r="AA25" s="547"/>
      <c r="AB25" s="187"/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10000</v>
      </c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12.75">
      <c r="A26" s="2"/>
      <c r="B26" s="533"/>
      <c r="C26" s="534"/>
      <c r="D26" s="535"/>
      <c r="E26" s="522" t="s">
        <v>135</v>
      </c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  <c r="T26" s="523"/>
      <c r="U26" s="523"/>
      <c r="V26" s="523"/>
      <c r="W26" s="523"/>
      <c r="X26" s="523"/>
      <c r="Y26" s="523"/>
      <c r="Z26" s="523"/>
      <c r="AA26" s="521"/>
      <c r="AB26" s="180">
        <f>SUM(AB21:AB25)</f>
        <v>320000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220000</v>
      </c>
      <c r="AP26" s="4"/>
      <c r="AQ26" s="4"/>
      <c r="AR26" s="4"/>
      <c r="AS26" s="4"/>
      <c r="AT26" s="4"/>
      <c r="AU26" s="4"/>
      <c r="AV26" s="4"/>
      <c r="AW26" s="4"/>
      <c r="AX26" s="4"/>
    </row>
    <row r="27" spans="1:50" ht="8.25" customHeight="1">
      <c r="A27" s="4"/>
      <c r="B27" s="5"/>
      <c r="C27" s="200"/>
      <c r="D27" s="200"/>
      <c r="E27" s="201"/>
      <c r="F27" s="4"/>
      <c r="G27" s="4"/>
      <c r="H27" s="4"/>
      <c r="I27" s="202"/>
      <c r="J27" s="203"/>
      <c r="K27" s="4"/>
      <c r="L27" s="204"/>
      <c r="M27" s="204"/>
      <c r="N27" s="204"/>
      <c r="O27" s="204"/>
      <c r="P27" s="204"/>
      <c r="Q27" s="204"/>
      <c r="R27" s="204"/>
      <c r="S27" s="204"/>
      <c r="T27" s="205"/>
      <c r="U27" s="206"/>
      <c r="V27" s="9"/>
      <c r="W27" s="207"/>
      <c r="X27" s="207"/>
      <c r="Y27" s="207"/>
      <c r="Z27" s="207"/>
      <c r="AA27" s="207"/>
      <c r="AB27" s="20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17.25" hidden="1" customHeight="1">
      <c r="C28" s="209">
        <f>MATCH(I22,'Database-Hidden'!A2:A120,0)</f>
        <v>103</v>
      </c>
      <c r="D28" s="209" t="str">
        <f t="shared" ref="D28:D37" si="5">I28&amp;IF(COUNTIF(D$4:D$19,I28)&gt;E28," (Too Many)","")</f>
        <v>Skeleton</v>
      </c>
      <c r="E28" s="210">
        <f t="array" ref="E28">IFERROR(IF(INDEX('Database-Hidden'!$A$2:$B$120,$C28,1)=$I$22,INDEX('Database-Hidden'!$A$2:$D$120,$C28,4),""),"")</f>
        <v>16</v>
      </c>
      <c r="I28" s="209" t="str">
        <f t="array" ref="I28">IFERROR(IF(INDEX('Database-Hidden'!$A$2:$B$120,$C28,1)=$I$22,INDEX('Database-Hidden'!$A$2:$B$120,$C28,2),""),"")</f>
        <v>Skeleton</v>
      </c>
    </row>
    <row r="29" spans="1:50" ht="17.25" hidden="1" customHeight="1">
      <c r="C29" s="209">
        <f t="shared" ref="C29:C37" si="6">C28+1</f>
        <v>104</v>
      </c>
      <c r="D29" s="209" t="str">
        <f t="shared" si="5"/>
        <v>Zombie</v>
      </c>
      <c r="E29" s="210">
        <f t="array" ref="E29">IFERROR(IF(INDEX('Database-Hidden'!$A$2:$B$120,$C29,1)=$I$22,INDEX('Database-Hidden'!$A$2:$D$120,$C29,4),""),"")</f>
        <v>16</v>
      </c>
      <c r="I29" s="209" t="str">
        <f t="array" ref="I29">IFERROR(IF(INDEX('Database-Hidden'!$A$2:$B$120,$C29,1)=$I$22,INDEX('Database-Hidden'!$A$2:$B$120,$C29,2),""),"")</f>
        <v>Zombie</v>
      </c>
    </row>
    <row r="30" spans="1:50" ht="17.25" hidden="1" customHeight="1">
      <c r="C30" s="209">
        <f t="shared" si="6"/>
        <v>105</v>
      </c>
      <c r="D30" s="209" t="str">
        <f t="shared" si="5"/>
        <v>Ghoul</v>
      </c>
      <c r="E30" s="210">
        <f t="array" ref="E30">IFERROR(IF(INDEX('Database-Hidden'!$A$2:$B$120,$C30,1)=$I$22,INDEX('Database-Hidden'!$A$2:$D$120,$C30,4),""),"")</f>
        <v>4</v>
      </c>
      <c r="I30" s="209" t="str">
        <f t="array" ref="I30">IFERROR(IF(INDEX('Database-Hidden'!$A$2:$B$120,$C30,1)=$I$22,INDEX('Database-Hidden'!$A$2:$B$120,$C30,2),""),"")</f>
        <v>Ghoul</v>
      </c>
    </row>
    <row r="31" spans="1:50" ht="17.25" hidden="1" customHeight="1">
      <c r="C31" s="209">
        <f t="shared" si="6"/>
        <v>106</v>
      </c>
      <c r="D31" s="209" t="str">
        <f t="shared" si="5"/>
        <v>Wight</v>
      </c>
      <c r="E31" s="210">
        <f t="array" ref="E31">IFERROR(IF(INDEX('Database-Hidden'!$A$2:$B$120,$C31,1)=$I$22,INDEX('Database-Hidden'!$A$2:$D$120,$C31,4),""),"")</f>
        <v>2</v>
      </c>
      <c r="I31" s="209" t="str">
        <f t="array" ref="I31">IFERROR(IF(INDEX('Database-Hidden'!$A$2:$B$120,$C31,1)=$I$22,INDEX('Database-Hidden'!$A$2:$B$120,$C31,2),""),"")</f>
        <v>Wight</v>
      </c>
    </row>
    <row r="32" spans="1:50" ht="17.25" hidden="1" customHeight="1">
      <c r="C32" s="209">
        <f t="shared" si="6"/>
        <v>107</v>
      </c>
      <c r="D32" s="209" t="str">
        <f t="shared" si="5"/>
        <v>Mummy</v>
      </c>
      <c r="E32" s="210">
        <f t="array" ref="E32">IFERROR(IF(INDEX('Database-Hidden'!$A$2:$B$120,$C32,1)=$I$22,INDEX('Database-Hidden'!$A$2:$D$120,$C32,4),""),"")</f>
        <v>2</v>
      </c>
      <c r="I32" s="209" t="str">
        <f t="array" ref="I32">IFERROR(IF(INDEX('Database-Hidden'!$A$2:$B$120,$C32,1)=$I$22,INDEX('Database-Hidden'!$A$2:$B$120,$C32,2),""),"")</f>
        <v>Mummy</v>
      </c>
    </row>
    <row r="33" spans="3:9" ht="17.25" hidden="1" customHeight="1">
      <c r="C33" s="209">
        <f t="shared" si="6"/>
        <v>108</v>
      </c>
      <c r="D33" s="209" t="str">
        <f t="shared" si="5"/>
        <v/>
      </c>
      <c r="E33" s="210" t="str">
        <f t="array" ref="E33">IFERROR(IF(INDEX('Database-Hidden'!$A$2:$B$120,$C33,1)=$I$22,INDEX('Database-Hidden'!$A$2:$D$120,$C33,4),""),"")</f>
        <v/>
      </c>
      <c r="I33" s="209" t="str">
        <f t="array" ref="I33">IFERROR(IF(INDEX('Database-Hidden'!$A$2:$B$120,$C33,1)=$I$22,INDEX('Database-Hidden'!$A$2:$B$120,$C33,2),""),"")</f>
        <v/>
      </c>
    </row>
    <row r="34" spans="3:9" ht="17.25" hidden="1" customHeight="1">
      <c r="C34" s="209">
        <f t="shared" si="6"/>
        <v>109</v>
      </c>
      <c r="D34" s="209" t="str">
        <f t="shared" si="5"/>
        <v/>
      </c>
      <c r="E34" s="210" t="str">
        <f t="array" ref="E34">IFERROR(IF(INDEX('Database-Hidden'!$A$2:$B$120,$C34,1)=$I$22,INDEX('Database-Hidden'!$A$2:$D$120,$C34,4),""),"")</f>
        <v/>
      </c>
      <c r="I34" s="209" t="str">
        <f t="array" ref="I34">IFERROR(IF(INDEX('Database-Hidden'!$A$2:$B$120,$C34,1)=$I$22,INDEX('Database-Hidden'!$A$2:$B$120,$C34,2),""),"")</f>
        <v/>
      </c>
    </row>
    <row r="35" spans="3:9" ht="17.25" hidden="1" customHeight="1">
      <c r="C35" s="209">
        <f t="shared" si="6"/>
        <v>110</v>
      </c>
      <c r="D35" s="209" t="str">
        <f t="shared" si="5"/>
        <v/>
      </c>
      <c r="E35" s="210" t="str">
        <f t="array" ref="E35">IFERROR(IF(INDEX('Database-Hidden'!$A$2:$B$120,$C35,1)=$I$22,INDEX('Database-Hidden'!$A$2:$D$120,$C35,4),""),"")</f>
        <v/>
      </c>
      <c r="I35" s="209" t="str">
        <f t="array" ref="I35">IFERROR(IF(INDEX('Database-Hidden'!$A$2:$B$120,$C35,1)=$I$22,INDEX('Database-Hidden'!$A$2:$B$120,$C35,2),""),"")</f>
        <v/>
      </c>
    </row>
    <row r="36" spans="3:9" ht="17.25" hidden="1" customHeight="1">
      <c r="C36" s="209">
        <f t="shared" si="6"/>
        <v>111</v>
      </c>
      <c r="D36" s="209" t="str">
        <f t="shared" si="5"/>
        <v/>
      </c>
      <c r="E36" s="210" t="str">
        <f t="array" ref="E36">IFERROR(IF(INDEX('Database-Hidden'!$A$2:$B$120,$C36,1)=$I$22,INDEX('Database-Hidden'!$A$2:$D$120,$C36,4),""),"")</f>
        <v/>
      </c>
      <c r="I36" s="209" t="str">
        <f t="array" ref="I36">IFERROR(IF(INDEX('Database-Hidden'!$A$2:$B$120,$C36,1)=$I$22,INDEX('Database-Hidden'!$A$2:$B$120,$C36,2),""),"")</f>
        <v/>
      </c>
    </row>
    <row r="37" spans="3:9" ht="17.25" hidden="1" customHeight="1">
      <c r="C37" s="209">
        <f t="shared" si="6"/>
        <v>112</v>
      </c>
      <c r="D37" s="209" t="str">
        <f t="shared" si="5"/>
        <v/>
      </c>
      <c r="E37" s="210" t="str">
        <f t="array" ref="E37">IFERROR(IF(INDEX('Database-Hidden'!$A$2:$B$120,$C37,1)=$I$22,INDEX('Database-Hidden'!$A$2:$D$120,$C37,4),""),"")</f>
        <v/>
      </c>
      <c r="I37" s="209" t="str">
        <f t="array" ref="I37">IFERROR(IF(INDEX('Database-Hidden'!$A$2:$B$120,$C37,1)=$I$22,INDEX('Database-Hidden'!$A$2:$B$120,$C37,2),""),"")</f>
        <v/>
      </c>
    </row>
    <row r="38" spans="3:9" ht="17.25" hidden="1" customHeight="1">
      <c r="C38" s="211">
        <f>MATCH(I22,'Star Players-Hidden'!D2:AD2,0)</f>
        <v>24</v>
      </c>
      <c r="D38" s="211" t="str">
        <f t="shared" ref="D38:D49" ca="1" si="7">I38&amp;IF(COUNTIF(D$4:D$19,I38)&gt;1," (Too Many)","")</f>
        <v>Star: Count Luther Von Drakenborg</v>
      </c>
      <c r="E38" s="212"/>
      <c r="F38" s="212"/>
      <c r="G38" s="212"/>
      <c r="H38" s="212"/>
      <c r="I38" s="211" t="str">
        <f ca="1">IFERROR(__xludf.DUMMYFUNCTION("FILTER({""Star: ""&amp;'Star Players-Hidden'!A3:A87},INDEX('Star Players-Hidden'!D3:AD87,0,C38)&lt;&gt;"""",{'Star Players-Hidden'!C3:C87=""""}+{'Star Players-Hidden'!C3:C87=I21})"),"Star: Count Luther Von Drakenborg")</f>
        <v>Star: Count Luther Von Drakenborg</v>
      </c>
    </row>
    <row r="39" spans="3:9" ht="17.25" hidden="1" customHeight="1">
      <c r="C39" s="209"/>
      <c r="D39" s="209" t="str">
        <f t="shared" si="7"/>
        <v>Star: Hack Enslash</v>
      </c>
      <c r="I39" s="213" t="s">
        <v>136</v>
      </c>
    </row>
    <row r="40" spans="3:9" ht="17.25" hidden="1" customHeight="1">
      <c r="C40" s="209"/>
      <c r="D40" s="209" t="str">
        <f t="shared" si="7"/>
        <v>Star: J Earlice</v>
      </c>
      <c r="I40" s="209" t="s">
        <v>137</v>
      </c>
    </row>
    <row r="41" spans="3:9" ht="17.25" hidden="1" customHeight="1">
      <c r="C41" s="209"/>
      <c r="D41" s="209" t="str">
        <f t="shared" si="7"/>
        <v>Star: Ramtut III</v>
      </c>
      <c r="I41" s="209" t="s">
        <v>138</v>
      </c>
    </row>
    <row r="42" spans="3:9" ht="17.25" hidden="1" customHeight="1">
      <c r="C42" s="209"/>
      <c r="D42" s="209" t="str">
        <f t="shared" si="7"/>
        <v>Star: Setekh</v>
      </c>
      <c r="I42" s="209" t="s">
        <v>140</v>
      </c>
    </row>
    <row r="43" spans="3:9" ht="17.25" hidden="1" customHeight="1">
      <c r="C43" s="209"/>
      <c r="D43" s="209" t="str">
        <f t="shared" si="7"/>
        <v>Star: Sinnedbad</v>
      </c>
      <c r="I43" s="209" t="s">
        <v>141</v>
      </c>
    </row>
    <row r="44" spans="3:9" ht="17.25" hidden="1" customHeight="1">
      <c r="C44" s="209"/>
      <c r="D44" s="209" t="str">
        <f t="shared" si="7"/>
        <v/>
      </c>
      <c r="I44" s="209"/>
    </row>
    <row r="45" spans="3:9" ht="17.25" hidden="1" customHeight="1">
      <c r="C45" s="209"/>
      <c r="D45" s="209" t="str">
        <f t="shared" si="7"/>
        <v/>
      </c>
      <c r="I45" s="209"/>
    </row>
    <row r="46" spans="3:9" ht="17.25" hidden="1" customHeight="1">
      <c r="C46" s="209"/>
      <c r="D46" s="209" t="str">
        <f t="shared" si="7"/>
        <v/>
      </c>
      <c r="I46" s="209"/>
    </row>
    <row r="47" spans="3:9" ht="17.25" hidden="1" customHeight="1">
      <c r="C47" s="209"/>
      <c r="D47" s="209" t="str">
        <f t="shared" si="7"/>
        <v/>
      </c>
      <c r="I47" s="209"/>
    </row>
    <row r="48" spans="3:9" ht="17.25" hidden="1" customHeight="1">
      <c r="C48" s="209"/>
      <c r="D48" s="209" t="str">
        <f t="shared" si="7"/>
        <v/>
      </c>
      <c r="I48" s="209"/>
    </row>
    <row r="49" spans="3:9" ht="17.25" hidden="1" customHeight="1">
      <c r="C49" s="209"/>
      <c r="D49" s="209" t="str">
        <f t="shared" si="7"/>
        <v/>
      </c>
      <c r="I49" s="209"/>
    </row>
  </sheetData>
  <mergeCells count="27">
    <mergeCell ref="AN3:AQ3"/>
    <mergeCell ref="P2:S2"/>
    <mergeCell ref="AR3:AV3"/>
    <mergeCell ref="V21:AA21"/>
    <mergeCell ref="AN21:AO21"/>
    <mergeCell ref="E20:AA20"/>
    <mergeCell ref="L21:S21"/>
    <mergeCell ref="L25:S25"/>
    <mergeCell ref="E26:AA26"/>
    <mergeCell ref="V24:AA24"/>
    <mergeCell ref="V23:AA23"/>
    <mergeCell ref="V22:AA22"/>
    <mergeCell ref="V25:AA25"/>
    <mergeCell ref="L23:S23"/>
    <mergeCell ref="L24:S24"/>
    <mergeCell ref="L22:S22"/>
    <mergeCell ref="E24:H24"/>
    <mergeCell ref="B20:D26"/>
    <mergeCell ref="I22:K22"/>
    <mergeCell ref="E22:H22"/>
    <mergeCell ref="E25:H25"/>
    <mergeCell ref="I25:K25"/>
    <mergeCell ref="I23:K23"/>
    <mergeCell ref="E23:H23"/>
    <mergeCell ref="I24:K24"/>
    <mergeCell ref="E21:H21"/>
    <mergeCell ref="I21:K21"/>
  </mergeCells>
  <conditionalFormatting sqref="J4">
    <cfRule type="expression" dxfId="88" priority="1">
      <formula>K4&lt;&gt;SUM(AE4:AJ4)</formula>
    </cfRule>
  </conditionalFormatting>
  <conditionalFormatting sqref="K4:K19">
    <cfRule type="cellIs" dxfId="87" priority="2" operator="equal">
      <formula>0</formula>
    </cfRule>
  </conditionalFormatting>
  <conditionalFormatting sqref="AB4:AB19">
    <cfRule type="cellIs" dxfId="86" priority="3" operator="equal">
      <formula>0</formula>
    </cfRule>
  </conditionalFormatting>
  <conditionalFormatting sqref="E4:H19">
    <cfRule type="expression" dxfId="85" priority="4">
      <formula>AG4&gt;0</formula>
    </cfRule>
  </conditionalFormatting>
  <conditionalFormatting sqref="E4:H19">
    <cfRule type="expression" dxfId="84" priority="5">
      <formula>P4&gt;0</formula>
    </cfRule>
  </conditionalFormatting>
  <conditionalFormatting sqref="T4:T19 U4:U19 V4:W19 Z4:Z19 U27">
    <cfRule type="cellIs" dxfId="83" priority="6" stopIfTrue="1" operator="equal">
      <formula>0</formula>
    </cfRule>
  </conditionalFormatting>
  <conditionalFormatting sqref="K4:K19">
    <cfRule type="cellIs" dxfId="82" priority="7" stopIfTrue="1" operator="equal">
      <formula>"n/a"</formula>
    </cfRule>
  </conditionalFormatting>
  <conditionalFormatting sqref="P4:S19">
    <cfRule type="cellIs" dxfId="81" priority="8" stopIfTrue="1" operator="lessThanOrEqual">
      <formula>-1</formula>
    </cfRule>
  </conditionalFormatting>
  <conditionalFormatting sqref="V25:W25">
    <cfRule type="cellIs" dxfId="80" priority="9" stopIfTrue="1" operator="equal">
      <formula>-500</formula>
    </cfRule>
  </conditionalFormatting>
  <conditionalFormatting sqref="T25">
    <cfRule type="cellIs" dxfId="79" priority="10" stopIfTrue="1" operator="greaterThan">
      <formula>$V$25</formula>
    </cfRule>
  </conditionalFormatting>
  <conditionalFormatting sqref="AA4:AA19">
    <cfRule type="cellIs" dxfId="78" priority="11" stopIfTrue="1" operator="equal">
      <formula>"Star"</formula>
    </cfRule>
  </conditionalFormatting>
  <conditionalFormatting sqref="AA4:AA19">
    <cfRule type="cellIs" dxfId="77" priority="12" stopIfTrue="1" operator="equal">
      <formula>AB4</formula>
    </cfRule>
  </conditionalFormatting>
  <conditionalFormatting sqref="I4:I19">
    <cfRule type="cellIs" dxfId="76" priority="13" stopIfTrue="1" operator="equal">
      <formula>0</formula>
    </cfRule>
  </conditionalFormatting>
  <conditionalFormatting sqref="I4:I19">
    <cfRule type="cellIs" dxfId="75" priority="14" stopIfTrue="1" operator="equal">
      <formula>"Player type quantity surpassed"</formula>
    </cfRule>
  </conditionalFormatting>
  <conditionalFormatting sqref="J5">
    <cfRule type="expression" dxfId="74" priority="15">
      <formula>K5&lt;&gt;SUM(AE5:AJ5)</formula>
    </cfRule>
  </conditionalFormatting>
  <conditionalFormatting sqref="J6">
    <cfRule type="expression" dxfId="73" priority="16">
      <formula>K6&lt;&gt;SUM(AE6:AJ6)</formula>
    </cfRule>
  </conditionalFormatting>
  <conditionalFormatting sqref="J7">
    <cfRule type="expression" dxfId="72" priority="17">
      <formula>K7&lt;&gt;SUM(AE7:AJ7)</formula>
    </cfRule>
  </conditionalFormatting>
  <conditionalFormatting sqref="J8">
    <cfRule type="expression" dxfId="71" priority="18">
      <formula>K8&lt;&gt;SUM(AE8:AJ8)</formula>
    </cfRule>
  </conditionalFormatting>
  <conditionalFormatting sqref="J9">
    <cfRule type="expression" dxfId="70" priority="19">
      <formula>K9&lt;&gt;SUM(AE9:AJ9)</formula>
    </cfRule>
  </conditionalFormatting>
  <conditionalFormatting sqref="J10">
    <cfRule type="expression" dxfId="69" priority="20">
      <formula>K10&lt;&gt;SUM(AE10:AJ10)</formula>
    </cfRule>
  </conditionalFormatting>
  <conditionalFormatting sqref="J11">
    <cfRule type="expression" dxfId="68" priority="21">
      <formula>K11&lt;&gt;SUM(AE11:AJ11)</formula>
    </cfRule>
  </conditionalFormatting>
  <conditionalFormatting sqref="J12">
    <cfRule type="expression" dxfId="67" priority="22">
      <formula>K12&lt;&gt;SUM(AE12:AJ12)</formula>
    </cfRule>
  </conditionalFormatting>
  <conditionalFormatting sqref="J13">
    <cfRule type="expression" dxfId="66" priority="23">
      <formula>K13&lt;&gt;SUM(AE13:AJ13)</formula>
    </cfRule>
  </conditionalFormatting>
  <conditionalFormatting sqref="J14">
    <cfRule type="expression" dxfId="65" priority="24">
      <formula>K14&lt;&gt;SUM(AE14:AJ14)</formula>
    </cfRule>
  </conditionalFormatting>
  <conditionalFormatting sqref="J15">
    <cfRule type="expression" dxfId="64" priority="25">
      <formula>K15&lt;&gt;SUM(AE15:AJ15)</formula>
    </cfRule>
  </conditionalFormatting>
  <conditionalFormatting sqref="J16">
    <cfRule type="expression" dxfId="63" priority="26">
      <formula>K16&lt;&gt;SUM(AE16:AJ16)</formula>
    </cfRule>
  </conditionalFormatting>
  <conditionalFormatting sqref="J17">
    <cfRule type="expression" dxfId="62" priority="27">
      <formula>K17&lt;&gt;SUM(AE17:AJ17)</formula>
    </cfRule>
  </conditionalFormatting>
  <conditionalFormatting sqref="J18">
    <cfRule type="expression" dxfId="61" priority="28">
      <formula>K18&lt;&gt;SUM(AE18:AJ18)</formula>
    </cfRule>
  </conditionalFormatting>
  <conditionalFormatting sqref="J19">
    <cfRule type="expression" dxfId="60" priority="29">
      <formula>K19&lt;&gt;SUM(AE19:AJ19)</formula>
    </cfRule>
  </conditionalFormatting>
  <dataValidations count="2">
    <dataValidation type="list" allowBlank="1" showErrorMessage="1" sqref="D4:D19">
      <formula1>'TL2'!$D$28:$D$49</formula1>
    </dataValidation>
    <dataValidation type="list" allowBlank="1" showErrorMessage="1" sqref="I22">
      <formula1>'Database-Hidden'!$N$2:$N$28</formula1>
    </dataValidation>
  </dataValidations>
  <printOptions horizontalCentered="1" gridLines="1"/>
  <pageMargins left="0.7" right="0.7" top="0.75" bottom="0.75" header="0" footer="0"/>
  <pageSetup fitToHeight="0" pageOrder="overThenDown" orientation="landscape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W51"/>
  <sheetViews>
    <sheetView showGridLines="0" workbookViewId="0">
      <selection activeCell="I25" sqref="I25:K25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9" width="6.42578125" customWidth="1"/>
    <col min="40" max="40" width="12.7109375" customWidth="1"/>
    <col min="41" max="41" width="11.42578125" customWidth="1"/>
    <col min="42" max="43" width="10.7109375" customWidth="1"/>
    <col min="44" max="44" width="28" customWidth="1"/>
    <col min="45" max="46" width="10.7109375" customWidth="1"/>
    <col min="47" max="47" width="12.28515625" customWidth="1"/>
    <col min="48" max="48" width="10.7109375" customWidth="1"/>
    <col min="49" max="49" width="2.28515625" customWidth="1"/>
  </cols>
  <sheetData>
    <row r="1" spans="1:49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4"/>
    </row>
    <row r="2" spans="1:49" ht="9.75" customHeight="1">
      <c r="A2" s="4"/>
      <c r="B2" s="5"/>
      <c r="C2" s="5"/>
      <c r="D2" s="6"/>
      <c r="E2" s="5"/>
      <c r="F2" s="5"/>
      <c r="G2" s="5"/>
      <c r="H2" s="5"/>
      <c r="I2" s="5"/>
      <c r="J2" s="5"/>
      <c r="K2" s="1"/>
      <c r="L2" s="5"/>
      <c r="M2" s="7"/>
      <c r="N2" s="7"/>
      <c r="O2" s="7"/>
      <c r="P2" s="517" t="s">
        <v>1</v>
      </c>
      <c r="Q2" s="518"/>
      <c r="R2" s="518"/>
      <c r="S2" s="519"/>
      <c r="T2" s="8"/>
      <c r="U2" s="8"/>
      <c r="V2" s="8"/>
      <c r="W2" s="8"/>
      <c r="X2" s="9"/>
      <c r="Y2" s="8"/>
      <c r="Z2" s="8"/>
      <c r="AA2" s="5"/>
      <c r="AB2" s="5"/>
      <c r="AC2" s="4"/>
      <c r="AD2" s="5"/>
      <c r="AE2" s="7"/>
      <c r="AF2" s="7"/>
      <c r="AG2" s="10"/>
      <c r="AH2" s="11"/>
      <c r="AI2" s="11"/>
      <c r="AJ2" s="11"/>
      <c r="AK2" s="11"/>
      <c r="AL2" s="4"/>
      <c r="AM2" s="4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8.25" customHeight="1">
      <c r="A3" s="2"/>
      <c r="B3" s="13" t="s">
        <v>4</v>
      </c>
      <c r="C3" s="14" t="s">
        <v>5</v>
      </c>
      <c r="D3" s="15" t="s">
        <v>14</v>
      </c>
      <c r="E3" s="16" t="s">
        <v>7</v>
      </c>
      <c r="F3" s="17" t="s">
        <v>8</v>
      </c>
      <c r="G3" s="18" t="s">
        <v>9</v>
      </c>
      <c r="H3" s="19" t="s">
        <v>10</v>
      </c>
      <c r="I3" s="20" t="s">
        <v>16</v>
      </c>
      <c r="J3" s="21" t="s">
        <v>19</v>
      </c>
      <c r="K3" s="22" t="s">
        <v>4</v>
      </c>
      <c r="L3" s="23" t="s">
        <v>20</v>
      </c>
      <c r="M3" s="24" t="s">
        <v>23</v>
      </c>
      <c r="N3" s="24" t="s">
        <v>25</v>
      </c>
      <c r="O3" s="25" t="s">
        <v>28</v>
      </c>
      <c r="P3" s="26" t="s">
        <v>7</v>
      </c>
      <c r="Q3" s="27" t="s">
        <v>8</v>
      </c>
      <c r="R3" s="27" t="s">
        <v>9</v>
      </c>
      <c r="S3" s="28" t="s">
        <v>10</v>
      </c>
      <c r="T3" s="29" t="s">
        <v>30</v>
      </c>
      <c r="U3" s="30" t="s">
        <v>33</v>
      </c>
      <c r="V3" s="30" t="s">
        <v>11</v>
      </c>
      <c r="W3" s="30" t="s">
        <v>34</v>
      </c>
      <c r="X3" s="31" t="s">
        <v>35</v>
      </c>
      <c r="Y3" s="25" t="s">
        <v>36</v>
      </c>
      <c r="Z3" s="32" t="s">
        <v>12</v>
      </c>
      <c r="AA3" s="33" t="s">
        <v>13</v>
      </c>
      <c r="AB3" s="34" t="s">
        <v>38</v>
      </c>
      <c r="AC3" s="4"/>
      <c r="AD3" s="13" t="s">
        <v>43</v>
      </c>
      <c r="AE3" s="20" t="s">
        <v>23</v>
      </c>
      <c r="AF3" s="35" t="s">
        <v>45</v>
      </c>
      <c r="AG3" s="36" t="str">
        <f>"+MA"</f>
        <v>+MA</v>
      </c>
      <c r="AH3" s="37" t="str">
        <f>"+ST"</f>
        <v>+ST</v>
      </c>
      <c r="AI3" s="37" t="str">
        <f>"+AG"</f>
        <v>+AG</v>
      </c>
      <c r="AJ3" s="37" t="str">
        <f>"+AV"</f>
        <v>+AV</v>
      </c>
      <c r="AK3" s="38" t="s">
        <v>51</v>
      </c>
      <c r="AL3" s="39" t="s">
        <v>52</v>
      </c>
      <c r="AM3" s="4"/>
      <c r="AN3" s="516" t="s">
        <v>53</v>
      </c>
      <c r="AO3" s="507"/>
      <c r="AP3" s="507"/>
      <c r="AQ3" s="507"/>
      <c r="AR3" s="506" t="s">
        <v>54</v>
      </c>
      <c r="AS3" s="507"/>
      <c r="AT3" s="507"/>
      <c r="AU3" s="507"/>
      <c r="AV3" s="507"/>
      <c r="AW3" s="12"/>
    </row>
    <row r="4" spans="1:49" ht="12.75">
      <c r="A4" s="2"/>
      <c r="B4" s="40">
        <v>1</v>
      </c>
      <c r="C4" s="41" t="s">
        <v>562</v>
      </c>
      <c r="D4" s="42" t="s">
        <v>242</v>
      </c>
      <c r="E4" s="43">
        <f>IFERROR(VLOOKUP($I$24&amp;$D4,'Database-Hidden'!$C$2:$J$120,4,FALSE)-P4+AG4,"")</f>
        <v>4</v>
      </c>
      <c r="F4" s="44">
        <f>IFERROR(VLOOKUP($I$24&amp;$D4,'Database-Hidden'!$C$2:$J$120,5,FALSE)-Q4+AH4,"")</f>
        <v>3</v>
      </c>
      <c r="G4" s="44">
        <f>IFERROR(VLOOKUP($I$24&amp;$D4,'Database-Hidden'!$C$2:$J$120,6,FALSE)-R4+AI4,"")</f>
        <v>2</v>
      </c>
      <c r="H4" s="45">
        <f>IFERROR(VLOOKUP($I$24&amp;$D4,'Database-Hidden'!$C$2:$J$120,7,FALSE)-S4+AJ4,"")</f>
        <v>9</v>
      </c>
      <c r="I4" s="46" t="str">
        <f>IFERROR(VLOOKUP($I$24&amp;$D4,'Database-Hidden'!$C$2:$J$120,8,FALSE),"")</f>
        <v>Block, Tackle, Thick Skull</v>
      </c>
      <c r="J4" s="47"/>
      <c r="K4" s="48">
        <f t="shared" ref="K4:K19" si="0">IF(AA4&gt;175,6,IF(AA4&gt;75,5,IF(AA4&gt;50,4,IF(AA4&gt;30,3,IF(AA4&gt;15,2,IF(AA4&gt;5,1,0))))))</f>
        <v>0</v>
      </c>
      <c r="L4" s="49"/>
      <c r="M4" s="49"/>
      <c r="N4" s="49"/>
      <c r="O4" s="50"/>
      <c r="P4" s="51"/>
      <c r="Q4" s="52"/>
      <c r="R4" s="52"/>
      <c r="S4" s="53"/>
      <c r="T4" s="54"/>
      <c r="U4" s="55"/>
      <c r="V4" s="55">
        <v>1</v>
      </c>
      <c r="W4" s="55"/>
      <c r="X4" s="52"/>
      <c r="Y4" s="52"/>
      <c r="Z4" s="56"/>
      <c r="AA4" s="57">
        <f t="shared" ref="AA4:AA19" si="1">2*T4+U4+3*V4+2*W4+5*Z4</f>
        <v>3</v>
      </c>
      <c r="AB4" s="58">
        <f t="shared" ref="AB4:AB19" si="2">IF(L4=1,0,AD4+(20000*O4)+(20000*AE4)+(30000*AF4)+(30000*AG4)+(50000*AH4)+(40000*AI4)+(50000*AJ4)+AK4)</f>
        <v>70000</v>
      </c>
      <c r="AC4" s="4"/>
      <c r="AD4" s="59">
        <f>IFERROR(VLOOKUP($I$24&amp;D4,'Database-Hidden'!$C$2:$E$120,3,FALSE),"")</f>
        <v>70000</v>
      </c>
      <c r="AE4" s="60"/>
      <c r="AF4" s="61"/>
      <c r="AG4" s="61"/>
      <c r="AH4" s="61"/>
      <c r="AI4" s="61"/>
      <c r="AJ4" s="61"/>
      <c r="AK4" s="62"/>
      <c r="AL4" s="63" t="str">
        <f>IF(LEFT($D4,6)&lt;&gt;"Star: ","",VLOOKUP(RIGHT($D4,LEN($D4)-6),'Star Players-Hidden'!$A$3:$AK$87,37,FALSE))</f>
        <v/>
      </c>
      <c r="AM4" s="4"/>
      <c r="AN4" s="64" t="s">
        <v>69</v>
      </c>
      <c r="AO4" s="65">
        <v>20000</v>
      </c>
      <c r="AP4" s="4"/>
      <c r="AQ4" s="4"/>
      <c r="AR4" s="66"/>
      <c r="AS4" s="67"/>
      <c r="AT4" s="67"/>
      <c r="AU4" s="64" t="s">
        <v>70</v>
      </c>
      <c r="AV4" s="68">
        <v>0</v>
      </c>
      <c r="AW4" s="69"/>
    </row>
    <row r="5" spans="1:49" ht="12.75">
      <c r="A5" s="2"/>
      <c r="B5" s="70">
        <v>2</v>
      </c>
      <c r="C5" s="71" t="s">
        <v>563</v>
      </c>
      <c r="D5" s="72" t="s">
        <v>242</v>
      </c>
      <c r="E5" s="73">
        <f>IFERROR(VLOOKUP($I$24&amp;$D5,'Database-Hidden'!$C$2:$J$120,4,FALSE)-P5+AG5,"")</f>
        <v>4</v>
      </c>
      <c r="F5" s="74">
        <f>IFERROR(VLOOKUP($I$24&amp;$D5,'Database-Hidden'!$C$2:$J$120,5,FALSE)-Q5+AH5,"")</f>
        <v>3</v>
      </c>
      <c r="G5" s="74">
        <f>IFERROR(VLOOKUP($I$24&amp;$D5,'Database-Hidden'!$C$2:$J$120,6,FALSE)-R5+AI5,"")</f>
        <v>2</v>
      </c>
      <c r="H5" s="75">
        <f>IFERROR(VLOOKUP($I$24&amp;$D5,'Database-Hidden'!$C$2:$J$120,7,FALSE)-S5+AJ5,"")</f>
        <v>9</v>
      </c>
      <c r="I5" s="76" t="str">
        <f>IFERROR(VLOOKUP($I$24&amp;$D5,'Database-Hidden'!$C$2:$J$120,8,FALSE),"")</f>
        <v>Block, Tackle, Thick Skull</v>
      </c>
      <c r="J5" s="77" t="s">
        <v>82</v>
      </c>
      <c r="K5" s="78">
        <f t="shared" si="0"/>
        <v>1</v>
      </c>
      <c r="L5" s="79"/>
      <c r="M5" s="79"/>
      <c r="N5" s="80"/>
      <c r="O5" s="81"/>
      <c r="P5" s="82"/>
      <c r="Q5" s="83"/>
      <c r="R5" s="83"/>
      <c r="S5" s="84"/>
      <c r="T5" s="85"/>
      <c r="U5" s="86"/>
      <c r="V5" s="87"/>
      <c r="W5" s="87">
        <v>1</v>
      </c>
      <c r="X5" s="83"/>
      <c r="Y5" s="83"/>
      <c r="Z5" s="88">
        <v>1</v>
      </c>
      <c r="AA5" s="89">
        <f t="shared" si="1"/>
        <v>7</v>
      </c>
      <c r="AB5" s="58">
        <f t="shared" si="2"/>
        <v>90000</v>
      </c>
      <c r="AC5" s="4"/>
      <c r="AD5" s="90">
        <f>IFERROR(VLOOKUP($I$24&amp;D5,'Database-Hidden'!$C$2:$E$120,3,FALSE),"")</f>
        <v>70000</v>
      </c>
      <c r="AE5" s="91">
        <v>1</v>
      </c>
      <c r="AF5" s="92"/>
      <c r="AG5" s="92"/>
      <c r="AH5" s="92"/>
      <c r="AI5" s="92"/>
      <c r="AJ5" s="92"/>
      <c r="AK5" s="62"/>
      <c r="AL5" s="63" t="str">
        <f>IF(LEFT($D5,6)&lt;&gt;"Star: ","",VLOOKUP(RIGHT($D5,LEN($D5)-6),'Star Players-Hidden'!$A$3:$AK$87,37,FALSE))</f>
        <v/>
      </c>
      <c r="AM5" s="1" t="s">
        <v>542</v>
      </c>
      <c r="AN5" s="93" t="s">
        <v>72</v>
      </c>
      <c r="AO5" s="94" t="s">
        <v>73</v>
      </c>
      <c r="AP5" s="95" t="s">
        <v>74</v>
      </c>
      <c r="AQ5" s="96" t="s">
        <v>75</v>
      </c>
      <c r="AR5" s="97" t="s">
        <v>76</v>
      </c>
      <c r="AS5" s="95" t="s">
        <v>77</v>
      </c>
      <c r="AT5" s="98" t="s">
        <v>78</v>
      </c>
      <c r="AU5" s="98" t="s">
        <v>80</v>
      </c>
      <c r="AV5" s="99" t="s">
        <v>49</v>
      </c>
      <c r="AW5" s="100"/>
    </row>
    <row r="6" spans="1:49" ht="12.75">
      <c r="A6" s="2"/>
      <c r="B6" s="70">
        <v>3</v>
      </c>
      <c r="C6" s="71" t="s">
        <v>564</v>
      </c>
      <c r="D6" s="72" t="s">
        <v>242</v>
      </c>
      <c r="E6" s="73">
        <f>IFERROR(VLOOKUP($I$24&amp;$D6,'Database-Hidden'!$C$2:$J$120,4,FALSE)-P6+AG6,"")</f>
        <v>4</v>
      </c>
      <c r="F6" s="74">
        <f>IFERROR(VLOOKUP($I$24&amp;$D6,'Database-Hidden'!$C$2:$J$120,5,FALSE)-Q6+AH6,"")</f>
        <v>3</v>
      </c>
      <c r="G6" s="74">
        <f>IFERROR(VLOOKUP($I$24&amp;$D6,'Database-Hidden'!$C$2:$J$120,6,FALSE)-R6+AI6,"")</f>
        <v>2</v>
      </c>
      <c r="H6" s="75">
        <f>IFERROR(VLOOKUP($I$24&amp;$D6,'Database-Hidden'!$C$2:$J$120,7,FALSE)-S6+AJ6,"")</f>
        <v>9</v>
      </c>
      <c r="I6" s="76" t="str">
        <f>IFERROR(VLOOKUP($I$24&amp;$D6,'Database-Hidden'!$C$2:$J$120,8,FALSE),"")</f>
        <v>Block, Tackle, Thick Skull</v>
      </c>
      <c r="J6" s="77" t="s">
        <v>82</v>
      </c>
      <c r="K6" s="78">
        <f t="shared" si="0"/>
        <v>1</v>
      </c>
      <c r="L6" s="79"/>
      <c r="M6" s="79"/>
      <c r="N6" s="79"/>
      <c r="O6" s="81"/>
      <c r="P6" s="82"/>
      <c r="Q6" s="83"/>
      <c r="R6" s="83"/>
      <c r="S6" s="84"/>
      <c r="T6" s="85"/>
      <c r="U6" s="86"/>
      <c r="V6" s="86"/>
      <c r="W6" s="87">
        <v>2</v>
      </c>
      <c r="X6" s="303"/>
      <c r="Y6" s="83"/>
      <c r="Z6" s="88">
        <v>1</v>
      </c>
      <c r="AA6" s="89">
        <f t="shared" si="1"/>
        <v>9</v>
      </c>
      <c r="AB6" s="58">
        <f t="shared" si="2"/>
        <v>90000</v>
      </c>
      <c r="AC6" s="4"/>
      <c r="AD6" s="90">
        <f>IFERROR(VLOOKUP($I$24&amp;D6,'Database-Hidden'!$C$2:$E$120,3,FALSE),"")</f>
        <v>70000</v>
      </c>
      <c r="AE6" s="91">
        <v>1</v>
      </c>
      <c r="AF6" s="103"/>
      <c r="AG6" s="103"/>
      <c r="AH6" s="103"/>
      <c r="AI6" s="103"/>
      <c r="AJ6" s="103"/>
      <c r="AK6" s="62"/>
      <c r="AL6" s="63" t="str">
        <f>IF(LEFT($D6,6)&lt;&gt;"Star: ","",VLOOKUP(RIGHT($D6,LEN($D6)-6),'Star Players-Hidden'!$A$3:$AK$87,37,FALSE))</f>
        <v/>
      </c>
      <c r="AM6" s="1">
        <v>19</v>
      </c>
      <c r="AN6" s="104" t="s">
        <v>83</v>
      </c>
      <c r="AO6" s="105">
        <v>80000</v>
      </c>
      <c r="AP6" s="106">
        <v>70000</v>
      </c>
      <c r="AQ6" s="107" t="s">
        <v>337</v>
      </c>
      <c r="AR6" s="108" t="s">
        <v>565</v>
      </c>
      <c r="AS6" s="110" t="s">
        <v>84</v>
      </c>
      <c r="AT6" s="112">
        <v>2</v>
      </c>
      <c r="AU6" s="113">
        <v>4</v>
      </c>
      <c r="AV6" s="281">
        <v>1</v>
      </c>
      <c r="AW6" s="115"/>
    </row>
    <row r="7" spans="1:49" ht="12.75">
      <c r="A7" s="2"/>
      <c r="B7" s="70">
        <v>4</v>
      </c>
      <c r="C7" s="71" t="s">
        <v>566</v>
      </c>
      <c r="D7" s="72" t="s">
        <v>242</v>
      </c>
      <c r="E7" s="73">
        <f>IFERROR(VLOOKUP($I$24&amp;$D7,'Database-Hidden'!$C$2:$J$120,4,FALSE)-P7+AG7,"")</f>
        <v>4</v>
      </c>
      <c r="F7" s="74">
        <f>IFERROR(VLOOKUP($I$24&amp;$D7,'Database-Hidden'!$C$2:$J$120,5,FALSE)-Q7+AH7,"")</f>
        <v>3</v>
      </c>
      <c r="G7" s="74">
        <f>IFERROR(VLOOKUP($I$24&amp;$D7,'Database-Hidden'!$C$2:$J$120,6,FALSE)-R7+AI7,"")</f>
        <v>2</v>
      </c>
      <c r="H7" s="75">
        <f>IFERROR(VLOOKUP($I$24&amp;$D7,'Database-Hidden'!$C$2:$J$120,7,FALSE)-S7+AJ7,"")</f>
        <v>9</v>
      </c>
      <c r="I7" s="76" t="str">
        <f>IFERROR(VLOOKUP($I$24&amp;$D7,'Database-Hidden'!$C$2:$J$120,8,FALSE),"")</f>
        <v>Block, Tackle, Thick Skull</v>
      </c>
      <c r="J7" s="77"/>
      <c r="K7" s="78">
        <f t="shared" si="0"/>
        <v>0</v>
      </c>
      <c r="L7" s="79"/>
      <c r="M7" s="79"/>
      <c r="N7" s="80"/>
      <c r="O7" s="81"/>
      <c r="P7" s="82"/>
      <c r="Q7" s="83"/>
      <c r="R7" s="83"/>
      <c r="S7" s="84"/>
      <c r="T7" s="85"/>
      <c r="U7" s="86"/>
      <c r="V7" s="86"/>
      <c r="W7" s="87">
        <v>2</v>
      </c>
      <c r="X7" s="303">
        <v>1</v>
      </c>
      <c r="Y7" s="83"/>
      <c r="Z7" s="88"/>
      <c r="AA7" s="89">
        <f t="shared" si="1"/>
        <v>4</v>
      </c>
      <c r="AB7" s="58">
        <f t="shared" si="2"/>
        <v>70000</v>
      </c>
      <c r="AC7" s="4"/>
      <c r="AD7" s="116">
        <f>IFERROR(VLOOKUP($I$24&amp;D7,'Database-Hidden'!$C$2:$E$120,3,FALSE),"")</f>
        <v>70000</v>
      </c>
      <c r="AE7" s="91"/>
      <c r="AF7" s="103"/>
      <c r="AG7" s="103"/>
      <c r="AH7" s="103"/>
      <c r="AI7" s="103"/>
      <c r="AJ7" s="103"/>
      <c r="AK7" s="62"/>
      <c r="AL7" s="63" t="str">
        <f>IF(LEFT($D7,6)&lt;&gt;"Star: ","",VLOOKUP(RIGHT($D7,LEN($D7)-6),'Star Players-Hidden'!$A$3:$AK$87,37,FALSE))</f>
        <v/>
      </c>
      <c r="AM7" s="1">
        <v>23</v>
      </c>
      <c r="AN7" s="117" t="s">
        <v>86</v>
      </c>
      <c r="AO7" s="119">
        <v>70000</v>
      </c>
      <c r="AP7" s="121">
        <v>50000</v>
      </c>
      <c r="AQ7" s="289" t="s">
        <v>337</v>
      </c>
      <c r="AR7" s="134" t="s">
        <v>567</v>
      </c>
      <c r="AS7" s="126" t="s">
        <v>84</v>
      </c>
      <c r="AT7" s="128">
        <v>2</v>
      </c>
      <c r="AU7" s="130">
        <v>3</v>
      </c>
      <c r="AV7" s="135">
        <v>1</v>
      </c>
      <c r="AW7" s="132"/>
    </row>
    <row r="8" spans="1:49" ht="12.75">
      <c r="A8" s="2"/>
      <c r="B8" s="70">
        <v>5</v>
      </c>
      <c r="C8" s="71" t="s">
        <v>568</v>
      </c>
      <c r="D8" s="72" t="s">
        <v>242</v>
      </c>
      <c r="E8" s="73">
        <f>IFERROR(VLOOKUP($I$24&amp;$D8,'Database-Hidden'!$C$2:$J$120,4,FALSE)-P8+AG8,"")</f>
        <v>4</v>
      </c>
      <c r="F8" s="74">
        <f>IFERROR(VLOOKUP($I$24&amp;$D8,'Database-Hidden'!$C$2:$J$120,5,FALSE)-Q8+AH8,"")</f>
        <v>3</v>
      </c>
      <c r="G8" s="74">
        <f>IFERROR(VLOOKUP($I$24&amp;$D8,'Database-Hidden'!$C$2:$J$120,6,FALSE)-R8+AI8,"")</f>
        <v>2</v>
      </c>
      <c r="H8" s="75">
        <f>IFERROR(VLOOKUP($I$24&amp;$D8,'Database-Hidden'!$C$2:$J$120,7,FALSE)-S8+AJ8,"")</f>
        <v>9</v>
      </c>
      <c r="I8" s="76" t="str">
        <f>IFERROR(VLOOKUP($I$24&amp;$D8,'Database-Hidden'!$C$2:$J$120,8,FALSE),"")</f>
        <v>Block, Tackle, Thick Skull</v>
      </c>
      <c r="J8" s="77" t="s">
        <v>82</v>
      </c>
      <c r="K8" s="78">
        <f t="shared" si="0"/>
        <v>1</v>
      </c>
      <c r="L8" s="79"/>
      <c r="M8" s="79"/>
      <c r="N8" s="79"/>
      <c r="O8" s="81"/>
      <c r="P8" s="82"/>
      <c r="Q8" s="83"/>
      <c r="R8" s="83"/>
      <c r="S8" s="84"/>
      <c r="T8" s="85"/>
      <c r="U8" s="86"/>
      <c r="V8" s="86"/>
      <c r="W8" s="87">
        <v>3</v>
      </c>
      <c r="X8" s="303">
        <v>1</v>
      </c>
      <c r="Y8" s="83"/>
      <c r="Z8" s="88">
        <v>1</v>
      </c>
      <c r="AA8" s="89">
        <f t="shared" si="1"/>
        <v>11</v>
      </c>
      <c r="AB8" s="58">
        <f t="shared" si="2"/>
        <v>90000</v>
      </c>
      <c r="AC8" s="4"/>
      <c r="AD8" s="116">
        <f>IFERROR(VLOOKUP($I$24&amp;D8,'Database-Hidden'!$C$2:$E$120,3,FALSE),"")</f>
        <v>70000</v>
      </c>
      <c r="AE8" s="91">
        <v>1</v>
      </c>
      <c r="AF8" s="103"/>
      <c r="AG8" s="103"/>
      <c r="AH8" s="103"/>
      <c r="AI8" s="103"/>
      <c r="AJ8" s="103"/>
      <c r="AK8" s="62"/>
      <c r="AL8" s="63" t="str">
        <f>IF(LEFT($D8,6)&lt;&gt;"Star: ","",VLOOKUP(RIGHT($D8,LEN($D8)-6),'Star Players-Hidden'!$A$3:$AK$87,37,FALSE))</f>
        <v/>
      </c>
      <c r="AM8" s="1">
        <v>31</v>
      </c>
      <c r="AN8" s="117" t="s">
        <v>90</v>
      </c>
      <c r="AO8" s="119">
        <v>70000</v>
      </c>
      <c r="AP8" s="121">
        <v>0</v>
      </c>
      <c r="AQ8" s="289" t="s">
        <v>337</v>
      </c>
      <c r="AR8" s="134" t="s">
        <v>569</v>
      </c>
      <c r="AS8" s="126" t="s">
        <v>87</v>
      </c>
      <c r="AT8" s="128">
        <v>1</v>
      </c>
      <c r="AU8" s="130">
        <v>2</v>
      </c>
      <c r="AV8" s="135">
        <v>1</v>
      </c>
      <c r="AW8" s="132"/>
    </row>
    <row r="9" spans="1:49" ht="12.75">
      <c r="A9" s="2"/>
      <c r="B9" s="70">
        <v>6</v>
      </c>
      <c r="C9" s="71" t="s">
        <v>570</v>
      </c>
      <c r="D9" s="72" t="s">
        <v>242</v>
      </c>
      <c r="E9" s="73">
        <f>IFERROR(VLOOKUP($I$24&amp;$D9,'Database-Hidden'!$C$2:$J$120,4,FALSE)-P9+AG9,"")</f>
        <v>4</v>
      </c>
      <c r="F9" s="74">
        <f>IFERROR(VLOOKUP($I$24&amp;$D9,'Database-Hidden'!$C$2:$J$120,5,FALSE)-Q9+AH9,"")</f>
        <v>3</v>
      </c>
      <c r="G9" s="74">
        <f>IFERROR(VLOOKUP($I$24&amp;$D9,'Database-Hidden'!$C$2:$J$120,6,FALSE)-R9+AI9,"")</f>
        <v>2</v>
      </c>
      <c r="H9" s="75">
        <f>IFERROR(VLOOKUP($I$24&amp;$D9,'Database-Hidden'!$C$2:$J$120,7,FALSE)-S9+AJ9,"")</f>
        <v>9</v>
      </c>
      <c r="I9" s="76" t="str">
        <f>IFERROR(VLOOKUP($I$24&amp;$D9,'Database-Hidden'!$C$2:$J$120,8,FALSE),"")</f>
        <v>Block, Tackle, Thick Skull</v>
      </c>
      <c r="J9" s="102"/>
      <c r="K9" s="78">
        <f t="shared" si="0"/>
        <v>0</v>
      </c>
      <c r="L9" s="79"/>
      <c r="M9" s="79"/>
      <c r="N9" s="80"/>
      <c r="O9" s="81"/>
      <c r="P9" s="82"/>
      <c r="Q9" s="83"/>
      <c r="R9" s="83"/>
      <c r="S9" s="84"/>
      <c r="T9" s="85"/>
      <c r="U9" s="86"/>
      <c r="V9" s="86"/>
      <c r="W9" s="86"/>
      <c r="X9" s="83"/>
      <c r="Y9" s="83"/>
      <c r="Z9" s="88"/>
      <c r="AA9" s="89">
        <f t="shared" si="1"/>
        <v>0</v>
      </c>
      <c r="AB9" s="58">
        <f t="shared" si="2"/>
        <v>70000</v>
      </c>
      <c r="AC9" s="4"/>
      <c r="AD9" s="116">
        <f>IFERROR(VLOOKUP($I$24&amp;D9,'Database-Hidden'!$C$2:$E$120,3,FALSE),"")</f>
        <v>70000</v>
      </c>
      <c r="AE9" s="91"/>
      <c r="AF9" s="92"/>
      <c r="AG9" s="103"/>
      <c r="AH9" s="103"/>
      <c r="AI9" s="103"/>
      <c r="AJ9" s="103"/>
      <c r="AK9" s="62"/>
      <c r="AL9" s="63" t="str">
        <f>IF(LEFT($D9,6)&lt;&gt;"Star: ","",VLOOKUP(RIGHT($D9,LEN($D9)-6),'Star Players-Hidden'!$A$3:$AK$87,37,FALSE))</f>
        <v/>
      </c>
      <c r="AM9" s="4"/>
      <c r="AN9" s="117" t="s">
        <v>94</v>
      </c>
      <c r="AO9" s="119">
        <v>50000</v>
      </c>
      <c r="AP9" s="121">
        <v>150000</v>
      </c>
      <c r="AQ9" s="289" t="s">
        <v>337</v>
      </c>
      <c r="AR9" s="134" t="s">
        <v>571</v>
      </c>
      <c r="AS9" s="126" t="s">
        <v>87</v>
      </c>
      <c r="AT9" s="128">
        <v>2</v>
      </c>
      <c r="AU9" s="130">
        <v>2</v>
      </c>
      <c r="AV9" s="135">
        <v>1</v>
      </c>
      <c r="AW9" s="132"/>
    </row>
    <row r="10" spans="1:49" ht="12.75">
      <c r="A10" s="2"/>
      <c r="B10" s="70">
        <v>7</v>
      </c>
      <c r="C10" s="71"/>
      <c r="D10" s="72"/>
      <c r="E10" s="73" t="str">
        <f>IFERROR(VLOOKUP($I$24&amp;$D10,'Database-Hidden'!$C$2:$J$120,4,FALSE)-P10+AG10,"")</f>
        <v/>
      </c>
      <c r="F10" s="74" t="str">
        <f>IFERROR(VLOOKUP($I$24&amp;$D10,'Database-Hidden'!$C$2:$J$120,5,FALSE)-Q10+AH10,"")</f>
        <v/>
      </c>
      <c r="G10" s="74" t="str">
        <f>IFERROR(VLOOKUP($I$24&amp;$D10,'Database-Hidden'!$C$2:$J$120,6,FALSE)-R10+AI10,"")</f>
        <v/>
      </c>
      <c r="H10" s="75" t="str">
        <f>IFERROR(VLOOKUP($I$24&amp;$D10,'Database-Hidden'!$C$2:$J$120,7,FALSE)-S10+AJ10,"")</f>
        <v/>
      </c>
      <c r="I10" s="76" t="str">
        <f>IFERROR(VLOOKUP($I$24&amp;$D10,'Database-Hidden'!$C$2:$J$120,8,FALSE),"")</f>
        <v/>
      </c>
      <c r="J10" s="77"/>
      <c r="K10" s="78">
        <f t="shared" si="0"/>
        <v>0</v>
      </c>
      <c r="L10" s="79"/>
      <c r="M10" s="79"/>
      <c r="N10" s="79"/>
      <c r="O10" s="81"/>
      <c r="P10" s="82"/>
      <c r="Q10" s="83"/>
      <c r="R10" s="83"/>
      <c r="S10" s="84"/>
      <c r="T10" s="85"/>
      <c r="U10" s="87"/>
      <c r="V10" s="87"/>
      <c r="W10" s="87"/>
      <c r="X10" s="83"/>
      <c r="Y10" s="83"/>
      <c r="Z10" s="88"/>
      <c r="AA10" s="89">
        <f t="shared" si="1"/>
        <v>0</v>
      </c>
      <c r="AB10" s="58"/>
      <c r="AC10" s="4"/>
      <c r="AD10" s="116" t="str">
        <f>IFERROR(VLOOKUP($I$24&amp;D10,'Database-Hidden'!$C$2:$E$120,3,FALSE),"")</f>
        <v/>
      </c>
      <c r="AE10" s="91"/>
      <c r="AF10" s="92"/>
      <c r="AG10" s="103"/>
      <c r="AH10" s="103"/>
      <c r="AI10" s="103"/>
      <c r="AJ10" s="103"/>
      <c r="AK10" s="62"/>
      <c r="AL10" s="63" t="str">
        <f>IF(LEFT($D10,6)&lt;&gt;"Star: ","",VLOOKUP(RIGHT($D10,LEN($D10)-6),'Star Players-Hidden'!$A$3:$AK$87,37,FALSE))</f>
        <v/>
      </c>
      <c r="AM10" s="4"/>
      <c r="AN10" s="117" t="s">
        <v>96</v>
      </c>
      <c r="AO10" s="118"/>
      <c r="AP10" s="120"/>
      <c r="AQ10" s="122"/>
      <c r="AR10" s="123"/>
      <c r="AS10" s="125"/>
      <c r="AT10" s="127"/>
      <c r="AU10" s="129"/>
      <c r="AV10" s="131"/>
      <c r="AW10" s="132"/>
    </row>
    <row r="11" spans="1:49" ht="12.75">
      <c r="A11" s="2"/>
      <c r="B11" s="70">
        <v>8</v>
      </c>
      <c r="C11" s="71" t="s">
        <v>572</v>
      </c>
      <c r="D11" s="72" t="s">
        <v>573</v>
      </c>
      <c r="E11" s="73">
        <f>IFERROR(VLOOKUP($I$24&amp;$D11,'Database-Hidden'!$C$2:$J$120,4,FALSE)-P11+AG11,"")</f>
        <v>6</v>
      </c>
      <c r="F11" s="74">
        <f>IFERROR(VLOOKUP($I$24&amp;$D11,'Database-Hidden'!$C$2:$J$120,5,FALSE)-Q11+AH11,"")</f>
        <v>4</v>
      </c>
      <c r="G11" s="74">
        <f>IFERROR(VLOOKUP($I$24&amp;$D11,'Database-Hidden'!$C$2:$J$120,6,FALSE)-R11+AI11,"")</f>
        <v>2</v>
      </c>
      <c r="H11" s="75">
        <f>IFERROR(VLOOKUP($I$24&amp;$D11,'Database-Hidden'!$C$2:$J$120,7,FALSE)-S11+AJ11,"")</f>
        <v>9</v>
      </c>
      <c r="I11" s="76" t="str">
        <f>IFERROR(VLOOKUP($I$24&amp;$D11,'Database-Hidden'!$C$2:$J$120,8,FALSE),"")</f>
        <v>Sprint, Sure Feet, Thick Skull</v>
      </c>
      <c r="J11" s="77" t="s">
        <v>155</v>
      </c>
      <c r="K11" s="78">
        <f t="shared" si="0"/>
        <v>1</v>
      </c>
      <c r="L11" s="79"/>
      <c r="M11" s="79"/>
      <c r="N11" s="79"/>
      <c r="O11" s="81"/>
      <c r="P11" s="82"/>
      <c r="Q11" s="83"/>
      <c r="R11" s="83"/>
      <c r="S11" s="84"/>
      <c r="T11" s="85"/>
      <c r="U11" s="86"/>
      <c r="V11" s="87">
        <v>2</v>
      </c>
      <c r="W11" s="86"/>
      <c r="X11" s="83"/>
      <c r="Y11" s="83"/>
      <c r="Z11" s="88"/>
      <c r="AA11" s="89">
        <f t="shared" si="1"/>
        <v>6</v>
      </c>
      <c r="AB11" s="58">
        <f t="shared" si="2"/>
        <v>150000</v>
      </c>
      <c r="AC11" s="4"/>
      <c r="AD11" s="116">
        <f>IFERROR(VLOOKUP($I$24&amp;D11,'Database-Hidden'!$C$2:$E$120,3,FALSE),"")</f>
        <v>130000</v>
      </c>
      <c r="AE11" s="91">
        <v>1</v>
      </c>
      <c r="AF11" s="103"/>
      <c r="AG11" s="103"/>
      <c r="AH11" s="103"/>
      <c r="AI11" s="103"/>
      <c r="AJ11" s="103"/>
      <c r="AK11" s="62"/>
      <c r="AL11" s="63" t="str">
        <f>IF(LEFT($D11,6)&lt;&gt;"Star: ","",VLOOKUP(RIGHT($D11,LEN($D11)-6),'Star Players-Hidden'!$A$3:$AK$87,37,FALSE))</f>
        <v/>
      </c>
      <c r="AM11" s="4"/>
      <c r="AN11" s="117" t="s">
        <v>99</v>
      </c>
      <c r="AO11" s="118"/>
      <c r="AP11" s="120"/>
      <c r="AQ11" s="122"/>
      <c r="AR11" s="123"/>
      <c r="AS11" s="125"/>
      <c r="AT11" s="127"/>
      <c r="AU11" s="129"/>
      <c r="AV11" s="131"/>
      <c r="AW11" s="132"/>
    </row>
    <row r="12" spans="1:49" ht="12.75">
      <c r="A12" s="2"/>
      <c r="B12" s="70">
        <v>9</v>
      </c>
      <c r="C12" s="71" t="s">
        <v>574</v>
      </c>
      <c r="D12" s="72" t="s">
        <v>573</v>
      </c>
      <c r="E12" s="73">
        <f>IFERROR(VLOOKUP($I$24&amp;$D12,'Database-Hidden'!$C$2:$J$120,4,FALSE)-P12+AG12,"")</f>
        <v>6</v>
      </c>
      <c r="F12" s="74">
        <f>IFERROR(VLOOKUP($I$24&amp;$D12,'Database-Hidden'!$C$2:$J$120,5,FALSE)-Q12+AH12,"")</f>
        <v>4</v>
      </c>
      <c r="G12" s="74">
        <f>IFERROR(VLOOKUP($I$24&amp;$D12,'Database-Hidden'!$C$2:$J$120,6,FALSE)-R12+AI12,"")</f>
        <v>2</v>
      </c>
      <c r="H12" s="75">
        <f>IFERROR(VLOOKUP($I$24&amp;$D12,'Database-Hidden'!$C$2:$J$120,7,FALSE)-S12+AJ12,"")</f>
        <v>9</v>
      </c>
      <c r="I12" s="76" t="str">
        <f>IFERROR(VLOOKUP($I$24&amp;$D12,'Database-Hidden'!$C$2:$J$120,8,FALSE),"")</f>
        <v>Sprint, Sure Feet, Thick Skull</v>
      </c>
      <c r="J12" s="102"/>
      <c r="K12" s="78">
        <f t="shared" si="0"/>
        <v>0</v>
      </c>
      <c r="L12" s="79"/>
      <c r="M12" s="79"/>
      <c r="N12" s="80"/>
      <c r="O12" s="81"/>
      <c r="P12" s="82"/>
      <c r="Q12" s="83"/>
      <c r="R12" s="83"/>
      <c r="S12" s="84"/>
      <c r="T12" s="85"/>
      <c r="U12" s="87"/>
      <c r="V12" s="86"/>
      <c r="W12" s="87"/>
      <c r="X12" s="83"/>
      <c r="Y12" s="83"/>
      <c r="Z12" s="88">
        <v>1</v>
      </c>
      <c r="AA12" s="89">
        <f t="shared" si="1"/>
        <v>5</v>
      </c>
      <c r="AB12" s="58">
        <f t="shared" si="2"/>
        <v>130000</v>
      </c>
      <c r="AC12" s="4"/>
      <c r="AD12" s="116">
        <f>IFERROR(VLOOKUP($I$24&amp;D12,'Database-Hidden'!$C$2:$E$120,3,FALSE),"")</f>
        <v>130000</v>
      </c>
      <c r="AE12" s="138"/>
      <c r="AF12" s="103"/>
      <c r="AG12" s="103"/>
      <c r="AH12" s="103"/>
      <c r="AI12" s="103"/>
      <c r="AJ12" s="103"/>
      <c r="AK12" s="62"/>
      <c r="AL12" s="63" t="str">
        <f>IF(LEFT($D12,6)&lt;&gt;"Star: ","",VLOOKUP(RIGHT($D12,LEN($D12)-6),'Star Players-Hidden'!$A$3:$AK$87,37,FALSE))</f>
        <v/>
      </c>
      <c r="AM12" s="4"/>
      <c r="AN12" s="117" t="s">
        <v>102</v>
      </c>
      <c r="AO12" s="118"/>
      <c r="AP12" s="120"/>
      <c r="AQ12" s="122"/>
      <c r="AR12" s="123"/>
      <c r="AS12" s="125"/>
      <c r="AT12" s="127"/>
      <c r="AU12" s="129"/>
      <c r="AV12" s="131"/>
      <c r="AW12" s="132"/>
    </row>
    <row r="13" spans="1:49" ht="22.5">
      <c r="A13" s="2"/>
      <c r="B13" s="70">
        <v>10</v>
      </c>
      <c r="C13" s="71" t="s">
        <v>575</v>
      </c>
      <c r="D13" s="72" t="s">
        <v>299</v>
      </c>
      <c r="E13" s="73">
        <f>IFERROR(VLOOKUP($I$24&amp;$D13,'Database-Hidden'!$C$2:$J$120,4,FALSE)-P13+AG13,"")</f>
        <v>5</v>
      </c>
      <c r="F13" s="74">
        <f>IFERROR(VLOOKUP($I$24&amp;$D13,'Database-Hidden'!$C$2:$J$120,5,FALSE)-Q13+AH13,"")</f>
        <v>5</v>
      </c>
      <c r="G13" s="74">
        <f>IFERROR(VLOOKUP($I$24&amp;$D13,'Database-Hidden'!$C$2:$J$120,6,FALSE)-R13+AI13,"")</f>
        <v>2</v>
      </c>
      <c r="H13" s="75">
        <f>IFERROR(VLOOKUP($I$24&amp;$D13,'Database-Hidden'!$C$2:$J$120,7,FALSE)-S13+AJ13,"")</f>
        <v>8</v>
      </c>
      <c r="I13" s="76" t="str">
        <f>IFERROR(VLOOKUP($I$24&amp;$D13,'Database-Hidden'!$C$2:$J$120,8,FALSE),"")</f>
        <v>Loner, Frenzy, Horns, Mighty Blow, Thick Skull, Wild Animal</v>
      </c>
      <c r="J13" s="77"/>
      <c r="K13" s="78">
        <f t="shared" si="0"/>
        <v>0</v>
      </c>
      <c r="L13" s="79"/>
      <c r="M13" s="79"/>
      <c r="N13" s="80"/>
      <c r="O13" s="81"/>
      <c r="P13" s="82"/>
      <c r="Q13" s="83"/>
      <c r="R13" s="83"/>
      <c r="S13" s="84"/>
      <c r="T13" s="85"/>
      <c r="U13" s="86"/>
      <c r="V13" s="87"/>
      <c r="W13" s="87"/>
      <c r="X13" s="83"/>
      <c r="Y13" s="83"/>
      <c r="Z13" s="88"/>
      <c r="AA13" s="89">
        <f t="shared" si="1"/>
        <v>0</v>
      </c>
      <c r="AB13" s="58">
        <f t="shared" si="2"/>
        <v>150000</v>
      </c>
      <c r="AC13" s="4"/>
      <c r="AD13" s="116">
        <f>IFERROR(VLOOKUP($I$24&amp;D13,'Database-Hidden'!$C$2:$E$120,3,FALSE),"")</f>
        <v>150000</v>
      </c>
      <c r="AE13" s="138"/>
      <c r="AF13" s="92"/>
      <c r="AG13" s="103"/>
      <c r="AH13" s="103"/>
      <c r="AI13" s="103"/>
      <c r="AJ13" s="103"/>
      <c r="AK13" s="62"/>
      <c r="AL13" s="63" t="str">
        <f>IF(LEFT($D13,6)&lt;&gt;"Star: ","",VLOOKUP(RIGHT($D13,LEN($D13)-6),'Star Players-Hidden'!$A$3:$AK$87,37,FALSE))</f>
        <v/>
      </c>
      <c r="AM13" s="4"/>
      <c r="AN13" s="117" t="s">
        <v>105</v>
      </c>
      <c r="AO13" s="118"/>
      <c r="AP13" s="120"/>
      <c r="AQ13" s="122"/>
      <c r="AR13" s="123"/>
      <c r="AS13" s="125"/>
      <c r="AT13" s="127"/>
      <c r="AU13" s="129"/>
      <c r="AV13" s="131"/>
      <c r="AW13" s="132"/>
    </row>
    <row r="14" spans="1:49" ht="12.75">
      <c r="A14" s="2"/>
      <c r="B14" s="70">
        <v>11</v>
      </c>
      <c r="C14" s="71"/>
      <c r="D14" s="72"/>
      <c r="E14" s="73" t="str">
        <f>IFERROR(VLOOKUP($I$24&amp;$D14,'Database-Hidden'!$C$2:$J$120,4,FALSE)-P14+AG14,"")</f>
        <v/>
      </c>
      <c r="F14" s="74" t="str">
        <f>IFERROR(VLOOKUP($I$24&amp;$D14,'Database-Hidden'!$C$2:$J$120,5,FALSE)-Q14+AH14,"")</f>
        <v/>
      </c>
      <c r="G14" s="74" t="str">
        <f>IFERROR(VLOOKUP($I$24&amp;$D14,'Database-Hidden'!$C$2:$J$120,6,FALSE)-R14+AI14,"")</f>
        <v/>
      </c>
      <c r="H14" s="75" t="str">
        <f>IFERROR(VLOOKUP($I$24&amp;$D14,'Database-Hidden'!$C$2:$J$120,7,FALSE)-S14+AJ14,"")</f>
        <v/>
      </c>
      <c r="I14" s="76" t="str">
        <f>IFERROR(VLOOKUP($I$24&amp;$D14,'Database-Hidden'!$C$2:$J$120,8,FALSE),"")</f>
        <v/>
      </c>
      <c r="J14" s="77"/>
      <c r="K14" s="78">
        <f t="shared" si="0"/>
        <v>0</v>
      </c>
      <c r="L14" s="79"/>
      <c r="M14" s="79"/>
      <c r="N14" s="80"/>
      <c r="O14" s="81"/>
      <c r="P14" s="82"/>
      <c r="Q14" s="83"/>
      <c r="R14" s="83"/>
      <c r="S14" s="84"/>
      <c r="T14" s="85"/>
      <c r="U14" s="86"/>
      <c r="V14" s="86"/>
      <c r="W14" s="87"/>
      <c r="X14" s="83"/>
      <c r="Y14" s="83"/>
      <c r="Z14" s="88"/>
      <c r="AA14" s="89">
        <f t="shared" si="1"/>
        <v>0</v>
      </c>
      <c r="AB14" s="58"/>
      <c r="AC14" s="4"/>
      <c r="AD14" s="116" t="str">
        <f>IFERROR(VLOOKUP($I$24&amp;D14,'Database-Hidden'!$C$2:$E$120,3,FALSE),"")</f>
        <v/>
      </c>
      <c r="AE14" s="91"/>
      <c r="AF14" s="103"/>
      <c r="AG14" s="103"/>
      <c r="AH14" s="103"/>
      <c r="AI14" s="103"/>
      <c r="AJ14" s="103"/>
      <c r="AK14" s="62"/>
      <c r="AL14" s="63" t="str">
        <f>IF(LEFT($D14,6)&lt;&gt;"Star: ","",VLOOKUP(RIGHT($D14,LEN($D14)-6),'Star Players-Hidden'!$A$3:$AK$87,37,FALSE))</f>
        <v/>
      </c>
      <c r="AM14" s="4"/>
      <c r="AN14" s="117" t="s">
        <v>109</v>
      </c>
      <c r="AO14" s="118"/>
      <c r="AP14" s="120"/>
      <c r="AQ14" s="122"/>
      <c r="AR14" s="123"/>
      <c r="AS14" s="125"/>
      <c r="AT14" s="127"/>
      <c r="AU14" s="129"/>
      <c r="AV14" s="131"/>
      <c r="AW14" s="132"/>
    </row>
    <row r="15" spans="1:49" ht="12.75">
      <c r="A15" s="2"/>
      <c r="B15" s="70">
        <v>12</v>
      </c>
      <c r="C15" s="71" t="s">
        <v>576</v>
      </c>
      <c r="D15" s="72" t="s">
        <v>577</v>
      </c>
      <c r="E15" s="73">
        <f>IFERROR(VLOOKUP($I$24&amp;$D15,'Database-Hidden'!$C$2:$J$120,4,FALSE)-P15+AG15,"")</f>
        <v>6</v>
      </c>
      <c r="F15" s="74">
        <f>IFERROR(VLOOKUP($I$24&amp;$D15,'Database-Hidden'!$C$2:$J$120,5,FALSE)-Q15+AH15,"")</f>
        <v>3</v>
      </c>
      <c r="G15" s="74">
        <f>IFERROR(VLOOKUP($I$24&amp;$D15,'Database-Hidden'!$C$2:$J$120,6,FALSE)-R15+AI15,"")</f>
        <v>3</v>
      </c>
      <c r="H15" s="75">
        <f>IFERROR(VLOOKUP($I$24&amp;$D15,'Database-Hidden'!$C$2:$J$120,7,FALSE)-S15+AJ15,"")</f>
        <v>7</v>
      </c>
      <c r="I15" s="76">
        <f>IFERROR(VLOOKUP($I$24&amp;$D15,'Database-Hidden'!$C$2:$J$120,8,FALSE),"")</f>
        <v>0</v>
      </c>
      <c r="J15" s="77"/>
      <c r="K15" s="78">
        <f t="shared" si="0"/>
        <v>0</v>
      </c>
      <c r="L15" s="79"/>
      <c r="M15" s="79"/>
      <c r="N15" s="80"/>
      <c r="O15" s="81"/>
      <c r="P15" s="82"/>
      <c r="Q15" s="83"/>
      <c r="R15" s="83"/>
      <c r="S15" s="84"/>
      <c r="T15" s="85"/>
      <c r="U15" s="87"/>
      <c r="V15" s="87"/>
      <c r="W15" s="87">
        <v>1</v>
      </c>
      <c r="X15" s="83"/>
      <c r="Y15" s="83"/>
      <c r="Z15" s="88"/>
      <c r="AA15" s="89">
        <f t="shared" si="1"/>
        <v>2</v>
      </c>
      <c r="AB15" s="58">
        <f t="shared" si="2"/>
        <v>40000</v>
      </c>
      <c r="AC15" s="4"/>
      <c r="AD15" s="116">
        <f>IFERROR(VLOOKUP($I$24&amp;D15,'Database-Hidden'!$C$2:$E$120,3,FALSE),"")</f>
        <v>40000</v>
      </c>
      <c r="AE15" s="91"/>
      <c r="AF15" s="103"/>
      <c r="AG15" s="103"/>
      <c r="AH15" s="103"/>
      <c r="AI15" s="103"/>
      <c r="AJ15" s="103"/>
      <c r="AK15" s="62"/>
      <c r="AL15" s="63" t="str">
        <f>IF(LEFT($D15,6)&lt;&gt;"Star: ","",VLOOKUP(RIGHT($D15,LEN($D15)-6),'Star Players-Hidden'!$A$3:$AK$87,37,FALSE))</f>
        <v/>
      </c>
      <c r="AM15" s="4"/>
      <c r="AN15" s="117" t="s">
        <v>110</v>
      </c>
      <c r="AO15" s="118"/>
      <c r="AP15" s="120"/>
      <c r="AQ15" s="122"/>
      <c r="AR15" s="123"/>
      <c r="AS15" s="125"/>
      <c r="AT15" s="127"/>
      <c r="AU15" s="129"/>
      <c r="AV15" s="131"/>
      <c r="AW15" s="132"/>
    </row>
    <row r="16" spans="1:49" ht="12.75">
      <c r="A16" s="2"/>
      <c r="B16" s="70">
        <v>13</v>
      </c>
      <c r="C16" s="71" t="s">
        <v>578</v>
      </c>
      <c r="D16" s="72" t="s">
        <v>577</v>
      </c>
      <c r="E16" s="73">
        <f>IFERROR(VLOOKUP($I$24&amp;$D16,'Database-Hidden'!$C$2:$J$120,4,FALSE)-P16+AG16,"")</f>
        <v>6</v>
      </c>
      <c r="F16" s="74">
        <f>IFERROR(VLOOKUP($I$24&amp;$D16,'Database-Hidden'!$C$2:$J$120,5,FALSE)-Q16+AH16,"")</f>
        <v>3</v>
      </c>
      <c r="G16" s="74">
        <f>IFERROR(VLOOKUP($I$24&amp;$D16,'Database-Hidden'!$C$2:$J$120,6,FALSE)-R16+AI16,"")</f>
        <v>3</v>
      </c>
      <c r="H16" s="75">
        <f>IFERROR(VLOOKUP($I$24&amp;$D16,'Database-Hidden'!$C$2:$J$120,7,FALSE)-S16+AJ16,"")</f>
        <v>7</v>
      </c>
      <c r="I16" s="76">
        <f>IFERROR(VLOOKUP($I$24&amp;$D16,'Database-Hidden'!$C$2:$J$120,8,FALSE),"")</f>
        <v>0</v>
      </c>
      <c r="J16" s="77" t="s">
        <v>89</v>
      </c>
      <c r="K16" s="78">
        <f t="shared" si="0"/>
        <v>1</v>
      </c>
      <c r="L16" s="79"/>
      <c r="M16" s="79"/>
      <c r="N16" s="80"/>
      <c r="O16" s="81"/>
      <c r="P16" s="82"/>
      <c r="Q16" s="83"/>
      <c r="R16" s="83"/>
      <c r="S16" s="84"/>
      <c r="T16" s="85"/>
      <c r="U16" s="86"/>
      <c r="V16" s="87">
        <v>2</v>
      </c>
      <c r="W16" s="87"/>
      <c r="X16" s="83"/>
      <c r="Y16" s="83"/>
      <c r="Z16" s="88"/>
      <c r="AA16" s="89">
        <f t="shared" si="1"/>
        <v>6</v>
      </c>
      <c r="AB16" s="58">
        <f t="shared" si="2"/>
        <v>60000</v>
      </c>
      <c r="AC16" s="4"/>
      <c r="AD16" s="116">
        <f>IFERROR(VLOOKUP($I$24&amp;D16,'Database-Hidden'!$C$2:$E$120,3,FALSE),"")</f>
        <v>40000</v>
      </c>
      <c r="AE16" s="91">
        <v>1</v>
      </c>
      <c r="AF16" s="103"/>
      <c r="AG16" s="103"/>
      <c r="AH16" s="103"/>
      <c r="AI16" s="103"/>
      <c r="AJ16" s="103"/>
      <c r="AK16" s="62"/>
      <c r="AL16" s="63" t="str">
        <f>IF(LEFT($D16,6)&lt;&gt;"Star: ","",VLOOKUP(RIGHT($D16,LEN($D16)-6),'Star Players-Hidden'!$A$3:$AK$87,37,FALSE))</f>
        <v/>
      </c>
      <c r="AM16" s="4"/>
      <c r="AN16" s="117" t="s">
        <v>114</v>
      </c>
      <c r="AO16" s="118"/>
      <c r="AP16" s="120"/>
      <c r="AQ16" s="122"/>
      <c r="AR16" s="123"/>
      <c r="AS16" s="125"/>
      <c r="AT16" s="127"/>
      <c r="AU16" s="129"/>
      <c r="AV16" s="131"/>
      <c r="AW16" s="132"/>
    </row>
    <row r="17" spans="1:49" ht="12.75">
      <c r="A17" s="2"/>
      <c r="B17" s="70">
        <v>14</v>
      </c>
      <c r="C17" s="71"/>
      <c r="D17" s="72"/>
      <c r="E17" s="73" t="str">
        <f>IFERROR(VLOOKUP($I$24&amp;$D17,'Database-Hidden'!$C$2:$J$120,4,FALSE)-P17+AG17,"")</f>
        <v/>
      </c>
      <c r="F17" s="74" t="str">
        <f>IFERROR(VLOOKUP($I$24&amp;$D17,'Database-Hidden'!$C$2:$J$120,5,FALSE)-Q17+AH17,"")</f>
        <v/>
      </c>
      <c r="G17" s="74" t="str">
        <f>IFERROR(VLOOKUP($I$24&amp;$D17,'Database-Hidden'!$C$2:$J$120,6,FALSE)-R17+AI17,"")</f>
        <v/>
      </c>
      <c r="H17" s="75" t="str">
        <f>IFERROR(VLOOKUP($I$24&amp;$D17,'Database-Hidden'!$C$2:$J$120,7,FALSE)-S17+AJ17,"")</f>
        <v/>
      </c>
      <c r="I17" s="76" t="str">
        <f>IFERROR(VLOOKUP($I$24&amp;$D17,'Database-Hidden'!$C$2:$J$120,8,FALSE),"")</f>
        <v/>
      </c>
      <c r="J17" s="77"/>
      <c r="K17" s="78">
        <f t="shared" si="0"/>
        <v>0</v>
      </c>
      <c r="L17" s="79"/>
      <c r="M17" s="79"/>
      <c r="N17" s="80"/>
      <c r="O17" s="81"/>
      <c r="P17" s="82"/>
      <c r="Q17" s="83"/>
      <c r="R17" s="83"/>
      <c r="S17" s="84"/>
      <c r="T17" s="85"/>
      <c r="U17" s="86"/>
      <c r="V17" s="86"/>
      <c r="W17" s="87"/>
      <c r="X17" s="83"/>
      <c r="Y17" s="83"/>
      <c r="Z17" s="88"/>
      <c r="AA17" s="89">
        <f t="shared" si="1"/>
        <v>0</v>
      </c>
      <c r="AB17" s="58"/>
      <c r="AC17" s="4"/>
      <c r="AD17" s="116" t="str">
        <f>IFERROR(VLOOKUP($I$24&amp;D17,'Database-Hidden'!$C$2:$E$120,3,FALSE),"")</f>
        <v/>
      </c>
      <c r="AE17" s="91"/>
      <c r="AF17" s="103"/>
      <c r="AG17" s="103"/>
      <c r="AH17" s="103"/>
      <c r="AI17" s="103"/>
      <c r="AJ17" s="103"/>
      <c r="AK17" s="62"/>
      <c r="AL17" s="63" t="str">
        <f>IF(LEFT($D17,6)&lt;&gt;"Star: ","",VLOOKUP(RIGHT($D17,LEN($D17)-6),'Star Players-Hidden'!$A$3:$AK$87,37,FALSE))</f>
        <v/>
      </c>
      <c r="AM17" s="4"/>
      <c r="AN17" s="139" t="s">
        <v>115</v>
      </c>
      <c r="AO17" s="140"/>
      <c r="AP17" s="141"/>
      <c r="AQ17" s="142"/>
      <c r="AR17" s="143"/>
      <c r="AS17" s="144"/>
      <c r="AT17" s="145"/>
      <c r="AU17" s="146"/>
      <c r="AV17" s="147"/>
      <c r="AW17" s="132"/>
    </row>
    <row r="18" spans="1:49" ht="12.75">
      <c r="A18" s="2"/>
      <c r="B18" s="70">
        <v>15</v>
      </c>
      <c r="C18" s="71" t="s">
        <v>597</v>
      </c>
      <c r="D18" s="72" t="s">
        <v>577</v>
      </c>
      <c r="E18" s="73">
        <f>IFERROR(VLOOKUP($I$24&amp;$D18,'Database-Hidden'!$C$2:$J$120,4,FALSE)-P18+AG18,"")</f>
        <v>6</v>
      </c>
      <c r="F18" s="74">
        <f>IFERROR(VLOOKUP($I$24&amp;$D18,'Database-Hidden'!$C$2:$J$120,5,FALSE)-Q18+AH18,"")</f>
        <v>3</v>
      </c>
      <c r="G18" s="74">
        <f>IFERROR(VLOOKUP($I$24&amp;$D18,'Database-Hidden'!$C$2:$J$120,6,FALSE)-R18+AI18,"")</f>
        <v>3</v>
      </c>
      <c r="H18" s="75">
        <f>IFERROR(VLOOKUP($I$24&amp;$D18,'Database-Hidden'!$C$2:$J$120,7,FALSE)-S18+AJ18,"")</f>
        <v>7</v>
      </c>
      <c r="I18" s="76">
        <f>IFERROR(VLOOKUP($I$24&amp;$D18,'Database-Hidden'!$C$2:$J$120,8,FALSE),"")</f>
        <v>0</v>
      </c>
      <c r="J18" s="77" t="s">
        <v>191</v>
      </c>
      <c r="K18" s="78">
        <f t="shared" si="0"/>
        <v>1</v>
      </c>
      <c r="L18" s="79"/>
      <c r="M18" s="79"/>
      <c r="N18" s="80"/>
      <c r="O18" s="81"/>
      <c r="P18" s="82"/>
      <c r="Q18" s="83"/>
      <c r="R18" s="83"/>
      <c r="S18" s="84"/>
      <c r="T18" s="85"/>
      <c r="U18" s="86"/>
      <c r="V18" s="87">
        <v>2</v>
      </c>
      <c r="W18" s="87"/>
      <c r="X18" s="83"/>
      <c r="Y18" s="83"/>
      <c r="Z18" s="88"/>
      <c r="AA18" s="89">
        <f t="shared" si="1"/>
        <v>6</v>
      </c>
      <c r="AB18" s="58">
        <f t="shared" si="2"/>
        <v>60000</v>
      </c>
      <c r="AC18" s="4"/>
      <c r="AD18" s="116">
        <f>IFERROR(VLOOKUP($I$24&amp;D18,'Database-Hidden'!$C$2:$E$120,3,FALSE),"")</f>
        <v>40000</v>
      </c>
      <c r="AE18" s="91">
        <v>1</v>
      </c>
      <c r="AF18" s="92"/>
      <c r="AG18" s="103"/>
      <c r="AH18" s="103"/>
      <c r="AI18" s="103"/>
      <c r="AJ18" s="103"/>
      <c r="AK18" s="62"/>
      <c r="AL18" s="63" t="str">
        <f>IF(LEFT($D18,6)&lt;&gt;"Star: ","",VLOOKUP(RIGHT($D18,LEN($D18)-6),'Star Players-Hidden'!$A$3:$AK$87,37,FALSE))</f>
        <v/>
      </c>
      <c r="AM18" s="4"/>
      <c r="AN18" s="148" t="s">
        <v>42</v>
      </c>
      <c r="AO18" s="149">
        <f>AO4+SUM(AO6:AO17)-SUM(AP6:AP17)-SUM(AQ6:AQ17)</f>
        <v>20000</v>
      </c>
      <c r="AP18" s="4"/>
      <c r="AQ18" s="4"/>
      <c r="AR18" s="67"/>
      <c r="AS18" s="148" t="s">
        <v>42</v>
      </c>
      <c r="AT18" s="150">
        <f t="shared" ref="AT18:AU18" si="3">SUM(AT6:AT17)</f>
        <v>7</v>
      </c>
      <c r="AU18" s="151">
        <f t="shared" si="3"/>
        <v>11</v>
      </c>
      <c r="AV18" s="152">
        <f>AV4+SUM(AV6:AV17)</f>
        <v>4</v>
      </c>
      <c r="AW18" s="5"/>
    </row>
    <row r="19" spans="1:49" ht="12.75">
      <c r="A19" s="2"/>
      <c r="B19" s="153">
        <v>16</v>
      </c>
      <c r="C19" s="154" t="s">
        <v>613</v>
      </c>
      <c r="D19" s="155" t="s">
        <v>577</v>
      </c>
      <c r="E19" s="156">
        <f>IFERROR(VLOOKUP($I$24&amp;$D19,'Database-Hidden'!$C$2:$J$120,4,FALSE)-P19+AG19,"")</f>
        <v>6</v>
      </c>
      <c r="F19" s="157">
        <f>IFERROR(VLOOKUP($I$24&amp;$D19,'Database-Hidden'!$C$2:$J$120,5,FALSE)-Q19+AH19,"")</f>
        <v>3</v>
      </c>
      <c r="G19" s="157">
        <f>IFERROR(VLOOKUP($I$24&amp;$D19,'Database-Hidden'!$C$2:$J$120,6,FALSE)-R19+AI19,"")</f>
        <v>3</v>
      </c>
      <c r="H19" s="159">
        <f>IFERROR(VLOOKUP($I$24&amp;$D19,'Database-Hidden'!$C$2:$J$120,7,FALSE)-S19+AJ19,"")</f>
        <v>7</v>
      </c>
      <c r="I19" s="160">
        <f>IFERROR(VLOOKUP($I$24&amp;$D19,'Database-Hidden'!$C$2:$J$120,8,FALSE),"")</f>
        <v>0</v>
      </c>
      <c r="J19" s="161"/>
      <c r="K19" s="162">
        <f t="shared" si="0"/>
        <v>0</v>
      </c>
      <c r="L19" s="163"/>
      <c r="M19" s="163"/>
      <c r="N19" s="164"/>
      <c r="O19" s="165"/>
      <c r="P19" s="166"/>
      <c r="Q19" s="167"/>
      <c r="R19" s="167"/>
      <c r="S19" s="168"/>
      <c r="T19" s="169"/>
      <c r="U19" s="170"/>
      <c r="V19" s="170"/>
      <c r="W19" s="171"/>
      <c r="X19" s="167"/>
      <c r="Y19" s="167"/>
      <c r="Z19" s="172"/>
      <c r="AA19" s="173">
        <f t="shared" si="1"/>
        <v>0</v>
      </c>
      <c r="AB19" s="58">
        <f t="shared" si="2"/>
        <v>40000</v>
      </c>
      <c r="AC19" s="4"/>
      <c r="AD19" s="174">
        <f>IFERROR(VLOOKUP($I$24&amp;D19,'Database-Hidden'!$C$2:$E$120,3,FALSE),"")</f>
        <v>40000</v>
      </c>
      <c r="AE19" s="175"/>
      <c r="AF19" s="176"/>
      <c r="AG19" s="176"/>
      <c r="AH19" s="176"/>
      <c r="AI19" s="176"/>
      <c r="AJ19" s="176"/>
      <c r="AK19" s="177"/>
      <c r="AL19" s="178" t="str">
        <f>IF(LEFT($D19,6)&lt;&gt;"Star: ","",VLOOKUP(RIGHT($D19,LEN($D19)-6),'Star Players-Hidden'!$A$3:$AK$87,37,FALSE))</f>
        <v/>
      </c>
      <c r="AM19" s="4"/>
      <c r="AV19" s="179"/>
    </row>
    <row r="20" spans="1:49" ht="12.75">
      <c r="B20" s="586"/>
      <c r="C20" s="518"/>
      <c r="D20" s="519"/>
      <c r="E20" s="522" t="s">
        <v>116</v>
      </c>
      <c r="F20" s="523"/>
      <c r="G20" s="523"/>
      <c r="H20" s="523"/>
      <c r="I20" s="523"/>
      <c r="J20" s="523"/>
      <c r="K20" s="523"/>
      <c r="L20" s="523"/>
      <c r="M20" s="523"/>
      <c r="N20" s="523"/>
      <c r="O20" s="523"/>
      <c r="P20" s="523"/>
      <c r="Q20" s="523"/>
      <c r="R20" s="523"/>
      <c r="S20" s="523"/>
      <c r="T20" s="523"/>
      <c r="U20" s="523"/>
      <c r="V20" s="523"/>
      <c r="W20" s="523"/>
      <c r="X20" s="523"/>
      <c r="Y20" s="523"/>
      <c r="Z20" s="523"/>
      <c r="AA20" s="521"/>
      <c r="AB20" s="180">
        <f>SUM(AB4:AB19)</f>
        <v>1110000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67"/>
      <c r="AO20" s="67"/>
      <c r="AP20" s="67"/>
      <c r="AQ20" s="67"/>
      <c r="AR20" s="67"/>
      <c r="AS20" s="67"/>
      <c r="AT20" s="67"/>
      <c r="AU20" s="67"/>
      <c r="AV20" s="181"/>
      <c r="AW20" s="67"/>
    </row>
    <row r="21" spans="1:49" ht="12.75">
      <c r="A21" s="2"/>
      <c r="B21" s="531"/>
      <c r="C21" s="507"/>
      <c r="D21" s="532"/>
      <c r="E21" s="538" t="s">
        <v>117</v>
      </c>
      <c r="F21" s="507"/>
      <c r="G21" s="507"/>
      <c r="H21" s="539"/>
      <c r="I21" s="536" t="s">
        <v>21</v>
      </c>
      <c r="J21" s="507"/>
      <c r="K21" s="532"/>
      <c r="L21" s="524" t="s">
        <v>119</v>
      </c>
      <c r="M21" s="525"/>
      <c r="N21" s="525"/>
      <c r="O21" s="525"/>
      <c r="P21" s="525"/>
      <c r="Q21" s="525"/>
      <c r="R21" s="525"/>
      <c r="S21" s="526"/>
      <c r="T21" s="182">
        <v>3</v>
      </c>
      <c r="U21" s="183" t="s">
        <v>47</v>
      </c>
      <c r="V21" s="527">
        <f>IFERROR(VLOOKUP(I24,'Database-Hidden'!N2:O28,2,FALSE),"")</f>
        <v>70000</v>
      </c>
      <c r="W21" s="525"/>
      <c r="X21" s="525"/>
      <c r="Y21" s="525"/>
      <c r="Z21" s="525"/>
      <c r="AA21" s="528"/>
      <c r="AB21" s="184">
        <f t="shared" ref="AB21:AB25" si="4">T21*V21</f>
        <v>210000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520" t="s">
        <v>121</v>
      </c>
      <c r="AO21" s="521"/>
      <c r="AP21" s="4"/>
      <c r="AQ21" s="4"/>
      <c r="AR21" s="4"/>
      <c r="AS21" s="4"/>
      <c r="AT21" s="4"/>
      <c r="AU21" s="4"/>
      <c r="AV21" s="5"/>
      <c r="AW21" s="4"/>
    </row>
    <row r="22" spans="1:49" ht="12.75">
      <c r="A22" s="2"/>
      <c r="B22" s="531"/>
      <c r="C22" s="507"/>
      <c r="D22" s="532"/>
      <c r="E22" s="507"/>
      <c r="F22" s="507"/>
      <c r="G22" s="507"/>
      <c r="H22" s="539"/>
      <c r="I22" s="531"/>
      <c r="J22" s="507"/>
      <c r="K22" s="532"/>
      <c r="L22" s="515" t="s">
        <v>122</v>
      </c>
      <c r="M22" s="509"/>
      <c r="N22" s="509"/>
      <c r="O22" s="509"/>
      <c r="P22" s="509"/>
      <c r="Q22" s="509"/>
      <c r="R22" s="509"/>
      <c r="S22" s="514"/>
      <c r="T22" s="185">
        <f>AV18</f>
        <v>4</v>
      </c>
      <c r="U22" s="186" t="s">
        <v>47</v>
      </c>
      <c r="V22" s="508">
        <v>10000</v>
      </c>
      <c r="W22" s="509"/>
      <c r="X22" s="509"/>
      <c r="Y22" s="509"/>
      <c r="Z22" s="509"/>
      <c r="AA22" s="510"/>
      <c r="AB22" s="187">
        <f t="shared" si="4"/>
        <v>40000</v>
      </c>
      <c r="AC22" s="4"/>
      <c r="AD22" s="1"/>
      <c r="AE22" s="4"/>
      <c r="AF22" s="4"/>
      <c r="AG22" s="4"/>
      <c r="AH22" s="4"/>
      <c r="AI22" s="4"/>
      <c r="AJ22" s="4"/>
      <c r="AK22" s="4"/>
      <c r="AL22" s="4"/>
      <c r="AM22" s="4"/>
      <c r="AN22" s="188" t="s">
        <v>123</v>
      </c>
      <c r="AO22" s="189">
        <f>AO18</f>
        <v>20000</v>
      </c>
      <c r="AP22" s="4"/>
      <c r="AQ22" s="4"/>
      <c r="AR22" s="4"/>
      <c r="AS22" s="4"/>
      <c r="AT22" s="4"/>
      <c r="AU22" s="4"/>
      <c r="AV22" s="5"/>
      <c r="AW22" s="4"/>
    </row>
    <row r="23" spans="1:49" ht="12.75">
      <c r="A23" s="2"/>
      <c r="B23" s="531"/>
      <c r="C23" s="507"/>
      <c r="D23" s="532"/>
      <c r="E23" s="525"/>
      <c r="F23" s="525"/>
      <c r="G23" s="525"/>
      <c r="H23" s="540"/>
      <c r="I23" s="537"/>
      <c r="J23" s="525"/>
      <c r="K23" s="528"/>
      <c r="L23" s="513" t="s">
        <v>124</v>
      </c>
      <c r="M23" s="509"/>
      <c r="N23" s="509"/>
      <c r="O23" s="509"/>
      <c r="P23" s="509"/>
      <c r="Q23" s="509"/>
      <c r="R23" s="509"/>
      <c r="S23" s="514"/>
      <c r="T23" s="190">
        <v>0</v>
      </c>
      <c r="U23" s="191" t="s">
        <v>47</v>
      </c>
      <c r="V23" s="508">
        <v>10000</v>
      </c>
      <c r="W23" s="509"/>
      <c r="X23" s="509"/>
      <c r="Y23" s="509"/>
      <c r="Z23" s="509"/>
      <c r="AA23" s="510"/>
      <c r="AB23" s="187">
        <f t="shared" si="4"/>
        <v>0</v>
      </c>
      <c r="AC23" s="4"/>
      <c r="AD23" s="1"/>
      <c r="AE23" s="4"/>
      <c r="AF23" s="1"/>
      <c r="AG23" s="4"/>
      <c r="AH23" s="4"/>
      <c r="AI23" s="4"/>
      <c r="AJ23" s="4"/>
      <c r="AK23" s="4"/>
      <c r="AL23" s="4"/>
      <c r="AM23" s="4"/>
      <c r="AN23" s="192" t="s">
        <v>125</v>
      </c>
      <c r="AO23" s="193">
        <f>COUNTA(AR6:AR17)*10000</f>
        <v>40000</v>
      </c>
      <c r="AP23" s="4"/>
      <c r="AQ23" s="4"/>
      <c r="AR23" s="4"/>
      <c r="AS23" s="4"/>
      <c r="AT23" s="4"/>
      <c r="AU23" s="4"/>
      <c r="AV23" s="5"/>
      <c r="AW23" s="4"/>
    </row>
    <row r="24" spans="1:49" ht="12.75">
      <c r="A24" s="2"/>
      <c r="B24" s="531"/>
      <c r="C24" s="507"/>
      <c r="D24" s="532"/>
      <c r="E24" s="529" t="s">
        <v>126</v>
      </c>
      <c r="F24" s="509"/>
      <c r="G24" s="509"/>
      <c r="H24" s="512"/>
      <c r="I24" s="543" t="s">
        <v>22</v>
      </c>
      <c r="J24" s="509"/>
      <c r="K24" s="510"/>
      <c r="L24" s="515" t="s">
        <v>128</v>
      </c>
      <c r="M24" s="509"/>
      <c r="N24" s="509"/>
      <c r="O24" s="509"/>
      <c r="P24" s="509"/>
      <c r="Q24" s="509"/>
      <c r="R24" s="509"/>
      <c r="S24" s="514"/>
      <c r="T24" s="190">
        <v>0</v>
      </c>
      <c r="U24" s="191" t="s">
        <v>47</v>
      </c>
      <c r="V24" s="508">
        <v>10000</v>
      </c>
      <c r="W24" s="509"/>
      <c r="X24" s="509"/>
      <c r="Y24" s="509"/>
      <c r="Z24" s="509"/>
      <c r="AA24" s="510"/>
      <c r="AB24" s="187">
        <f t="shared" si="4"/>
        <v>0</v>
      </c>
      <c r="AC24" s="4"/>
      <c r="AD24" s="1"/>
      <c r="AE24" s="4"/>
      <c r="AF24" s="4"/>
      <c r="AG24" s="4"/>
      <c r="AH24" s="4"/>
      <c r="AI24" s="4"/>
      <c r="AJ24" s="4"/>
      <c r="AK24" s="4"/>
      <c r="AL24" s="4"/>
      <c r="AM24" s="4"/>
      <c r="AN24" s="192" t="s">
        <v>78</v>
      </c>
      <c r="AO24" s="193">
        <f>AT18*5000</f>
        <v>35000</v>
      </c>
      <c r="AP24" s="4"/>
      <c r="AQ24" s="4"/>
      <c r="AR24" s="4"/>
      <c r="AS24" s="4"/>
      <c r="AT24" s="4"/>
      <c r="AU24" s="4"/>
      <c r="AV24" s="5"/>
      <c r="AW24" s="4"/>
    </row>
    <row r="25" spans="1:49" ht="12.75">
      <c r="A25" s="2"/>
      <c r="B25" s="531"/>
      <c r="C25" s="507"/>
      <c r="D25" s="532"/>
      <c r="E25" s="529" t="str">
        <f>IFERROR(IF(VLOOKUP(I24,'Database-Hidden'!X2:Y28,2,FALSE)="Yes","NECROMANCER","HEAD COACH"),"HEAD COACH")</f>
        <v>HEAD COACH</v>
      </c>
      <c r="F25" s="509"/>
      <c r="G25" s="509"/>
      <c r="H25" s="512"/>
      <c r="I25" s="543" t="s">
        <v>654</v>
      </c>
      <c r="J25" s="509"/>
      <c r="K25" s="510"/>
      <c r="L25" s="511" t="str">
        <f>IFERROR(IF(VLOOKUP(I24,'Database-Hidden'!X2:Y28,1,FALSE)&lt;&gt;"","",""),"APOTHECARY")</f>
        <v>APOTHECARY</v>
      </c>
      <c r="M25" s="509"/>
      <c r="N25" s="509"/>
      <c r="O25" s="509"/>
      <c r="P25" s="509"/>
      <c r="Q25" s="509"/>
      <c r="R25" s="509"/>
      <c r="S25" s="512"/>
      <c r="T25" s="190">
        <v>1</v>
      </c>
      <c r="U25" s="186" t="str">
        <f>IF(L25&lt;&gt;"","x","")</f>
        <v>x</v>
      </c>
      <c r="V25" s="508">
        <f>IF(L25&lt;&gt;"",50000,"")</f>
        <v>50000</v>
      </c>
      <c r="W25" s="509"/>
      <c r="X25" s="509"/>
      <c r="Y25" s="509"/>
      <c r="Z25" s="509"/>
      <c r="AA25" s="510"/>
      <c r="AB25" s="187">
        <f t="shared" si="4"/>
        <v>50000</v>
      </c>
      <c r="AC25" s="4"/>
      <c r="AD25" s="1"/>
      <c r="AE25" s="4"/>
      <c r="AF25" s="4"/>
      <c r="AG25" s="4"/>
      <c r="AH25" s="4"/>
      <c r="AI25" s="4"/>
      <c r="AJ25" s="4"/>
      <c r="AK25" s="4"/>
      <c r="AL25" s="4"/>
      <c r="AM25" s="4"/>
      <c r="AN25" s="194" t="s">
        <v>130</v>
      </c>
      <c r="AO25" s="195">
        <f>AU18*5000</f>
        <v>55000</v>
      </c>
      <c r="AP25" s="4"/>
      <c r="AQ25" s="4"/>
      <c r="AR25" s="4"/>
      <c r="AS25" s="4"/>
      <c r="AT25" s="4"/>
      <c r="AU25" s="4"/>
      <c r="AV25" s="5"/>
      <c r="AW25" s="4"/>
    </row>
    <row r="26" spans="1:49" ht="12.75">
      <c r="A26" s="2"/>
      <c r="B26" s="531"/>
      <c r="C26" s="507"/>
      <c r="D26" s="532"/>
      <c r="E26" s="529" t="s">
        <v>131</v>
      </c>
      <c r="F26" s="509"/>
      <c r="G26" s="509"/>
      <c r="H26" s="509"/>
      <c r="I26" s="548">
        <f>AB20+AB28</f>
        <v>1410000</v>
      </c>
      <c r="J26" s="509"/>
      <c r="K26" s="509"/>
      <c r="L26" s="511" t="s">
        <v>132</v>
      </c>
      <c r="M26" s="509"/>
      <c r="N26" s="509"/>
      <c r="O26" s="509"/>
      <c r="P26" s="509"/>
      <c r="Q26" s="509"/>
      <c r="R26" s="509"/>
      <c r="S26" s="512"/>
      <c r="T26" s="190">
        <v>0</v>
      </c>
      <c r="U26" s="186" t="s">
        <v>47</v>
      </c>
      <c r="V26" s="508">
        <f>IF(I24="Halfling",200000,600000)</f>
        <v>600000</v>
      </c>
      <c r="W26" s="509"/>
      <c r="X26" s="509"/>
      <c r="Y26" s="509"/>
      <c r="Z26" s="509"/>
      <c r="AA26" s="510"/>
      <c r="AB26" s="187">
        <f t="shared" ref="AB26:AB27" si="5">T26*V26/2</f>
        <v>0</v>
      </c>
      <c r="AC26" s="4"/>
      <c r="AD26" s="1"/>
      <c r="AE26" s="4"/>
      <c r="AF26" s="4"/>
      <c r="AG26" s="4"/>
      <c r="AH26" s="4"/>
      <c r="AI26" s="4"/>
      <c r="AJ26" s="4"/>
      <c r="AK26" s="4"/>
      <c r="AL26" s="4"/>
      <c r="AM26" s="4"/>
      <c r="AN26" s="196" t="s">
        <v>42</v>
      </c>
      <c r="AO26" s="197">
        <v>150000</v>
      </c>
      <c r="AP26" s="4"/>
      <c r="AQ26" s="4"/>
      <c r="AR26" s="4"/>
      <c r="AS26" s="4"/>
      <c r="AT26" s="4"/>
      <c r="AU26" s="4"/>
      <c r="AV26" s="5"/>
      <c r="AW26" s="4"/>
    </row>
    <row r="27" spans="1:49" ht="12.75">
      <c r="A27" s="2"/>
      <c r="B27" s="531"/>
      <c r="C27" s="507"/>
      <c r="D27" s="532"/>
      <c r="E27" s="541" t="s">
        <v>133</v>
      </c>
      <c r="F27" s="542"/>
      <c r="G27" s="542"/>
      <c r="H27" s="542"/>
      <c r="I27" s="549">
        <f>AO18</f>
        <v>20000</v>
      </c>
      <c r="J27" s="542"/>
      <c r="K27" s="542"/>
      <c r="L27" s="544" t="s">
        <v>134</v>
      </c>
      <c r="M27" s="542"/>
      <c r="N27" s="542"/>
      <c r="O27" s="542"/>
      <c r="P27" s="542"/>
      <c r="Q27" s="542"/>
      <c r="R27" s="542"/>
      <c r="S27" s="545"/>
      <c r="T27" s="198">
        <v>0</v>
      </c>
      <c r="U27" s="199" t="s">
        <v>47</v>
      </c>
      <c r="V27" s="546">
        <f>IF(I24="Goblin",100000,200000)</f>
        <v>200000</v>
      </c>
      <c r="W27" s="542"/>
      <c r="X27" s="542"/>
      <c r="Y27" s="542"/>
      <c r="Z27" s="542"/>
      <c r="AA27" s="547"/>
      <c r="AB27" s="187">
        <f t="shared" si="5"/>
        <v>0</v>
      </c>
      <c r="AC27" s="4"/>
      <c r="AD27" s="1"/>
      <c r="AE27" s="4"/>
      <c r="AF27" s="4"/>
      <c r="AG27" s="4"/>
      <c r="AH27" s="4"/>
      <c r="AI27" s="4"/>
      <c r="AJ27" s="4"/>
      <c r="AK27" s="4"/>
      <c r="AL27" s="4"/>
      <c r="AM27" s="4"/>
      <c r="AP27" s="4"/>
      <c r="AQ27" s="4"/>
      <c r="AR27" s="4"/>
      <c r="AS27" s="4"/>
      <c r="AT27" s="4"/>
      <c r="AU27" s="4"/>
      <c r="AV27" s="5"/>
      <c r="AW27" s="4"/>
    </row>
    <row r="28" spans="1:49" ht="12.75">
      <c r="A28" s="2"/>
      <c r="B28" s="533"/>
      <c r="C28" s="534"/>
      <c r="D28" s="535"/>
      <c r="E28" s="522" t="s">
        <v>135</v>
      </c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  <c r="T28" s="523"/>
      <c r="U28" s="523"/>
      <c r="V28" s="523"/>
      <c r="W28" s="523"/>
      <c r="X28" s="523"/>
      <c r="Y28" s="523"/>
      <c r="Z28" s="523"/>
      <c r="AA28" s="521"/>
      <c r="AB28" s="180">
        <f>SUM(AB21:AB25)</f>
        <v>300000</v>
      </c>
      <c r="AC28" s="4"/>
      <c r="AD28" s="1"/>
      <c r="AE28" s="4"/>
      <c r="AF28" s="4"/>
      <c r="AG28" s="4"/>
      <c r="AH28" s="4"/>
      <c r="AI28" s="4"/>
      <c r="AJ28" s="4"/>
      <c r="AK28" s="4"/>
      <c r="AL28" s="4"/>
      <c r="AM28" s="4"/>
      <c r="AP28" s="4"/>
      <c r="AQ28" s="4"/>
      <c r="AR28" s="4"/>
      <c r="AS28" s="4"/>
      <c r="AT28" s="4"/>
      <c r="AU28" s="4"/>
      <c r="AV28" s="5"/>
      <c r="AW28" s="4"/>
    </row>
    <row r="29" spans="1:49" ht="8.25" customHeight="1">
      <c r="A29" s="4"/>
      <c r="B29" s="5"/>
      <c r="C29" s="200"/>
      <c r="D29" s="200"/>
      <c r="E29" s="201"/>
      <c r="F29" s="4"/>
      <c r="G29" s="4"/>
      <c r="H29" s="4"/>
      <c r="I29" s="202"/>
      <c r="J29" s="203"/>
      <c r="K29" s="4"/>
      <c r="L29" s="204"/>
      <c r="M29" s="204"/>
      <c r="N29" s="204"/>
      <c r="O29" s="204"/>
      <c r="P29" s="204"/>
      <c r="Q29" s="204"/>
      <c r="R29" s="204"/>
      <c r="S29" s="204"/>
      <c r="T29" s="205"/>
      <c r="U29" s="206"/>
      <c r="V29" s="9"/>
      <c r="W29" s="207"/>
      <c r="X29" s="207"/>
      <c r="Y29" s="207"/>
      <c r="Z29" s="207"/>
      <c r="AA29" s="207"/>
      <c r="AB29" s="20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  <c r="AW29" s="4"/>
    </row>
    <row r="30" spans="1:49" ht="17.25" hidden="1" customHeight="1">
      <c r="C30" s="209">
        <f>MATCH(I24,'Database-Hidden'!A2:A120,0)</f>
        <v>11</v>
      </c>
      <c r="D30" s="209" t="str">
        <f t="shared" ref="D30:D39" si="6">I30&amp;IF(COUNTIF(D$4:D$19,I30)&gt;E30," (Too Many)","")</f>
        <v>Hobgoblin</v>
      </c>
      <c r="E30" s="210">
        <f t="array" ref="E30">IFERROR(IF(INDEX('Database-Hidden'!$A$2:$B$120,$C30,1)=$I$24,INDEX('Database-Hidden'!$A$2:$D$120,$C30,4),""),"")</f>
        <v>16</v>
      </c>
      <c r="I30" s="209" t="str">
        <f t="array" ref="I30">IFERROR(IF(INDEX('Database-Hidden'!$A$2:$B$120,$C30,1)=$I$24,INDEX('Database-Hidden'!$A$2:$B$120,$C30,2),""),"")</f>
        <v>Hobgoblin</v>
      </c>
      <c r="AV30" s="179"/>
    </row>
    <row r="31" spans="1:49" ht="17.25" hidden="1" customHeight="1">
      <c r="C31" s="209">
        <f t="shared" ref="C31:C39" si="7">C30+1</f>
        <v>12</v>
      </c>
      <c r="D31" s="209" t="str">
        <f t="shared" si="6"/>
        <v>Blocker</v>
      </c>
      <c r="E31" s="210">
        <f t="array" ref="E31">IFERROR(IF(INDEX('Database-Hidden'!$A$2:$B$120,$C31,1)=$I$24,INDEX('Database-Hidden'!$A$2:$D$120,$C31,4),""),"")</f>
        <v>6</v>
      </c>
      <c r="I31" s="209" t="str">
        <f t="array" ref="I31">IFERROR(IF(INDEX('Database-Hidden'!$A$2:$B$120,$C31,1)=$I$24,INDEX('Database-Hidden'!$A$2:$B$120,$C31,2),""),"")</f>
        <v>Blocker</v>
      </c>
      <c r="AV31" s="179"/>
    </row>
    <row r="32" spans="1:49" ht="17.25" hidden="1" customHeight="1">
      <c r="C32" s="209">
        <f t="shared" si="7"/>
        <v>13</v>
      </c>
      <c r="D32" s="209" t="str">
        <f t="shared" si="6"/>
        <v>Bull Centaur</v>
      </c>
      <c r="E32" s="210">
        <f t="array" ref="E32">IFERROR(IF(INDEX('Database-Hidden'!$A$2:$B$120,$C32,1)=$I$24,INDEX('Database-Hidden'!$A$2:$D$120,$C32,4),""),"")</f>
        <v>2</v>
      </c>
      <c r="I32" s="209" t="str">
        <f t="array" ref="I32">IFERROR(IF(INDEX('Database-Hidden'!$A$2:$B$120,$C32,1)=$I$24,INDEX('Database-Hidden'!$A$2:$B$120,$C32,2),""),"")</f>
        <v>Bull Centaur</v>
      </c>
      <c r="AV32" s="179"/>
    </row>
    <row r="33" spans="3:48" ht="17.25" hidden="1" customHeight="1">
      <c r="C33" s="209">
        <f t="shared" si="7"/>
        <v>14</v>
      </c>
      <c r="D33" s="209" t="str">
        <f t="shared" si="6"/>
        <v>Minotaur</v>
      </c>
      <c r="E33" s="210">
        <f t="array" ref="E33">IFERROR(IF(INDEX('Database-Hidden'!$A$2:$B$120,$C33,1)=$I$24,INDEX('Database-Hidden'!$A$2:$D$120,$C33,4),""),"")</f>
        <v>1</v>
      </c>
      <c r="I33" s="209" t="str">
        <f t="array" ref="I33">IFERROR(IF(INDEX('Database-Hidden'!$A$2:$B$120,$C33,1)=$I$24,INDEX('Database-Hidden'!$A$2:$B$120,$C33,2),""),"")</f>
        <v>Minotaur</v>
      </c>
      <c r="AV33" s="179"/>
    </row>
    <row r="34" spans="3:48" ht="17.25" hidden="1" customHeight="1">
      <c r="C34" s="209">
        <f t="shared" si="7"/>
        <v>15</v>
      </c>
      <c r="D34" s="209" t="str">
        <f t="shared" si="6"/>
        <v/>
      </c>
      <c r="E34" s="210" t="str">
        <f t="array" ref="E34">IFERROR(IF(INDEX('Database-Hidden'!$A$2:$B$120,$C34,1)=$I$24,INDEX('Database-Hidden'!$A$2:$D$120,$C34,4),""),"")</f>
        <v/>
      </c>
      <c r="I34" s="209" t="str">
        <f t="array" ref="I34">IFERROR(IF(INDEX('Database-Hidden'!$A$2:$B$120,$C34,1)=$I$24,INDEX('Database-Hidden'!$A$2:$B$120,$C34,2),""),"")</f>
        <v/>
      </c>
      <c r="AV34" s="179"/>
    </row>
    <row r="35" spans="3:48" ht="17.25" hidden="1" customHeight="1">
      <c r="C35" s="209">
        <f t="shared" si="7"/>
        <v>16</v>
      </c>
      <c r="D35" s="209" t="str">
        <f t="shared" si="6"/>
        <v/>
      </c>
      <c r="E35" s="210" t="str">
        <f t="array" ref="E35">IFERROR(IF(INDEX('Database-Hidden'!$A$2:$B$120,$C35,1)=$I$24,INDEX('Database-Hidden'!$A$2:$D$120,$C35,4),""),"")</f>
        <v/>
      </c>
      <c r="I35" s="209" t="str">
        <f t="array" ref="I35">IFERROR(IF(INDEX('Database-Hidden'!$A$2:$B$120,$C35,1)=$I$24,INDEX('Database-Hidden'!$A$2:$B$120,$C35,2),""),"")</f>
        <v/>
      </c>
      <c r="AV35" s="179"/>
    </row>
    <row r="36" spans="3:48" ht="17.25" hidden="1" customHeight="1">
      <c r="C36" s="209">
        <f t="shared" si="7"/>
        <v>17</v>
      </c>
      <c r="D36" s="209" t="str">
        <f t="shared" si="6"/>
        <v/>
      </c>
      <c r="E36" s="210" t="str">
        <f t="array" ref="E36">IFERROR(IF(INDEX('Database-Hidden'!$A$2:$B$120,$C36,1)=$I$24,INDEX('Database-Hidden'!$A$2:$D$120,$C36,4),""),"")</f>
        <v/>
      </c>
      <c r="I36" s="209" t="str">
        <f t="array" ref="I36">IFERROR(IF(INDEX('Database-Hidden'!$A$2:$B$120,$C36,1)=$I$24,INDEX('Database-Hidden'!$A$2:$B$120,$C36,2),""),"")</f>
        <v/>
      </c>
      <c r="AV36" s="179"/>
    </row>
    <row r="37" spans="3:48" ht="17.25" hidden="1" customHeight="1">
      <c r="C37" s="209">
        <f t="shared" si="7"/>
        <v>18</v>
      </c>
      <c r="D37" s="209" t="str">
        <f t="shared" si="6"/>
        <v/>
      </c>
      <c r="E37" s="210" t="str">
        <f t="array" ref="E37">IFERROR(IF(INDEX('Database-Hidden'!$A$2:$B$120,$C37,1)=$I$24,INDEX('Database-Hidden'!$A$2:$D$120,$C37,4),""),"")</f>
        <v/>
      </c>
      <c r="I37" s="209" t="str">
        <f t="array" ref="I37">IFERROR(IF(INDEX('Database-Hidden'!$A$2:$B$120,$C37,1)=$I$24,INDEX('Database-Hidden'!$A$2:$B$120,$C37,2),""),"")</f>
        <v/>
      </c>
      <c r="AV37" s="179"/>
    </row>
    <row r="38" spans="3:48" ht="17.25" hidden="1" customHeight="1">
      <c r="C38" s="209">
        <f t="shared" si="7"/>
        <v>19</v>
      </c>
      <c r="D38" s="209" t="str">
        <f t="shared" si="6"/>
        <v/>
      </c>
      <c r="E38" s="210" t="str">
        <f t="array" ref="E38">IFERROR(IF(INDEX('Database-Hidden'!$A$2:$B$120,$C38,1)=$I$24,INDEX('Database-Hidden'!$A$2:$D$120,$C38,4),""),"")</f>
        <v/>
      </c>
      <c r="I38" s="209" t="str">
        <f t="array" ref="I38">IFERROR(IF(INDEX('Database-Hidden'!$A$2:$B$120,$C38,1)=$I$24,INDEX('Database-Hidden'!$A$2:$B$120,$C38,2),""),"")</f>
        <v/>
      </c>
      <c r="AV38" s="179"/>
    </row>
    <row r="39" spans="3:48" ht="17.25" hidden="1" customHeight="1">
      <c r="C39" s="209">
        <f t="shared" si="7"/>
        <v>20</v>
      </c>
      <c r="D39" s="209" t="str">
        <f t="shared" si="6"/>
        <v/>
      </c>
      <c r="E39" s="210" t="str">
        <f t="array" ref="E39">IFERROR(IF(INDEX('Database-Hidden'!$A$2:$B$120,$C39,1)=$I$24,INDEX('Database-Hidden'!$A$2:$D$120,$C39,4),""),"")</f>
        <v/>
      </c>
      <c r="I39" s="209" t="str">
        <f t="array" ref="I39">IFERROR(IF(INDEX('Database-Hidden'!$A$2:$B$120,$C39,1)=$I$24,INDEX('Database-Hidden'!$A$2:$B$120,$C39,2),""),"")</f>
        <v/>
      </c>
      <c r="AV39" s="179"/>
    </row>
    <row r="40" spans="3:48" ht="17.25" hidden="1" customHeight="1">
      <c r="C40" s="211">
        <f>MATCH(I24,'Star Players-Hidden'!D2:AD2,0)</f>
        <v>4</v>
      </c>
      <c r="D40" s="211" t="str">
        <f t="shared" ref="D40:D51" ca="1" si="8">I40&amp;IF(COUNTIF(D$4:D$19,I40)&gt;1," (Too Many)","")</f>
        <v>Star: Grashnak Blackhoof</v>
      </c>
      <c r="E40" s="212"/>
      <c r="F40" s="212"/>
      <c r="G40" s="212"/>
      <c r="H40" s="212"/>
      <c r="I40" s="211" t="str">
        <f ca="1">IFERROR(__xludf.DUMMYFUNCTION("FILTER({""Star: ""&amp;'Star Players-Hidden'!A3:A87},INDEX('Star Players-Hidden'!D3:AD87,0,C40)&lt;&gt;"""",{'Star Players-Hidden'!C3:C87=""""}+{'Star Players-Hidden'!C3:C87=I21})"),"Star: Grashnak Blackhoof")</f>
        <v>Star: Grashnak Blackhoof</v>
      </c>
      <c r="AV40" s="179"/>
    </row>
    <row r="41" spans="3:48" ht="17.25" hidden="1" customHeight="1">
      <c r="C41" s="209"/>
      <c r="D41" s="209" t="str">
        <f t="shared" si="8"/>
        <v>Star: Hthark the Unstoppable</v>
      </c>
      <c r="I41" s="213" t="s">
        <v>726</v>
      </c>
      <c r="AV41" s="179"/>
    </row>
    <row r="42" spans="3:48" ht="17.25" hidden="1" customHeight="1">
      <c r="C42" s="209"/>
      <c r="D42" s="209" t="str">
        <f t="shared" si="8"/>
        <v>Star: Morg'n'Thorg</v>
      </c>
      <c r="I42" s="209" t="s">
        <v>144</v>
      </c>
      <c r="AV42" s="179"/>
    </row>
    <row r="43" spans="3:48" ht="17.25" hidden="1" customHeight="1">
      <c r="C43" s="209"/>
      <c r="D43" s="209" t="str">
        <f t="shared" si="8"/>
        <v>Star: Nobbla Blackwart</v>
      </c>
      <c r="I43" s="209" t="s">
        <v>230</v>
      </c>
      <c r="AV43" s="179"/>
    </row>
    <row r="44" spans="3:48" ht="17.25" hidden="1" customHeight="1">
      <c r="C44" s="209"/>
      <c r="D44" s="209" t="str">
        <f t="shared" si="8"/>
        <v>Star: Rashnak Backstabber</v>
      </c>
      <c r="I44" s="209" t="s">
        <v>727</v>
      </c>
      <c r="AV44" s="179"/>
    </row>
    <row r="45" spans="3:48" ht="17.25" hidden="1" customHeight="1">
      <c r="C45" s="209"/>
      <c r="D45" s="209" t="str">
        <f t="shared" si="8"/>
        <v>Star: Zzharg Madeye</v>
      </c>
      <c r="I45" s="209" t="s">
        <v>728</v>
      </c>
      <c r="AV45" s="179"/>
    </row>
    <row r="46" spans="3:48" ht="17.25" hidden="1" customHeight="1">
      <c r="C46" s="209"/>
      <c r="D46" s="209" t="str">
        <f t="shared" si="8"/>
        <v/>
      </c>
      <c r="I46" s="209"/>
      <c r="AV46" s="179"/>
    </row>
    <row r="47" spans="3:48" ht="17.25" hidden="1" customHeight="1">
      <c r="C47" s="209"/>
      <c r="D47" s="209" t="str">
        <f t="shared" si="8"/>
        <v/>
      </c>
      <c r="I47" s="209"/>
      <c r="AV47" s="179"/>
    </row>
    <row r="48" spans="3:48" ht="17.25" hidden="1" customHeight="1">
      <c r="C48" s="209"/>
      <c r="D48" s="209" t="str">
        <f t="shared" si="8"/>
        <v/>
      </c>
      <c r="I48" s="209"/>
      <c r="AV48" s="179"/>
    </row>
    <row r="49" spans="3:48" ht="17.25" hidden="1" customHeight="1">
      <c r="C49" s="209"/>
      <c r="D49" s="209" t="str">
        <f t="shared" si="8"/>
        <v/>
      </c>
      <c r="I49" s="209"/>
      <c r="AV49" s="179"/>
    </row>
    <row r="50" spans="3:48" ht="17.25" hidden="1" customHeight="1">
      <c r="C50" s="209"/>
      <c r="D50" s="209" t="str">
        <f t="shared" si="8"/>
        <v/>
      </c>
      <c r="I50" s="209"/>
      <c r="AV50" s="179"/>
    </row>
    <row r="51" spans="3:48" ht="17.25" hidden="1" customHeight="1">
      <c r="C51" s="209"/>
      <c r="D51" s="209" t="str">
        <f t="shared" si="8"/>
        <v/>
      </c>
      <c r="I51" s="209"/>
      <c r="AV51" s="179"/>
    </row>
  </sheetData>
  <mergeCells count="31">
    <mergeCell ref="L27:S27"/>
    <mergeCell ref="V27:AA27"/>
    <mergeCell ref="E26:H26"/>
    <mergeCell ref="I26:K26"/>
    <mergeCell ref="I27:K27"/>
    <mergeCell ref="E27:H27"/>
    <mergeCell ref="P2:S2"/>
    <mergeCell ref="V24:AA24"/>
    <mergeCell ref="V22:AA22"/>
    <mergeCell ref="V23:AA23"/>
    <mergeCell ref="L21:S21"/>
    <mergeCell ref="L23:S23"/>
    <mergeCell ref="L24:S24"/>
    <mergeCell ref="L22:S22"/>
    <mergeCell ref="V21:AA21"/>
    <mergeCell ref="B20:D28"/>
    <mergeCell ref="L26:S26"/>
    <mergeCell ref="E20:AA20"/>
    <mergeCell ref="AN3:AQ3"/>
    <mergeCell ref="AR3:AV3"/>
    <mergeCell ref="E28:AA28"/>
    <mergeCell ref="V26:AA26"/>
    <mergeCell ref="AN21:AO21"/>
    <mergeCell ref="V25:AA25"/>
    <mergeCell ref="L25:S25"/>
    <mergeCell ref="E25:H25"/>
    <mergeCell ref="I25:K25"/>
    <mergeCell ref="E24:H24"/>
    <mergeCell ref="I24:K24"/>
    <mergeCell ref="I21:K23"/>
    <mergeCell ref="E21:H23"/>
  </mergeCells>
  <conditionalFormatting sqref="J4">
    <cfRule type="expression" dxfId="59" priority="1">
      <formula>K4&lt;&gt;SUM(AE4:AJ4)</formula>
    </cfRule>
  </conditionalFormatting>
  <conditionalFormatting sqref="K4:K19">
    <cfRule type="cellIs" dxfId="58" priority="2" operator="equal">
      <formula>0</formula>
    </cfRule>
  </conditionalFormatting>
  <conditionalFormatting sqref="AB4:AB19">
    <cfRule type="cellIs" dxfId="57" priority="3" operator="equal">
      <formula>0</formula>
    </cfRule>
  </conditionalFormatting>
  <conditionalFormatting sqref="E4:H19">
    <cfRule type="expression" dxfId="56" priority="4">
      <formula>AG4&gt;0</formula>
    </cfRule>
  </conditionalFormatting>
  <conditionalFormatting sqref="E4:H19">
    <cfRule type="expression" dxfId="55" priority="5">
      <formula>P4&gt;0</formula>
    </cfRule>
  </conditionalFormatting>
  <conditionalFormatting sqref="T4:T19 U4:U19 V4:W19 Z4:Z19 U29">
    <cfRule type="cellIs" dxfId="54" priority="6" stopIfTrue="1" operator="equal">
      <formula>0</formula>
    </cfRule>
  </conditionalFormatting>
  <conditionalFormatting sqref="K4:K19">
    <cfRule type="cellIs" dxfId="53" priority="7" stopIfTrue="1" operator="equal">
      <formula>"n/a"</formula>
    </cfRule>
  </conditionalFormatting>
  <conditionalFormatting sqref="P4:S19">
    <cfRule type="cellIs" dxfId="52" priority="8" stopIfTrue="1" operator="lessThanOrEqual">
      <formula>-1</formula>
    </cfRule>
  </conditionalFormatting>
  <conditionalFormatting sqref="V25:W27">
    <cfRule type="cellIs" dxfId="51" priority="9" stopIfTrue="1" operator="equal">
      <formula>-500</formula>
    </cfRule>
  </conditionalFormatting>
  <conditionalFormatting sqref="T25:T27">
    <cfRule type="cellIs" dxfId="50" priority="10" stopIfTrue="1" operator="greaterThan">
      <formula>$V$25</formula>
    </cfRule>
  </conditionalFormatting>
  <conditionalFormatting sqref="AA4:AA19">
    <cfRule type="cellIs" dxfId="49" priority="11" stopIfTrue="1" operator="equal">
      <formula>"Star"</formula>
    </cfRule>
  </conditionalFormatting>
  <conditionalFormatting sqref="AA4:AA19">
    <cfRule type="cellIs" dxfId="48" priority="12" stopIfTrue="1" operator="equal">
      <formula>AB4</formula>
    </cfRule>
  </conditionalFormatting>
  <conditionalFormatting sqref="I4:I19">
    <cfRule type="cellIs" dxfId="47" priority="13" stopIfTrue="1" operator="equal">
      <formula>0</formula>
    </cfRule>
  </conditionalFormatting>
  <conditionalFormatting sqref="I4:I19">
    <cfRule type="cellIs" dxfId="46" priority="14" stopIfTrue="1" operator="equal">
      <formula>"Player type quantity surpassed"</formula>
    </cfRule>
  </conditionalFormatting>
  <conditionalFormatting sqref="J5">
    <cfRule type="expression" dxfId="45" priority="15">
      <formula>K5&lt;&gt;SUM(AE5:AJ5)</formula>
    </cfRule>
  </conditionalFormatting>
  <conditionalFormatting sqref="J6">
    <cfRule type="expression" dxfId="44" priority="16">
      <formula>K6&lt;&gt;SUM(AE6:AJ6)</formula>
    </cfRule>
  </conditionalFormatting>
  <conditionalFormatting sqref="J7">
    <cfRule type="expression" dxfId="43" priority="17">
      <formula>K7&lt;&gt;SUM(AE7:AJ7)</formula>
    </cfRule>
  </conditionalFormatting>
  <conditionalFormatting sqref="J8">
    <cfRule type="expression" dxfId="42" priority="18">
      <formula>K8&lt;&gt;SUM(AE8:AJ8)</formula>
    </cfRule>
  </conditionalFormatting>
  <conditionalFormatting sqref="J9">
    <cfRule type="expression" dxfId="41" priority="19">
      <formula>K9&lt;&gt;SUM(AE9:AJ9)</formula>
    </cfRule>
  </conditionalFormatting>
  <conditionalFormatting sqref="J10">
    <cfRule type="expression" dxfId="40" priority="20">
      <formula>K10&lt;&gt;SUM(AE10:AJ10)</formula>
    </cfRule>
  </conditionalFormatting>
  <conditionalFormatting sqref="J11">
    <cfRule type="expression" dxfId="39" priority="21">
      <formula>K11&lt;&gt;SUM(AE11:AJ11)</formula>
    </cfRule>
  </conditionalFormatting>
  <conditionalFormatting sqref="J12">
    <cfRule type="expression" dxfId="38" priority="22">
      <formula>K12&lt;&gt;SUM(AE12:AJ12)</formula>
    </cfRule>
  </conditionalFormatting>
  <conditionalFormatting sqref="J13">
    <cfRule type="expression" dxfId="37" priority="23">
      <formula>K13&lt;&gt;SUM(AE13:AJ13)</formula>
    </cfRule>
  </conditionalFormatting>
  <conditionalFormatting sqref="J14">
    <cfRule type="expression" dxfId="36" priority="24">
      <formula>K14&lt;&gt;SUM(AE14:AJ14)</formula>
    </cfRule>
  </conditionalFormatting>
  <conditionalFormatting sqref="J15">
    <cfRule type="expression" dxfId="35" priority="25">
      <formula>K15&lt;&gt;SUM(AE15:AJ15)</formula>
    </cfRule>
  </conditionalFormatting>
  <conditionalFormatting sqref="J16">
    <cfRule type="expression" dxfId="34" priority="26">
      <formula>K16&lt;&gt;SUM(AE16:AJ16)</formula>
    </cfRule>
  </conditionalFormatting>
  <conditionalFormatting sqref="J17">
    <cfRule type="expression" dxfId="33" priority="27">
      <formula>K17&lt;&gt;SUM(AE17:AJ17)</formula>
    </cfRule>
  </conditionalFormatting>
  <conditionalFormatting sqref="J18">
    <cfRule type="expression" dxfId="32" priority="28">
      <formula>K18&lt;&gt;SUM(AE18:AJ18)</formula>
    </cfRule>
  </conditionalFormatting>
  <conditionalFormatting sqref="J19">
    <cfRule type="expression" dxfId="31" priority="29">
      <formula>K19&lt;&gt;SUM(AE19:AJ19)</formula>
    </cfRule>
  </conditionalFormatting>
  <dataValidations count="3">
    <dataValidation type="list" allowBlank="1" showErrorMessage="1" sqref="D4:D19">
      <formula1>'TL3'!$D$28:$D$49</formula1>
    </dataValidation>
    <dataValidation type="list" allowBlank="1" showErrorMessage="1" sqref="I24">
      <formula1>'Database-Hidden'!$N$2:$N$28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25" right="0.25" top="0.75" bottom="0.75" header="0" footer="0"/>
  <pageSetup fitToHeight="0" pageOrder="overThenDown" orientation="landscape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8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/>
  <cols>
    <col min="1" max="1" width="25.85546875" customWidth="1"/>
    <col min="2" max="2" width="14.28515625" customWidth="1"/>
    <col min="3" max="3" width="17.85546875" customWidth="1"/>
    <col min="4" max="30" width="3.28515625" customWidth="1"/>
    <col min="31" max="31" width="62.140625" customWidth="1"/>
    <col min="32" max="32" width="10.42578125" customWidth="1"/>
    <col min="33" max="36" width="5.42578125" customWidth="1"/>
    <col min="37" max="37" width="10.7109375" customWidth="1"/>
  </cols>
  <sheetData>
    <row r="1" spans="1:37" ht="15.75" customHeight="1">
      <c r="A1" s="459" t="s">
        <v>579</v>
      </c>
      <c r="B1" s="460" t="s">
        <v>580</v>
      </c>
      <c r="C1" s="460" t="s">
        <v>581</v>
      </c>
      <c r="D1" s="461" t="s">
        <v>491</v>
      </c>
      <c r="E1" s="461" t="s">
        <v>63</v>
      </c>
      <c r="F1" s="461" t="s">
        <v>3</v>
      </c>
      <c r="G1" s="461" t="s">
        <v>22</v>
      </c>
      <c r="H1" s="461" t="s">
        <v>60</v>
      </c>
      <c r="I1" s="461" t="s">
        <v>61</v>
      </c>
      <c r="J1" s="461" t="s">
        <v>302</v>
      </c>
      <c r="K1" s="461" t="s">
        <v>582</v>
      </c>
      <c r="L1" s="461" t="s">
        <v>150</v>
      </c>
      <c r="M1" s="461" t="s">
        <v>41</v>
      </c>
      <c r="N1" s="461" t="s">
        <v>127</v>
      </c>
      <c r="O1" s="461" t="s">
        <v>362</v>
      </c>
      <c r="P1" s="461" t="s">
        <v>583</v>
      </c>
      <c r="Q1" s="461" t="s">
        <v>584</v>
      </c>
      <c r="R1" s="461" t="s">
        <v>585</v>
      </c>
      <c r="S1" s="461" t="s">
        <v>586</v>
      </c>
      <c r="T1" s="461" t="s">
        <v>17</v>
      </c>
      <c r="U1" s="461" t="s">
        <v>66</v>
      </c>
      <c r="V1" s="461" t="s">
        <v>361</v>
      </c>
      <c r="W1" s="461" t="s">
        <v>64</v>
      </c>
      <c r="X1" s="461" t="s">
        <v>55</v>
      </c>
      <c r="Y1" s="461" t="s">
        <v>57</v>
      </c>
      <c r="Z1" s="461" t="s">
        <v>587</v>
      </c>
      <c r="AA1" s="461" t="s">
        <v>32</v>
      </c>
      <c r="AB1" s="461" t="s">
        <v>588</v>
      </c>
      <c r="AC1" s="461" t="s">
        <v>320</v>
      </c>
      <c r="AD1" s="461" t="s">
        <v>489</v>
      </c>
      <c r="AE1" s="462" t="s">
        <v>6</v>
      </c>
      <c r="AF1" s="463" t="s">
        <v>589</v>
      </c>
      <c r="AG1" s="464" t="s">
        <v>7</v>
      </c>
      <c r="AH1" s="464" t="s">
        <v>8</v>
      </c>
      <c r="AI1" s="464" t="s">
        <v>9</v>
      </c>
      <c r="AJ1" s="464" t="s">
        <v>10</v>
      </c>
      <c r="AK1" s="464" t="s">
        <v>52</v>
      </c>
    </row>
    <row r="2" spans="1:37" ht="15.75" customHeight="1">
      <c r="A2" s="465"/>
      <c r="B2" s="465"/>
      <c r="C2" s="465"/>
      <c r="D2" s="466" t="s">
        <v>491</v>
      </c>
      <c r="E2" s="466" t="s">
        <v>63</v>
      </c>
      <c r="F2" s="466" t="s">
        <v>3</v>
      </c>
      <c r="G2" s="466" t="s">
        <v>22</v>
      </c>
      <c r="H2" s="466" t="s">
        <v>60</v>
      </c>
      <c r="I2" s="466" t="s">
        <v>61</v>
      </c>
      <c r="J2" s="466" t="s">
        <v>302</v>
      </c>
      <c r="K2" s="466" t="s">
        <v>582</v>
      </c>
      <c r="L2" s="466" t="s">
        <v>150</v>
      </c>
      <c r="M2" s="466" t="s">
        <v>41</v>
      </c>
      <c r="N2" s="466" t="s">
        <v>127</v>
      </c>
      <c r="O2" s="466" t="s">
        <v>362</v>
      </c>
      <c r="P2" s="466" t="s">
        <v>583</v>
      </c>
      <c r="Q2" s="466" t="s">
        <v>584</v>
      </c>
      <c r="R2" s="466" t="s">
        <v>585</v>
      </c>
      <c r="S2" s="466" t="s">
        <v>586</v>
      </c>
      <c r="T2" s="466" t="s">
        <v>17</v>
      </c>
      <c r="U2" s="466" t="s">
        <v>66</v>
      </c>
      <c r="V2" s="466" t="s">
        <v>361</v>
      </c>
      <c r="W2" s="466" t="s">
        <v>64</v>
      </c>
      <c r="X2" s="466" t="s">
        <v>55</v>
      </c>
      <c r="Y2" s="466" t="s">
        <v>57</v>
      </c>
      <c r="Z2" s="466" t="s">
        <v>587</v>
      </c>
      <c r="AA2" s="466" t="s">
        <v>32</v>
      </c>
      <c r="AB2" s="466" t="s">
        <v>588</v>
      </c>
      <c r="AC2" s="466" t="s">
        <v>320</v>
      </c>
      <c r="AD2" s="466" t="s">
        <v>489</v>
      </c>
      <c r="AE2" s="467"/>
      <c r="AF2" s="468"/>
      <c r="AG2" s="469"/>
      <c r="AH2" s="469"/>
      <c r="AI2" s="469"/>
      <c r="AJ2" s="469"/>
      <c r="AK2" s="469"/>
    </row>
    <row r="3" spans="1:37" ht="15.75" customHeight="1">
      <c r="A3" s="470" t="s">
        <v>590</v>
      </c>
      <c r="B3" s="69"/>
      <c r="C3" s="69"/>
      <c r="D3" s="181"/>
      <c r="E3" s="181"/>
      <c r="F3" s="181"/>
      <c r="G3" s="181"/>
      <c r="H3" s="181"/>
      <c r="I3" s="181"/>
      <c r="J3" s="69" t="s">
        <v>591</v>
      </c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471" t="s">
        <v>592</v>
      </c>
      <c r="AF3" s="472">
        <v>60000</v>
      </c>
      <c r="AG3" s="473">
        <v>6</v>
      </c>
      <c r="AH3" s="473">
        <v>3</v>
      </c>
      <c r="AI3" s="473">
        <v>3</v>
      </c>
      <c r="AJ3" s="473">
        <v>8</v>
      </c>
      <c r="AK3" s="474">
        <f t="shared" ref="AK3:AK24" si="0">IF(AF3=0,0,IF(AF3&lt;=100000,20000,IF(AF3&lt;=150000,30000,IF(AF3&lt;=200000,40000,IF(AF3&lt;=300000,50000,60000)))))</f>
        <v>20000</v>
      </c>
    </row>
    <row r="4" spans="1:37" ht="15.75" customHeight="1">
      <c r="A4" s="470" t="s">
        <v>593</v>
      </c>
      <c r="B4" s="69"/>
      <c r="C4" s="69"/>
      <c r="D4" s="69" t="s">
        <v>591</v>
      </c>
      <c r="E4" s="181"/>
      <c r="F4" s="181"/>
      <c r="G4" s="181"/>
      <c r="H4" s="181"/>
      <c r="I4" s="181"/>
      <c r="J4" s="181"/>
      <c r="K4" s="181"/>
      <c r="L4" s="181"/>
      <c r="M4" s="69" t="s">
        <v>591</v>
      </c>
      <c r="N4" s="181"/>
      <c r="O4" s="181"/>
      <c r="P4" s="181"/>
      <c r="Q4" s="181"/>
      <c r="R4" s="181"/>
      <c r="S4" s="181"/>
      <c r="T4" s="181"/>
      <c r="U4" s="181"/>
      <c r="V4" s="69" t="s">
        <v>591</v>
      </c>
      <c r="W4" s="181"/>
      <c r="X4" s="181"/>
      <c r="Y4" s="181"/>
      <c r="Z4" s="181"/>
      <c r="AA4" s="181"/>
      <c r="AB4" s="181"/>
      <c r="AC4" s="181"/>
      <c r="AD4" s="181"/>
      <c r="AE4" s="475" t="s">
        <v>594</v>
      </c>
      <c r="AF4" s="472">
        <v>290000</v>
      </c>
      <c r="AG4" s="473">
        <v>6</v>
      </c>
      <c r="AH4" s="473">
        <v>5</v>
      </c>
      <c r="AI4" s="473">
        <v>2</v>
      </c>
      <c r="AJ4" s="473">
        <v>9</v>
      </c>
      <c r="AK4" s="474">
        <f t="shared" si="0"/>
        <v>50000</v>
      </c>
    </row>
    <row r="5" spans="1:37" ht="15.75" customHeight="1">
      <c r="A5" s="470" t="s">
        <v>595</v>
      </c>
      <c r="B5" s="69"/>
      <c r="C5" s="69"/>
      <c r="D5" s="181"/>
      <c r="E5" s="181"/>
      <c r="F5" s="69"/>
      <c r="G5" s="181"/>
      <c r="H5" s="181"/>
      <c r="I5" s="181"/>
      <c r="J5" s="181"/>
      <c r="K5" s="181"/>
      <c r="L5" s="181"/>
      <c r="M5" s="181"/>
      <c r="N5" s="69" t="s">
        <v>591</v>
      </c>
      <c r="O5" s="181"/>
      <c r="P5" s="181"/>
      <c r="Q5" s="181"/>
      <c r="R5" s="181"/>
      <c r="S5" s="181"/>
      <c r="T5" s="181"/>
      <c r="U5" s="69"/>
      <c r="V5" s="69"/>
      <c r="W5" s="181"/>
      <c r="X5" s="181"/>
      <c r="Y5" s="181"/>
      <c r="Z5" s="181"/>
      <c r="AA5" s="181"/>
      <c r="AB5" s="181"/>
      <c r="AC5" s="181"/>
      <c r="AD5" s="181"/>
      <c r="AE5" s="475" t="s">
        <v>596</v>
      </c>
      <c r="AF5" s="472">
        <v>160000</v>
      </c>
      <c r="AG5" s="473">
        <v>8</v>
      </c>
      <c r="AH5" s="473">
        <v>3</v>
      </c>
      <c r="AI5" s="473">
        <v>4</v>
      </c>
      <c r="AJ5" s="473">
        <v>7</v>
      </c>
      <c r="AK5" s="474">
        <f t="shared" si="0"/>
        <v>40000</v>
      </c>
    </row>
    <row r="6" spans="1:37" ht="15.75" customHeight="1">
      <c r="A6" s="470" t="s">
        <v>598</v>
      </c>
      <c r="B6" s="181"/>
      <c r="C6" s="181"/>
      <c r="D6" s="181"/>
      <c r="E6" s="181"/>
      <c r="F6" s="181"/>
      <c r="G6" s="181"/>
      <c r="H6" s="69" t="s">
        <v>591</v>
      </c>
      <c r="I6" s="181"/>
      <c r="J6" s="181"/>
      <c r="K6" s="181"/>
      <c r="L6" s="69" t="s">
        <v>591</v>
      </c>
      <c r="M6" s="181"/>
      <c r="N6" s="181"/>
      <c r="O6" s="181"/>
      <c r="P6" s="181"/>
      <c r="Q6" s="181"/>
      <c r="R6" s="181"/>
      <c r="S6" s="181"/>
      <c r="T6" s="181"/>
      <c r="U6" s="181"/>
      <c r="V6" s="69" t="s">
        <v>591</v>
      </c>
      <c r="W6" s="69" t="s">
        <v>591</v>
      </c>
      <c r="X6" s="181"/>
      <c r="Y6" s="181"/>
      <c r="Z6" s="181"/>
      <c r="AA6" s="181"/>
      <c r="AB6" s="69" t="s">
        <v>591</v>
      </c>
      <c r="AC6" s="181"/>
      <c r="AD6" s="181"/>
      <c r="AE6" s="475" t="s">
        <v>599</v>
      </c>
      <c r="AF6" s="472">
        <v>60000</v>
      </c>
      <c r="AG6" s="473">
        <v>6</v>
      </c>
      <c r="AH6" s="473">
        <v>2</v>
      </c>
      <c r="AI6" s="473">
        <v>3</v>
      </c>
      <c r="AJ6" s="473">
        <v>7</v>
      </c>
      <c r="AK6" s="474">
        <f t="shared" si="0"/>
        <v>20000</v>
      </c>
    </row>
    <row r="7" spans="1:37" ht="15.75" customHeight="1">
      <c r="A7" s="470" t="s">
        <v>600</v>
      </c>
      <c r="B7" s="181"/>
      <c r="C7" s="181"/>
      <c r="D7" s="181"/>
      <c r="E7" s="181"/>
      <c r="F7" s="181"/>
      <c r="G7" s="181"/>
      <c r="H7" s="181"/>
      <c r="I7" s="181"/>
      <c r="J7" s="69" t="s">
        <v>591</v>
      </c>
      <c r="K7" s="181"/>
      <c r="L7" s="181"/>
      <c r="M7" s="181"/>
      <c r="N7" s="181"/>
      <c r="O7" s="181"/>
      <c r="P7" s="181"/>
      <c r="Q7" s="181"/>
      <c r="R7" s="181"/>
      <c r="S7" s="181"/>
      <c r="T7" s="69" t="s">
        <v>591</v>
      </c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475" t="s">
        <v>601</v>
      </c>
      <c r="AF7" s="472">
        <v>60000</v>
      </c>
      <c r="AG7" s="473">
        <v>4</v>
      </c>
      <c r="AH7" s="473">
        <v>3</v>
      </c>
      <c r="AI7" s="473">
        <v>2</v>
      </c>
      <c r="AJ7" s="473">
        <v>9</v>
      </c>
      <c r="AK7" s="474">
        <f t="shared" si="0"/>
        <v>20000</v>
      </c>
    </row>
    <row r="8" spans="1:37" ht="15.75" customHeight="1">
      <c r="A8" s="470" t="s">
        <v>602</v>
      </c>
      <c r="B8" s="69" t="s">
        <v>603</v>
      </c>
      <c r="C8" s="181"/>
      <c r="D8" s="181"/>
      <c r="E8" s="181"/>
      <c r="F8" s="69" t="s">
        <v>591</v>
      </c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69" t="s">
        <v>591</v>
      </c>
      <c r="V8" s="69" t="s">
        <v>591</v>
      </c>
      <c r="W8" s="181"/>
      <c r="X8" s="181"/>
      <c r="Y8" s="181"/>
      <c r="Z8" s="181"/>
      <c r="AA8" s="181"/>
      <c r="AB8" s="181"/>
      <c r="AC8" s="181"/>
      <c r="AD8" s="181"/>
      <c r="AE8" s="475" t="s">
        <v>604</v>
      </c>
      <c r="AF8" s="472">
        <v>290000</v>
      </c>
      <c r="AG8" s="473">
        <v>5</v>
      </c>
      <c r="AH8" s="473">
        <v>5</v>
      </c>
      <c r="AI8" s="473">
        <v>2</v>
      </c>
      <c r="AJ8" s="473">
        <v>9</v>
      </c>
      <c r="AK8" s="474">
        <f t="shared" si="0"/>
        <v>50000</v>
      </c>
    </row>
    <row r="9" spans="1:37" ht="15.75" customHeight="1">
      <c r="A9" s="470" t="s">
        <v>605</v>
      </c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69" t="s">
        <v>591</v>
      </c>
      <c r="N9" s="181"/>
      <c r="O9" s="69" t="s">
        <v>591</v>
      </c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475" t="s">
        <v>606</v>
      </c>
      <c r="AF9" s="472">
        <v>140000</v>
      </c>
      <c r="AG9" s="473">
        <v>5</v>
      </c>
      <c r="AH9" s="473">
        <v>3</v>
      </c>
      <c r="AI9" s="473">
        <v>3</v>
      </c>
      <c r="AJ9" s="473">
        <v>6</v>
      </c>
      <c r="AK9" s="474">
        <f t="shared" si="0"/>
        <v>30000</v>
      </c>
    </row>
    <row r="10" spans="1:37" ht="15.75" customHeight="1">
      <c r="A10" s="470" t="s">
        <v>607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69" t="s">
        <v>591</v>
      </c>
      <c r="T10" s="181"/>
      <c r="U10" s="181"/>
      <c r="V10" s="181"/>
      <c r="W10" s="181"/>
      <c r="X10" s="181"/>
      <c r="Y10" s="181"/>
      <c r="Z10" s="69"/>
      <c r="AA10" s="69" t="s">
        <v>591</v>
      </c>
      <c r="AB10" s="69"/>
      <c r="AC10" s="69" t="s">
        <v>591</v>
      </c>
      <c r="AD10" s="181"/>
      <c r="AE10" s="475" t="s">
        <v>608</v>
      </c>
      <c r="AF10" s="472">
        <v>390000</v>
      </c>
      <c r="AG10" s="473">
        <v>6</v>
      </c>
      <c r="AH10" s="473">
        <v>5</v>
      </c>
      <c r="AI10" s="473">
        <v>4</v>
      </c>
      <c r="AJ10" s="473">
        <v>9</v>
      </c>
      <c r="AK10" s="474">
        <f t="shared" si="0"/>
        <v>60000</v>
      </c>
    </row>
    <row r="11" spans="1:37" ht="15.75" customHeight="1">
      <c r="A11" s="470" t="s">
        <v>609</v>
      </c>
      <c r="B11" s="181"/>
      <c r="C11" s="181"/>
      <c r="D11" s="181"/>
      <c r="E11" s="181"/>
      <c r="F11" s="181"/>
      <c r="G11" s="181"/>
      <c r="H11" s="69" t="s">
        <v>591</v>
      </c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69"/>
      <c r="AC11" s="69" t="s">
        <v>591</v>
      </c>
      <c r="AD11" s="181"/>
      <c r="AE11" s="475" t="s">
        <v>610</v>
      </c>
      <c r="AF11" s="472">
        <v>120000</v>
      </c>
      <c r="AG11" s="473">
        <v>6</v>
      </c>
      <c r="AH11" s="473">
        <v>3</v>
      </c>
      <c r="AI11" s="473">
        <v>3</v>
      </c>
      <c r="AJ11" s="473">
        <v>8</v>
      </c>
      <c r="AK11" s="474">
        <f t="shared" si="0"/>
        <v>30000</v>
      </c>
    </row>
    <row r="12" spans="1:37" ht="15.75" customHeight="1">
      <c r="A12" s="470" t="s">
        <v>611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69" t="s">
        <v>591</v>
      </c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475" t="s">
        <v>612</v>
      </c>
      <c r="AF12" s="472">
        <v>300000</v>
      </c>
      <c r="AG12" s="473">
        <v>2</v>
      </c>
      <c r="AH12" s="473">
        <v>7</v>
      </c>
      <c r="AI12" s="473">
        <v>1</v>
      </c>
      <c r="AJ12" s="473">
        <v>10</v>
      </c>
      <c r="AK12" s="474">
        <f t="shared" si="0"/>
        <v>50000</v>
      </c>
    </row>
    <row r="13" spans="1:37" ht="15.75" customHeight="1">
      <c r="A13" s="470" t="s">
        <v>614</v>
      </c>
      <c r="B13" s="181"/>
      <c r="C13" s="181"/>
      <c r="D13" s="181"/>
      <c r="E13" s="69" t="s">
        <v>591</v>
      </c>
      <c r="F13" s="181"/>
      <c r="G13" s="181"/>
      <c r="H13" s="181"/>
      <c r="I13" s="181"/>
      <c r="J13" s="181"/>
      <c r="K13" s="69" t="s">
        <v>591</v>
      </c>
      <c r="L13" s="181"/>
      <c r="M13" s="181"/>
      <c r="N13" s="69" t="s">
        <v>591</v>
      </c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69" t="s">
        <v>591</v>
      </c>
      <c r="AE13" s="475" t="s">
        <v>615</v>
      </c>
      <c r="AF13" s="472">
        <v>150000</v>
      </c>
      <c r="AG13" s="473">
        <v>7</v>
      </c>
      <c r="AH13" s="473">
        <v>3</v>
      </c>
      <c r="AI13" s="473">
        <v>4</v>
      </c>
      <c r="AJ13" s="473">
        <v>7</v>
      </c>
      <c r="AK13" s="474">
        <f t="shared" si="0"/>
        <v>30000</v>
      </c>
    </row>
    <row r="14" spans="1:37" ht="15.75" customHeight="1">
      <c r="A14" s="470" t="s">
        <v>616</v>
      </c>
      <c r="B14" s="69"/>
      <c r="C14" s="69"/>
      <c r="D14" s="181"/>
      <c r="E14" s="181"/>
      <c r="F14" s="181"/>
      <c r="G14" s="181"/>
      <c r="H14" s="69"/>
      <c r="I14" s="69" t="s">
        <v>591</v>
      </c>
      <c r="J14" s="181"/>
      <c r="K14" s="69" t="s">
        <v>591</v>
      </c>
      <c r="L14" s="181"/>
      <c r="M14" s="181"/>
      <c r="N14" s="69" t="s">
        <v>591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69" t="s">
        <v>591</v>
      </c>
      <c r="AE14" s="475" t="s">
        <v>617</v>
      </c>
      <c r="AF14" s="472">
        <v>200000</v>
      </c>
      <c r="AG14" s="473">
        <v>8</v>
      </c>
      <c r="AH14" s="473">
        <v>3</v>
      </c>
      <c r="AI14" s="473">
        <v>4</v>
      </c>
      <c r="AJ14" s="473">
        <v>7</v>
      </c>
      <c r="AK14" s="474">
        <f t="shared" si="0"/>
        <v>40000</v>
      </c>
    </row>
    <row r="15" spans="1:37" ht="15.75" customHeight="1">
      <c r="A15" s="470" t="s">
        <v>217</v>
      </c>
      <c r="B15" s="181"/>
      <c r="C15" s="181" t="str">
        <f>'DC1'!I21</f>
        <v>Fink Foulers</v>
      </c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69" t="s">
        <v>591</v>
      </c>
      <c r="Z15" s="181"/>
      <c r="AA15" s="181"/>
      <c r="AB15" s="69" t="s">
        <v>591</v>
      </c>
      <c r="AC15" s="181"/>
      <c r="AD15" s="181"/>
      <c r="AE15" s="475" t="s">
        <v>618</v>
      </c>
      <c r="AF15" s="472">
        <v>100000</v>
      </c>
      <c r="AG15" s="473">
        <v>4</v>
      </c>
      <c r="AH15" s="473">
        <v>7</v>
      </c>
      <c r="AI15" s="473">
        <v>3</v>
      </c>
      <c r="AJ15" s="473">
        <v>7</v>
      </c>
      <c r="AK15" s="474">
        <f t="shared" si="0"/>
        <v>20000</v>
      </c>
    </row>
    <row r="16" spans="1:37" ht="15.75" customHeight="1">
      <c r="A16" s="470" t="s">
        <v>619</v>
      </c>
      <c r="B16" s="181"/>
      <c r="C16" s="181"/>
      <c r="D16" s="181"/>
      <c r="E16" s="181"/>
      <c r="F16" s="181"/>
      <c r="G16" s="181"/>
      <c r="H16" s="181"/>
      <c r="I16" s="181"/>
      <c r="J16" s="69" t="s">
        <v>591</v>
      </c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475" t="s">
        <v>620</v>
      </c>
      <c r="AF16" s="472">
        <v>130000</v>
      </c>
      <c r="AG16" s="473">
        <v>5</v>
      </c>
      <c r="AH16" s="473">
        <v>3</v>
      </c>
      <c r="AI16" s="473">
        <v>2</v>
      </c>
      <c r="AJ16" s="473">
        <v>8</v>
      </c>
      <c r="AK16" s="474">
        <f t="shared" si="0"/>
        <v>30000</v>
      </c>
    </row>
    <row r="17" spans="1:37" ht="15.75" customHeight="1">
      <c r="A17" s="470" t="s">
        <v>621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69" t="s">
        <v>591</v>
      </c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475" t="s">
        <v>622</v>
      </c>
      <c r="AF17" s="472">
        <v>80000</v>
      </c>
      <c r="AG17" s="473">
        <v>4</v>
      </c>
      <c r="AH17" s="473">
        <v>7</v>
      </c>
      <c r="AI17" s="473">
        <v>3</v>
      </c>
      <c r="AJ17" s="473">
        <v>7</v>
      </c>
      <c r="AK17" s="474">
        <f t="shared" si="0"/>
        <v>20000</v>
      </c>
    </row>
    <row r="18" spans="1:37" ht="15.75" customHeight="1">
      <c r="A18" s="470" t="s">
        <v>623</v>
      </c>
      <c r="B18" s="181"/>
      <c r="C18" s="181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69" t="s">
        <v>591</v>
      </c>
      <c r="Y18" s="69"/>
      <c r="Z18" s="181"/>
      <c r="AA18" s="181"/>
      <c r="AB18" s="181"/>
      <c r="AC18" s="181"/>
      <c r="AD18" s="181"/>
      <c r="AE18" s="475" t="s">
        <v>624</v>
      </c>
      <c r="AF18" s="472">
        <v>170000</v>
      </c>
      <c r="AG18" s="473">
        <v>7</v>
      </c>
      <c r="AH18" s="473">
        <v>3</v>
      </c>
      <c r="AI18" s="473">
        <v>3</v>
      </c>
      <c r="AJ18" s="473">
        <v>7</v>
      </c>
      <c r="AK18" s="474">
        <f t="shared" si="0"/>
        <v>40000</v>
      </c>
    </row>
    <row r="19" spans="1:37" ht="15.75" customHeight="1">
      <c r="A19" s="470" t="s">
        <v>625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69" t="s">
        <v>591</v>
      </c>
      <c r="Z19" s="181"/>
      <c r="AA19" s="181"/>
      <c r="AB19" s="69" t="s">
        <v>591</v>
      </c>
      <c r="AC19" s="181"/>
      <c r="AD19" s="181"/>
      <c r="AE19" s="475" t="s">
        <v>626</v>
      </c>
      <c r="AF19" s="472">
        <v>210000</v>
      </c>
      <c r="AG19" s="473">
        <v>7</v>
      </c>
      <c r="AH19" s="473">
        <v>4</v>
      </c>
      <c r="AI19" s="473">
        <v>3</v>
      </c>
      <c r="AJ19" s="473">
        <v>8</v>
      </c>
      <c r="AK19" s="474">
        <f t="shared" si="0"/>
        <v>50000</v>
      </c>
    </row>
    <row r="20" spans="1:37" ht="15.75" customHeight="1">
      <c r="A20" s="470" t="s">
        <v>627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69" t="s">
        <v>591</v>
      </c>
      <c r="Z20" s="181"/>
      <c r="AA20" s="181"/>
      <c r="AB20" s="181"/>
      <c r="AC20" s="181"/>
      <c r="AD20" s="181"/>
      <c r="AE20" s="475" t="s">
        <v>628</v>
      </c>
      <c r="AF20" s="472">
        <v>190000</v>
      </c>
      <c r="AG20" s="473">
        <v>5</v>
      </c>
      <c r="AH20" s="473">
        <v>4</v>
      </c>
      <c r="AI20" s="473">
        <v>2</v>
      </c>
      <c r="AJ20" s="473">
        <v>8</v>
      </c>
      <c r="AK20" s="474">
        <f t="shared" si="0"/>
        <v>40000</v>
      </c>
    </row>
    <row r="21" spans="1:37" ht="15.75" customHeight="1">
      <c r="A21" s="470" t="s">
        <v>629</v>
      </c>
      <c r="B21" s="181"/>
      <c r="C21" s="181"/>
      <c r="D21" s="181"/>
      <c r="E21" s="181"/>
      <c r="F21" s="69" t="s">
        <v>591</v>
      </c>
      <c r="G21" s="69" t="s">
        <v>591</v>
      </c>
      <c r="H21" s="181"/>
      <c r="I21" s="181"/>
      <c r="J21" s="181"/>
      <c r="K21" s="181"/>
      <c r="L21" s="181"/>
      <c r="M21" s="181"/>
      <c r="N21" s="181"/>
      <c r="O21" s="181"/>
      <c r="P21" s="181"/>
      <c r="Q21" s="69" t="s">
        <v>591</v>
      </c>
      <c r="R21" s="181"/>
      <c r="S21" s="181"/>
      <c r="T21" s="181"/>
      <c r="U21" s="69" t="s">
        <v>591</v>
      </c>
      <c r="V21" s="181"/>
      <c r="W21" s="181"/>
      <c r="X21" s="181"/>
      <c r="Y21" s="181"/>
      <c r="Z21" s="181"/>
      <c r="AA21" s="181"/>
      <c r="AB21" s="181"/>
      <c r="AC21" s="181"/>
      <c r="AD21" s="181"/>
      <c r="AE21" s="475" t="s">
        <v>630</v>
      </c>
      <c r="AF21" s="472">
        <v>310000</v>
      </c>
      <c r="AG21" s="473">
        <v>6</v>
      </c>
      <c r="AH21" s="473">
        <v>6</v>
      </c>
      <c r="AI21" s="473">
        <v>2</v>
      </c>
      <c r="AJ21" s="473">
        <v>8</v>
      </c>
      <c r="AK21" s="474">
        <f t="shared" si="0"/>
        <v>60000</v>
      </c>
    </row>
    <row r="22" spans="1:37" ht="15.75" customHeight="1">
      <c r="A22" s="470" t="s">
        <v>631</v>
      </c>
      <c r="B22" s="181"/>
      <c r="C22" s="181"/>
      <c r="D22" s="181"/>
      <c r="E22" s="69" t="s">
        <v>591</v>
      </c>
      <c r="F22" s="181"/>
      <c r="G22" s="181"/>
      <c r="H22" s="181"/>
      <c r="I22" s="181"/>
      <c r="J22" s="181"/>
      <c r="K22" s="181"/>
      <c r="L22" s="181"/>
      <c r="M22" s="181"/>
      <c r="N22" s="181"/>
      <c r="O22" s="69" t="s">
        <v>591</v>
      </c>
      <c r="P22" s="181"/>
      <c r="Q22" s="181"/>
      <c r="R22" s="181"/>
      <c r="S22" s="181"/>
      <c r="T22" s="181"/>
      <c r="U22" s="181"/>
      <c r="V22" s="181"/>
      <c r="W22" s="181"/>
      <c r="X22" s="69" t="s">
        <v>591</v>
      </c>
      <c r="Y22" s="181"/>
      <c r="Z22" s="181"/>
      <c r="AA22" s="181"/>
      <c r="AB22" s="181"/>
      <c r="AC22" s="181"/>
      <c r="AD22" s="181"/>
      <c r="AE22" s="475" t="s">
        <v>632</v>
      </c>
      <c r="AF22" s="472">
        <v>320000</v>
      </c>
      <c r="AG22" s="473">
        <v>7</v>
      </c>
      <c r="AH22" s="473">
        <v>4</v>
      </c>
      <c r="AI22" s="473">
        <v>4</v>
      </c>
      <c r="AJ22" s="473">
        <v>8</v>
      </c>
      <c r="AK22" s="474">
        <f t="shared" si="0"/>
        <v>60000</v>
      </c>
    </row>
    <row r="23" spans="1:37" ht="15.75" customHeight="1">
      <c r="A23" s="470" t="s">
        <v>633</v>
      </c>
      <c r="B23" s="181"/>
      <c r="C23" s="181"/>
      <c r="D23" s="181"/>
      <c r="E23" s="181"/>
      <c r="F23" s="181"/>
      <c r="G23" s="181"/>
      <c r="H23" s="181"/>
      <c r="I23" s="181"/>
      <c r="J23" s="69" t="s">
        <v>591</v>
      </c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475" t="s">
        <v>634</v>
      </c>
      <c r="AF23" s="472">
        <v>220000</v>
      </c>
      <c r="AG23" s="473">
        <v>5</v>
      </c>
      <c r="AH23" s="473">
        <v>4</v>
      </c>
      <c r="AI23" s="473">
        <v>3</v>
      </c>
      <c r="AJ23" s="473">
        <v>8</v>
      </c>
      <c r="AK23" s="474">
        <f t="shared" si="0"/>
        <v>50000</v>
      </c>
    </row>
    <row r="24" spans="1:37" ht="15.75" customHeight="1">
      <c r="A24" s="470" t="s">
        <v>603</v>
      </c>
      <c r="B24" s="459" t="s">
        <v>602</v>
      </c>
      <c r="C24" s="181"/>
      <c r="D24" s="181"/>
      <c r="E24" s="181"/>
      <c r="F24" s="69" t="s">
        <v>591</v>
      </c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69" t="s">
        <v>591</v>
      </c>
      <c r="V24" s="69" t="s">
        <v>591</v>
      </c>
      <c r="W24" s="181"/>
      <c r="X24" s="181"/>
      <c r="Y24" s="181"/>
      <c r="Z24" s="181"/>
      <c r="AA24" s="181"/>
      <c r="AB24" s="181"/>
      <c r="AC24" s="181"/>
      <c r="AD24" s="181"/>
      <c r="AE24" s="475" t="s">
        <v>635</v>
      </c>
      <c r="AF24" s="472">
        <v>0</v>
      </c>
      <c r="AG24" s="473">
        <v>6</v>
      </c>
      <c r="AH24" s="473">
        <v>2</v>
      </c>
      <c r="AI24" s="473">
        <v>4</v>
      </c>
      <c r="AJ24" s="473">
        <v>7</v>
      </c>
      <c r="AK24" s="474">
        <f t="shared" si="0"/>
        <v>0</v>
      </c>
    </row>
    <row r="25" spans="1:37" ht="15.75" customHeight="1">
      <c r="A25" s="470" t="s">
        <v>636</v>
      </c>
      <c r="B25" s="476"/>
      <c r="C25" s="181"/>
      <c r="D25" s="181"/>
      <c r="F25" s="69" t="s">
        <v>591</v>
      </c>
      <c r="G25" s="69"/>
      <c r="H25" s="69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69" t="s">
        <v>591</v>
      </c>
      <c r="V25" s="181"/>
      <c r="W25" s="181"/>
      <c r="X25" s="181"/>
      <c r="Y25" s="181"/>
      <c r="Z25" s="181"/>
      <c r="AA25" s="181"/>
      <c r="AB25" s="181"/>
      <c r="AC25" s="181"/>
      <c r="AD25" s="181"/>
      <c r="AE25" s="475" t="s">
        <v>637</v>
      </c>
      <c r="AF25" s="472">
        <v>210000</v>
      </c>
      <c r="AG25" s="473">
        <v>5</v>
      </c>
      <c r="AH25" s="473">
        <v>3</v>
      </c>
      <c r="AI25" s="473">
        <v>4</v>
      </c>
      <c r="AJ25" s="473">
        <v>9</v>
      </c>
      <c r="AK25" s="474">
        <f>IF(AF25&lt;=100000,20000,IF(AF25&lt;=150000,30000,IF(AF25&lt;=200000,40000,IF(AF25&lt;=300000,50000,60000))))</f>
        <v>50000</v>
      </c>
    </row>
    <row r="26" spans="1:37" ht="15.75" customHeight="1">
      <c r="A26" s="470" t="s">
        <v>638</v>
      </c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69" t="s">
        <v>591</v>
      </c>
      <c r="Q26" s="181"/>
      <c r="R26" s="181"/>
      <c r="S26" s="69" t="s">
        <v>591</v>
      </c>
      <c r="T26" s="181"/>
      <c r="U26" s="181"/>
      <c r="V26" s="181"/>
      <c r="W26" s="181"/>
      <c r="X26" s="181"/>
      <c r="Y26" s="181"/>
      <c r="Z26" s="69"/>
      <c r="AA26" s="69" t="s">
        <v>591</v>
      </c>
      <c r="AB26" s="181"/>
      <c r="AC26" s="181"/>
      <c r="AD26" s="181"/>
      <c r="AE26" s="475" t="s">
        <v>639</v>
      </c>
      <c r="AF26" s="472">
        <v>120000</v>
      </c>
      <c r="AG26" s="473">
        <v>6</v>
      </c>
      <c r="AH26" s="473">
        <v>3</v>
      </c>
      <c r="AI26" s="473">
        <v>2</v>
      </c>
      <c r="AJ26" s="473">
        <v>7</v>
      </c>
      <c r="AK26" s="474">
        <f t="shared" ref="AK26:AK40" si="1">IF(AF26=0,0,IF(AF26&lt;=100000,20000,IF(AF26&lt;=150000,30000,IF(AF26&lt;=200000,40000,IF(AF26&lt;=300000,50000,60000)))))</f>
        <v>30000</v>
      </c>
    </row>
    <row r="27" spans="1:37" ht="15.75" customHeight="1">
      <c r="A27" s="470" t="s">
        <v>640</v>
      </c>
      <c r="B27" s="181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69" t="s">
        <v>591</v>
      </c>
      <c r="Z27" s="181"/>
      <c r="AA27" s="181"/>
      <c r="AB27" s="181"/>
      <c r="AC27" s="181"/>
      <c r="AD27" s="181"/>
      <c r="AE27" s="475" t="s">
        <v>641</v>
      </c>
      <c r="AF27" s="472">
        <v>200000</v>
      </c>
      <c r="AG27" s="473">
        <v>9</v>
      </c>
      <c r="AH27" s="473">
        <v>3</v>
      </c>
      <c r="AI27" s="473">
        <v>4</v>
      </c>
      <c r="AJ27" s="473">
        <v>7</v>
      </c>
      <c r="AK27" s="474">
        <f t="shared" si="1"/>
        <v>40000</v>
      </c>
    </row>
    <row r="28" spans="1:37" ht="15.75" customHeight="1">
      <c r="A28" s="470" t="s">
        <v>642</v>
      </c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69" t="s">
        <v>591</v>
      </c>
      <c r="Z28" s="181"/>
      <c r="AA28" s="181"/>
      <c r="AB28" s="181"/>
      <c r="AC28" s="181"/>
      <c r="AD28" s="181"/>
      <c r="AE28" s="475" t="s">
        <v>643</v>
      </c>
      <c r="AF28" s="472">
        <v>340000</v>
      </c>
      <c r="AG28" s="473">
        <v>6</v>
      </c>
      <c r="AH28" s="473">
        <v>6</v>
      </c>
      <c r="AI28" s="473">
        <v>3</v>
      </c>
      <c r="AJ28" s="473">
        <v>8</v>
      </c>
      <c r="AK28" s="474">
        <f t="shared" si="1"/>
        <v>60000</v>
      </c>
    </row>
    <row r="29" spans="1:37" ht="15.75" customHeight="1">
      <c r="A29" s="470" t="s">
        <v>644</v>
      </c>
      <c r="B29" s="69"/>
      <c r="C29" s="69"/>
      <c r="D29" s="69" t="s">
        <v>591</v>
      </c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69" t="s">
        <v>591</v>
      </c>
      <c r="P29" s="181"/>
      <c r="Q29" s="181"/>
      <c r="R29" s="69" t="s">
        <v>591</v>
      </c>
      <c r="S29" s="181"/>
      <c r="T29" s="69" t="s">
        <v>591</v>
      </c>
      <c r="U29" s="181"/>
      <c r="V29" s="181"/>
      <c r="W29" s="181"/>
      <c r="X29" s="69" t="s">
        <v>591</v>
      </c>
      <c r="Y29" s="181"/>
      <c r="Z29" s="69" t="s">
        <v>591</v>
      </c>
      <c r="AA29" s="181"/>
      <c r="AB29" s="69"/>
      <c r="AC29" s="69" t="s">
        <v>591</v>
      </c>
      <c r="AD29" s="181"/>
      <c r="AE29" s="475" t="s">
        <v>645</v>
      </c>
      <c r="AF29" s="472">
        <v>110000</v>
      </c>
      <c r="AG29" s="473">
        <v>6</v>
      </c>
      <c r="AH29" s="473">
        <v>3</v>
      </c>
      <c r="AI29" s="473">
        <v>3</v>
      </c>
      <c r="AJ29" s="473">
        <v>8</v>
      </c>
      <c r="AK29" s="474">
        <f t="shared" si="1"/>
        <v>30000</v>
      </c>
    </row>
    <row r="30" spans="1:37" ht="15.75" customHeight="1">
      <c r="A30" s="470" t="s">
        <v>646</v>
      </c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69" t="s">
        <v>591</v>
      </c>
      <c r="S30" s="181"/>
      <c r="T30" s="181"/>
      <c r="U30" s="181"/>
      <c r="V30" s="181"/>
      <c r="W30" s="181"/>
      <c r="X30" s="181"/>
      <c r="Y30" s="181"/>
      <c r="Z30" s="69" t="s">
        <v>591</v>
      </c>
      <c r="AA30" s="181"/>
      <c r="AB30" s="181"/>
      <c r="AC30" s="181"/>
      <c r="AD30" s="181"/>
      <c r="AE30" s="475" t="s">
        <v>647</v>
      </c>
      <c r="AF30" s="472">
        <v>170000</v>
      </c>
      <c r="AG30" s="473">
        <v>8</v>
      </c>
      <c r="AH30" s="473">
        <v>2</v>
      </c>
      <c r="AI30" s="473">
        <v>3</v>
      </c>
      <c r="AJ30" s="473">
        <v>7</v>
      </c>
      <c r="AK30" s="474">
        <f t="shared" si="1"/>
        <v>40000</v>
      </c>
    </row>
    <row r="31" spans="1:37" ht="15.75" customHeight="1">
      <c r="A31" s="470" t="s">
        <v>648</v>
      </c>
      <c r="B31" s="181"/>
      <c r="C31" s="181"/>
      <c r="D31" s="181"/>
      <c r="E31" s="181"/>
      <c r="F31" s="181"/>
      <c r="G31" s="181"/>
      <c r="H31" s="69"/>
      <c r="I31" s="69" t="s">
        <v>591</v>
      </c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475" t="s">
        <v>649</v>
      </c>
      <c r="AF31" s="472">
        <v>210000</v>
      </c>
      <c r="AG31" s="473">
        <v>7</v>
      </c>
      <c r="AH31" s="473">
        <v>3</v>
      </c>
      <c r="AI31" s="473">
        <v>4</v>
      </c>
      <c r="AJ31" s="473">
        <v>7</v>
      </c>
      <c r="AK31" s="474">
        <f t="shared" si="1"/>
        <v>50000</v>
      </c>
    </row>
    <row r="32" spans="1:37" ht="15.75" customHeight="1">
      <c r="A32" s="470" t="s">
        <v>650</v>
      </c>
      <c r="B32" s="181"/>
      <c r="C32" s="181"/>
      <c r="D32" s="181"/>
      <c r="E32" s="181"/>
      <c r="F32" s="181"/>
      <c r="G32" s="69" t="s">
        <v>591</v>
      </c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475" t="s">
        <v>651</v>
      </c>
      <c r="AF32" s="472">
        <v>330000</v>
      </c>
      <c r="AG32" s="473">
        <v>6</v>
      </c>
      <c r="AH32" s="473">
        <v>5</v>
      </c>
      <c r="AI32" s="473">
        <v>2</v>
      </c>
      <c r="AJ32" s="473">
        <v>9</v>
      </c>
      <c r="AK32" s="474">
        <f t="shared" si="1"/>
        <v>60000</v>
      </c>
    </row>
    <row r="33" spans="1:37" ht="15.75" customHeight="1">
      <c r="A33" s="470" t="s">
        <v>652</v>
      </c>
      <c r="B33" s="181"/>
      <c r="C33" s="181"/>
      <c r="D33" s="181"/>
      <c r="E33" s="181"/>
      <c r="F33" s="181"/>
      <c r="G33" s="181"/>
      <c r="H33" s="69"/>
      <c r="I33" s="69" t="s">
        <v>591</v>
      </c>
      <c r="J33" s="181"/>
      <c r="K33" s="69" t="s">
        <v>591</v>
      </c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475" t="s">
        <v>653</v>
      </c>
      <c r="AF33" s="472">
        <v>260000</v>
      </c>
      <c r="AG33" s="473">
        <v>7</v>
      </c>
      <c r="AH33" s="473">
        <v>4</v>
      </c>
      <c r="AI33" s="473">
        <v>4</v>
      </c>
      <c r="AJ33" s="473">
        <v>8</v>
      </c>
      <c r="AK33" s="474">
        <f t="shared" si="1"/>
        <v>50000</v>
      </c>
    </row>
    <row r="34" spans="1:37" ht="15.75" customHeight="1">
      <c r="A34" s="470" t="s">
        <v>655</v>
      </c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69" t="s">
        <v>591</v>
      </c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475" t="s">
        <v>656</v>
      </c>
      <c r="AF34" s="472">
        <v>130000</v>
      </c>
      <c r="AG34" s="473">
        <v>7</v>
      </c>
      <c r="AH34" s="473">
        <v>2</v>
      </c>
      <c r="AI34" s="473">
        <v>3</v>
      </c>
      <c r="AJ34" s="473">
        <v>7</v>
      </c>
      <c r="AK34" s="474">
        <f t="shared" si="1"/>
        <v>30000</v>
      </c>
    </row>
    <row r="35" spans="1:37" ht="15.75" customHeight="1">
      <c r="A35" s="470" t="s">
        <v>657</v>
      </c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69" t="s">
        <v>591</v>
      </c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475" t="s">
        <v>658</v>
      </c>
      <c r="AF35" s="472">
        <v>330000</v>
      </c>
      <c r="AG35" s="473">
        <v>5</v>
      </c>
      <c r="AH35" s="473">
        <v>6</v>
      </c>
      <c r="AI35" s="473">
        <v>1</v>
      </c>
      <c r="AJ35" s="473">
        <v>8</v>
      </c>
      <c r="AK35" s="474">
        <f t="shared" si="1"/>
        <v>60000</v>
      </c>
    </row>
    <row r="36" spans="1:37" ht="15.75" customHeight="1">
      <c r="A36" s="470" t="s">
        <v>659</v>
      </c>
      <c r="B36" s="181"/>
      <c r="C36" s="181"/>
      <c r="D36" s="181"/>
      <c r="E36" s="181"/>
      <c r="F36" s="181"/>
      <c r="G36" s="181"/>
      <c r="H36" s="69"/>
      <c r="I36" s="69" t="s">
        <v>591</v>
      </c>
      <c r="J36" s="181"/>
      <c r="K36" s="181"/>
      <c r="L36" s="181"/>
      <c r="M36" s="181"/>
      <c r="N36" s="181"/>
      <c r="O36" s="181"/>
      <c r="P36" s="69" t="s">
        <v>591</v>
      </c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475" t="s">
        <v>660</v>
      </c>
      <c r="AF36" s="472">
        <v>220000</v>
      </c>
      <c r="AG36" s="473">
        <v>7</v>
      </c>
      <c r="AH36" s="473">
        <v>3</v>
      </c>
      <c r="AI36" s="473">
        <v>3</v>
      </c>
      <c r="AJ36" s="473">
        <v>7</v>
      </c>
      <c r="AK36" s="474">
        <f t="shared" si="1"/>
        <v>50000</v>
      </c>
    </row>
    <row r="37" spans="1:37" ht="15.75" customHeight="1">
      <c r="A37" s="470" t="s">
        <v>661</v>
      </c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69" t="s">
        <v>591</v>
      </c>
      <c r="T37" s="181"/>
      <c r="U37" s="181"/>
      <c r="V37" s="181"/>
      <c r="W37" s="181"/>
      <c r="X37" s="181"/>
      <c r="Y37" s="181"/>
      <c r="Z37" s="69"/>
      <c r="AA37" s="69" t="s">
        <v>591</v>
      </c>
      <c r="AB37" s="69"/>
      <c r="AC37" s="69" t="s">
        <v>591</v>
      </c>
      <c r="AD37" s="181"/>
      <c r="AE37" s="475" t="s">
        <v>662</v>
      </c>
      <c r="AF37" s="472">
        <v>180000</v>
      </c>
      <c r="AG37" s="473">
        <v>8</v>
      </c>
      <c r="AH37" s="473">
        <v>3</v>
      </c>
      <c r="AI37" s="473">
        <v>3</v>
      </c>
      <c r="AJ37" s="473">
        <v>7</v>
      </c>
      <c r="AK37" s="474">
        <f t="shared" si="1"/>
        <v>40000</v>
      </c>
    </row>
    <row r="38" spans="1:37" ht="15.75" customHeight="1">
      <c r="A38" s="470" t="s">
        <v>663</v>
      </c>
      <c r="B38" s="181"/>
      <c r="C38" s="181"/>
      <c r="D38" s="181"/>
      <c r="E38" s="181"/>
      <c r="F38" s="181"/>
      <c r="G38" s="181"/>
      <c r="H38" s="181"/>
      <c r="I38" s="181"/>
      <c r="J38" s="181"/>
      <c r="K38" s="69" t="s">
        <v>591</v>
      </c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69" t="s">
        <v>591</v>
      </c>
      <c r="AE38" s="475" t="s">
        <v>664</v>
      </c>
      <c r="AF38" s="472">
        <v>260000</v>
      </c>
      <c r="AG38" s="473">
        <v>8</v>
      </c>
      <c r="AH38" s="473">
        <v>3</v>
      </c>
      <c r="AI38" s="473">
        <v>5</v>
      </c>
      <c r="AJ38" s="473">
        <v>7</v>
      </c>
      <c r="AK38" s="474">
        <f t="shared" si="1"/>
        <v>50000</v>
      </c>
    </row>
    <row r="39" spans="1:37" ht="15.75" customHeight="1">
      <c r="A39" s="470" t="s">
        <v>665</v>
      </c>
      <c r="B39" s="69"/>
      <c r="C39" s="69"/>
      <c r="D39" s="69" t="s">
        <v>591</v>
      </c>
      <c r="E39" s="69" t="s">
        <v>591</v>
      </c>
      <c r="F39" s="181"/>
      <c r="G39" s="181"/>
      <c r="H39" s="181"/>
      <c r="I39" s="181"/>
      <c r="J39" s="181"/>
      <c r="K39" s="69"/>
      <c r="L39" s="181"/>
      <c r="M39" s="69" t="s">
        <v>591</v>
      </c>
      <c r="N39" s="181"/>
      <c r="O39" s="69" t="s">
        <v>591</v>
      </c>
      <c r="P39" s="181"/>
      <c r="Q39" s="181"/>
      <c r="R39" s="181"/>
      <c r="S39" s="181"/>
      <c r="T39" s="69" t="s">
        <v>591</v>
      </c>
      <c r="U39" s="181"/>
      <c r="V39" s="181"/>
      <c r="W39" s="181"/>
      <c r="X39" s="69"/>
      <c r="Y39" s="181"/>
      <c r="Z39" s="181"/>
      <c r="AA39" s="181"/>
      <c r="AB39" s="181"/>
      <c r="AC39" s="181"/>
      <c r="AD39" s="69"/>
      <c r="AE39" s="475" t="s">
        <v>666</v>
      </c>
      <c r="AF39" s="472">
        <v>220000</v>
      </c>
      <c r="AG39" s="473">
        <v>6</v>
      </c>
      <c r="AH39" s="473">
        <v>4</v>
      </c>
      <c r="AI39" s="473">
        <v>3</v>
      </c>
      <c r="AJ39" s="473">
        <v>8</v>
      </c>
      <c r="AK39" s="474">
        <f t="shared" si="1"/>
        <v>50000</v>
      </c>
    </row>
    <row r="40" spans="1:37" ht="15.75" customHeight="1">
      <c r="A40" s="470" t="s">
        <v>667</v>
      </c>
      <c r="B40" s="181"/>
      <c r="C40" s="181"/>
      <c r="D40" s="181"/>
      <c r="E40" s="181"/>
      <c r="F40" s="181"/>
      <c r="G40" s="181"/>
      <c r="H40" s="181"/>
      <c r="I40" s="181"/>
      <c r="J40" s="181"/>
      <c r="K40" s="69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69" t="s">
        <v>591</v>
      </c>
      <c r="Y40" s="181"/>
      <c r="Z40" s="181"/>
      <c r="AA40" s="181"/>
      <c r="AB40" s="181"/>
      <c r="AC40" s="181"/>
      <c r="AD40" s="69"/>
      <c r="AE40" s="475" t="s">
        <v>668</v>
      </c>
      <c r="AF40" s="472">
        <v>270000</v>
      </c>
      <c r="AG40" s="473">
        <v>6</v>
      </c>
      <c r="AH40" s="473">
        <v>5</v>
      </c>
      <c r="AI40" s="473">
        <v>1</v>
      </c>
      <c r="AJ40" s="473">
        <v>9</v>
      </c>
      <c r="AK40" s="474">
        <f t="shared" si="1"/>
        <v>50000</v>
      </c>
    </row>
    <row r="41" spans="1:37" ht="15.75" customHeight="1">
      <c r="A41" s="470" t="s">
        <v>669</v>
      </c>
      <c r="B41" s="476"/>
      <c r="C41" s="181"/>
      <c r="D41" s="181"/>
      <c r="E41" s="181"/>
      <c r="F41" s="69"/>
      <c r="G41" s="69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Y41" s="69" t="s">
        <v>591</v>
      </c>
      <c r="Z41" s="181"/>
      <c r="AA41" s="181"/>
      <c r="AB41" s="69" t="s">
        <v>591</v>
      </c>
      <c r="AC41" s="181"/>
      <c r="AD41" s="181"/>
      <c r="AE41" s="475" t="s">
        <v>670</v>
      </c>
      <c r="AF41" s="472">
        <v>130000</v>
      </c>
      <c r="AG41" s="473">
        <v>5</v>
      </c>
      <c r="AH41" s="473">
        <v>7</v>
      </c>
      <c r="AI41" s="473">
        <v>2</v>
      </c>
      <c r="AJ41" s="473">
        <v>9</v>
      </c>
      <c r="AK41" s="474">
        <f>IF(AF41&lt;=100000,20000,IF(AF41&lt;=150000,30000,IF(AF41&lt;=200000,40000,IF(AF41&lt;=300000,50000,60000))))</f>
        <v>30000</v>
      </c>
    </row>
    <row r="42" spans="1:37" ht="15.75" customHeight="1">
      <c r="A42" s="470" t="s">
        <v>671</v>
      </c>
      <c r="B42" s="181"/>
      <c r="C42" s="181"/>
      <c r="D42" s="181"/>
      <c r="E42" s="181"/>
      <c r="F42" s="69" t="s">
        <v>591</v>
      </c>
      <c r="G42" s="181"/>
      <c r="H42" s="69" t="s">
        <v>591</v>
      </c>
      <c r="I42" s="181"/>
      <c r="J42" s="181"/>
      <c r="K42" s="181"/>
      <c r="L42" s="181"/>
      <c r="M42" s="181"/>
      <c r="N42" s="181"/>
      <c r="O42" s="181"/>
      <c r="P42" s="181"/>
      <c r="Q42" s="69"/>
      <c r="R42" s="181"/>
      <c r="S42" s="181"/>
      <c r="T42" s="181"/>
      <c r="U42" s="69" t="s">
        <v>591</v>
      </c>
      <c r="V42" s="181"/>
      <c r="W42" s="181"/>
      <c r="X42" s="181"/>
      <c r="Y42" s="181"/>
      <c r="Z42" s="181"/>
      <c r="AA42" s="181"/>
      <c r="AB42" s="181"/>
      <c r="AC42" s="181"/>
      <c r="AD42" s="181"/>
      <c r="AE42" s="475" t="s">
        <v>672</v>
      </c>
      <c r="AF42" s="472">
        <v>150000</v>
      </c>
      <c r="AG42" s="473">
        <v>6</v>
      </c>
      <c r="AH42" s="473">
        <v>3</v>
      </c>
      <c r="AI42" s="473">
        <v>3</v>
      </c>
      <c r="AJ42" s="473">
        <v>9</v>
      </c>
      <c r="AK42" s="474">
        <f t="shared" ref="AK42:AK69" si="2">IF(AF42=0,0,IF(AF42&lt;=100000,20000,IF(AF42&lt;=150000,30000,IF(AF42&lt;=200000,40000,IF(AF42&lt;=300000,50000,60000)))))</f>
        <v>30000</v>
      </c>
    </row>
    <row r="43" spans="1:37" ht="15.75" customHeight="1">
      <c r="A43" s="470" t="s">
        <v>673</v>
      </c>
      <c r="B43" s="181"/>
      <c r="C43" s="181"/>
      <c r="D43" s="181"/>
      <c r="E43" s="181"/>
      <c r="F43" s="69" t="s">
        <v>591</v>
      </c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69"/>
      <c r="R43" s="181"/>
      <c r="S43" s="181"/>
      <c r="T43" s="181"/>
      <c r="U43" s="69" t="s">
        <v>591</v>
      </c>
      <c r="V43" s="181"/>
      <c r="W43" s="181"/>
      <c r="X43" s="181"/>
      <c r="Y43" s="181"/>
      <c r="Z43" s="181"/>
      <c r="AA43" s="181"/>
      <c r="AB43" s="181"/>
      <c r="AC43" s="181"/>
      <c r="AD43" s="181"/>
      <c r="AE43" s="475" t="s">
        <v>674</v>
      </c>
      <c r="AF43" s="472">
        <v>300000</v>
      </c>
      <c r="AG43" s="473">
        <v>5</v>
      </c>
      <c r="AH43" s="473">
        <v>5</v>
      </c>
      <c r="AI43" s="473">
        <v>3</v>
      </c>
      <c r="AJ43" s="473">
        <v>9</v>
      </c>
      <c r="AK43" s="474">
        <f t="shared" si="2"/>
        <v>50000</v>
      </c>
    </row>
    <row r="44" spans="1:37" ht="15.75" customHeight="1">
      <c r="A44" s="470" t="s">
        <v>675</v>
      </c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69" t="s">
        <v>591</v>
      </c>
      <c r="S44" s="181"/>
      <c r="T44" s="181"/>
      <c r="U44" s="181"/>
      <c r="V44" s="181"/>
      <c r="W44" s="181"/>
      <c r="X44" s="181"/>
      <c r="Y44" s="181"/>
      <c r="Z44" s="69" t="s">
        <v>591</v>
      </c>
      <c r="AA44" s="181"/>
      <c r="AB44" s="181"/>
      <c r="AC44" s="181"/>
      <c r="AD44" s="181"/>
      <c r="AE44" s="475" t="s">
        <v>676</v>
      </c>
      <c r="AF44" s="472">
        <v>220000</v>
      </c>
      <c r="AG44" s="473">
        <v>8</v>
      </c>
      <c r="AH44" s="473">
        <v>3</v>
      </c>
      <c r="AI44" s="473">
        <v>3</v>
      </c>
      <c r="AJ44" s="473">
        <v>8</v>
      </c>
      <c r="AK44" s="474">
        <f t="shared" si="2"/>
        <v>50000</v>
      </c>
    </row>
    <row r="45" spans="1:37" ht="15.75" customHeight="1">
      <c r="A45" s="470" t="s">
        <v>677</v>
      </c>
      <c r="B45" s="459" t="s">
        <v>678</v>
      </c>
      <c r="C45" s="181"/>
      <c r="D45" s="181"/>
      <c r="E45" s="181"/>
      <c r="F45" s="69"/>
      <c r="G45" s="181"/>
      <c r="H45" s="181"/>
      <c r="I45" s="181"/>
      <c r="J45" s="181"/>
      <c r="K45" s="69" t="s">
        <v>591</v>
      </c>
      <c r="L45" s="69"/>
      <c r="M45" s="181"/>
      <c r="N45" s="69" t="s">
        <v>591</v>
      </c>
      <c r="O45" s="181"/>
      <c r="P45" s="181"/>
      <c r="Q45" s="181"/>
      <c r="R45" s="181"/>
      <c r="S45" s="181"/>
      <c r="T45" s="181"/>
      <c r="U45" s="69"/>
      <c r="V45" s="181"/>
      <c r="W45" s="181"/>
      <c r="X45" s="181"/>
      <c r="Y45" s="181"/>
      <c r="Z45" s="181"/>
      <c r="AA45" s="181"/>
      <c r="AB45" s="181"/>
      <c r="AC45" s="181"/>
      <c r="AD45" s="69" t="s">
        <v>591</v>
      </c>
      <c r="AE45" s="475" t="s">
        <v>679</v>
      </c>
      <c r="AF45" s="472">
        <v>390000</v>
      </c>
      <c r="AG45" s="473">
        <v>7</v>
      </c>
      <c r="AH45" s="473">
        <v>3</v>
      </c>
      <c r="AI45" s="473">
        <v>4</v>
      </c>
      <c r="AJ45" s="473">
        <v>8</v>
      </c>
      <c r="AK45" s="474">
        <f t="shared" si="2"/>
        <v>60000</v>
      </c>
    </row>
    <row r="46" spans="1:37" ht="15.75" customHeight="1">
      <c r="A46" s="470" t="s">
        <v>680</v>
      </c>
      <c r="B46" s="181"/>
      <c r="C46" s="181"/>
      <c r="D46" s="181"/>
      <c r="E46" s="181"/>
      <c r="F46" s="69"/>
      <c r="G46" s="181"/>
      <c r="H46" s="181"/>
      <c r="I46" s="181"/>
      <c r="J46" s="181"/>
      <c r="K46" s="181"/>
      <c r="L46" s="69" t="s">
        <v>591</v>
      </c>
      <c r="M46" s="181"/>
      <c r="N46" s="181"/>
      <c r="O46" s="181"/>
      <c r="P46" s="181"/>
      <c r="Q46" s="181"/>
      <c r="R46" s="181"/>
      <c r="S46" s="181"/>
      <c r="T46" s="181"/>
      <c r="U46" s="69"/>
      <c r="V46" s="181"/>
      <c r="W46" s="181"/>
      <c r="X46" s="181"/>
      <c r="Y46" s="181"/>
      <c r="Z46" s="181"/>
      <c r="AA46" s="181"/>
      <c r="AB46" s="181"/>
      <c r="AC46" s="181"/>
      <c r="AD46" s="181"/>
      <c r="AE46" s="475" t="s">
        <v>681</v>
      </c>
      <c r="AF46" s="472">
        <v>170000</v>
      </c>
      <c r="AG46" s="473">
        <v>6</v>
      </c>
      <c r="AH46" s="473">
        <v>4</v>
      </c>
      <c r="AI46" s="473">
        <v>3</v>
      </c>
      <c r="AJ46" s="473">
        <v>8</v>
      </c>
      <c r="AK46" s="474">
        <f t="shared" si="2"/>
        <v>40000</v>
      </c>
    </row>
    <row r="47" spans="1:37" ht="15.75" customHeight="1">
      <c r="A47" s="470" t="s">
        <v>682</v>
      </c>
      <c r="B47" s="181"/>
      <c r="C47" s="181"/>
      <c r="D47" s="181"/>
      <c r="E47" s="181"/>
      <c r="F47" s="69" t="s">
        <v>591</v>
      </c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69"/>
      <c r="R47" s="181"/>
      <c r="S47" s="181"/>
      <c r="T47" s="181"/>
      <c r="U47" s="69" t="s">
        <v>591</v>
      </c>
      <c r="V47" s="181"/>
      <c r="W47" s="181"/>
      <c r="X47" s="181"/>
      <c r="Y47" s="181"/>
      <c r="Z47" s="181"/>
      <c r="AA47" s="181"/>
      <c r="AB47" s="181"/>
      <c r="AC47" s="181"/>
      <c r="AD47" s="181"/>
      <c r="AE47" s="475" t="s">
        <v>683</v>
      </c>
      <c r="AF47" s="472">
        <v>130000</v>
      </c>
      <c r="AG47" s="473">
        <v>5</v>
      </c>
      <c r="AH47" s="473">
        <v>4</v>
      </c>
      <c r="AI47" s="473">
        <v>3</v>
      </c>
      <c r="AJ47" s="473">
        <v>8</v>
      </c>
      <c r="AK47" s="474">
        <f t="shared" si="2"/>
        <v>30000</v>
      </c>
    </row>
    <row r="48" spans="1:37" ht="15.75" customHeight="1">
      <c r="A48" s="470" t="s">
        <v>684</v>
      </c>
      <c r="B48" s="181"/>
      <c r="C48" s="181"/>
      <c r="D48" s="181"/>
      <c r="E48" s="69" t="s">
        <v>591</v>
      </c>
      <c r="F48" s="181"/>
      <c r="G48" s="181"/>
      <c r="H48" s="181"/>
      <c r="I48" s="181"/>
      <c r="J48" s="181"/>
      <c r="K48" s="181"/>
      <c r="L48" s="181"/>
      <c r="M48" s="181"/>
      <c r="N48" s="181"/>
      <c r="O48" s="69" t="s">
        <v>591</v>
      </c>
      <c r="P48" s="181"/>
      <c r="Q48" s="181"/>
      <c r="R48" s="181"/>
      <c r="S48" s="181"/>
      <c r="T48" s="181"/>
      <c r="U48" s="181"/>
      <c r="V48" s="181"/>
      <c r="W48" s="181"/>
      <c r="X48" s="69" t="s">
        <v>591</v>
      </c>
      <c r="Y48" s="181"/>
      <c r="Z48" s="181"/>
      <c r="AA48" s="181"/>
      <c r="AB48" s="181"/>
      <c r="AC48" s="181"/>
      <c r="AD48" s="181"/>
      <c r="AE48" s="475" t="s">
        <v>685</v>
      </c>
      <c r="AF48" s="472">
        <v>260000</v>
      </c>
      <c r="AG48" s="473">
        <v>4</v>
      </c>
      <c r="AH48" s="473">
        <v>5</v>
      </c>
      <c r="AI48" s="473">
        <v>2</v>
      </c>
      <c r="AJ48" s="473">
        <v>9</v>
      </c>
      <c r="AK48" s="474">
        <f t="shared" si="2"/>
        <v>50000</v>
      </c>
    </row>
    <row r="49" spans="1:37" ht="15.75" customHeight="1">
      <c r="A49" s="470" t="s">
        <v>686</v>
      </c>
      <c r="B49" s="69"/>
      <c r="C49" s="69"/>
      <c r="D49" s="69" t="s">
        <v>591</v>
      </c>
      <c r="E49" s="69" t="s">
        <v>591</v>
      </c>
      <c r="F49" s="69" t="s">
        <v>591</v>
      </c>
      <c r="G49" s="69" t="s">
        <v>591</v>
      </c>
      <c r="H49" s="69" t="s">
        <v>591</v>
      </c>
      <c r="I49" s="69" t="s">
        <v>591</v>
      </c>
      <c r="J49" s="69" t="s">
        <v>591</v>
      </c>
      <c r="K49" s="69" t="s">
        <v>591</v>
      </c>
      <c r="L49" s="69" t="s">
        <v>591</v>
      </c>
      <c r="M49" s="69" t="s">
        <v>591</v>
      </c>
      <c r="N49" s="69" t="s">
        <v>591</v>
      </c>
      <c r="O49" s="69" t="s">
        <v>591</v>
      </c>
      <c r="P49" s="181"/>
      <c r="Q49" s="69" t="s">
        <v>591</v>
      </c>
      <c r="R49" s="69" t="s">
        <v>591</v>
      </c>
      <c r="S49" s="181"/>
      <c r="T49" s="69" t="s">
        <v>591</v>
      </c>
      <c r="U49" s="69" t="s">
        <v>591</v>
      </c>
      <c r="V49" s="69" t="s">
        <v>591</v>
      </c>
      <c r="W49" s="69" t="s">
        <v>591</v>
      </c>
      <c r="X49" s="69" t="s">
        <v>591</v>
      </c>
      <c r="Y49" s="69" t="s">
        <v>591</v>
      </c>
      <c r="Z49" s="69" t="s">
        <v>591</v>
      </c>
      <c r="AA49" s="181"/>
      <c r="AB49" s="69" t="s">
        <v>591</v>
      </c>
      <c r="AC49" s="69" t="s">
        <v>591</v>
      </c>
      <c r="AD49" s="69" t="s">
        <v>591</v>
      </c>
      <c r="AE49" s="475" t="s">
        <v>687</v>
      </c>
      <c r="AF49" s="472">
        <v>430000</v>
      </c>
      <c r="AG49" s="473">
        <v>6</v>
      </c>
      <c r="AH49" s="473">
        <v>6</v>
      </c>
      <c r="AI49" s="473">
        <v>3</v>
      </c>
      <c r="AJ49" s="473">
        <v>10</v>
      </c>
      <c r="AK49" s="474">
        <f t="shared" si="2"/>
        <v>60000</v>
      </c>
    </row>
    <row r="50" spans="1:37" ht="15.75" customHeight="1">
      <c r="A50" s="470" t="s">
        <v>688</v>
      </c>
      <c r="B50" s="181"/>
      <c r="C50" s="181"/>
      <c r="D50" s="181"/>
      <c r="E50" s="181"/>
      <c r="F50" s="181"/>
      <c r="G50" s="69" t="s">
        <v>591</v>
      </c>
      <c r="H50" s="181"/>
      <c r="I50" s="181"/>
      <c r="J50" s="181"/>
      <c r="K50" s="181"/>
      <c r="L50" s="69" t="s">
        <v>591</v>
      </c>
      <c r="M50" s="181"/>
      <c r="N50" s="181"/>
      <c r="O50" s="181"/>
      <c r="P50" s="181"/>
      <c r="Q50" s="181"/>
      <c r="R50" s="181"/>
      <c r="S50" s="181"/>
      <c r="T50" s="181"/>
      <c r="U50" s="181"/>
      <c r="V50" s="69" t="s">
        <v>591</v>
      </c>
      <c r="W50" s="181"/>
      <c r="X50" s="181"/>
      <c r="Y50" s="181"/>
      <c r="Z50" s="181"/>
      <c r="AA50" s="181"/>
      <c r="AB50" s="69" t="s">
        <v>591</v>
      </c>
      <c r="AC50" s="181"/>
      <c r="AD50" s="181"/>
      <c r="AE50" s="475" t="s">
        <v>689</v>
      </c>
      <c r="AF50" s="472">
        <v>130000</v>
      </c>
      <c r="AG50" s="473">
        <v>6</v>
      </c>
      <c r="AH50" s="473">
        <v>2</v>
      </c>
      <c r="AI50" s="473">
        <v>3</v>
      </c>
      <c r="AJ50" s="473">
        <v>7</v>
      </c>
      <c r="AK50" s="474">
        <f t="shared" si="2"/>
        <v>30000</v>
      </c>
    </row>
    <row r="51" spans="1:37" ht="15.75" customHeight="1">
      <c r="A51" s="470" t="s">
        <v>690</v>
      </c>
      <c r="B51" s="181"/>
      <c r="C51" s="181"/>
      <c r="D51" s="181"/>
      <c r="E51" s="181"/>
      <c r="F51" s="181"/>
      <c r="G51" s="181"/>
      <c r="H51" s="181"/>
      <c r="I51" s="181"/>
      <c r="J51" s="181"/>
      <c r="K51" s="69" t="s">
        <v>591</v>
      </c>
      <c r="L51" s="181"/>
      <c r="M51" s="181"/>
      <c r="N51" s="69" t="s">
        <v>591</v>
      </c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475" t="s">
        <v>691</v>
      </c>
      <c r="AF51" s="472">
        <v>230000</v>
      </c>
      <c r="AG51" s="473">
        <v>7</v>
      </c>
      <c r="AH51" s="473">
        <v>4</v>
      </c>
      <c r="AI51" s="473">
        <v>4</v>
      </c>
      <c r="AJ51" s="473">
        <v>8</v>
      </c>
      <c r="AK51" s="474">
        <f t="shared" si="2"/>
        <v>50000</v>
      </c>
    </row>
    <row r="52" spans="1:37" ht="15.75" customHeight="1">
      <c r="A52" s="470" t="s">
        <v>692</v>
      </c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69" t="s">
        <v>591</v>
      </c>
      <c r="S52" s="181"/>
      <c r="T52" s="181"/>
      <c r="U52" s="181"/>
      <c r="V52" s="181"/>
      <c r="W52" s="181"/>
      <c r="X52" s="181"/>
      <c r="Y52" s="181"/>
      <c r="Z52" s="69" t="s">
        <v>591</v>
      </c>
      <c r="AA52" s="181"/>
      <c r="AB52" s="181"/>
      <c r="AC52" s="181"/>
      <c r="AD52" s="181"/>
      <c r="AE52" s="475" t="s">
        <v>693</v>
      </c>
      <c r="AF52" s="472">
        <v>250000</v>
      </c>
      <c r="AG52" s="473">
        <v>8</v>
      </c>
      <c r="AH52" s="473">
        <v>2</v>
      </c>
      <c r="AI52" s="473">
        <v>4</v>
      </c>
      <c r="AJ52" s="473">
        <v>7</v>
      </c>
      <c r="AK52" s="474">
        <f t="shared" si="2"/>
        <v>50000</v>
      </c>
    </row>
    <row r="53" spans="1:37" ht="15.75" customHeight="1">
      <c r="A53" s="470" t="s">
        <v>694</v>
      </c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69" t="s">
        <v>591</v>
      </c>
      <c r="Q53" s="181"/>
      <c r="R53" s="181"/>
      <c r="S53" s="69" t="s">
        <v>591</v>
      </c>
      <c r="T53" s="181"/>
      <c r="U53" s="181"/>
      <c r="V53" s="181"/>
      <c r="W53" s="181"/>
      <c r="X53" s="181"/>
      <c r="Y53" s="181"/>
      <c r="Z53" s="69"/>
      <c r="AA53" s="69" t="s">
        <v>591</v>
      </c>
      <c r="AB53" s="181"/>
      <c r="AC53" s="181"/>
      <c r="AD53" s="181"/>
      <c r="AE53" s="475" t="s">
        <v>695</v>
      </c>
      <c r="AF53" s="472">
        <v>380000</v>
      </c>
      <c r="AG53" s="473">
        <v>7</v>
      </c>
      <c r="AH53" s="473">
        <v>3</v>
      </c>
      <c r="AI53" s="473">
        <v>3</v>
      </c>
      <c r="AJ53" s="473">
        <v>7</v>
      </c>
      <c r="AK53" s="474">
        <f t="shared" si="2"/>
        <v>60000</v>
      </c>
    </row>
    <row r="54" spans="1:37" ht="15.75" customHeight="1">
      <c r="A54" s="470" t="s">
        <v>696</v>
      </c>
      <c r="B54" s="181"/>
      <c r="C54" s="181"/>
      <c r="D54" s="181"/>
      <c r="E54" s="181"/>
      <c r="F54" s="181"/>
      <c r="G54" s="69" t="s">
        <v>591</v>
      </c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  <c r="AA54" s="181"/>
      <c r="AB54" s="181"/>
      <c r="AC54" s="181"/>
      <c r="AD54" s="181"/>
      <c r="AE54" s="475" t="s">
        <v>697</v>
      </c>
      <c r="AF54" s="472">
        <v>200000</v>
      </c>
      <c r="AG54" s="473">
        <v>7</v>
      </c>
      <c r="AH54" s="473">
        <v>3</v>
      </c>
      <c r="AI54" s="473">
        <v>3</v>
      </c>
      <c r="AJ54" s="473">
        <v>7</v>
      </c>
      <c r="AK54" s="474">
        <f t="shared" si="2"/>
        <v>40000</v>
      </c>
    </row>
    <row r="55" spans="1:37" ht="15.75" customHeight="1">
      <c r="A55" s="470" t="s">
        <v>698</v>
      </c>
      <c r="B55" s="181"/>
      <c r="C55" s="181" t="str">
        <f>'NM1'!I21</f>
        <v>Squiggaly Squishas'</v>
      </c>
      <c r="D55" s="181"/>
      <c r="E55" s="181"/>
      <c r="F55" s="181"/>
      <c r="G55" s="181"/>
      <c r="H55" s="181"/>
      <c r="I55" s="181"/>
      <c r="J55" s="181"/>
      <c r="K55" s="181"/>
      <c r="L55" s="69" t="s">
        <v>591</v>
      </c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69" t="s">
        <v>591</v>
      </c>
      <c r="X55" s="181"/>
      <c r="Y55" s="181"/>
      <c r="Z55" s="181"/>
      <c r="AA55" s="181"/>
      <c r="AB55" s="181"/>
      <c r="AC55" s="181"/>
      <c r="AD55" s="181"/>
      <c r="AE55" s="475" t="s">
        <v>699</v>
      </c>
      <c r="AF55" s="472">
        <v>270000</v>
      </c>
      <c r="AG55" s="473">
        <v>4</v>
      </c>
      <c r="AH55" s="473">
        <v>6</v>
      </c>
      <c r="AI55" s="473">
        <v>1</v>
      </c>
      <c r="AJ55" s="473">
        <v>9</v>
      </c>
      <c r="AK55" s="474">
        <f t="shared" si="2"/>
        <v>50000</v>
      </c>
    </row>
    <row r="56" spans="1:37" ht="15.75" customHeight="1">
      <c r="A56" s="470" t="s">
        <v>700</v>
      </c>
      <c r="B56" s="69"/>
      <c r="C56" s="69"/>
      <c r="D56" s="69" t="s">
        <v>591</v>
      </c>
      <c r="E56" s="181"/>
      <c r="F56" s="181"/>
      <c r="G56" s="181"/>
      <c r="H56" s="69"/>
      <c r="I56" s="69" t="s">
        <v>591</v>
      </c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475" t="s">
        <v>701</v>
      </c>
      <c r="AF56" s="472">
        <v>250000</v>
      </c>
      <c r="AG56" s="473">
        <v>8</v>
      </c>
      <c r="AH56" s="473">
        <v>3</v>
      </c>
      <c r="AI56" s="473">
        <v>5</v>
      </c>
      <c r="AJ56" s="473">
        <v>7</v>
      </c>
      <c r="AK56" s="474">
        <f t="shared" si="2"/>
        <v>50000</v>
      </c>
    </row>
    <row r="57" spans="1:37" ht="15.75" customHeight="1">
      <c r="A57" s="470" t="s">
        <v>702</v>
      </c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69" t="s">
        <v>591</v>
      </c>
      <c r="M57" s="181"/>
      <c r="N57" s="181"/>
      <c r="O57" s="181"/>
      <c r="P57" s="181"/>
      <c r="Q57" s="181"/>
      <c r="R57" s="181"/>
      <c r="S57" s="181"/>
      <c r="T57" s="181"/>
      <c r="U57" s="181"/>
      <c r="V57" s="69" t="s">
        <v>591</v>
      </c>
      <c r="W57" s="69" t="s">
        <v>591</v>
      </c>
      <c r="X57" s="181"/>
      <c r="Y57" s="181"/>
      <c r="Z57" s="181"/>
      <c r="AA57" s="181"/>
      <c r="AB57" s="181"/>
      <c r="AC57" s="181"/>
      <c r="AD57" s="181"/>
      <c r="AE57" s="475" t="s">
        <v>703</v>
      </c>
      <c r="AF57" s="472">
        <v>150000</v>
      </c>
      <c r="AG57" s="473">
        <v>7</v>
      </c>
      <c r="AH57" s="473">
        <v>2</v>
      </c>
      <c r="AI57" s="473">
        <v>3</v>
      </c>
      <c r="AJ57" s="473">
        <v>7</v>
      </c>
      <c r="AK57" s="474">
        <f t="shared" si="2"/>
        <v>30000</v>
      </c>
    </row>
    <row r="58" spans="1:37" ht="15.75" customHeight="1">
      <c r="A58" s="470" t="s">
        <v>704</v>
      </c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69" t="s">
        <v>591</v>
      </c>
      <c r="Q58" s="181"/>
      <c r="R58" s="181"/>
      <c r="S58" s="69" t="s">
        <v>591</v>
      </c>
      <c r="T58" s="181"/>
      <c r="U58" s="181"/>
      <c r="V58" s="181"/>
      <c r="W58" s="181"/>
      <c r="X58" s="181"/>
      <c r="Y58" s="181"/>
      <c r="Z58" s="69"/>
      <c r="AA58" s="69" t="s">
        <v>591</v>
      </c>
      <c r="AB58" s="181"/>
      <c r="AC58" s="181"/>
      <c r="AD58" s="181"/>
      <c r="AE58" s="475" t="s">
        <v>705</v>
      </c>
      <c r="AF58" s="472">
        <v>220000</v>
      </c>
      <c r="AG58" s="473">
        <v>6</v>
      </c>
      <c r="AH58" s="473">
        <v>4</v>
      </c>
      <c r="AI58" s="473">
        <v>2</v>
      </c>
      <c r="AJ58" s="473">
        <v>8</v>
      </c>
      <c r="AK58" s="474">
        <f t="shared" si="2"/>
        <v>50000</v>
      </c>
    </row>
    <row r="59" spans="1:37" ht="15.75" customHeight="1">
      <c r="A59" s="470" t="s">
        <v>706</v>
      </c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69" t="s">
        <v>591</v>
      </c>
      <c r="Q59" s="181"/>
      <c r="R59" s="181"/>
      <c r="S59" s="181"/>
      <c r="T59" s="181"/>
      <c r="U59" s="181"/>
      <c r="V59" s="181"/>
      <c r="W59" s="181"/>
      <c r="X59" s="181"/>
      <c r="Y59" s="181"/>
      <c r="Z59" s="69"/>
      <c r="AA59" s="69" t="s">
        <v>591</v>
      </c>
      <c r="AB59" s="181"/>
      <c r="AC59" s="181"/>
      <c r="AD59" s="181"/>
      <c r="AE59" s="475" t="s">
        <v>707</v>
      </c>
      <c r="AF59" s="472">
        <v>80000</v>
      </c>
      <c r="AG59" s="473">
        <v>6</v>
      </c>
      <c r="AH59" s="473">
        <v>3</v>
      </c>
      <c r="AI59" s="473">
        <v>2</v>
      </c>
      <c r="AJ59" s="473">
        <v>7</v>
      </c>
      <c r="AK59" s="474">
        <f t="shared" si="2"/>
        <v>20000</v>
      </c>
    </row>
    <row r="60" spans="1:37" ht="15.75" customHeight="1">
      <c r="A60" s="470" t="s">
        <v>708</v>
      </c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69" t="s">
        <v>591</v>
      </c>
      <c r="Z60" s="181"/>
      <c r="AA60" s="181"/>
      <c r="AB60" s="69" t="s">
        <v>591</v>
      </c>
      <c r="AC60" s="181"/>
      <c r="AD60" s="181"/>
      <c r="AE60" s="475" t="s">
        <v>709</v>
      </c>
      <c r="AF60" s="472">
        <v>160000</v>
      </c>
      <c r="AG60" s="473">
        <v>9</v>
      </c>
      <c r="AH60" s="473">
        <v>2</v>
      </c>
      <c r="AI60" s="473">
        <v>4</v>
      </c>
      <c r="AJ60" s="473">
        <v>7</v>
      </c>
      <c r="AK60" s="474">
        <f t="shared" si="2"/>
        <v>40000</v>
      </c>
    </row>
    <row r="61" spans="1:37" ht="15.75" customHeight="1">
      <c r="A61" s="470" t="s">
        <v>710</v>
      </c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69" t="s">
        <v>591</v>
      </c>
      <c r="S61" s="181"/>
      <c r="T61" s="181"/>
      <c r="U61" s="181"/>
      <c r="V61" s="181"/>
      <c r="W61" s="181"/>
      <c r="X61" s="181"/>
      <c r="Y61" s="181"/>
      <c r="Z61" s="69" t="s">
        <v>591</v>
      </c>
      <c r="AA61" s="181"/>
      <c r="AB61" s="181"/>
      <c r="AC61" s="181"/>
      <c r="AD61" s="181"/>
      <c r="AE61" s="475" t="s">
        <v>711</v>
      </c>
      <c r="AF61" s="472">
        <v>250000</v>
      </c>
      <c r="AG61" s="473">
        <v>7</v>
      </c>
      <c r="AH61" s="473">
        <v>4</v>
      </c>
      <c r="AI61" s="473">
        <v>1</v>
      </c>
      <c r="AJ61" s="473">
        <v>9</v>
      </c>
      <c r="AK61" s="474">
        <f t="shared" si="2"/>
        <v>50000</v>
      </c>
    </row>
    <row r="62" spans="1:37" ht="15.75" customHeight="1">
      <c r="A62" s="470" t="s">
        <v>712</v>
      </c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69" t="s">
        <v>591</v>
      </c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475" t="s">
        <v>713</v>
      </c>
      <c r="AF62" s="472">
        <v>180000</v>
      </c>
      <c r="AG62" s="473">
        <v>6</v>
      </c>
      <c r="AH62" s="473">
        <v>3</v>
      </c>
      <c r="AI62" s="473">
        <v>4</v>
      </c>
      <c r="AJ62" s="473">
        <v>8</v>
      </c>
      <c r="AK62" s="474">
        <f t="shared" si="2"/>
        <v>40000</v>
      </c>
    </row>
    <row r="63" spans="1:37" ht="15.75" customHeight="1">
      <c r="A63" s="470" t="s">
        <v>714</v>
      </c>
      <c r="B63" s="181"/>
      <c r="C63" s="181"/>
      <c r="D63" s="181"/>
      <c r="E63" s="181"/>
      <c r="F63" s="181"/>
      <c r="G63" s="181"/>
      <c r="H63" s="69" t="s">
        <v>591</v>
      </c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69" t="s">
        <v>591</v>
      </c>
      <c r="X63" s="181"/>
      <c r="Y63" s="181"/>
      <c r="Z63" s="181"/>
      <c r="AA63" s="181"/>
      <c r="AB63" s="181"/>
      <c r="AC63" s="181"/>
      <c r="AD63" s="181"/>
      <c r="AE63" s="475" t="s">
        <v>683</v>
      </c>
      <c r="AF63" s="472">
        <v>100000</v>
      </c>
      <c r="AG63" s="473">
        <v>5</v>
      </c>
      <c r="AH63" s="473">
        <v>3</v>
      </c>
      <c r="AI63" s="473">
        <v>3</v>
      </c>
      <c r="AJ63" s="473">
        <v>9</v>
      </c>
      <c r="AK63" s="474">
        <f t="shared" si="2"/>
        <v>20000</v>
      </c>
    </row>
    <row r="64" spans="1:37" ht="15.75" customHeight="1">
      <c r="A64" s="470" t="s">
        <v>678</v>
      </c>
      <c r="B64" s="459" t="s">
        <v>677</v>
      </c>
      <c r="C64" s="181"/>
      <c r="D64" s="181"/>
      <c r="E64" s="181"/>
      <c r="F64" s="69"/>
      <c r="G64" s="181"/>
      <c r="H64" s="181"/>
      <c r="I64" s="181"/>
      <c r="J64" s="181"/>
      <c r="K64" s="69" t="s">
        <v>591</v>
      </c>
      <c r="L64" s="69"/>
      <c r="M64" s="181"/>
      <c r="N64" s="69" t="s">
        <v>591</v>
      </c>
      <c r="O64" s="181"/>
      <c r="P64" s="181"/>
      <c r="Q64" s="181"/>
      <c r="R64" s="181"/>
      <c r="S64" s="181"/>
      <c r="T64" s="181"/>
      <c r="U64" s="69"/>
      <c r="V64" s="181"/>
      <c r="W64" s="181"/>
      <c r="X64" s="181"/>
      <c r="Y64" s="181"/>
      <c r="Z64" s="181"/>
      <c r="AA64" s="181"/>
      <c r="AB64" s="181"/>
      <c r="AC64" s="181"/>
      <c r="AD64" s="69" t="s">
        <v>591</v>
      </c>
      <c r="AE64" s="475" t="s">
        <v>715</v>
      </c>
      <c r="AF64" s="472">
        <v>0</v>
      </c>
      <c r="AG64" s="473">
        <v>7</v>
      </c>
      <c r="AH64" s="473">
        <v>3</v>
      </c>
      <c r="AI64" s="473">
        <v>5</v>
      </c>
      <c r="AJ64" s="473">
        <v>7</v>
      </c>
      <c r="AK64" s="474">
        <f t="shared" si="2"/>
        <v>0</v>
      </c>
    </row>
    <row r="65" spans="1:37" ht="15.75" customHeight="1">
      <c r="A65" s="470" t="s">
        <v>716</v>
      </c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69" t="s">
        <v>591</v>
      </c>
      <c r="X65" s="181"/>
      <c r="Y65" s="181"/>
      <c r="Z65" s="181"/>
      <c r="AA65" s="181"/>
      <c r="AB65" s="181"/>
      <c r="AC65" s="181"/>
      <c r="AD65" s="181"/>
      <c r="AE65" s="475" t="s">
        <v>717</v>
      </c>
      <c r="AF65" s="472">
        <v>150000</v>
      </c>
      <c r="AG65" s="473">
        <v>6</v>
      </c>
      <c r="AH65" s="473">
        <v>4</v>
      </c>
      <c r="AI65" s="473">
        <v>3</v>
      </c>
      <c r="AJ65" s="473">
        <v>9</v>
      </c>
      <c r="AK65" s="474">
        <f t="shared" si="2"/>
        <v>30000</v>
      </c>
    </row>
    <row r="66" spans="1:37" ht="15.75" customHeight="1">
      <c r="A66" s="470" t="s">
        <v>718</v>
      </c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69" t="s">
        <v>591</v>
      </c>
      <c r="U66" s="69" t="s">
        <v>591</v>
      </c>
      <c r="V66" s="181"/>
      <c r="W66" s="181"/>
      <c r="X66" s="181"/>
      <c r="Y66" s="181"/>
      <c r="Z66" s="181"/>
      <c r="AA66" s="181"/>
      <c r="AB66" s="69"/>
      <c r="AC66" s="69" t="s">
        <v>591</v>
      </c>
      <c r="AD66" s="181"/>
      <c r="AE66" s="475" t="s">
        <v>719</v>
      </c>
      <c r="AF66" s="472">
        <v>240000</v>
      </c>
      <c r="AG66" s="473">
        <v>8</v>
      </c>
      <c r="AH66" s="473">
        <v>4</v>
      </c>
      <c r="AI66" s="473">
        <v>3</v>
      </c>
      <c r="AJ66" s="473">
        <v>8</v>
      </c>
      <c r="AK66" s="474">
        <f t="shared" si="2"/>
        <v>50000</v>
      </c>
    </row>
    <row r="67" spans="1:37" ht="15.75" customHeight="1">
      <c r="A67" s="470" t="s">
        <v>720</v>
      </c>
      <c r="B67" s="69"/>
      <c r="C67" s="69"/>
      <c r="D67" s="69" t="s">
        <v>591</v>
      </c>
      <c r="E67" s="69" t="s">
        <v>591</v>
      </c>
      <c r="F67" s="181"/>
      <c r="G67" s="181"/>
      <c r="H67" s="181"/>
      <c r="I67" s="181"/>
      <c r="J67" s="181"/>
      <c r="K67" s="181"/>
      <c r="L67" s="181"/>
      <c r="M67" s="69" t="s">
        <v>591</v>
      </c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69" t="s">
        <v>591</v>
      </c>
      <c r="AE67" s="475" t="s">
        <v>721</v>
      </c>
      <c r="AF67" s="472">
        <v>150000</v>
      </c>
      <c r="AG67" s="473">
        <v>5</v>
      </c>
      <c r="AH67" s="473">
        <v>4</v>
      </c>
      <c r="AI67" s="473">
        <v>3</v>
      </c>
      <c r="AJ67" s="473">
        <v>8</v>
      </c>
      <c r="AK67" s="474">
        <f t="shared" si="2"/>
        <v>30000</v>
      </c>
    </row>
    <row r="68" spans="1:37" ht="15.75" customHeight="1">
      <c r="A68" s="470" t="s">
        <v>722</v>
      </c>
      <c r="B68" s="69"/>
      <c r="C68" s="69"/>
      <c r="D68" s="69" t="s">
        <v>591</v>
      </c>
      <c r="E68" s="181"/>
      <c r="F68" s="181"/>
      <c r="G68" s="181"/>
      <c r="H68" s="69"/>
      <c r="I68" s="69" t="s">
        <v>591</v>
      </c>
      <c r="J68" s="181"/>
      <c r="K68" s="181"/>
      <c r="L68" s="181"/>
      <c r="M68" s="69" t="s">
        <v>591</v>
      </c>
      <c r="N68" s="69" t="s">
        <v>591</v>
      </c>
      <c r="O68" s="69" t="s">
        <v>591</v>
      </c>
      <c r="P68" s="181"/>
      <c r="Q68" s="181"/>
      <c r="R68" s="181"/>
      <c r="S68" s="181"/>
      <c r="T68" s="69" t="s">
        <v>591</v>
      </c>
      <c r="U68" s="181"/>
      <c r="V68" s="181"/>
      <c r="W68" s="181"/>
      <c r="X68" s="181"/>
      <c r="Y68" s="181"/>
      <c r="Z68" s="181"/>
      <c r="AA68" s="181"/>
      <c r="AB68" s="181"/>
      <c r="AC68" s="181"/>
      <c r="AD68" s="69" t="s">
        <v>591</v>
      </c>
      <c r="AE68" s="475" t="s">
        <v>723</v>
      </c>
      <c r="AF68" s="472">
        <v>270000</v>
      </c>
      <c r="AG68" s="473">
        <v>6</v>
      </c>
      <c r="AH68" s="473">
        <v>4</v>
      </c>
      <c r="AI68" s="473">
        <v>3</v>
      </c>
      <c r="AJ68" s="473">
        <v>8</v>
      </c>
      <c r="AK68" s="474">
        <f t="shared" si="2"/>
        <v>50000</v>
      </c>
    </row>
    <row r="69" spans="1:37" ht="15.75" customHeight="1">
      <c r="A69" s="470" t="s">
        <v>724</v>
      </c>
      <c r="B69" s="181"/>
      <c r="C69" s="181"/>
      <c r="D69" s="181"/>
      <c r="E69" s="181"/>
      <c r="F69" s="181"/>
      <c r="G69" s="69" t="s">
        <v>591</v>
      </c>
      <c r="H69" s="69" t="s">
        <v>591</v>
      </c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475" t="s">
        <v>725</v>
      </c>
      <c r="AF69" s="472">
        <v>90000</v>
      </c>
      <c r="AG69" s="473">
        <v>4</v>
      </c>
      <c r="AH69" s="473">
        <v>4</v>
      </c>
      <c r="AI69" s="473">
        <v>3</v>
      </c>
      <c r="AJ69" s="473">
        <v>9</v>
      </c>
      <c r="AK69" s="474">
        <f t="shared" si="2"/>
        <v>20000</v>
      </c>
    </row>
    <row r="70" spans="1:37" ht="15.75" customHeight="1">
      <c r="A70" s="470"/>
      <c r="B70" s="181"/>
      <c r="C70" s="181"/>
      <c r="D70" s="181"/>
      <c r="E70" s="181"/>
      <c r="F70" s="181"/>
      <c r="G70" s="69"/>
      <c r="H70" s="69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475"/>
      <c r="AF70" s="472"/>
      <c r="AG70" s="473"/>
      <c r="AH70" s="473"/>
      <c r="AI70" s="473"/>
      <c r="AJ70" s="473"/>
      <c r="AK70" s="474"/>
    </row>
    <row r="71" spans="1:37" ht="15.75" customHeight="1">
      <c r="A71" s="470"/>
      <c r="B71" s="181"/>
      <c r="C71" s="181"/>
      <c r="D71" s="181"/>
      <c r="E71" s="181"/>
      <c r="F71" s="181"/>
      <c r="G71" s="69"/>
      <c r="H71" s="69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181"/>
      <c r="AE71" s="475"/>
      <c r="AF71" s="472"/>
      <c r="AG71" s="473"/>
      <c r="AH71" s="473"/>
      <c r="AI71" s="473"/>
      <c r="AJ71" s="473"/>
      <c r="AK71" s="474"/>
    </row>
    <row r="72" spans="1:37" ht="15.75" customHeight="1">
      <c r="A72" s="470"/>
      <c r="B72" s="181"/>
      <c r="C72" s="181"/>
      <c r="D72" s="181"/>
      <c r="E72" s="181"/>
      <c r="F72" s="181"/>
      <c r="G72" s="69"/>
      <c r="H72" s="69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  <c r="AA72" s="181"/>
      <c r="AB72" s="181"/>
      <c r="AC72" s="181"/>
      <c r="AD72" s="181"/>
      <c r="AE72" s="475"/>
      <c r="AF72" s="472"/>
      <c r="AG72" s="473"/>
      <c r="AH72" s="473"/>
      <c r="AI72" s="473"/>
      <c r="AJ72" s="473"/>
      <c r="AK72" s="474"/>
    </row>
    <row r="73" spans="1:37" ht="15.75" customHeight="1">
      <c r="A73" s="470"/>
      <c r="B73" s="181"/>
      <c r="C73" s="181"/>
      <c r="D73" s="181"/>
      <c r="E73" s="181"/>
      <c r="F73" s="181"/>
      <c r="G73" s="69"/>
      <c r="H73" s="69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  <c r="AD73" s="181"/>
      <c r="AE73" s="475"/>
      <c r="AF73" s="472"/>
      <c r="AG73" s="473"/>
      <c r="AH73" s="473"/>
      <c r="AI73" s="473"/>
      <c r="AJ73" s="473"/>
      <c r="AK73" s="474"/>
    </row>
    <row r="74" spans="1:37" ht="15.75" customHeight="1">
      <c r="A74" s="470"/>
      <c r="B74" s="181"/>
      <c r="C74" s="181"/>
      <c r="D74" s="181"/>
      <c r="E74" s="181"/>
      <c r="F74" s="181"/>
      <c r="G74" s="69"/>
      <c r="H74" s="69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475"/>
      <c r="AF74" s="472"/>
      <c r="AG74" s="473"/>
      <c r="AH74" s="473"/>
      <c r="AI74" s="473"/>
      <c r="AJ74" s="473"/>
      <c r="AK74" s="474"/>
    </row>
    <row r="75" spans="1:37" ht="15.75" customHeight="1">
      <c r="A75" s="470"/>
      <c r="B75" s="181"/>
      <c r="C75" s="181"/>
      <c r="D75" s="181"/>
      <c r="E75" s="181"/>
      <c r="F75" s="181"/>
      <c r="G75" s="69"/>
      <c r="H75" s="69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181"/>
      <c r="AE75" s="475"/>
      <c r="AF75" s="472"/>
      <c r="AG75" s="473"/>
      <c r="AH75" s="473"/>
      <c r="AI75" s="473"/>
      <c r="AJ75" s="473"/>
      <c r="AK75" s="474"/>
    </row>
    <row r="76" spans="1:37" ht="15.75" customHeight="1">
      <c r="A76" s="470"/>
      <c r="B76" s="181"/>
      <c r="C76" s="181"/>
      <c r="D76" s="181"/>
      <c r="E76" s="181"/>
      <c r="F76" s="181"/>
      <c r="G76" s="69"/>
      <c r="H76" s="69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  <c r="AA76" s="181"/>
      <c r="AB76" s="181"/>
      <c r="AC76" s="181"/>
      <c r="AD76" s="181"/>
      <c r="AE76" s="475"/>
      <c r="AF76" s="472"/>
      <c r="AG76" s="473"/>
      <c r="AH76" s="473"/>
      <c r="AI76" s="473"/>
      <c r="AJ76" s="473"/>
      <c r="AK76" s="474"/>
    </row>
    <row r="77" spans="1:37" ht="15.75" customHeight="1">
      <c r="A77" s="470"/>
      <c r="B77" s="181"/>
      <c r="C77" s="181"/>
      <c r="D77" s="181"/>
      <c r="E77" s="181"/>
      <c r="F77" s="181"/>
      <c r="G77" s="69"/>
      <c r="H77" s="69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181"/>
      <c r="AE77" s="475"/>
      <c r="AF77" s="472"/>
      <c r="AG77" s="473"/>
      <c r="AH77" s="473"/>
      <c r="AI77" s="473"/>
      <c r="AJ77" s="473"/>
      <c r="AK77" s="474"/>
    </row>
    <row r="78" spans="1:37" ht="15.75" customHeight="1">
      <c r="A78" s="470"/>
      <c r="B78" s="181"/>
      <c r="C78" s="181"/>
      <c r="D78" s="181"/>
      <c r="E78" s="181"/>
      <c r="F78" s="181"/>
      <c r="G78" s="69"/>
      <c r="H78" s="69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  <c r="AA78" s="181"/>
      <c r="AB78" s="181"/>
      <c r="AC78" s="181"/>
      <c r="AD78" s="181"/>
      <c r="AE78" s="475"/>
      <c r="AF78" s="472"/>
      <c r="AG78" s="473"/>
      <c r="AH78" s="473"/>
      <c r="AI78" s="473"/>
      <c r="AJ78" s="473"/>
      <c r="AK78" s="474"/>
    </row>
    <row r="79" spans="1:37" ht="15.75" customHeight="1">
      <c r="A79" s="470"/>
      <c r="B79" s="181"/>
      <c r="C79" s="181"/>
      <c r="D79" s="181"/>
      <c r="E79" s="181"/>
      <c r="F79" s="181"/>
      <c r="G79" s="69"/>
      <c r="H79" s="69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181"/>
      <c r="AE79" s="475"/>
      <c r="AF79" s="472"/>
      <c r="AG79" s="473"/>
      <c r="AH79" s="473"/>
      <c r="AI79" s="473"/>
      <c r="AJ79" s="473"/>
      <c r="AK79" s="474"/>
    </row>
    <row r="80" spans="1:37" ht="15.75" customHeight="1">
      <c r="A80" s="470"/>
      <c r="B80" s="181"/>
      <c r="C80" s="181"/>
      <c r="D80" s="181"/>
      <c r="E80" s="181"/>
      <c r="F80" s="181"/>
      <c r="G80" s="69"/>
      <c r="H80" s="69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475"/>
      <c r="AF80" s="472"/>
      <c r="AG80" s="473"/>
      <c r="AH80" s="473"/>
      <c r="AI80" s="473"/>
      <c r="AJ80" s="473"/>
      <c r="AK80" s="474"/>
    </row>
    <row r="81" spans="1:37" ht="15.75" customHeight="1">
      <c r="A81" s="470"/>
      <c r="B81" s="181"/>
      <c r="C81" s="181"/>
      <c r="D81" s="181"/>
      <c r="E81" s="181"/>
      <c r="F81" s="181"/>
      <c r="G81" s="69"/>
      <c r="H81" s="69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475"/>
      <c r="AF81" s="472"/>
      <c r="AG81" s="473"/>
      <c r="AH81" s="473"/>
      <c r="AI81" s="473"/>
      <c r="AJ81" s="473"/>
      <c r="AK81" s="474"/>
    </row>
    <row r="82" spans="1:37" ht="15.75" customHeight="1">
      <c r="A82" s="470"/>
      <c r="B82" s="181"/>
      <c r="C82" s="181"/>
      <c r="D82" s="181"/>
      <c r="E82" s="181"/>
      <c r="F82" s="181"/>
      <c r="G82" s="69"/>
      <c r="H82" s="69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  <c r="AA82" s="181"/>
      <c r="AB82" s="181"/>
      <c r="AC82" s="181"/>
      <c r="AD82" s="181"/>
      <c r="AE82" s="475"/>
      <c r="AF82" s="472"/>
      <c r="AG82" s="473"/>
      <c r="AH82" s="473"/>
      <c r="AI82" s="473"/>
      <c r="AJ82" s="473"/>
      <c r="AK82" s="474"/>
    </row>
    <row r="83" spans="1:37" ht="15.75" customHeight="1">
      <c r="A83" s="470"/>
      <c r="B83" s="181"/>
      <c r="C83" s="181"/>
      <c r="D83" s="181"/>
      <c r="E83" s="181"/>
      <c r="F83" s="181"/>
      <c r="G83" s="69"/>
      <c r="H83" s="69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181"/>
      <c r="AE83" s="475"/>
      <c r="AF83" s="472"/>
      <c r="AG83" s="473"/>
      <c r="AH83" s="473"/>
      <c r="AI83" s="473"/>
      <c r="AJ83" s="473"/>
      <c r="AK83" s="474"/>
    </row>
    <row r="84" spans="1:37" ht="15.75" customHeight="1">
      <c r="A84" s="470"/>
      <c r="B84" s="181"/>
      <c r="C84" s="181"/>
      <c r="D84" s="181"/>
      <c r="E84" s="181"/>
      <c r="F84" s="181"/>
      <c r="G84" s="69"/>
      <c r="H84" s="69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475"/>
      <c r="AF84" s="472"/>
      <c r="AG84" s="473"/>
      <c r="AH84" s="473"/>
      <c r="AI84" s="473"/>
      <c r="AJ84" s="473"/>
      <c r="AK84" s="474"/>
    </row>
    <row r="85" spans="1:37" ht="15.75" customHeight="1">
      <c r="A85" s="470"/>
      <c r="B85" s="181"/>
      <c r="C85" s="181"/>
      <c r="D85" s="181"/>
      <c r="E85" s="181"/>
      <c r="F85" s="181"/>
      <c r="G85" s="69"/>
      <c r="H85" s="69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475"/>
      <c r="AF85" s="472"/>
      <c r="AG85" s="473"/>
      <c r="AH85" s="473"/>
      <c r="AI85" s="473"/>
      <c r="AJ85" s="473"/>
      <c r="AK85" s="474"/>
    </row>
    <row r="86" spans="1:37" ht="15.75" customHeight="1">
      <c r="A86" s="470"/>
      <c r="B86" s="181"/>
      <c r="C86" s="181"/>
      <c r="D86" s="181"/>
      <c r="E86" s="181"/>
      <c r="F86" s="181"/>
      <c r="G86" s="69"/>
      <c r="H86" s="69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475"/>
      <c r="AF86" s="472"/>
      <c r="AG86" s="473"/>
      <c r="AH86" s="473"/>
      <c r="AI86" s="473"/>
      <c r="AJ86" s="473"/>
      <c r="AK86" s="474"/>
    </row>
    <row r="87" spans="1:37" ht="15.75" customHeight="1">
      <c r="A87" s="470"/>
      <c r="B87" s="181"/>
      <c r="C87" s="181"/>
      <c r="D87" s="181"/>
      <c r="E87" s="181"/>
      <c r="F87" s="181"/>
      <c r="G87" s="69"/>
      <c r="H87" s="69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475"/>
      <c r="AF87" s="472"/>
      <c r="AG87" s="473"/>
      <c r="AH87" s="473"/>
      <c r="AI87" s="473"/>
      <c r="AJ87" s="473"/>
      <c r="AK87" s="474"/>
    </row>
  </sheetData>
  <autoFilter ref="A2:AK87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M137"/>
  <sheetViews>
    <sheetView workbookViewId="0"/>
  </sheetViews>
  <sheetFormatPr defaultColWidth="14.42578125" defaultRowHeight="15.75" customHeight="1"/>
  <cols>
    <col min="1" max="1" width="17.5703125" customWidth="1"/>
    <col min="2" max="2" width="16.7109375" customWidth="1"/>
    <col min="3" max="3" width="28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7.570312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7" width="17.5703125" customWidth="1"/>
    <col min="28" max="28" width="16.7109375" customWidth="1"/>
    <col min="29" max="29" width="28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477" t="s">
        <v>0</v>
      </c>
      <c r="B1" s="477" t="s">
        <v>729</v>
      </c>
      <c r="C1" s="478" t="s">
        <v>730</v>
      </c>
      <c r="D1" s="478" t="s">
        <v>731</v>
      </c>
      <c r="E1" s="479" t="s">
        <v>589</v>
      </c>
      <c r="F1" s="480" t="s">
        <v>7</v>
      </c>
      <c r="G1" s="480" t="s">
        <v>8</v>
      </c>
      <c r="H1" s="480" t="s">
        <v>9</v>
      </c>
      <c r="I1" s="480" t="s">
        <v>10</v>
      </c>
      <c r="J1" s="477" t="s">
        <v>6</v>
      </c>
      <c r="K1" s="480" t="s">
        <v>732</v>
      </c>
      <c r="L1" s="480" t="s">
        <v>733</v>
      </c>
      <c r="N1" s="477" t="s">
        <v>734</v>
      </c>
      <c r="O1" s="481" t="s">
        <v>735</v>
      </c>
      <c r="P1" s="482"/>
      <c r="Q1" s="477" t="s">
        <v>736</v>
      </c>
      <c r="R1" s="477" t="s">
        <v>737</v>
      </c>
      <c r="S1" s="477" t="s">
        <v>738</v>
      </c>
      <c r="T1" s="477" t="s">
        <v>739</v>
      </c>
      <c r="U1" s="477" t="s">
        <v>740</v>
      </c>
      <c r="V1" s="477" t="s">
        <v>741</v>
      </c>
      <c r="X1" s="477" t="s">
        <v>742</v>
      </c>
      <c r="Y1" s="477" t="s">
        <v>743</v>
      </c>
      <c r="Z1" s="482"/>
      <c r="AA1" s="482"/>
      <c r="AB1" s="482"/>
      <c r="AC1" s="483"/>
      <c r="AD1" s="587" t="s">
        <v>744</v>
      </c>
      <c r="AE1" s="509"/>
      <c r="AF1" s="509"/>
      <c r="AG1" s="509"/>
      <c r="AH1" s="514"/>
      <c r="AI1" s="587" t="s">
        <v>745</v>
      </c>
      <c r="AJ1" s="509"/>
      <c r="AK1" s="509"/>
      <c r="AL1" s="509"/>
      <c r="AM1" s="514"/>
    </row>
    <row r="2" spans="1:39" ht="15.75" customHeight="1">
      <c r="A2" s="470" t="s">
        <v>491</v>
      </c>
      <c r="B2" s="470" t="s">
        <v>479</v>
      </c>
      <c r="C2" s="484" t="str">
        <f t="shared" ref="C2:C120" si="0">A2&amp;B2</f>
        <v>AmazonLinewoman</v>
      </c>
      <c r="D2" s="484">
        <v>16</v>
      </c>
      <c r="E2" s="485">
        <v>50000</v>
      </c>
      <c r="F2" s="459">
        <v>6</v>
      </c>
      <c r="G2" s="459">
        <v>3</v>
      </c>
      <c r="H2" s="459">
        <v>3</v>
      </c>
      <c r="I2" s="459">
        <v>7</v>
      </c>
      <c r="J2" s="470" t="s">
        <v>103</v>
      </c>
      <c r="K2" s="459" t="s">
        <v>746</v>
      </c>
      <c r="L2" s="459" t="s">
        <v>747</v>
      </c>
      <c r="N2" s="470" t="s">
        <v>491</v>
      </c>
      <c r="O2" s="485">
        <v>50000</v>
      </c>
      <c r="Q2" s="470" t="s">
        <v>155</v>
      </c>
      <c r="R2" s="470" t="s">
        <v>748</v>
      </c>
      <c r="S2" s="470" t="s">
        <v>367</v>
      </c>
      <c r="T2" s="470" t="s">
        <v>524</v>
      </c>
      <c r="U2" s="470" t="s">
        <v>749</v>
      </c>
      <c r="V2" s="470" t="s">
        <v>750</v>
      </c>
      <c r="X2" s="470" t="s">
        <v>583</v>
      </c>
      <c r="Y2" s="470" t="s">
        <v>751</v>
      </c>
      <c r="Z2" s="483"/>
      <c r="AA2" s="477" t="s">
        <v>0</v>
      </c>
      <c r="AB2" s="477" t="s">
        <v>729</v>
      </c>
      <c r="AC2" s="477" t="s">
        <v>730</v>
      </c>
      <c r="AD2" s="480" t="s">
        <v>736</v>
      </c>
      <c r="AE2" s="480" t="s">
        <v>737</v>
      </c>
      <c r="AF2" s="480" t="s">
        <v>738</v>
      </c>
      <c r="AG2" s="480" t="s">
        <v>739</v>
      </c>
      <c r="AH2" s="480" t="s">
        <v>740</v>
      </c>
      <c r="AI2" s="480" t="s">
        <v>736</v>
      </c>
      <c r="AJ2" s="480" t="s">
        <v>737</v>
      </c>
      <c r="AK2" s="480" t="s">
        <v>738</v>
      </c>
      <c r="AL2" s="480" t="s">
        <v>739</v>
      </c>
      <c r="AM2" s="480" t="s">
        <v>740</v>
      </c>
    </row>
    <row r="3" spans="1:39" ht="15.75" customHeight="1">
      <c r="A3" s="470" t="s">
        <v>491</v>
      </c>
      <c r="B3" s="470" t="s">
        <v>108</v>
      </c>
      <c r="C3" s="484" t="str">
        <f t="shared" si="0"/>
        <v>AmazonThrower</v>
      </c>
      <c r="D3" s="484">
        <v>2</v>
      </c>
      <c r="E3" s="485">
        <v>70000</v>
      </c>
      <c r="F3" s="459">
        <v>6</v>
      </c>
      <c r="G3" s="459">
        <v>3</v>
      </c>
      <c r="H3" s="459">
        <v>3</v>
      </c>
      <c r="I3" s="459">
        <v>7</v>
      </c>
      <c r="J3" s="470" t="s">
        <v>752</v>
      </c>
      <c r="K3" s="459" t="s">
        <v>753</v>
      </c>
      <c r="L3" s="459" t="s">
        <v>754</v>
      </c>
      <c r="N3" s="470" t="s">
        <v>63</v>
      </c>
      <c r="O3" s="486">
        <v>70000</v>
      </c>
      <c r="Q3" s="470" t="s">
        <v>755</v>
      </c>
      <c r="R3" s="470" t="s">
        <v>756</v>
      </c>
      <c r="S3" s="470" t="s">
        <v>757</v>
      </c>
      <c r="T3" s="470" t="s">
        <v>758</v>
      </c>
      <c r="U3" s="470" t="s">
        <v>759</v>
      </c>
      <c r="V3" s="470" t="s">
        <v>760</v>
      </c>
      <c r="X3" s="470" t="s">
        <v>586</v>
      </c>
      <c r="Y3" s="470" t="s">
        <v>761</v>
      </c>
      <c r="Z3" s="470"/>
      <c r="AA3" s="470" t="s">
        <v>491</v>
      </c>
      <c r="AB3" s="470" t="s">
        <v>479</v>
      </c>
      <c r="AC3" t="str">
        <f t="shared" ref="AC3:AC121" si="1">AA3&amp;AB3</f>
        <v>AmazonLinewoman</v>
      </c>
      <c r="AD3" s="487" t="s">
        <v>746</v>
      </c>
      <c r="AE3" s="179" t="s">
        <v>762</v>
      </c>
      <c r="AF3" s="179" t="s">
        <v>762</v>
      </c>
      <c r="AG3" s="179"/>
      <c r="AH3" s="488"/>
      <c r="AI3" s="179"/>
      <c r="AJ3" s="179" t="s">
        <v>763</v>
      </c>
      <c r="AK3" s="179" t="s">
        <v>25</v>
      </c>
      <c r="AL3" s="179" t="s">
        <v>764</v>
      </c>
      <c r="AM3" s="488"/>
    </row>
    <row r="4" spans="1:39" ht="15.75" customHeight="1">
      <c r="A4" s="470" t="s">
        <v>491</v>
      </c>
      <c r="B4" s="470" t="s">
        <v>113</v>
      </c>
      <c r="C4" s="484" t="str">
        <f t="shared" si="0"/>
        <v>AmazonCatcher</v>
      </c>
      <c r="D4" s="484">
        <v>2</v>
      </c>
      <c r="E4" s="485">
        <v>70000</v>
      </c>
      <c r="F4" s="459">
        <v>6</v>
      </c>
      <c r="G4" s="459">
        <v>3</v>
      </c>
      <c r="H4" s="459">
        <v>3</v>
      </c>
      <c r="I4" s="459">
        <v>7</v>
      </c>
      <c r="J4" s="470" t="s">
        <v>765</v>
      </c>
      <c r="K4" s="459" t="s">
        <v>766</v>
      </c>
      <c r="L4" s="459" t="s">
        <v>767</v>
      </c>
      <c r="N4" s="470" t="s">
        <v>3</v>
      </c>
      <c r="O4" s="485">
        <v>60000</v>
      </c>
      <c r="Q4" s="470" t="s">
        <v>768</v>
      </c>
      <c r="R4" s="470" t="s">
        <v>769</v>
      </c>
      <c r="S4" s="470" t="s">
        <v>82</v>
      </c>
      <c r="T4" s="470" t="s">
        <v>770</v>
      </c>
      <c r="U4" s="470" t="s">
        <v>771</v>
      </c>
      <c r="V4" s="470" t="s">
        <v>772</v>
      </c>
      <c r="X4" s="470" t="s">
        <v>66</v>
      </c>
      <c r="Y4" s="470" t="s">
        <v>751</v>
      </c>
      <c r="Z4" s="470"/>
      <c r="AA4" s="470" t="s">
        <v>491</v>
      </c>
      <c r="AB4" s="470" t="s">
        <v>108</v>
      </c>
      <c r="AC4" t="str">
        <f t="shared" si="1"/>
        <v>AmazonThrower</v>
      </c>
      <c r="AD4" s="487" t="s">
        <v>746</v>
      </c>
      <c r="AE4" s="179"/>
      <c r="AF4" s="179" t="s">
        <v>762</v>
      </c>
      <c r="AG4" s="179" t="s">
        <v>764</v>
      </c>
      <c r="AH4" s="488"/>
      <c r="AI4" s="179"/>
      <c r="AJ4" s="179" t="s">
        <v>763</v>
      </c>
      <c r="AK4" s="179" t="s">
        <v>25</v>
      </c>
      <c r="AL4" s="179" t="s">
        <v>764</v>
      </c>
      <c r="AM4" s="488"/>
    </row>
    <row r="5" spans="1:39" ht="15.75" customHeight="1">
      <c r="A5" s="470" t="s">
        <v>491</v>
      </c>
      <c r="B5" s="470" t="s">
        <v>101</v>
      </c>
      <c r="C5" s="484" t="str">
        <f t="shared" si="0"/>
        <v>AmazonBlitzer</v>
      </c>
      <c r="D5" s="484">
        <v>4</v>
      </c>
      <c r="E5" s="485">
        <v>90000</v>
      </c>
      <c r="F5" s="459">
        <v>6</v>
      </c>
      <c r="G5" s="459">
        <v>3</v>
      </c>
      <c r="H5" s="459">
        <v>3</v>
      </c>
      <c r="I5" s="459">
        <v>7</v>
      </c>
      <c r="J5" s="470" t="s">
        <v>773</v>
      </c>
      <c r="K5" s="459" t="s">
        <v>774</v>
      </c>
      <c r="L5" s="459" t="s">
        <v>775</v>
      </c>
      <c r="N5" s="470" t="s">
        <v>22</v>
      </c>
      <c r="O5" s="485">
        <v>70000</v>
      </c>
      <c r="Q5" s="470" t="s">
        <v>776</v>
      </c>
      <c r="R5" s="470" t="s">
        <v>103</v>
      </c>
      <c r="S5" s="470" t="s">
        <v>286</v>
      </c>
      <c r="T5" s="470" t="s">
        <v>289</v>
      </c>
      <c r="U5" s="470" t="s">
        <v>293</v>
      </c>
      <c r="V5" s="470" t="s">
        <v>777</v>
      </c>
      <c r="X5" s="470" t="s">
        <v>32</v>
      </c>
      <c r="Y5" s="470" t="s">
        <v>761</v>
      </c>
      <c r="Z5" s="470"/>
      <c r="AA5" s="470" t="s">
        <v>491</v>
      </c>
      <c r="AB5" s="470" t="s">
        <v>113</v>
      </c>
      <c r="AC5" t="str">
        <f t="shared" si="1"/>
        <v>AmazonCatcher</v>
      </c>
      <c r="AD5" s="487" t="s">
        <v>746</v>
      </c>
      <c r="AE5" s="179" t="s">
        <v>763</v>
      </c>
      <c r="AF5" s="179" t="s">
        <v>762</v>
      </c>
      <c r="AG5" s="179"/>
      <c r="AH5" s="488"/>
      <c r="AI5" s="179"/>
      <c r="AJ5" s="179"/>
      <c r="AK5" s="179" t="s">
        <v>25</v>
      </c>
      <c r="AL5" s="179" t="s">
        <v>764</v>
      </c>
      <c r="AM5" s="488"/>
    </row>
    <row r="6" spans="1:39" ht="15.75" customHeight="1">
      <c r="A6" s="470" t="s">
        <v>63</v>
      </c>
      <c r="B6" s="489" t="s">
        <v>68</v>
      </c>
      <c r="C6" s="484" t="str">
        <f t="shared" si="0"/>
        <v>BretonnianLineman</v>
      </c>
      <c r="D6" s="490">
        <v>16</v>
      </c>
      <c r="E6" s="491">
        <v>40000</v>
      </c>
      <c r="F6" s="492">
        <v>6</v>
      </c>
      <c r="G6" s="492">
        <v>3</v>
      </c>
      <c r="H6" s="492">
        <v>2</v>
      </c>
      <c r="I6" s="492">
        <v>7</v>
      </c>
      <c r="J6" s="489" t="s">
        <v>776</v>
      </c>
      <c r="K6" s="492" t="s">
        <v>746</v>
      </c>
      <c r="L6" s="492" t="s">
        <v>747</v>
      </c>
      <c r="N6" s="470" t="s">
        <v>60</v>
      </c>
      <c r="O6" s="485">
        <v>70000</v>
      </c>
      <c r="Q6" s="470" t="s">
        <v>89</v>
      </c>
      <c r="R6" s="470" t="s">
        <v>778</v>
      </c>
      <c r="S6" s="470" t="s">
        <v>252</v>
      </c>
      <c r="T6" s="470" t="s">
        <v>779</v>
      </c>
      <c r="U6" s="470" t="s">
        <v>780</v>
      </c>
      <c r="V6" s="470" t="s">
        <v>781</v>
      </c>
      <c r="X6" s="470"/>
      <c r="Y6" s="470"/>
      <c r="Z6" s="470"/>
      <c r="AA6" s="470" t="s">
        <v>491</v>
      </c>
      <c r="AB6" s="470" t="s">
        <v>101</v>
      </c>
      <c r="AC6" t="str">
        <f t="shared" si="1"/>
        <v>AmazonBlitzer</v>
      </c>
      <c r="AD6" s="487" t="s">
        <v>746</v>
      </c>
      <c r="AE6" s="179"/>
      <c r="AF6" s="179" t="s">
        <v>25</v>
      </c>
      <c r="AG6" s="179"/>
      <c r="AH6" s="488"/>
      <c r="AI6" s="179"/>
      <c r="AJ6" s="179" t="s">
        <v>763</v>
      </c>
      <c r="AK6" s="179" t="s">
        <v>762</v>
      </c>
      <c r="AL6" s="179" t="s">
        <v>764</v>
      </c>
      <c r="AM6" s="488"/>
    </row>
    <row r="7" spans="1:39" ht="15.75" customHeight="1">
      <c r="A7" s="470" t="s">
        <v>63</v>
      </c>
      <c r="B7" s="489" t="s">
        <v>414</v>
      </c>
      <c r="C7" s="484" t="str">
        <f t="shared" si="0"/>
        <v>BretonnianYeoman</v>
      </c>
      <c r="D7" s="490">
        <v>4</v>
      </c>
      <c r="E7" s="491">
        <v>70000</v>
      </c>
      <c r="F7" s="492">
        <v>6</v>
      </c>
      <c r="G7" s="492">
        <v>3</v>
      </c>
      <c r="H7" s="492">
        <v>3</v>
      </c>
      <c r="I7" s="492">
        <v>8</v>
      </c>
      <c r="J7" s="489" t="s">
        <v>199</v>
      </c>
      <c r="K7" s="492" t="s">
        <v>774</v>
      </c>
      <c r="L7" s="492" t="s">
        <v>775</v>
      </c>
      <c r="N7" s="470" t="s">
        <v>584</v>
      </c>
      <c r="O7" s="486">
        <v>70000</v>
      </c>
      <c r="Q7" s="470" t="s">
        <v>782</v>
      </c>
      <c r="R7" s="470" t="s">
        <v>783</v>
      </c>
      <c r="S7" s="470" t="s">
        <v>784</v>
      </c>
      <c r="T7" s="470" t="s">
        <v>739</v>
      </c>
      <c r="U7" s="470" t="s">
        <v>785</v>
      </c>
      <c r="V7" s="470" t="s">
        <v>786</v>
      </c>
      <c r="X7" s="470"/>
      <c r="Y7" s="470"/>
      <c r="Z7" s="470"/>
      <c r="AA7" s="470" t="s">
        <v>63</v>
      </c>
      <c r="AB7" s="489" t="s">
        <v>68</v>
      </c>
      <c r="AC7" t="str">
        <f t="shared" si="1"/>
        <v>BretonnianLineman</v>
      </c>
      <c r="AD7" s="487" t="s">
        <v>746</v>
      </c>
      <c r="AE7" s="179" t="s">
        <v>762</v>
      </c>
      <c r="AF7" s="179" t="s">
        <v>762</v>
      </c>
      <c r="AG7" s="179"/>
      <c r="AH7" s="488"/>
      <c r="AI7" s="179"/>
      <c r="AJ7" s="179" t="s">
        <v>763</v>
      </c>
      <c r="AK7" s="179" t="s">
        <v>25</v>
      </c>
      <c r="AL7" s="179" t="s">
        <v>764</v>
      </c>
      <c r="AM7" s="488"/>
    </row>
    <row r="8" spans="1:39" ht="15.75" customHeight="1">
      <c r="A8" s="470" t="s">
        <v>63</v>
      </c>
      <c r="B8" s="489" t="s">
        <v>101</v>
      </c>
      <c r="C8" s="484" t="str">
        <f t="shared" si="0"/>
        <v>BretonnianBlitzer</v>
      </c>
      <c r="D8" s="490">
        <v>4</v>
      </c>
      <c r="E8" s="491">
        <v>110000</v>
      </c>
      <c r="F8" s="492">
        <v>7</v>
      </c>
      <c r="G8" s="492">
        <v>3</v>
      </c>
      <c r="H8" s="492">
        <v>3</v>
      </c>
      <c r="I8" s="492">
        <v>8</v>
      </c>
      <c r="J8" s="489" t="s">
        <v>787</v>
      </c>
      <c r="K8" s="492" t="s">
        <v>788</v>
      </c>
      <c r="L8" s="492" t="s">
        <v>25</v>
      </c>
      <c r="N8" s="470" t="s">
        <v>61</v>
      </c>
      <c r="O8" s="485">
        <v>50000</v>
      </c>
      <c r="Q8" s="470" t="s">
        <v>789</v>
      </c>
      <c r="R8" s="470" t="s">
        <v>790</v>
      </c>
      <c r="S8" s="470" t="s">
        <v>791</v>
      </c>
      <c r="T8" s="470" t="s">
        <v>792</v>
      </c>
      <c r="U8" s="470" t="s">
        <v>793</v>
      </c>
      <c r="V8" s="470" t="s">
        <v>794</v>
      </c>
      <c r="X8" s="470"/>
      <c r="Y8" s="470"/>
      <c r="Z8" s="470"/>
      <c r="AA8" s="470" t="s">
        <v>63</v>
      </c>
      <c r="AB8" s="489" t="s">
        <v>414</v>
      </c>
      <c r="AC8" t="str">
        <f t="shared" si="1"/>
        <v>BretonnianYeoman</v>
      </c>
      <c r="AD8" s="487" t="s">
        <v>746</v>
      </c>
      <c r="AE8" s="179"/>
      <c r="AF8" s="179" t="s">
        <v>25</v>
      </c>
      <c r="AG8" s="179"/>
      <c r="AH8" s="488"/>
      <c r="AI8" s="179"/>
      <c r="AJ8" s="179" t="s">
        <v>763</v>
      </c>
      <c r="AK8" s="179" t="s">
        <v>762</v>
      </c>
      <c r="AL8" s="179" t="s">
        <v>764</v>
      </c>
      <c r="AM8" s="488"/>
    </row>
    <row r="9" spans="1:39" ht="15.75" customHeight="1">
      <c r="A9" s="470" t="s">
        <v>3</v>
      </c>
      <c r="B9" s="470" t="s">
        <v>244</v>
      </c>
      <c r="C9" s="484" t="str">
        <f t="shared" si="0"/>
        <v>ChaosBeastman</v>
      </c>
      <c r="D9" s="484">
        <v>16</v>
      </c>
      <c r="E9" s="485">
        <v>60000</v>
      </c>
      <c r="F9" s="459">
        <v>6</v>
      </c>
      <c r="G9" s="459">
        <v>3</v>
      </c>
      <c r="H9" s="459">
        <v>3</v>
      </c>
      <c r="I9" s="459">
        <v>8</v>
      </c>
      <c r="J9" s="470" t="s">
        <v>785</v>
      </c>
      <c r="K9" s="459" t="s">
        <v>795</v>
      </c>
      <c r="L9" s="459" t="s">
        <v>775</v>
      </c>
      <c r="N9" s="470" t="s">
        <v>302</v>
      </c>
      <c r="O9" s="485">
        <v>50000</v>
      </c>
      <c r="Q9" s="470" t="s">
        <v>216</v>
      </c>
      <c r="R9" s="470" t="s">
        <v>796</v>
      </c>
      <c r="S9" s="470" t="s">
        <v>175</v>
      </c>
      <c r="U9" s="470" t="s">
        <v>797</v>
      </c>
      <c r="V9" s="470" t="s">
        <v>798</v>
      </c>
      <c r="X9" s="470"/>
      <c r="Y9" s="470"/>
      <c r="Z9" s="470"/>
      <c r="AA9" s="470" t="s">
        <v>63</v>
      </c>
      <c r="AB9" s="489" t="s">
        <v>101</v>
      </c>
      <c r="AC9" t="str">
        <f t="shared" si="1"/>
        <v>BretonnianBlitzer</v>
      </c>
      <c r="AD9" s="487" t="s">
        <v>746</v>
      </c>
      <c r="AE9" s="179" t="s">
        <v>763</v>
      </c>
      <c r="AF9" s="179"/>
      <c r="AG9" s="179" t="s">
        <v>764</v>
      </c>
      <c r="AH9" s="488"/>
      <c r="AI9" s="179"/>
      <c r="AJ9" s="179" t="s">
        <v>762</v>
      </c>
      <c r="AK9" s="179" t="s">
        <v>25</v>
      </c>
      <c r="AL9" s="179"/>
      <c r="AM9" s="488"/>
    </row>
    <row r="10" spans="1:39" ht="15.75" customHeight="1">
      <c r="A10" s="470" t="s">
        <v>3</v>
      </c>
      <c r="B10" s="470" t="s">
        <v>291</v>
      </c>
      <c r="C10" s="484" t="str">
        <f t="shared" si="0"/>
        <v>ChaosChaos Warrior</v>
      </c>
      <c r="D10" s="484">
        <v>4</v>
      </c>
      <c r="E10" s="485">
        <v>100000</v>
      </c>
      <c r="F10" s="459">
        <v>5</v>
      </c>
      <c r="G10" s="459">
        <v>4</v>
      </c>
      <c r="H10" s="459">
        <v>3</v>
      </c>
      <c r="I10" s="459">
        <v>9</v>
      </c>
      <c r="K10" s="459" t="s">
        <v>795</v>
      </c>
      <c r="L10" s="459" t="s">
        <v>775</v>
      </c>
      <c r="N10" s="470" t="s">
        <v>582</v>
      </c>
      <c r="O10" s="485">
        <v>50000</v>
      </c>
      <c r="Q10" s="470" t="s">
        <v>799</v>
      </c>
      <c r="R10" s="470" t="s">
        <v>800</v>
      </c>
      <c r="S10" s="470" t="s">
        <v>446</v>
      </c>
      <c r="U10" s="470" t="s">
        <v>801</v>
      </c>
      <c r="V10" s="470" t="s">
        <v>802</v>
      </c>
      <c r="X10" s="470"/>
      <c r="Y10" s="470"/>
      <c r="Z10" s="470"/>
      <c r="AA10" s="470" t="s">
        <v>3</v>
      </c>
      <c r="AB10" s="470" t="s">
        <v>244</v>
      </c>
      <c r="AC10" t="str">
        <f t="shared" si="1"/>
        <v>ChaosBeastman</v>
      </c>
      <c r="AD10" s="487" t="s">
        <v>746</v>
      </c>
      <c r="AE10" s="179"/>
      <c r="AF10" s="179" t="s">
        <v>25</v>
      </c>
      <c r="AG10" s="179"/>
      <c r="AH10" s="488" t="s">
        <v>20</v>
      </c>
      <c r="AI10" s="179"/>
      <c r="AJ10" s="179" t="s">
        <v>763</v>
      </c>
      <c r="AK10" s="179" t="s">
        <v>762</v>
      </c>
      <c r="AL10" s="179" t="s">
        <v>764</v>
      </c>
      <c r="AM10" s="488"/>
    </row>
    <row r="11" spans="1:39" ht="15.75" customHeight="1">
      <c r="A11" s="470" t="s">
        <v>3</v>
      </c>
      <c r="B11" s="470" t="s">
        <v>299</v>
      </c>
      <c r="C11" s="484" t="str">
        <f t="shared" si="0"/>
        <v>ChaosMinotaur</v>
      </c>
      <c r="D11" s="484">
        <v>1</v>
      </c>
      <c r="E11" s="485">
        <v>150000</v>
      </c>
      <c r="F11" s="459">
        <v>5</v>
      </c>
      <c r="G11" s="459">
        <v>5</v>
      </c>
      <c r="H11" s="459">
        <v>2</v>
      </c>
      <c r="I11" s="459">
        <v>8</v>
      </c>
      <c r="J11" s="470" t="s">
        <v>803</v>
      </c>
      <c r="K11" s="459" t="s">
        <v>804</v>
      </c>
      <c r="L11" s="459" t="s">
        <v>788</v>
      </c>
      <c r="N11" s="470" t="s">
        <v>150</v>
      </c>
      <c r="O11" s="485">
        <v>60000</v>
      </c>
      <c r="Q11" s="470" t="s">
        <v>805</v>
      </c>
      <c r="R11" s="470" t="s">
        <v>806</v>
      </c>
      <c r="S11" s="470" t="s">
        <v>807</v>
      </c>
      <c r="U11" s="470" t="s">
        <v>808</v>
      </c>
      <c r="V11" s="470" t="s">
        <v>809</v>
      </c>
      <c r="X11" s="470"/>
      <c r="Y11" s="470"/>
      <c r="Z11" s="470"/>
      <c r="AA11" s="470" t="s">
        <v>3</v>
      </c>
      <c r="AB11" s="470" t="s">
        <v>291</v>
      </c>
      <c r="AC11" t="str">
        <f t="shared" si="1"/>
        <v>ChaosChaos Warrior</v>
      </c>
      <c r="AD11" s="487" t="s">
        <v>746</v>
      </c>
      <c r="AE11" s="179"/>
      <c r="AF11" s="179" t="s">
        <v>25</v>
      </c>
      <c r="AG11" s="179"/>
      <c r="AH11" s="488" t="s">
        <v>20</v>
      </c>
      <c r="AI11" s="179"/>
      <c r="AJ11" s="179" t="s">
        <v>763</v>
      </c>
      <c r="AK11" s="179" t="s">
        <v>762</v>
      </c>
      <c r="AL11" s="179" t="s">
        <v>764</v>
      </c>
      <c r="AM11" s="488"/>
    </row>
    <row r="12" spans="1:39" ht="15.75" customHeight="1">
      <c r="A12" s="470" t="s">
        <v>22</v>
      </c>
      <c r="B12" s="470" t="s">
        <v>577</v>
      </c>
      <c r="C12" s="484" t="str">
        <f t="shared" si="0"/>
        <v>Chaos DwarfHobgoblin</v>
      </c>
      <c r="D12" s="484">
        <v>16</v>
      </c>
      <c r="E12" s="485">
        <v>40000</v>
      </c>
      <c r="F12" s="459">
        <v>6</v>
      </c>
      <c r="G12" s="459">
        <v>3</v>
      </c>
      <c r="H12" s="459">
        <v>3</v>
      </c>
      <c r="I12" s="459">
        <v>7</v>
      </c>
      <c r="K12" s="459" t="s">
        <v>746</v>
      </c>
      <c r="L12" s="459" t="s">
        <v>747</v>
      </c>
      <c r="N12" s="470" t="s">
        <v>41</v>
      </c>
      <c r="O12" s="485">
        <v>60000</v>
      </c>
      <c r="Q12" s="470" t="s">
        <v>191</v>
      </c>
      <c r="T12" s="470"/>
      <c r="V12" s="470" t="s">
        <v>300</v>
      </c>
      <c r="X12" s="470"/>
      <c r="Y12" s="470"/>
      <c r="Z12" s="470"/>
      <c r="AA12" s="470" t="s">
        <v>3</v>
      </c>
      <c r="AB12" s="470" t="s">
        <v>299</v>
      </c>
      <c r="AC12" t="str">
        <f t="shared" si="1"/>
        <v>ChaosMinotaur</v>
      </c>
      <c r="AD12" s="487"/>
      <c r="AE12" s="179"/>
      <c r="AF12" s="179" t="s">
        <v>25</v>
      </c>
      <c r="AG12" s="179"/>
      <c r="AH12" s="488" t="s">
        <v>20</v>
      </c>
      <c r="AI12" s="179" t="s">
        <v>746</v>
      </c>
      <c r="AJ12" s="179" t="s">
        <v>763</v>
      </c>
      <c r="AK12" s="179"/>
      <c r="AL12" s="179" t="s">
        <v>764</v>
      </c>
      <c r="AM12" s="488"/>
    </row>
    <row r="13" spans="1:39" ht="15.75" customHeight="1">
      <c r="A13" s="470" t="s">
        <v>22</v>
      </c>
      <c r="B13" s="470" t="s">
        <v>242</v>
      </c>
      <c r="C13" s="484" t="str">
        <f t="shared" si="0"/>
        <v>Chaos DwarfBlocker</v>
      </c>
      <c r="D13" s="484">
        <v>6</v>
      </c>
      <c r="E13" s="485">
        <v>70000</v>
      </c>
      <c r="F13" s="459">
        <v>4</v>
      </c>
      <c r="G13" s="459">
        <v>3</v>
      </c>
      <c r="H13" s="459">
        <v>2</v>
      </c>
      <c r="I13" s="459">
        <v>9</v>
      </c>
      <c r="J13" s="470" t="s">
        <v>810</v>
      </c>
      <c r="K13" s="459" t="s">
        <v>774</v>
      </c>
      <c r="L13" s="459" t="s">
        <v>811</v>
      </c>
      <c r="N13" s="470" t="s">
        <v>127</v>
      </c>
      <c r="O13" s="485">
        <v>50000</v>
      </c>
      <c r="Q13" s="470" t="s">
        <v>344</v>
      </c>
      <c r="V13" s="470" t="s">
        <v>812</v>
      </c>
      <c r="X13" s="470"/>
      <c r="Y13" s="470"/>
      <c r="Z13" s="470"/>
      <c r="AA13" s="470" t="s">
        <v>22</v>
      </c>
      <c r="AB13" s="470" t="s">
        <v>577</v>
      </c>
      <c r="AC13" t="str">
        <f t="shared" si="1"/>
        <v>Chaos DwarfHobgoblin</v>
      </c>
      <c r="AD13" s="487" t="s">
        <v>746</v>
      </c>
      <c r="AE13" s="179" t="s">
        <v>762</v>
      </c>
      <c r="AF13" s="179" t="s">
        <v>762</v>
      </c>
      <c r="AG13" s="179"/>
      <c r="AH13" s="488"/>
      <c r="AI13" s="179"/>
      <c r="AJ13" s="179" t="s">
        <v>763</v>
      </c>
      <c r="AK13" s="179" t="s">
        <v>25</v>
      </c>
      <c r="AL13" s="179" t="s">
        <v>764</v>
      </c>
      <c r="AM13" s="488"/>
    </row>
    <row r="14" spans="1:39" ht="15.75" customHeight="1">
      <c r="A14" s="470" t="s">
        <v>22</v>
      </c>
      <c r="B14" s="470" t="s">
        <v>573</v>
      </c>
      <c r="C14" s="484" t="str">
        <f t="shared" si="0"/>
        <v>Chaos DwarfBull Centaur</v>
      </c>
      <c r="D14" s="484">
        <v>2</v>
      </c>
      <c r="E14" s="485">
        <v>130000</v>
      </c>
      <c r="F14" s="459">
        <v>6</v>
      </c>
      <c r="G14" s="459">
        <v>4</v>
      </c>
      <c r="H14" s="459">
        <v>2</v>
      </c>
      <c r="I14" s="459">
        <v>9</v>
      </c>
      <c r="J14" s="470" t="s">
        <v>813</v>
      </c>
      <c r="K14" s="459" t="s">
        <v>774</v>
      </c>
      <c r="L14" s="459" t="s">
        <v>775</v>
      </c>
      <c r="N14" s="470" t="s">
        <v>362</v>
      </c>
      <c r="O14" s="485">
        <v>50000</v>
      </c>
      <c r="Q14" s="470" t="s">
        <v>199</v>
      </c>
      <c r="V14" s="470" t="s">
        <v>814</v>
      </c>
      <c r="X14" s="470"/>
      <c r="Y14" s="470"/>
      <c r="Z14" s="470"/>
      <c r="AA14" s="470" t="s">
        <v>22</v>
      </c>
      <c r="AB14" s="470" t="s">
        <v>242</v>
      </c>
      <c r="AC14" t="str">
        <f t="shared" si="1"/>
        <v>Chaos DwarfBlocker</v>
      </c>
      <c r="AD14" s="487" t="s">
        <v>746</v>
      </c>
      <c r="AE14" s="179"/>
      <c r="AF14" s="179" t="s">
        <v>25</v>
      </c>
      <c r="AG14" s="179"/>
      <c r="AH14" s="488"/>
      <c r="AI14" s="179"/>
      <c r="AJ14" s="179" t="s">
        <v>763</v>
      </c>
      <c r="AK14" s="179"/>
      <c r="AL14" s="179" t="s">
        <v>764</v>
      </c>
      <c r="AM14" s="488" t="s">
        <v>20</v>
      </c>
    </row>
    <row r="15" spans="1:39" ht="15.75" customHeight="1">
      <c r="A15" s="470" t="s">
        <v>22</v>
      </c>
      <c r="B15" s="470" t="s">
        <v>299</v>
      </c>
      <c r="C15" s="484" t="str">
        <f t="shared" si="0"/>
        <v>Chaos DwarfMinotaur</v>
      </c>
      <c r="D15" s="484">
        <v>1</v>
      </c>
      <c r="E15" s="485">
        <v>150000</v>
      </c>
      <c r="F15" s="459">
        <v>5</v>
      </c>
      <c r="G15" s="459">
        <v>5</v>
      </c>
      <c r="H15" s="459">
        <v>2</v>
      </c>
      <c r="I15" s="459">
        <v>8</v>
      </c>
      <c r="J15" s="470" t="s">
        <v>803</v>
      </c>
      <c r="K15" s="459" t="s">
        <v>25</v>
      </c>
      <c r="L15" s="459" t="s">
        <v>815</v>
      </c>
      <c r="N15" s="470" t="s">
        <v>583</v>
      </c>
      <c r="O15" s="485">
        <v>70000</v>
      </c>
      <c r="V15" s="470" t="s">
        <v>816</v>
      </c>
      <c r="X15" s="470"/>
      <c r="Y15" s="470"/>
      <c r="Z15" s="470"/>
      <c r="AA15" s="470" t="s">
        <v>22</v>
      </c>
      <c r="AB15" s="470" t="s">
        <v>573</v>
      </c>
      <c r="AC15" t="str">
        <f t="shared" si="1"/>
        <v>Chaos DwarfBull Centaur</v>
      </c>
      <c r="AD15" s="487" t="s">
        <v>746</v>
      </c>
      <c r="AE15" s="179"/>
      <c r="AF15" s="179" t="s">
        <v>25</v>
      </c>
      <c r="AG15" s="179"/>
      <c r="AH15" s="488"/>
      <c r="AI15" s="179"/>
      <c r="AJ15" s="179" t="s">
        <v>763</v>
      </c>
      <c r="AK15" s="179"/>
      <c r="AL15" s="179" t="s">
        <v>764</v>
      </c>
      <c r="AM15" s="488" t="s">
        <v>20</v>
      </c>
    </row>
    <row r="16" spans="1:39" ht="15.75" customHeight="1">
      <c r="A16" s="470" t="s">
        <v>60</v>
      </c>
      <c r="B16" s="470" t="s">
        <v>817</v>
      </c>
      <c r="C16" s="484" t="str">
        <f t="shared" si="0"/>
        <v>Chaos PactMarauder</v>
      </c>
      <c r="D16" s="470">
        <v>12</v>
      </c>
      <c r="E16" s="485">
        <v>50000</v>
      </c>
      <c r="F16" s="459">
        <v>6</v>
      </c>
      <c r="G16" s="459">
        <v>3</v>
      </c>
      <c r="H16" s="459">
        <v>3</v>
      </c>
      <c r="I16" s="459">
        <v>8</v>
      </c>
      <c r="K16" s="493" t="s">
        <v>818</v>
      </c>
      <c r="L16" s="179" t="s">
        <v>763</v>
      </c>
      <c r="N16" s="470" t="s">
        <v>585</v>
      </c>
      <c r="O16" s="485">
        <v>60000</v>
      </c>
      <c r="V16" s="470" t="s">
        <v>819</v>
      </c>
      <c r="X16" s="470"/>
      <c r="Y16" s="470"/>
      <c r="Z16" s="470"/>
      <c r="AA16" s="470" t="s">
        <v>22</v>
      </c>
      <c r="AB16" s="470" t="s">
        <v>299</v>
      </c>
      <c r="AC16" t="str">
        <f t="shared" si="1"/>
        <v>Chaos DwarfMinotaur</v>
      </c>
      <c r="AD16" s="487"/>
      <c r="AE16" s="179" t="s">
        <v>762</v>
      </c>
      <c r="AF16" s="179" t="s">
        <v>25</v>
      </c>
      <c r="AG16" s="179"/>
      <c r="AH16" s="488"/>
      <c r="AI16" s="179" t="s">
        <v>746</v>
      </c>
      <c r="AJ16" s="179" t="s">
        <v>763</v>
      </c>
      <c r="AK16" s="179"/>
      <c r="AL16" s="179" t="s">
        <v>764</v>
      </c>
      <c r="AM16" s="488"/>
    </row>
    <row r="17" spans="1:39" ht="15.75" customHeight="1">
      <c r="A17" s="470" t="s">
        <v>60</v>
      </c>
      <c r="B17" s="470" t="s">
        <v>820</v>
      </c>
      <c r="C17" s="484" t="str">
        <f t="shared" si="0"/>
        <v>Chaos PactGoblin Renegade</v>
      </c>
      <c r="D17" s="470">
        <v>1</v>
      </c>
      <c r="E17" s="485">
        <v>40000</v>
      </c>
      <c r="F17" s="459">
        <v>6</v>
      </c>
      <c r="G17" s="459">
        <v>2</v>
      </c>
      <c r="H17" s="459">
        <v>3</v>
      </c>
      <c r="I17" s="459">
        <v>7</v>
      </c>
      <c r="J17" s="470" t="s">
        <v>821</v>
      </c>
      <c r="K17" s="179" t="s">
        <v>822</v>
      </c>
      <c r="L17" s="493" t="s">
        <v>823</v>
      </c>
      <c r="M17" s="470"/>
      <c r="N17" s="470" t="s">
        <v>586</v>
      </c>
      <c r="O17" s="485">
        <v>70000</v>
      </c>
      <c r="V17" s="470" t="s">
        <v>824</v>
      </c>
      <c r="X17" s="470"/>
      <c r="Y17" s="470"/>
      <c r="Z17" s="470"/>
      <c r="AA17" s="470" t="s">
        <v>60</v>
      </c>
      <c r="AB17" s="470" t="s">
        <v>817</v>
      </c>
      <c r="AC17" t="str">
        <f t="shared" si="1"/>
        <v>Chaos PactMarauder</v>
      </c>
      <c r="AD17" s="494" t="s">
        <v>746</v>
      </c>
      <c r="AE17" s="179"/>
      <c r="AF17" s="459" t="s">
        <v>25</v>
      </c>
      <c r="AG17" s="459" t="s">
        <v>764</v>
      </c>
      <c r="AH17" s="495" t="s">
        <v>20</v>
      </c>
      <c r="AI17" s="179"/>
      <c r="AJ17" s="459" t="s">
        <v>763</v>
      </c>
      <c r="AK17" s="179"/>
      <c r="AL17" s="179"/>
      <c r="AM17" s="488"/>
    </row>
    <row r="18" spans="1:39" ht="15.75" customHeight="1">
      <c r="A18" s="470" t="s">
        <v>60</v>
      </c>
      <c r="B18" s="470" t="s">
        <v>825</v>
      </c>
      <c r="C18" s="484" t="str">
        <f t="shared" si="0"/>
        <v>Chaos PactSkaven Renegade</v>
      </c>
      <c r="D18" s="470">
        <v>1</v>
      </c>
      <c r="E18" s="485">
        <v>50000</v>
      </c>
      <c r="F18" s="459">
        <v>7</v>
      </c>
      <c r="G18" s="459">
        <v>3</v>
      </c>
      <c r="H18" s="459">
        <v>3</v>
      </c>
      <c r="I18" s="459">
        <v>7</v>
      </c>
      <c r="J18" s="470" t="s">
        <v>760</v>
      </c>
      <c r="K18" s="493" t="s">
        <v>826</v>
      </c>
      <c r="L18" s="493" t="s">
        <v>747</v>
      </c>
      <c r="M18" s="470"/>
      <c r="N18" s="470" t="s">
        <v>17</v>
      </c>
      <c r="O18" s="485">
        <v>60000</v>
      </c>
      <c r="V18" s="470" t="s">
        <v>827</v>
      </c>
      <c r="X18" s="470"/>
      <c r="Y18" s="470"/>
      <c r="Z18" s="470"/>
      <c r="AA18" s="470" t="s">
        <v>60</v>
      </c>
      <c r="AB18" s="470" t="s">
        <v>820</v>
      </c>
      <c r="AC18" t="str">
        <f t="shared" si="1"/>
        <v>Chaos PactGoblin Renegade</v>
      </c>
      <c r="AD18" s="487"/>
      <c r="AE18" s="459" t="s">
        <v>763</v>
      </c>
      <c r="AF18" s="179"/>
      <c r="AG18" s="179"/>
      <c r="AH18" s="495" t="s">
        <v>20</v>
      </c>
      <c r="AI18" s="459" t="s">
        <v>746</v>
      </c>
      <c r="AJ18" s="179"/>
      <c r="AK18" s="459" t="s">
        <v>25</v>
      </c>
      <c r="AL18" s="459" t="s">
        <v>764</v>
      </c>
      <c r="AM18" s="488"/>
    </row>
    <row r="19" spans="1:39" ht="15.75" customHeight="1">
      <c r="A19" s="470" t="s">
        <v>60</v>
      </c>
      <c r="B19" s="470" t="s">
        <v>828</v>
      </c>
      <c r="C19" s="484" t="str">
        <f t="shared" si="0"/>
        <v>Chaos PactDark Elf Renegade</v>
      </c>
      <c r="D19" s="470">
        <v>1</v>
      </c>
      <c r="E19" s="485">
        <v>70000</v>
      </c>
      <c r="F19" s="459">
        <v>6</v>
      </c>
      <c r="G19" s="459">
        <v>3</v>
      </c>
      <c r="H19" s="459">
        <v>4</v>
      </c>
      <c r="I19" s="459">
        <v>8</v>
      </c>
      <c r="J19" s="470" t="s">
        <v>760</v>
      </c>
      <c r="K19" s="179" t="s">
        <v>829</v>
      </c>
      <c r="L19" s="493" t="s">
        <v>767</v>
      </c>
      <c r="M19" s="470"/>
      <c r="N19" s="470" t="s">
        <v>66</v>
      </c>
      <c r="O19" s="485">
        <v>70000</v>
      </c>
      <c r="V19" s="470" t="s">
        <v>830</v>
      </c>
      <c r="X19" s="470"/>
      <c r="Y19" s="470"/>
      <c r="Z19" s="470"/>
      <c r="AA19" s="470" t="s">
        <v>60</v>
      </c>
      <c r="AB19" s="470" t="s">
        <v>825</v>
      </c>
      <c r="AC19" t="str">
        <f t="shared" si="1"/>
        <v>Chaos PactSkaven Renegade</v>
      </c>
      <c r="AD19" s="494" t="s">
        <v>746</v>
      </c>
      <c r="AE19" s="179"/>
      <c r="AF19" s="179"/>
      <c r="AG19" s="179"/>
      <c r="AH19" s="495" t="s">
        <v>20</v>
      </c>
      <c r="AI19" s="179"/>
      <c r="AJ19" s="459" t="s">
        <v>763</v>
      </c>
      <c r="AK19" s="459" t="s">
        <v>25</v>
      </c>
      <c r="AL19" s="459" t="s">
        <v>764</v>
      </c>
      <c r="AM19" s="488"/>
    </row>
    <row r="20" spans="1:39" ht="15.75" customHeight="1">
      <c r="A20" s="470" t="s">
        <v>60</v>
      </c>
      <c r="B20" s="470" t="s">
        <v>212</v>
      </c>
      <c r="C20" s="484" t="str">
        <f t="shared" si="0"/>
        <v>Chaos PactTroll</v>
      </c>
      <c r="D20" s="470">
        <v>1</v>
      </c>
      <c r="E20" s="485">
        <v>110000</v>
      </c>
      <c r="F20" s="459">
        <v>4</v>
      </c>
      <c r="G20" s="459">
        <v>5</v>
      </c>
      <c r="H20" s="459">
        <v>1</v>
      </c>
      <c r="I20" s="459">
        <v>9</v>
      </c>
      <c r="J20" s="470" t="s">
        <v>831</v>
      </c>
      <c r="K20" s="493" t="s">
        <v>25</v>
      </c>
      <c r="L20" s="179" t="s">
        <v>815</v>
      </c>
      <c r="M20" s="470"/>
      <c r="N20" s="470" t="s">
        <v>361</v>
      </c>
      <c r="O20" s="485">
        <v>70000</v>
      </c>
      <c r="V20" s="470" t="s">
        <v>832</v>
      </c>
      <c r="X20" s="470"/>
      <c r="Y20" s="470"/>
      <c r="Z20" s="470"/>
      <c r="AA20" s="470" t="s">
        <v>60</v>
      </c>
      <c r="AB20" s="470" t="s">
        <v>828</v>
      </c>
      <c r="AC20" t="str">
        <f t="shared" si="1"/>
        <v>Chaos PactDark Elf Renegade</v>
      </c>
      <c r="AD20" s="494" t="s">
        <v>746</v>
      </c>
      <c r="AE20" s="459" t="s">
        <v>763</v>
      </c>
      <c r="AF20" s="179"/>
      <c r="AG20" s="179"/>
      <c r="AH20" s="495" t="s">
        <v>20</v>
      </c>
      <c r="AI20" s="179"/>
      <c r="AJ20" s="179"/>
      <c r="AK20" s="459" t="s">
        <v>25</v>
      </c>
      <c r="AL20" s="459" t="s">
        <v>764</v>
      </c>
      <c r="AM20" s="488"/>
    </row>
    <row r="21" spans="1:39" ht="15.75" customHeight="1">
      <c r="A21" s="470" t="s">
        <v>60</v>
      </c>
      <c r="B21" s="470" t="s">
        <v>361</v>
      </c>
      <c r="C21" s="484" t="str">
        <f t="shared" si="0"/>
        <v>Chaos PactOgre</v>
      </c>
      <c r="D21" s="470">
        <v>1</v>
      </c>
      <c r="E21" s="485">
        <v>140000</v>
      </c>
      <c r="F21" s="459">
        <v>5</v>
      </c>
      <c r="G21" s="459">
        <v>5</v>
      </c>
      <c r="H21" s="459">
        <v>2</v>
      </c>
      <c r="I21" s="459">
        <v>9</v>
      </c>
      <c r="J21" s="470" t="s">
        <v>833</v>
      </c>
      <c r="K21" s="493" t="s">
        <v>25</v>
      </c>
      <c r="L21" s="179" t="s">
        <v>815</v>
      </c>
      <c r="M21" s="470"/>
      <c r="N21" s="470" t="s">
        <v>64</v>
      </c>
      <c r="O21" s="485">
        <v>60000</v>
      </c>
      <c r="V21" s="470" t="s">
        <v>834</v>
      </c>
      <c r="X21" s="470"/>
      <c r="Y21" s="470"/>
      <c r="Z21" s="470"/>
      <c r="AA21" s="470" t="s">
        <v>60</v>
      </c>
      <c r="AB21" s="470" t="s">
        <v>212</v>
      </c>
      <c r="AC21" t="str">
        <f t="shared" si="1"/>
        <v>Chaos PactTroll</v>
      </c>
      <c r="AD21" s="487"/>
      <c r="AE21" s="179"/>
      <c r="AF21" s="459" t="s">
        <v>25</v>
      </c>
      <c r="AG21" s="179"/>
      <c r="AH21" s="488"/>
      <c r="AI21" s="459" t="s">
        <v>746</v>
      </c>
      <c r="AJ21" s="459" t="s">
        <v>763</v>
      </c>
      <c r="AK21" s="179"/>
      <c r="AL21" s="459" t="s">
        <v>764</v>
      </c>
      <c r="AM21" s="495" t="s">
        <v>20</v>
      </c>
    </row>
    <row r="22" spans="1:39" ht="15.75" customHeight="1">
      <c r="A22" s="470" t="s">
        <v>60</v>
      </c>
      <c r="B22" s="470" t="s">
        <v>299</v>
      </c>
      <c r="C22" s="484" t="str">
        <f t="shared" si="0"/>
        <v>Chaos PactMinotaur</v>
      </c>
      <c r="D22" s="470">
        <v>1</v>
      </c>
      <c r="E22" s="485">
        <v>150000</v>
      </c>
      <c r="F22" s="459">
        <v>5</v>
      </c>
      <c r="G22" s="459">
        <v>5</v>
      </c>
      <c r="H22" s="459">
        <v>2</v>
      </c>
      <c r="I22" s="459">
        <v>8</v>
      </c>
      <c r="J22" s="470" t="s">
        <v>835</v>
      </c>
      <c r="K22" s="493" t="s">
        <v>25</v>
      </c>
      <c r="L22" s="179" t="s">
        <v>815</v>
      </c>
      <c r="M22" s="470"/>
      <c r="N22" s="470" t="s">
        <v>55</v>
      </c>
      <c r="O22" s="486">
        <v>60000</v>
      </c>
      <c r="V22" s="470" t="s">
        <v>836</v>
      </c>
      <c r="X22" s="470"/>
      <c r="Y22" s="470"/>
      <c r="Z22" s="470"/>
      <c r="AA22" s="470" t="s">
        <v>60</v>
      </c>
      <c r="AB22" s="470" t="s">
        <v>361</v>
      </c>
      <c r="AC22" t="str">
        <f t="shared" si="1"/>
        <v>Chaos PactOgre</v>
      </c>
      <c r="AD22" s="487"/>
      <c r="AE22" s="179"/>
      <c r="AF22" s="459" t="s">
        <v>25</v>
      </c>
      <c r="AG22" s="179"/>
      <c r="AH22" s="488"/>
      <c r="AI22" s="459" t="s">
        <v>746</v>
      </c>
      <c r="AJ22" s="459" t="s">
        <v>763</v>
      </c>
      <c r="AK22" s="179"/>
      <c r="AL22" s="459" t="s">
        <v>764</v>
      </c>
      <c r="AM22" s="495" t="s">
        <v>20</v>
      </c>
    </row>
    <row r="23" spans="1:39" ht="15.75" customHeight="1">
      <c r="A23" s="470" t="s">
        <v>584</v>
      </c>
      <c r="B23" s="470" t="s">
        <v>837</v>
      </c>
      <c r="C23" s="484" t="str">
        <f t="shared" si="0"/>
        <v>Daemons of KhornePit Fighter</v>
      </c>
      <c r="D23" s="484">
        <v>16</v>
      </c>
      <c r="E23" s="485">
        <v>60000</v>
      </c>
      <c r="F23" s="459">
        <v>6</v>
      </c>
      <c r="G23" s="459">
        <v>3</v>
      </c>
      <c r="H23" s="459">
        <v>3</v>
      </c>
      <c r="I23" s="459">
        <v>8</v>
      </c>
      <c r="J23" s="470" t="s">
        <v>838</v>
      </c>
      <c r="K23" s="459" t="s">
        <v>753</v>
      </c>
      <c r="L23" s="459" t="s">
        <v>754</v>
      </c>
      <c r="N23" s="470" t="s">
        <v>57</v>
      </c>
      <c r="O23" s="485">
        <v>60000</v>
      </c>
      <c r="V23" s="470" t="s">
        <v>839</v>
      </c>
      <c r="X23" s="470"/>
      <c r="Y23" s="470"/>
      <c r="Z23" s="470"/>
      <c r="AA23" s="470" t="s">
        <v>60</v>
      </c>
      <c r="AB23" s="470" t="s">
        <v>299</v>
      </c>
      <c r="AC23" t="str">
        <f t="shared" si="1"/>
        <v>Chaos PactMinotaur</v>
      </c>
      <c r="AD23" s="487"/>
      <c r="AE23" s="179"/>
      <c r="AF23" s="459" t="s">
        <v>25</v>
      </c>
      <c r="AG23" s="179"/>
      <c r="AH23" s="488"/>
      <c r="AI23" s="459" t="s">
        <v>746</v>
      </c>
      <c r="AJ23" s="459" t="s">
        <v>763</v>
      </c>
      <c r="AK23" s="179"/>
      <c r="AL23" s="459" t="s">
        <v>764</v>
      </c>
      <c r="AM23" s="495" t="s">
        <v>20</v>
      </c>
    </row>
    <row r="24" spans="1:39" ht="15.75" customHeight="1">
      <c r="A24" s="470" t="s">
        <v>584</v>
      </c>
      <c r="B24" s="470" t="s">
        <v>840</v>
      </c>
      <c r="C24" s="484" t="str">
        <f t="shared" si="0"/>
        <v>Daemons of KhorneBloodletter</v>
      </c>
      <c r="D24" s="484">
        <v>4</v>
      </c>
      <c r="E24" s="485">
        <v>80000</v>
      </c>
      <c r="F24" s="459">
        <v>6</v>
      </c>
      <c r="G24" s="459">
        <v>3</v>
      </c>
      <c r="H24" s="459">
        <v>3</v>
      </c>
      <c r="I24" s="459">
        <v>7</v>
      </c>
      <c r="J24" s="470" t="s">
        <v>841</v>
      </c>
      <c r="K24" s="459" t="s">
        <v>842</v>
      </c>
      <c r="L24" s="459" t="s">
        <v>764</v>
      </c>
      <c r="N24" s="470" t="s">
        <v>587</v>
      </c>
      <c r="O24" s="485">
        <v>50000</v>
      </c>
      <c r="V24" s="470" t="s">
        <v>843</v>
      </c>
      <c r="X24" s="470"/>
      <c r="Y24" s="470"/>
      <c r="Z24" s="470"/>
      <c r="AA24" s="470" t="s">
        <v>584</v>
      </c>
      <c r="AB24" s="470" t="s">
        <v>837</v>
      </c>
      <c r="AC24" t="str">
        <f t="shared" si="1"/>
        <v>Daemons of KhornePit Fighter</v>
      </c>
      <c r="AD24" s="487" t="s">
        <v>746</v>
      </c>
      <c r="AE24" s="179"/>
      <c r="AF24" s="179" t="s">
        <v>762</v>
      </c>
      <c r="AG24" s="179" t="s">
        <v>764</v>
      </c>
      <c r="AH24" s="488"/>
      <c r="AI24" s="179"/>
      <c r="AJ24" s="179" t="s">
        <v>763</v>
      </c>
      <c r="AK24" s="179" t="s">
        <v>25</v>
      </c>
      <c r="AL24" s="179"/>
      <c r="AM24" s="488"/>
    </row>
    <row r="25" spans="1:39" ht="15.75" customHeight="1">
      <c r="A25" s="470" t="s">
        <v>584</v>
      </c>
      <c r="B25" s="470" t="s">
        <v>844</v>
      </c>
      <c r="C25" s="484" t="str">
        <f t="shared" si="0"/>
        <v>Daemons of KhorneHerald</v>
      </c>
      <c r="D25" s="484">
        <v>2</v>
      </c>
      <c r="E25" s="485">
        <v>90000</v>
      </c>
      <c r="F25" s="459">
        <v>6</v>
      </c>
      <c r="G25" s="459">
        <v>3</v>
      </c>
      <c r="H25" s="459">
        <v>3</v>
      </c>
      <c r="I25" s="459">
        <v>8</v>
      </c>
      <c r="J25" s="470" t="s">
        <v>845</v>
      </c>
      <c r="K25" s="459" t="s">
        <v>774</v>
      </c>
      <c r="L25" s="459" t="s">
        <v>775</v>
      </c>
      <c r="N25" s="470" t="s">
        <v>32</v>
      </c>
      <c r="O25" s="486">
        <v>70000</v>
      </c>
      <c r="V25" s="470" t="s">
        <v>846</v>
      </c>
      <c r="X25" s="470"/>
      <c r="Y25" s="470"/>
      <c r="Z25" s="470"/>
      <c r="AA25" s="470" t="s">
        <v>584</v>
      </c>
      <c r="AB25" s="470" t="s">
        <v>840</v>
      </c>
      <c r="AC25" t="str">
        <f t="shared" si="1"/>
        <v>Daemons of KhorneBloodletter</v>
      </c>
      <c r="AD25" s="487" t="s">
        <v>746</v>
      </c>
      <c r="AE25" s="179" t="s">
        <v>763</v>
      </c>
      <c r="AF25" s="179" t="s">
        <v>25</v>
      </c>
      <c r="AG25" s="179"/>
      <c r="AH25" s="488"/>
      <c r="AI25" s="179"/>
      <c r="AJ25" s="179" t="s">
        <v>762</v>
      </c>
      <c r="AK25" s="179" t="s">
        <v>762</v>
      </c>
      <c r="AL25" s="179" t="s">
        <v>764</v>
      </c>
      <c r="AM25" s="488"/>
    </row>
    <row r="26" spans="1:39" ht="15.75" customHeight="1">
      <c r="A26" s="470" t="s">
        <v>584</v>
      </c>
      <c r="B26" s="470" t="s">
        <v>847</v>
      </c>
      <c r="C26" s="484" t="str">
        <f t="shared" si="0"/>
        <v>Daemons of KhorneBloodthirster</v>
      </c>
      <c r="D26" s="484">
        <v>1</v>
      </c>
      <c r="E26" s="485">
        <v>180000</v>
      </c>
      <c r="F26" s="459">
        <v>6</v>
      </c>
      <c r="G26" s="459">
        <v>5</v>
      </c>
      <c r="H26" s="459">
        <v>1</v>
      </c>
      <c r="I26" s="459">
        <v>9</v>
      </c>
      <c r="J26" s="470" t="s">
        <v>848</v>
      </c>
      <c r="K26" s="459" t="s">
        <v>25</v>
      </c>
      <c r="L26" s="459" t="s">
        <v>788</v>
      </c>
      <c r="N26" s="470" t="s">
        <v>588</v>
      </c>
      <c r="O26" s="485">
        <v>70000</v>
      </c>
      <c r="V26" s="470" t="s">
        <v>849</v>
      </c>
      <c r="X26" s="470"/>
      <c r="Y26" s="470"/>
      <c r="Z26" s="470"/>
      <c r="AA26" s="470" t="s">
        <v>584</v>
      </c>
      <c r="AB26" s="470" t="s">
        <v>844</v>
      </c>
      <c r="AC26" t="str">
        <f t="shared" si="1"/>
        <v>Daemons of KhorneHerald</v>
      </c>
      <c r="AD26" s="487" t="s">
        <v>746</v>
      </c>
      <c r="AE26" s="179"/>
      <c r="AF26" s="179" t="s">
        <v>25</v>
      </c>
      <c r="AG26" s="179"/>
      <c r="AH26" s="488"/>
      <c r="AI26" s="179"/>
      <c r="AJ26" s="179" t="s">
        <v>763</v>
      </c>
      <c r="AK26" s="179" t="s">
        <v>762</v>
      </c>
      <c r="AL26" s="179" t="s">
        <v>764</v>
      </c>
      <c r="AM26" s="488"/>
    </row>
    <row r="27" spans="1:39" ht="15.75" customHeight="1">
      <c r="A27" s="470" t="s">
        <v>61</v>
      </c>
      <c r="B27" s="470" t="s">
        <v>68</v>
      </c>
      <c r="C27" s="484" t="str">
        <f t="shared" si="0"/>
        <v>Dark ElfLineman</v>
      </c>
      <c r="D27" s="484">
        <v>16</v>
      </c>
      <c r="E27" s="485">
        <v>70000</v>
      </c>
      <c r="F27" s="459">
        <v>6</v>
      </c>
      <c r="G27" s="459">
        <v>3</v>
      </c>
      <c r="H27" s="459">
        <v>4</v>
      </c>
      <c r="I27" s="459">
        <v>8</v>
      </c>
      <c r="K27" s="459" t="s">
        <v>766</v>
      </c>
      <c r="L27" s="459" t="s">
        <v>767</v>
      </c>
      <c r="N27" s="470" t="s">
        <v>320</v>
      </c>
      <c r="O27" s="486">
        <v>70000</v>
      </c>
      <c r="V27" s="470" t="s">
        <v>850</v>
      </c>
      <c r="X27" s="470"/>
      <c r="Y27" s="470"/>
      <c r="Z27" s="470"/>
      <c r="AA27" s="470" t="s">
        <v>584</v>
      </c>
      <c r="AB27" s="470" t="s">
        <v>847</v>
      </c>
      <c r="AC27" t="str">
        <f t="shared" si="1"/>
        <v>Daemons of KhorneBloodthirster</v>
      </c>
      <c r="AD27" s="487"/>
      <c r="AE27" s="179" t="s">
        <v>762</v>
      </c>
      <c r="AF27" s="179" t="s">
        <v>25</v>
      </c>
      <c r="AG27" s="179"/>
      <c r="AH27" s="488"/>
      <c r="AI27" s="179" t="s">
        <v>746</v>
      </c>
      <c r="AJ27" s="179" t="s">
        <v>763</v>
      </c>
      <c r="AK27" s="179"/>
      <c r="AL27" s="179" t="s">
        <v>764</v>
      </c>
      <c r="AM27" s="488"/>
    </row>
    <row r="28" spans="1:39" ht="15.75" customHeight="1">
      <c r="A28" s="470" t="s">
        <v>61</v>
      </c>
      <c r="B28" s="470" t="s">
        <v>269</v>
      </c>
      <c r="C28" s="484" t="str">
        <f t="shared" si="0"/>
        <v>Dark ElfRunner</v>
      </c>
      <c r="D28" s="484">
        <v>2</v>
      </c>
      <c r="E28" s="485">
        <v>80000</v>
      </c>
      <c r="F28" s="459">
        <v>7</v>
      </c>
      <c r="G28" s="459">
        <v>3</v>
      </c>
      <c r="H28" s="459">
        <v>4</v>
      </c>
      <c r="I28" s="459">
        <v>7</v>
      </c>
      <c r="J28" s="470" t="s">
        <v>851</v>
      </c>
      <c r="K28" s="459" t="s">
        <v>788</v>
      </c>
      <c r="L28" s="459" t="s">
        <v>25</v>
      </c>
      <c r="N28" s="470" t="s">
        <v>489</v>
      </c>
      <c r="O28" s="486">
        <v>50000</v>
      </c>
      <c r="V28" s="470" t="s">
        <v>852</v>
      </c>
      <c r="X28" s="470"/>
      <c r="Y28" s="470"/>
      <c r="Z28" s="470"/>
      <c r="AA28" s="470" t="s">
        <v>61</v>
      </c>
      <c r="AB28" s="470" t="s">
        <v>68</v>
      </c>
      <c r="AC28" t="str">
        <f t="shared" si="1"/>
        <v>Dark ElfLineman</v>
      </c>
      <c r="AD28" s="487" t="s">
        <v>746</v>
      </c>
      <c r="AE28" s="179" t="s">
        <v>763</v>
      </c>
      <c r="AF28" s="179" t="s">
        <v>762</v>
      </c>
      <c r="AG28" s="179"/>
      <c r="AH28" s="488"/>
      <c r="AI28" s="179"/>
      <c r="AJ28" s="179"/>
      <c r="AK28" s="179" t="s">
        <v>25</v>
      </c>
      <c r="AL28" s="179" t="s">
        <v>764</v>
      </c>
      <c r="AM28" s="488"/>
    </row>
    <row r="29" spans="1:39" ht="15.75" customHeight="1">
      <c r="A29" s="470" t="s">
        <v>61</v>
      </c>
      <c r="B29" s="470" t="s">
        <v>853</v>
      </c>
      <c r="C29" s="484" t="str">
        <f t="shared" si="0"/>
        <v>Dark ElfAssassin</v>
      </c>
      <c r="D29" s="484">
        <v>2</v>
      </c>
      <c r="E29" s="485">
        <v>90000</v>
      </c>
      <c r="F29" s="459">
        <v>6</v>
      </c>
      <c r="G29" s="459">
        <v>3</v>
      </c>
      <c r="H29" s="459">
        <v>4</v>
      </c>
      <c r="I29" s="459">
        <v>7</v>
      </c>
      <c r="J29" s="470" t="s">
        <v>854</v>
      </c>
      <c r="K29" s="459" t="s">
        <v>766</v>
      </c>
      <c r="L29" s="459" t="s">
        <v>767</v>
      </c>
      <c r="X29" s="470"/>
      <c r="Y29" s="470"/>
      <c r="Z29" s="470"/>
      <c r="AA29" s="470" t="s">
        <v>61</v>
      </c>
      <c r="AB29" s="470" t="s">
        <v>269</v>
      </c>
      <c r="AC29" t="str">
        <f t="shared" si="1"/>
        <v>Dark ElfRunner</v>
      </c>
      <c r="AD29" s="487" t="s">
        <v>746</v>
      </c>
      <c r="AE29" s="179" t="s">
        <v>763</v>
      </c>
      <c r="AF29" s="179"/>
      <c r="AG29" s="179" t="s">
        <v>764</v>
      </c>
      <c r="AH29" s="488"/>
      <c r="AI29" s="179"/>
      <c r="AJ29" s="179" t="s">
        <v>762</v>
      </c>
      <c r="AK29" s="179" t="s">
        <v>25</v>
      </c>
      <c r="AL29" s="179"/>
      <c r="AM29" s="488"/>
    </row>
    <row r="30" spans="1:39" ht="15.75" customHeight="1">
      <c r="A30" s="470" t="s">
        <v>61</v>
      </c>
      <c r="B30" s="470" t="s">
        <v>101</v>
      </c>
      <c r="C30" s="484" t="str">
        <f t="shared" si="0"/>
        <v>Dark ElfBlitzer</v>
      </c>
      <c r="D30" s="484">
        <v>4</v>
      </c>
      <c r="E30" s="485">
        <v>100000</v>
      </c>
      <c r="F30" s="459">
        <v>7</v>
      </c>
      <c r="G30" s="459">
        <v>3</v>
      </c>
      <c r="H30" s="459">
        <v>4</v>
      </c>
      <c r="I30" s="459">
        <v>8</v>
      </c>
      <c r="J30" s="470" t="s">
        <v>155</v>
      </c>
      <c r="K30" s="459" t="s">
        <v>766</v>
      </c>
      <c r="L30" s="459" t="s">
        <v>767</v>
      </c>
      <c r="X30" s="470"/>
      <c r="Y30" s="470"/>
      <c r="Z30" s="470"/>
      <c r="AA30" s="470" t="s">
        <v>61</v>
      </c>
      <c r="AB30" s="470" t="s">
        <v>853</v>
      </c>
      <c r="AC30" t="str">
        <f t="shared" si="1"/>
        <v>Dark ElfAssassin</v>
      </c>
      <c r="AD30" s="487" t="s">
        <v>746</v>
      </c>
      <c r="AE30" s="179" t="s">
        <v>763</v>
      </c>
      <c r="AF30" s="179" t="s">
        <v>762</v>
      </c>
      <c r="AG30" s="179"/>
      <c r="AH30" s="488"/>
      <c r="AI30" s="179"/>
      <c r="AJ30" s="179"/>
      <c r="AK30" s="179" t="s">
        <v>25</v>
      </c>
      <c r="AL30" s="179" t="s">
        <v>764</v>
      </c>
      <c r="AM30" s="488"/>
    </row>
    <row r="31" spans="1:39" ht="15.75" customHeight="1">
      <c r="A31" s="470" t="s">
        <v>61</v>
      </c>
      <c r="B31" s="470" t="s">
        <v>855</v>
      </c>
      <c r="C31" s="484" t="str">
        <f t="shared" si="0"/>
        <v>Dark ElfWitch Elf</v>
      </c>
      <c r="D31" s="484">
        <v>2</v>
      </c>
      <c r="E31" s="485">
        <v>110000</v>
      </c>
      <c r="F31" s="459">
        <v>7</v>
      </c>
      <c r="G31" s="459">
        <v>3</v>
      </c>
      <c r="H31" s="459">
        <v>4</v>
      </c>
      <c r="I31" s="459">
        <v>7</v>
      </c>
      <c r="J31" s="470" t="s">
        <v>856</v>
      </c>
      <c r="K31" s="459" t="s">
        <v>766</v>
      </c>
      <c r="L31" s="459" t="s">
        <v>767</v>
      </c>
      <c r="X31" s="470"/>
      <c r="Y31" s="470"/>
      <c r="Z31" s="470"/>
      <c r="AA31" s="470" t="s">
        <v>61</v>
      </c>
      <c r="AB31" s="470" t="s">
        <v>101</v>
      </c>
      <c r="AC31" t="str">
        <f t="shared" si="1"/>
        <v>Dark ElfBlitzer</v>
      </c>
      <c r="AD31" s="487" t="s">
        <v>746</v>
      </c>
      <c r="AE31" s="179" t="s">
        <v>763</v>
      </c>
      <c r="AF31" s="179" t="s">
        <v>762</v>
      </c>
      <c r="AG31" s="179"/>
      <c r="AH31" s="488"/>
      <c r="AI31" s="179"/>
      <c r="AJ31" s="179"/>
      <c r="AK31" s="179" t="s">
        <v>25</v>
      </c>
      <c r="AL31" s="179" t="s">
        <v>764</v>
      </c>
      <c r="AM31" s="488"/>
    </row>
    <row r="32" spans="1:39" ht="15.75" customHeight="1">
      <c r="A32" s="470" t="s">
        <v>302</v>
      </c>
      <c r="B32" s="470" t="s">
        <v>242</v>
      </c>
      <c r="C32" s="484" t="str">
        <f t="shared" si="0"/>
        <v>DwarfBlocker</v>
      </c>
      <c r="D32" s="484">
        <v>16</v>
      </c>
      <c r="E32" s="485">
        <v>70000</v>
      </c>
      <c r="F32" s="459">
        <v>4</v>
      </c>
      <c r="G32" s="459">
        <v>3</v>
      </c>
      <c r="H32" s="459">
        <v>2</v>
      </c>
      <c r="I32" s="459">
        <v>9</v>
      </c>
      <c r="J32" s="470" t="s">
        <v>810</v>
      </c>
      <c r="K32" s="459" t="s">
        <v>774</v>
      </c>
      <c r="L32" s="459" t="s">
        <v>775</v>
      </c>
      <c r="X32" s="470"/>
      <c r="Y32" s="470"/>
      <c r="Z32" s="470"/>
      <c r="AA32" s="470" t="s">
        <v>61</v>
      </c>
      <c r="AB32" s="470" t="s">
        <v>855</v>
      </c>
      <c r="AC32" t="str">
        <f t="shared" si="1"/>
        <v>Dark ElfWitch Elf</v>
      </c>
      <c r="AD32" s="487" t="s">
        <v>746</v>
      </c>
      <c r="AE32" s="179" t="s">
        <v>763</v>
      </c>
      <c r="AF32" s="179" t="s">
        <v>762</v>
      </c>
      <c r="AG32" s="179"/>
      <c r="AH32" s="488"/>
      <c r="AI32" s="179"/>
      <c r="AJ32" s="179"/>
      <c r="AK32" s="179" t="s">
        <v>25</v>
      </c>
      <c r="AL32" s="179" t="s">
        <v>764</v>
      </c>
      <c r="AM32" s="488"/>
    </row>
    <row r="33" spans="1:39" ht="15.75" customHeight="1">
      <c r="A33" s="470" t="s">
        <v>302</v>
      </c>
      <c r="B33" s="470" t="s">
        <v>269</v>
      </c>
      <c r="C33" s="484" t="str">
        <f t="shared" si="0"/>
        <v>DwarfRunner</v>
      </c>
      <c r="D33" s="484">
        <v>2</v>
      </c>
      <c r="E33" s="485">
        <v>80000</v>
      </c>
      <c r="F33" s="459">
        <v>6</v>
      </c>
      <c r="G33" s="459">
        <v>3</v>
      </c>
      <c r="H33" s="459">
        <v>3</v>
      </c>
      <c r="I33" s="459">
        <v>8</v>
      </c>
      <c r="J33" s="470" t="s">
        <v>857</v>
      </c>
      <c r="K33" s="459" t="s">
        <v>753</v>
      </c>
      <c r="L33" s="459" t="s">
        <v>754</v>
      </c>
      <c r="O33" s="496"/>
      <c r="X33" s="470"/>
      <c r="Y33" s="470"/>
      <c r="Z33" s="470"/>
      <c r="AA33" s="470" t="s">
        <v>302</v>
      </c>
      <c r="AB33" s="470" t="s">
        <v>242</v>
      </c>
      <c r="AC33" t="str">
        <f t="shared" si="1"/>
        <v>DwarfBlocker</v>
      </c>
      <c r="AD33" s="487" t="s">
        <v>746</v>
      </c>
      <c r="AE33" s="179"/>
      <c r="AF33" s="179" t="s">
        <v>25</v>
      </c>
      <c r="AG33" s="179"/>
      <c r="AH33" s="488"/>
      <c r="AI33" s="179"/>
      <c r="AJ33" s="179" t="s">
        <v>763</v>
      </c>
      <c r="AK33" s="179"/>
      <c r="AL33" s="179" t="s">
        <v>764</v>
      </c>
      <c r="AM33" s="488"/>
    </row>
    <row r="34" spans="1:39" ht="15.75" customHeight="1">
      <c r="A34" s="470" t="s">
        <v>302</v>
      </c>
      <c r="B34" s="470" t="s">
        <v>101</v>
      </c>
      <c r="C34" s="484" t="str">
        <f t="shared" si="0"/>
        <v>DwarfBlitzer</v>
      </c>
      <c r="D34" s="484">
        <v>2</v>
      </c>
      <c r="E34" s="485">
        <v>80000</v>
      </c>
      <c r="F34" s="459">
        <v>5</v>
      </c>
      <c r="G34" s="459">
        <v>3</v>
      </c>
      <c r="H34" s="459">
        <v>3</v>
      </c>
      <c r="I34" s="459">
        <v>9</v>
      </c>
      <c r="J34" s="470" t="s">
        <v>858</v>
      </c>
      <c r="K34" s="459" t="s">
        <v>774</v>
      </c>
      <c r="L34" s="459" t="s">
        <v>775</v>
      </c>
      <c r="O34" s="496"/>
      <c r="X34" s="470"/>
      <c r="Y34" s="470"/>
      <c r="Z34" s="470"/>
      <c r="AA34" s="470" t="s">
        <v>302</v>
      </c>
      <c r="AB34" s="470" t="s">
        <v>269</v>
      </c>
      <c r="AC34" t="str">
        <f t="shared" si="1"/>
        <v>DwarfRunner</v>
      </c>
      <c r="AD34" s="487" t="s">
        <v>746</v>
      </c>
      <c r="AE34" s="179"/>
      <c r="AF34" s="179" t="s">
        <v>762</v>
      </c>
      <c r="AG34" s="179" t="s">
        <v>764</v>
      </c>
      <c r="AH34" s="488"/>
      <c r="AI34" s="179"/>
      <c r="AJ34" s="179" t="s">
        <v>763</v>
      </c>
      <c r="AK34" s="179" t="s">
        <v>25</v>
      </c>
      <c r="AL34" s="179"/>
      <c r="AM34" s="488"/>
    </row>
    <row r="35" spans="1:39" ht="15.75" customHeight="1">
      <c r="A35" s="470" t="s">
        <v>302</v>
      </c>
      <c r="B35" s="470" t="s">
        <v>285</v>
      </c>
      <c r="C35" s="484" t="str">
        <f t="shared" si="0"/>
        <v>DwarfTroll Slayer</v>
      </c>
      <c r="D35" s="484">
        <v>2</v>
      </c>
      <c r="E35" s="485">
        <v>90000</v>
      </c>
      <c r="F35" s="459">
        <v>5</v>
      </c>
      <c r="G35" s="459">
        <v>3</v>
      </c>
      <c r="H35" s="459">
        <v>2</v>
      </c>
      <c r="I35" s="459">
        <v>8</v>
      </c>
      <c r="J35" s="470" t="s">
        <v>859</v>
      </c>
      <c r="K35" s="459" t="s">
        <v>774</v>
      </c>
      <c r="L35" s="459" t="s">
        <v>775</v>
      </c>
      <c r="O35" s="496"/>
      <c r="X35" s="470"/>
      <c r="Y35" s="470"/>
      <c r="Z35" s="470"/>
      <c r="AA35" s="470" t="s">
        <v>302</v>
      </c>
      <c r="AB35" s="470" t="s">
        <v>101</v>
      </c>
      <c r="AC35" t="str">
        <f t="shared" si="1"/>
        <v>DwarfBlitzer</v>
      </c>
      <c r="AD35" s="487" t="s">
        <v>746</v>
      </c>
      <c r="AE35" s="179"/>
      <c r="AF35" s="179" t="s">
        <v>25</v>
      </c>
      <c r="AG35" s="179"/>
      <c r="AH35" s="488"/>
      <c r="AI35" s="179"/>
      <c r="AJ35" s="179" t="s">
        <v>763</v>
      </c>
      <c r="AK35" s="179"/>
      <c r="AL35" s="179" t="s">
        <v>764</v>
      </c>
      <c r="AM35" s="488"/>
    </row>
    <row r="36" spans="1:39" ht="15.75" customHeight="1">
      <c r="A36" s="470" t="s">
        <v>302</v>
      </c>
      <c r="B36" s="470" t="s">
        <v>860</v>
      </c>
      <c r="C36" s="484" t="str">
        <f t="shared" si="0"/>
        <v>DwarfDeathroller</v>
      </c>
      <c r="D36" s="484">
        <v>1</v>
      </c>
      <c r="E36" s="485">
        <v>160000</v>
      </c>
      <c r="F36" s="459">
        <v>4</v>
      </c>
      <c r="G36" s="459">
        <v>7</v>
      </c>
      <c r="H36" s="459">
        <v>1</v>
      </c>
      <c r="I36" s="459">
        <v>10</v>
      </c>
      <c r="J36" s="470" t="s">
        <v>861</v>
      </c>
      <c r="K36" s="459" t="s">
        <v>25</v>
      </c>
      <c r="L36" s="459" t="s">
        <v>788</v>
      </c>
      <c r="O36" s="496"/>
      <c r="X36" s="470"/>
      <c r="Y36" s="470"/>
      <c r="Z36" s="470"/>
      <c r="AA36" s="470" t="s">
        <v>302</v>
      </c>
      <c r="AB36" s="470" t="s">
        <v>285</v>
      </c>
      <c r="AC36" t="str">
        <f t="shared" si="1"/>
        <v>DwarfTroll Slayer</v>
      </c>
      <c r="AD36" s="487" t="s">
        <v>746</v>
      </c>
      <c r="AE36" s="179"/>
      <c r="AF36" s="179" t="s">
        <v>25</v>
      </c>
      <c r="AG36" s="179"/>
      <c r="AH36" s="488"/>
      <c r="AI36" s="179"/>
      <c r="AJ36" s="179" t="s">
        <v>763</v>
      </c>
      <c r="AK36" s="179"/>
      <c r="AL36" s="179" t="s">
        <v>764</v>
      </c>
      <c r="AM36" s="488"/>
    </row>
    <row r="37" spans="1:39" ht="15.75" customHeight="1">
      <c r="A37" s="470" t="s">
        <v>582</v>
      </c>
      <c r="B37" s="470" t="s">
        <v>68</v>
      </c>
      <c r="C37" s="484" t="str">
        <f t="shared" si="0"/>
        <v>ElfLineman</v>
      </c>
      <c r="D37" s="484">
        <v>16</v>
      </c>
      <c r="E37" s="485">
        <v>60000</v>
      </c>
      <c r="F37" s="459">
        <v>6</v>
      </c>
      <c r="G37" s="459">
        <v>3</v>
      </c>
      <c r="H37" s="459">
        <v>4</v>
      </c>
      <c r="I37" s="459">
        <v>7</v>
      </c>
      <c r="K37" s="459" t="s">
        <v>766</v>
      </c>
      <c r="L37" s="459" t="s">
        <v>767</v>
      </c>
      <c r="O37" s="496"/>
      <c r="X37" s="470"/>
      <c r="Y37" s="470"/>
      <c r="Z37" s="470"/>
      <c r="AA37" s="470" t="s">
        <v>302</v>
      </c>
      <c r="AB37" s="470" t="s">
        <v>860</v>
      </c>
      <c r="AC37" t="str">
        <f t="shared" si="1"/>
        <v>DwarfDeathroller</v>
      </c>
      <c r="AD37" s="487"/>
      <c r="AE37" s="179" t="s">
        <v>762</v>
      </c>
      <c r="AF37" s="179" t="s">
        <v>25</v>
      </c>
      <c r="AG37" s="179"/>
      <c r="AH37" s="488"/>
      <c r="AI37" s="179" t="s">
        <v>746</v>
      </c>
      <c r="AJ37" s="179" t="s">
        <v>763</v>
      </c>
      <c r="AK37" s="179"/>
      <c r="AL37" s="179" t="s">
        <v>764</v>
      </c>
      <c r="AM37" s="488"/>
    </row>
    <row r="38" spans="1:39" ht="15.75" customHeight="1">
      <c r="A38" s="470" t="s">
        <v>582</v>
      </c>
      <c r="B38" s="470" t="s">
        <v>108</v>
      </c>
      <c r="C38" s="484" t="str">
        <f t="shared" si="0"/>
        <v>ElfThrower</v>
      </c>
      <c r="D38" s="484">
        <v>2</v>
      </c>
      <c r="E38" s="485">
        <v>70000</v>
      </c>
      <c r="F38" s="459">
        <v>6</v>
      </c>
      <c r="G38" s="459">
        <v>3</v>
      </c>
      <c r="H38" s="459">
        <v>4</v>
      </c>
      <c r="I38" s="459">
        <v>7</v>
      </c>
      <c r="J38" s="470" t="s">
        <v>862</v>
      </c>
      <c r="K38" s="459" t="s">
        <v>788</v>
      </c>
      <c r="L38" s="459" t="s">
        <v>767</v>
      </c>
      <c r="O38" s="496"/>
      <c r="X38" s="470"/>
      <c r="Y38" s="470"/>
      <c r="Z38" s="470"/>
      <c r="AA38" s="470" t="s">
        <v>582</v>
      </c>
      <c r="AB38" s="470" t="s">
        <v>68</v>
      </c>
      <c r="AC38" t="str">
        <f t="shared" si="1"/>
        <v>ElfLineman</v>
      </c>
      <c r="AD38" s="487" t="s">
        <v>746</v>
      </c>
      <c r="AE38" s="179" t="s">
        <v>763</v>
      </c>
      <c r="AF38" s="179" t="s">
        <v>762</v>
      </c>
      <c r="AG38" s="179"/>
      <c r="AH38" s="488"/>
      <c r="AI38" s="179"/>
      <c r="AJ38" s="179"/>
      <c r="AK38" s="179" t="s">
        <v>25</v>
      </c>
      <c r="AL38" s="179" t="s">
        <v>764</v>
      </c>
      <c r="AM38" s="488"/>
    </row>
    <row r="39" spans="1:39" ht="15.75" customHeight="1">
      <c r="A39" s="470" t="s">
        <v>582</v>
      </c>
      <c r="B39" s="470" t="s">
        <v>113</v>
      </c>
      <c r="C39" s="484" t="str">
        <f t="shared" si="0"/>
        <v>ElfCatcher</v>
      </c>
      <c r="D39" s="484">
        <v>4</v>
      </c>
      <c r="E39" s="485">
        <v>100000</v>
      </c>
      <c r="F39" s="459">
        <v>8</v>
      </c>
      <c r="G39" s="459">
        <v>3</v>
      </c>
      <c r="H39" s="459">
        <v>4</v>
      </c>
      <c r="I39" s="459">
        <v>7</v>
      </c>
      <c r="J39" s="470" t="s">
        <v>863</v>
      </c>
      <c r="K39" s="459" t="s">
        <v>766</v>
      </c>
      <c r="L39" s="459" t="s">
        <v>767</v>
      </c>
      <c r="O39" s="496"/>
      <c r="X39" s="470"/>
      <c r="Y39" s="470"/>
      <c r="Z39" s="470"/>
      <c r="AA39" s="470" t="s">
        <v>582</v>
      </c>
      <c r="AB39" s="470" t="s">
        <v>108</v>
      </c>
      <c r="AC39" t="str">
        <f t="shared" si="1"/>
        <v>ElfThrower</v>
      </c>
      <c r="AD39" s="487" t="s">
        <v>746</v>
      </c>
      <c r="AE39" s="179" t="s">
        <v>763</v>
      </c>
      <c r="AF39" s="179"/>
      <c r="AG39" s="179" t="s">
        <v>764</v>
      </c>
      <c r="AH39" s="488"/>
      <c r="AI39" s="179"/>
      <c r="AJ39" s="179"/>
      <c r="AK39" s="179" t="s">
        <v>25</v>
      </c>
      <c r="AL39" s="179" t="s">
        <v>764</v>
      </c>
      <c r="AM39" s="488"/>
    </row>
    <row r="40" spans="1:39" ht="15.75" customHeight="1">
      <c r="A40" s="470" t="s">
        <v>582</v>
      </c>
      <c r="B40" s="470" t="s">
        <v>101</v>
      </c>
      <c r="C40" s="484" t="str">
        <f t="shared" si="0"/>
        <v>ElfBlitzer</v>
      </c>
      <c r="D40" s="484">
        <v>2</v>
      </c>
      <c r="E40" s="485">
        <v>110000</v>
      </c>
      <c r="F40" s="459">
        <v>7</v>
      </c>
      <c r="G40" s="459">
        <v>3</v>
      </c>
      <c r="H40" s="459">
        <v>4</v>
      </c>
      <c r="I40" s="459">
        <v>8</v>
      </c>
      <c r="J40" s="470" t="s">
        <v>462</v>
      </c>
      <c r="K40" s="459" t="s">
        <v>766</v>
      </c>
      <c r="L40" s="459" t="s">
        <v>767</v>
      </c>
      <c r="O40" s="496"/>
      <c r="X40" s="470"/>
      <c r="Y40" s="470"/>
      <c r="Z40" s="470"/>
      <c r="AA40" s="470" t="s">
        <v>582</v>
      </c>
      <c r="AB40" s="470" t="s">
        <v>113</v>
      </c>
      <c r="AC40" t="str">
        <f t="shared" si="1"/>
        <v>ElfCatcher</v>
      </c>
      <c r="AD40" s="487" t="s">
        <v>746</v>
      </c>
      <c r="AE40" s="179" t="s">
        <v>763</v>
      </c>
      <c r="AF40" s="179" t="s">
        <v>762</v>
      </c>
      <c r="AG40" s="179"/>
      <c r="AH40" s="488"/>
      <c r="AI40" s="179"/>
      <c r="AJ40" s="179"/>
      <c r="AK40" s="179" t="s">
        <v>25</v>
      </c>
      <c r="AL40" s="179" t="s">
        <v>764</v>
      </c>
      <c r="AM40" s="488"/>
    </row>
    <row r="41" spans="1:39" ht="15.75" customHeight="1">
      <c r="A41" s="470" t="s">
        <v>150</v>
      </c>
      <c r="B41" s="470" t="s">
        <v>190</v>
      </c>
      <c r="C41" s="484" t="str">
        <f t="shared" si="0"/>
        <v>GoblinDoom Diver</v>
      </c>
      <c r="D41" s="484">
        <v>1</v>
      </c>
      <c r="E41" s="485">
        <v>60000</v>
      </c>
      <c r="F41" s="459">
        <v>6</v>
      </c>
      <c r="G41" s="459">
        <v>2</v>
      </c>
      <c r="H41" s="459">
        <v>3</v>
      </c>
      <c r="I41" s="459">
        <v>7</v>
      </c>
      <c r="J41" s="470" t="s">
        <v>864</v>
      </c>
      <c r="K41" s="459" t="s">
        <v>763</v>
      </c>
      <c r="L41" s="459" t="s">
        <v>823</v>
      </c>
      <c r="O41" s="496"/>
      <c r="X41" s="470"/>
      <c r="Y41" s="470"/>
      <c r="Z41" s="470"/>
      <c r="AA41" s="470" t="s">
        <v>582</v>
      </c>
      <c r="AB41" s="470" t="s">
        <v>101</v>
      </c>
      <c r="AC41" t="str">
        <f t="shared" si="1"/>
        <v>ElfBlitzer</v>
      </c>
      <c r="AD41" s="487" t="s">
        <v>746</v>
      </c>
      <c r="AE41" s="179" t="s">
        <v>763</v>
      </c>
      <c r="AF41" s="179" t="s">
        <v>762</v>
      </c>
      <c r="AG41" s="179"/>
      <c r="AH41" s="488"/>
      <c r="AI41" s="179"/>
      <c r="AJ41" s="179"/>
      <c r="AK41" s="179" t="s">
        <v>25</v>
      </c>
      <c r="AL41" s="179" t="s">
        <v>764</v>
      </c>
      <c r="AM41" s="488"/>
    </row>
    <row r="42" spans="1:39" ht="15.75" customHeight="1">
      <c r="A42" s="470" t="s">
        <v>150</v>
      </c>
      <c r="B42" s="470" t="s">
        <v>150</v>
      </c>
      <c r="C42" s="484" t="str">
        <f t="shared" si="0"/>
        <v>GoblinGoblin</v>
      </c>
      <c r="D42" s="484">
        <v>16</v>
      </c>
      <c r="E42" s="485">
        <v>40000</v>
      </c>
      <c r="F42" s="459">
        <v>6</v>
      </c>
      <c r="G42" s="459">
        <v>2</v>
      </c>
      <c r="H42" s="459">
        <v>3</v>
      </c>
      <c r="I42" s="459">
        <v>7</v>
      </c>
      <c r="J42" s="470" t="s">
        <v>865</v>
      </c>
      <c r="K42" s="459" t="s">
        <v>763</v>
      </c>
      <c r="L42" s="459" t="s">
        <v>823</v>
      </c>
      <c r="O42" s="496"/>
      <c r="X42" s="470"/>
      <c r="Y42" s="470"/>
      <c r="Z42" s="470"/>
      <c r="AA42" s="470" t="s">
        <v>150</v>
      </c>
      <c r="AB42" s="470" t="s">
        <v>190</v>
      </c>
      <c r="AC42" t="str">
        <f t="shared" si="1"/>
        <v>GoblinDoom Diver</v>
      </c>
      <c r="AD42" s="487"/>
      <c r="AE42" s="179" t="s">
        <v>763</v>
      </c>
      <c r="AF42" s="179" t="s">
        <v>762</v>
      </c>
      <c r="AG42" s="179"/>
      <c r="AH42" s="488"/>
      <c r="AI42" s="179" t="s">
        <v>746</v>
      </c>
      <c r="AJ42" s="179"/>
      <c r="AK42" s="179" t="s">
        <v>25</v>
      </c>
      <c r="AL42" s="179" t="s">
        <v>764</v>
      </c>
    </row>
    <row r="43" spans="1:39" ht="15.75" customHeight="1">
      <c r="A43" s="470" t="s">
        <v>150</v>
      </c>
      <c r="B43" s="470" t="s">
        <v>209</v>
      </c>
      <c r="C43" s="484" t="str">
        <f t="shared" si="0"/>
        <v>GoblinBomma</v>
      </c>
      <c r="D43" s="484">
        <v>1</v>
      </c>
      <c r="E43" s="485">
        <v>40000</v>
      </c>
      <c r="F43" s="459">
        <v>6</v>
      </c>
      <c r="G43" s="459">
        <v>2</v>
      </c>
      <c r="H43" s="459">
        <v>3</v>
      </c>
      <c r="I43" s="459">
        <v>7</v>
      </c>
      <c r="J43" s="470" t="s">
        <v>866</v>
      </c>
      <c r="K43" s="459" t="s">
        <v>763</v>
      </c>
      <c r="L43" s="459" t="s">
        <v>823</v>
      </c>
      <c r="O43" s="496"/>
      <c r="X43" s="470"/>
      <c r="Y43" s="470"/>
      <c r="Z43" s="470"/>
      <c r="AA43" s="470" t="s">
        <v>150</v>
      </c>
      <c r="AB43" s="470" t="s">
        <v>150</v>
      </c>
      <c r="AC43" t="str">
        <f t="shared" si="1"/>
        <v>GoblinGoblin</v>
      </c>
      <c r="AD43" s="487"/>
      <c r="AE43" s="179" t="s">
        <v>763</v>
      </c>
      <c r="AF43" s="179" t="s">
        <v>762</v>
      </c>
      <c r="AG43" s="179"/>
      <c r="AH43" s="488"/>
      <c r="AI43" s="179" t="s">
        <v>746</v>
      </c>
      <c r="AJ43" s="179"/>
      <c r="AK43" s="179" t="s">
        <v>25</v>
      </c>
      <c r="AL43" s="179" t="s">
        <v>764</v>
      </c>
      <c r="AM43" s="488"/>
    </row>
    <row r="44" spans="1:39" ht="15.75" customHeight="1">
      <c r="A44" s="470" t="s">
        <v>150</v>
      </c>
      <c r="B44" s="470" t="s">
        <v>198</v>
      </c>
      <c r="C44" s="484" t="str">
        <f t="shared" si="0"/>
        <v>GoblinLooney</v>
      </c>
      <c r="D44" s="484">
        <v>1</v>
      </c>
      <c r="E44" s="485">
        <v>40000</v>
      </c>
      <c r="F44" s="459">
        <v>6</v>
      </c>
      <c r="G44" s="459">
        <v>2</v>
      </c>
      <c r="H44" s="459">
        <v>3</v>
      </c>
      <c r="I44" s="459">
        <v>7</v>
      </c>
      <c r="J44" s="470" t="s">
        <v>867</v>
      </c>
      <c r="K44" s="459" t="s">
        <v>763</v>
      </c>
      <c r="L44" s="459" t="s">
        <v>823</v>
      </c>
      <c r="O44" s="496"/>
      <c r="X44" s="470"/>
      <c r="Y44" s="470"/>
      <c r="Z44" s="470"/>
      <c r="AA44" s="470" t="s">
        <v>150</v>
      </c>
      <c r="AB44" s="470" t="s">
        <v>209</v>
      </c>
      <c r="AC44" t="str">
        <f t="shared" si="1"/>
        <v>GoblinBomma</v>
      </c>
      <c r="AD44" s="487"/>
      <c r="AE44" s="179" t="s">
        <v>763</v>
      </c>
      <c r="AF44" s="179" t="s">
        <v>762</v>
      </c>
      <c r="AG44" s="179"/>
      <c r="AH44" s="488"/>
      <c r="AI44" s="179" t="s">
        <v>746</v>
      </c>
      <c r="AJ44" s="179"/>
      <c r="AK44" s="179" t="s">
        <v>25</v>
      </c>
      <c r="AL44" s="179" t="s">
        <v>764</v>
      </c>
      <c r="AM44" s="488"/>
    </row>
    <row r="45" spans="1:39" ht="15.75" customHeight="1">
      <c r="A45" s="470" t="s">
        <v>150</v>
      </c>
      <c r="B45" s="470" t="s">
        <v>205</v>
      </c>
      <c r="C45" s="484" t="str">
        <f t="shared" si="0"/>
        <v>GoblinFanatic</v>
      </c>
      <c r="D45" s="484">
        <v>1</v>
      </c>
      <c r="E45" s="485">
        <v>70000</v>
      </c>
      <c r="F45" s="459">
        <v>3</v>
      </c>
      <c r="G45" s="459">
        <v>7</v>
      </c>
      <c r="H45" s="459">
        <v>3</v>
      </c>
      <c r="I45" s="459">
        <v>7</v>
      </c>
      <c r="J45" s="470" t="s">
        <v>868</v>
      </c>
      <c r="K45" s="459" t="s">
        <v>25</v>
      </c>
      <c r="L45" s="459" t="s">
        <v>788</v>
      </c>
      <c r="O45" s="496"/>
      <c r="X45" s="470"/>
      <c r="Y45" s="470"/>
      <c r="Z45" s="470"/>
      <c r="AA45" s="470" t="s">
        <v>150</v>
      </c>
      <c r="AB45" s="470" t="s">
        <v>198</v>
      </c>
      <c r="AC45" t="str">
        <f t="shared" si="1"/>
        <v>GoblinLooney</v>
      </c>
      <c r="AD45" s="487"/>
      <c r="AE45" s="179" t="s">
        <v>763</v>
      </c>
      <c r="AF45" s="179" t="s">
        <v>762</v>
      </c>
      <c r="AG45" s="179"/>
      <c r="AH45" s="488"/>
      <c r="AI45" s="179" t="s">
        <v>746</v>
      </c>
      <c r="AJ45" s="179"/>
      <c r="AK45" s="179" t="s">
        <v>25</v>
      </c>
      <c r="AL45" s="179" t="s">
        <v>764</v>
      </c>
      <c r="AM45" s="488"/>
    </row>
    <row r="46" spans="1:39" ht="15.75" customHeight="1">
      <c r="A46" s="470" t="s">
        <v>150</v>
      </c>
      <c r="B46" s="470" t="s">
        <v>450</v>
      </c>
      <c r="C46" s="484" t="str">
        <f t="shared" si="0"/>
        <v>GoblinOoligan</v>
      </c>
      <c r="D46" s="484">
        <v>1</v>
      </c>
      <c r="E46" s="485">
        <v>70000</v>
      </c>
      <c r="F46" s="459">
        <v>6</v>
      </c>
      <c r="G46" s="459">
        <v>2</v>
      </c>
      <c r="H46" s="459">
        <v>3</v>
      </c>
      <c r="I46" s="459">
        <v>7</v>
      </c>
      <c r="J46" s="470" t="s">
        <v>869</v>
      </c>
      <c r="K46" s="459" t="s">
        <v>763</v>
      </c>
      <c r="L46" s="459" t="s">
        <v>823</v>
      </c>
      <c r="O46" s="496"/>
      <c r="X46" s="470"/>
      <c r="Y46" s="470"/>
      <c r="Z46" s="470"/>
      <c r="AA46" s="470" t="s">
        <v>150</v>
      </c>
      <c r="AB46" s="470" t="s">
        <v>205</v>
      </c>
      <c r="AC46" t="str">
        <f t="shared" si="1"/>
        <v>GoblinFanatic</v>
      </c>
      <c r="AD46" s="487"/>
      <c r="AE46" s="179"/>
      <c r="AF46" s="179" t="s">
        <v>25</v>
      </c>
      <c r="AG46" s="179"/>
      <c r="AH46" s="488"/>
      <c r="AI46" s="179" t="s">
        <v>746</v>
      </c>
      <c r="AJ46" s="179" t="s">
        <v>763</v>
      </c>
      <c r="AK46" s="179"/>
      <c r="AL46" s="179" t="s">
        <v>764</v>
      </c>
      <c r="AM46" s="488"/>
    </row>
    <row r="47" spans="1:39" ht="15.75" customHeight="1">
      <c r="A47" s="470" t="s">
        <v>150</v>
      </c>
      <c r="B47" s="470" t="s">
        <v>194</v>
      </c>
      <c r="C47" s="484" t="str">
        <f t="shared" si="0"/>
        <v>GoblinPogoer</v>
      </c>
      <c r="D47" s="484">
        <v>1</v>
      </c>
      <c r="E47" s="485">
        <v>70000</v>
      </c>
      <c r="F47" s="459">
        <v>7</v>
      </c>
      <c r="G47" s="459">
        <v>2</v>
      </c>
      <c r="H47" s="459">
        <v>3</v>
      </c>
      <c r="I47" s="459">
        <v>7</v>
      </c>
      <c r="J47" s="470" t="s">
        <v>870</v>
      </c>
      <c r="K47" s="459" t="s">
        <v>763</v>
      </c>
      <c r="L47" s="459" t="s">
        <v>823</v>
      </c>
      <c r="O47" s="496"/>
      <c r="X47" s="470"/>
      <c r="Y47" s="470"/>
      <c r="Z47" s="470"/>
      <c r="AA47" s="470" t="s">
        <v>150</v>
      </c>
      <c r="AB47" s="470" t="s">
        <v>450</v>
      </c>
      <c r="AC47" t="str">
        <f t="shared" si="1"/>
        <v>GoblinOoligan</v>
      </c>
      <c r="AD47" s="487"/>
      <c r="AE47" s="179" t="s">
        <v>763</v>
      </c>
      <c r="AF47" s="179" t="s">
        <v>762</v>
      </c>
      <c r="AG47" s="179"/>
      <c r="AH47" s="488"/>
      <c r="AI47" s="179" t="s">
        <v>746</v>
      </c>
      <c r="AJ47" s="179"/>
      <c r="AK47" s="179" t="s">
        <v>25</v>
      </c>
      <c r="AL47" s="179" t="s">
        <v>764</v>
      </c>
      <c r="AM47" s="488"/>
    </row>
    <row r="48" spans="1:39" ht="15.75" customHeight="1">
      <c r="A48" s="470" t="s">
        <v>150</v>
      </c>
      <c r="B48" s="470" t="s">
        <v>212</v>
      </c>
      <c r="C48" s="484" t="str">
        <f t="shared" si="0"/>
        <v>GoblinTroll</v>
      </c>
      <c r="D48" s="484">
        <v>2</v>
      </c>
      <c r="E48" s="485">
        <v>110000</v>
      </c>
      <c r="F48" s="459">
        <v>4</v>
      </c>
      <c r="G48" s="459">
        <v>5</v>
      </c>
      <c r="H48" s="459">
        <v>1</v>
      </c>
      <c r="I48" s="459">
        <v>9</v>
      </c>
      <c r="J48" s="470" t="s">
        <v>831</v>
      </c>
      <c r="K48" s="459" t="s">
        <v>25</v>
      </c>
      <c r="L48" s="459" t="s">
        <v>788</v>
      </c>
      <c r="O48" s="496"/>
      <c r="X48" s="470"/>
      <c r="Y48" s="470"/>
      <c r="Z48" s="470"/>
      <c r="AA48" s="470" t="s">
        <v>150</v>
      </c>
      <c r="AB48" s="470" t="s">
        <v>194</v>
      </c>
      <c r="AC48" t="str">
        <f t="shared" si="1"/>
        <v>GoblinPogoer</v>
      </c>
      <c r="AD48" s="487"/>
      <c r="AE48" s="179" t="s">
        <v>763</v>
      </c>
      <c r="AF48" s="179" t="s">
        <v>762</v>
      </c>
      <c r="AG48" s="179"/>
      <c r="AH48" s="488"/>
      <c r="AI48" s="179" t="s">
        <v>746</v>
      </c>
      <c r="AJ48" s="179"/>
      <c r="AK48" s="179" t="s">
        <v>25</v>
      </c>
      <c r="AL48" s="179" t="s">
        <v>764</v>
      </c>
      <c r="AM48" s="488"/>
    </row>
    <row r="49" spans="1:39" ht="15.75" customHeight="1">
      <c r="A49" s="470" t="s">
        <v>41</v>
      </c>
      <c r="B49" s="470" t="s">
        <v>374</v>
      </c>
      <c r="C49" s="484" t="str">
        <f t="shared" si="0"/>
        <v>HalflingHopeful</v>
      </c>
      <c r="D49" s="484">
        <v>16</v>
      </c>
      <c r="E49" s="485">
        <v>30000</v>
      </c>
      <c r="F49" s="459">
        <v>5</v>
      </c>
      <c r="G49" s="459">
        <v>2</v>
      </c>
      <c r="H49" s="459">
        <v>3</v>
      </c>
      <c r="I49" s="459">
        <v>6</v>
      </c>
      <c r="J49" s="470" t="s">
        <v>865</v>
      </c>
      <c r="K49" s="459" t="s">
        <v>763</v>
      </c>
      <c r="L49" s="459" t="s">
        <v>823</v>
      </c>
      <c r="O49" s="496"/>
      <c r="X49" s="470"/>
      <c r="Y49" s="470"/>
      <c r="Z49" s="470"/>
      <c r="AA49" s="470" t="s">
        <v>150</v>
      </c>
      <c r="AB49" s="470" t="s">
        <v>212</v>
      </c>
      <c r="AC49" t="str">
        <f t="shared" si="1"/>
        <v>GoblinTroll</v>
      </c>
      <c r="AD49" s="487"/>
      <c r="AE49" s="179" t="s">
        <v>762</v>
      </c>
      <c r="AF49" s="179" t="s">
        <v>25</v>
      </c>
      <c r="AG49" s="179"/>
      <c r="AH49" s="488"/>
      <c r="AI49" s="179" t="s">
        <v>746</v>
      </c>
      <c r="AJ49" s="179" t="s">
        <v>763</v>
      </c>
      <c r="AK49" s="179"/>
      <c r="AL49" s="179" t="s">
        <v>764</v>
      </c>
      <c r="AM49" s="488"/>
    </row>
    <row r="50" spans="1:39" ht="15.75" customHeight="1">
      <c r="A50" s="470" t="s">
        <v>41</v>
      </c>
      <c r="B50" s="470" t="s">
        <v>366</v>
      </c>
      <c r="C50" s="484" t="str">
        <f t="shared" si="0"/>
        <v>HalflingTreeman</v>
      </c>
      <c r="D50" s="484">
        <v>2</v>
      </c>
      <c r="E50" s="485">
        <v>120000</v>
      </c>
      <c r="F50" s="459">
        <v>2</v>
      </c>
      <c r="G50" s="459">
        <v>6</v>
      </c>
      <c r="H50" s="459">
        <v>1</v>
      </c>
      <c r="I50" s="459">
        <v>10</v>
      </c>
      <c r="J50" s="470" t="s">
        <v>871</v>
      </c>
      <c r="K50" s="459" t="s">
        <v>25</v>
      </c>
      <c r="L50" s="459" t="s">
        <v>788</v>
      </c>
      <c r="O50" s="496"/>
      <c r="X50" s="470"/>
      <c r="Y50" s="470"/>
      <c r="Z50" s="470"/>
      <c r="AA50" s="470" t="s">
        <v>41</v>
      </c>
      <c r="AB50" s="470" t="s">
        <v>374</v>
      </c>
      <c r="AC50" t="str">
        <f t="shared" si="1"/>
        <v>HalflingHopeful</v>
      </c>
      <c r="AD50" s="487"/>
      <c r="AE50" s="179" t="s">
        <v>763</v>
      </c>
      <c r="AF50" s="179" t="s">
        <v>762</v>
      </c>
      <c r="AG50" s="179"/>
      <c r="AH50" s="488"/>
      <c r="AI50" s="179" t="s">
        <v>746</v>
      </c>
      <c r="AJ50" s="179"/>
      <c r="AK50" s="179" t="s">
        <v>25</v>
      </c>
      <c r="AL50" s="179" t="s">
        <v>764</v>
      </c>
      <c r="AM50" s="488"/>
    </row>
    <row r="51" spans="1:39" ht="15.75" customHeight="1">
      <c r="A51" s="470" t="s">
        <v>127</v>
      </c>
      <c r="B51" s="470" t="s">
        <v>68</v>
      </c>
      <c r="C51" s="484" t="str">
        <f t="shared" si="0"/>
        <v>High ElfLineman</v>
      </c>
      <c r="D51" s="484">
        <v>16</v>
      </c>
      <c r="E51" s="485">
        <v>70000</v>
      </c>
      <c r="F51" s="459">
        <v>6</v>
      </c>
      <c r="G51" s="459">
        <v>3</v>
      </c>
      <c r="H51" s="459">
        <v>4</v>
      </c>
      <c r="I51" s="459">
        <v>8</v>
      </c>
      <c r="K51" s="459" t="s">
        <v>766</v>
      </c>
      <c r="L51" s="459" t="s">
        <v>767</v>
      </c>
      <c r="O51" s="496"/>
      <c r="X51" s="470"/>
      <c r="Y51" s="470"/>
      <c r="Z51" s="470"/>
      <c r="AA51" s="470" t="s">
        <v>41</v>
      </c>
      <c r="AB51" s="470" t="s">
        <v>366</v>
      </c>
      <c r="AC51" t="str">
        <f t="shared" si="1"/>
        <v>HalflingTreeman</v>
      </c>
      <c r="AD51" s="487"/>
      <c r="AE51" s="179" t="s">
        <v>762</v>
      </c>
      <c r="AF51" s="179" t="s">
        <v>25</v>
      </c>
      <c r="AG51" s="179"/>
      <c r="AH51" s="488"/>
      <c r="AI51" s="179" t="s">
        <v>746</v>
      </c>
      <c r="AJ51" s="179" t="s">
        <v>763</v>
      </c>
      <c r="AK51" s="179"/>
      <c r="AL51" s="179" t="s">
        <v>764</v>
      </c>
      <c r="AM51" s="488"/>
    </row>
    <row r="52" spans="1:39" ht="15.75" customHeight="1">
      <c r="A52" s="470" t="s">
        <v>127</v>
      </c>
      <c r="B52" s="470" t="s">
        <v>108</v>
      </c>
      <c r="C52" s="484" t="str">
        <f t="shared" si="0"/>
        <v>High ElfThrower</v>
      </c>
      <c r="D52" s="484">
        <v>2</v>
      </c>
      <c r="E52" s="485">
        <v>90000</v>
      </c>
      <c r="F52" s="459">
        <v>6</v>
      </c>
      <c r="G52" s="459">
        <v>3</v>
      </c>
      <c r="H52" s="459">
        <v>4</v>
      </c>
      <c r="I52" s="459">
        <v>8</v>
      </c>
      <c r="J52" s="470" t="s">
        <v>872</v>
      </c>
      <c r="K52" s="459" t="s">
        <v>788</v>
      </c>
      <c r="L52" s="459" t="s">
        <v>25</v>
      </c>
      <c r="O52" s="496"/>
      <c r="X52" s="470"/>
      <c r="Y52" s="470"/>
      <c r="Z52" s="470"/>
      <c r="AA52" s="470" t="s">
        <v>127</v>
      </c>
      <c r="AB52" s="470" t="s">
        <v>68</v>
      </c>
      <c r="AC52" t="str">
        <f t="shared" si="1"/>
        <v>High ElfLineman</v>
      </c>
      <c r="AD52" s="487" t="s">
        <v>746</v>
      </c>
      <c r="AE52" s="179" t="s">
        <v>763</v>
      </c>
      <c r="AF52" s="179" t="s">
        <v>762</v>
      </c>
      <c r="AG52" s="179"/>
      <c r="AH52" s="488"/>
      <c r="AI52" s="179"/>
      <c r="AJ52" s="179"/>
      <c r="AK52" s="179" t="s">
        <v>25</v>
      </c>
      <c r="AL52" s="179" t="s">
        <v>764</v>
      </c>
      <c r="AM52" s="488"/>
    </row>
    <row r="53" spans="1:39" ht="15.75" customHeight="1">
      <c r="A53" s="470" t="s">
        <v>127</v>
      </c>
      <c r="B53" s="470" t="s">
        <v>113</v>
      </c>
      <c r="C53" s="484" t="str">
        <f t="shared" si="0"/>
        <v>High ElfCatcher</v>
      </c>
      <c r="D53" s="484">
        <v>4</v>
      </c>
      <c r="E53" s="485">
        <v>90000</v>
      </c>
      <c r="F53" s="459">
        <v>8</v>
      </c>
      <c r="G53" s="459">
        <v>3</v>
      </c>
      <c r="H53" s="459">
        <v>4</v>
      </c>
      <c r="I53" s="459">
        <v>7</v>
      </c>
      <c r="J53" s="470" t="s">
        <v>748</v>
      </c>
      <c r="K53" s="459" t="s">
        <v>766</v>
      </c>
      <c r="L53" s="459" t="s">
        <v>767</v>
      </c>
      <c r="O53" s="496"/>
      <c r="X53" s="470"/>
      <c r="Y53" s="470"/>
      <c r="Z53" s="470"/>
      <c r="AA53" s="470" t="s">
        <v>127</v>
      </c>
      <c r="AB53" s="470" t="s">
        <v>108</v>
      </c>
      <c r="AC53" t="str">
        <f t="shared" si="1"/>
        <v>High ElfThrower</v>
      </c>
      <c r="AD53" s="487" t="s">
        <v>746</v>
      </c>
      <c r="AE53" s="179" t="s">
        <v>763</v>
      </c>
      <c r="AF53" s="179"/>
      <c r="AG53" s="179" t="s">
        <v>764</v>
      </c>
      <c r="AH53" s="488"/>
      <c r="AI53" s="179"/>
      <c r="AJ53" s="179" t="s">
        <v>762</v>
      </c>
      <c r="AK53" s="179" t="s">
        <v>25</v>
      </c>
      <c r="AL53" s="179"/>
      <c r="AM53" s="488"/>
    </row>
    <row r="54" spans="1:39" ht="15.75" customHeight="1">
      <c r="A54" s="470" t="s">
        <v>127</v>
      </c>
      <c r="B54" s="470" t="s">
        <v>101</v>
      </c>
      <c r="C54" s="484" t="str">
        <f t="shared" si="0"/>
        <v>High ElfBlitzer</v>
      </c>
      <c r="D54" s="484">
        <v>2</v>
      </c>
      <c r="E54" s="485">
        <v>100000</v>
      </c>
      <c r="F54" s="459">
        <v>7</v>
      </c>
      <c r="G54" s="459">
        <v>3</v>
      </c>
      <c r="H54" s="459">
        <v>4</v>
      </c>
      <c r="I54" s="459">
        <v>8</v>
      </c>
      <c r="J54" s="470" t="s">
        <v>155</v>
      </c>
      <c r="K54" s="459" t="s">
        <v>766</v>
      </c>
      <c r="L54" s="459" t="s">
        <v>767</v>
      </c>
      <c r="O54" s="496"/>
      <c r="X54" s="470"/>
      <c r="Y54" s="470"/>
      <c r="Z54" s="470"/>
      <c r="AA54" s="470" t="s">
        <v>127</v>
      </c>
      <c r="AB54" s="470" t="s">
        <v>113</v>
      </c>
      <c r="AC54" t="str">
        <f t="shared" si="1"/>
        <v>High ElfCatcher</v>
      </c>
      <c r="AD54" s="487" t="s">
        <v>746</v>
      </c>
      <c r="AE54" s="179" t="s">
        <v>763</v>
      </c>
      <c r="AF54" s="179" t="s">
        <v>762</v>
      </c>
      <c r="AG54" s="179"/>
      <c r="AH54" s="488"/>
      <c r="AI54" s="179"/>
      <c r="AJ54" s="179"/>
      <c r="AK54" s="179" t="s">
        <v>25</v>
      </c>
      <c r="AL54" s="179" t="s">
        <v>764</v>
      </c>
      <c r="AM54" s="488"/>
    </row>
    <row r="55" spans="1:39" ht="15.75" customHeight="1">
      <c r="A55" s="470" t="s">
        <v>362</v>
      </c>
      <c r="B55" s="470" t="s">
        <v>68</v>
      </c>
      <c r="C55" s="484" t="str">
        <f t="shared" si="0"/>
        <v>HumanLineman</v>
      </c>
      <c r="D55" s="484">
        <v>16</v>
      </c>
      <c r="E55" s="485">
        <v>50000</v>
      </c>
      <c r="F55" s="459">
        <v>6</v>
      </c>
      <c r="G55" s="459">
        <v>3</v>
      </c>
      <c r="H55" s="459">
        <v>3</v>
      </c>
      <c r="I55" s="459">
        <v>8</v>
      </c>
      <c r="K55" s="459" t="s">
        <v>746</v>
      </c>
      <c r="L55" s="459" t="s">
        <v>747</v>
      </c>
      <c r="O55" s="496"/>
      <c r="X55" s="470"/>
      <c r="Y55" s="470"/>
      <c r="Z55" s="470"/>
      <c r="AA55" s="470" t="s">
        <v>127</v>
      </c>
      <c r="AB55" s="470" t="s">
        <v>101</v>
      </c>
      <c r="AC55" t="str">
        <f t="shared" si="1"/>
        <v>High ElfBlitzer</v>
      </c>
      <c r="AD55" s="487" t="s">
        <v>746</v>
      </c>
      <c r="AE55" s="179" t="s">
        <v>763</v>
      </c>
      <c r="AF55" s="179" t="s">
        <v>762</v>
      </c>
      <c r="AG55" s="179"/>
      <c r="AH55" s="488"/>
      <c r="AI55" s="179"/>
      <c r="AJ55" s="179"/>
      <c r="AK55" s="179" t="s">
        <v>25</v>
      </c>
      <c r="AL55" s="179" t="s">
        <v>764</v>
      </c>
      <c r="AM55" s="488"/>
    </row>
    <row r="56" spans="1:39" ht="15.75" customHeight="1">
      <c r="A56" s="470" t="s">
        <v>362</v>
      </c>
      <c r="B56" s="470" t="s">
        <v>113</v>
      </c>
      <c r="C56" s="484" t="str">
        <f t="shared" si="0"/>
        <v>HumanCatcher</v>
      </c>
      <c r="D56" s="484">
        <v>2</v>
      </c>
      <c r="E56" s="485">
        <v>60000</v>
      </c>
      <c r="F56" s="459">
        <v>8</v>
      </c>
      <c r="G56" s="459">
        <v>2</v>
      </c>
      <c r="H56" s="459">
        <v>3</v>
      </c>
      <c r="I56" s="459">
        <v>7</v>
      </c>
      <c r="J56" s="470" t="s">
        <v>765</v>
      </c>
      <c r="K56" s="459" t="s">
        <v>766</v>
      </c>
      <c r="L56" s="459" t="s">
        <v>767</v>
      </c>
      <c r="O56" s="496"/>
      <c r="X56" s="470"/>
      <c r="Y56" s="470"/>
      <c r="Z56" s="470"/>
      <c r="AA56" s="470" t="s">
        <v>362</v>
      </c>
      <c r="AB56" s="470" t="s">
        <v>68</v>
      </c>
      <c r="AC56" t="str">
        <f t="shared" si="1"/>
        <v>HumanLineman</v>
      </c>
      <c r="AD56" s="487" t="s">
        <v>746</v>
      </c>
      <c r="AE56" s="179" t="s">
        <v>762</v>
      </c>
      <c r="AF56" s="179" t="s">
        <v>762</v>
      </c>
      <c r="AG56" s="179"/>
      <c r="AH56" s="488"/>
      <c r="AI56" s="179"/>
      <c r="AJ56" s="179" t="s">
        <v>763</v>
      </c>
      <c r="AK56" s="179" t="s">
        <v>25</v>
      </c>
      <c r="AL56" s="179" t="s">
        <v>764</v>
      </c>
      <c r="AM56" s="488"/>
    </row>
    <row r="57" spans="1:39" ht="15.75" customHeight="1">
      <c r="A57" s="470" t="s">
        <v>362</v>
      </c>
      <c r="B57" s="470" t="s">
        <v>108</v>
      </c>
      <c r="C57" s="484" t="str">
        <f t="shared" si="0"/>
        <v>HumanThrower</v>
      </c>
      <c r="D57" s="484">
        <v>2</v>
      </c>
      <c r="E57" s="485">
        <v>70000</v>
      </c>
      <c r="F57" s="459">
        <v>6</v>
      </c>
      <c r="G57" s="459">
        <v>3</v>
      </c>
      <c r="H57" s="459">
        <v>3</v>
      </c>
      <c r="I57" s="459">
        <v>8</v>
      </c>
      <c r="J57" s="470" t="s">
        <v>873</v>
      </c>
      <c r="K57" s="459" t="s">
        <v>753</v>
      </c>
      <c r="L57" s="459" t="s">
        <v>754</v>
      </c>
      <c r="O57" s="496"/>
      <c r="X57" s="470"/>
      <c r="Y57" s="470"/>
      <c r="Z57" s="470"/>
      <c r="AA57" s="470" t="s">
        <v>362</v>
      </c>
      <c r="AB57" s="470" t="s">
        <v>113</v>
      </c>
      <c r="AC57" t="str">
        <f t="shared" si="1"/>
        <v>HumanCatcher</v>
      </c>
      <c r="AD57" s="487" t="s">
        <v>746</v>
      </c>
      <c r="AE57" s="179" t="s">
        <v>763</v>
      </c>
      <c r="AF57" s="179" t="s">
        <v>762</v>
      </c>
      <c r="AG57" s="179"/>
      <c r="AH57" s="488"/>
      <c r="AI57" s="179"/>
      <c r="AJ57" s="179"/>
      <c r="AK57" s="179" t="s">
        <v>25</v>
      </c>
      <c r="AL57" s="179" t="s">
        <v>764</v>
      </c>
      <c r="AM57" s="488"/>
    </row>
    <row r="58" spans="1:39" ht="15.75" customHeight="1">
      <c r="A58" s="470" t="s">
        <v>362</v>
      </c>
      <c r="B58" s="470" t="s">
        <v>101</v>
      </c>
      <c r="C58" s="484" t="str">
        <f t="shared" si="0"/>
        <v>HumanBlitzer</v>
      </c>
      <c r="D58" s="484">
        <v>4</v>
      </c>
      <c r="E58" s="485">
        <v>90000</v>
      </c>
      <c r="F58" s="459">
        <v>7</v>
      </c>
      <c r="G58" s="459">
        <v>3</v>
      </c>
      <c r="H58" s="459">
        <v>3</v>
      </c>
      <c r="I58" s="459">
        <v>8</v>
      </c>
      <c r="J58" s="470" t="s">
        <v>155</v>
      </c>
      <c r="K58" s="459" t="s">
        <v>774</v>
      </c>
      <c r="L58" s="459" t="s">
        <v>775</v>
      </c>
      <c r="O58" s="496"/>
      <c r="X58" s="470"/>
      <c r="Y58" s="470"/>
      <c r="Z58" s="470"/>
      <c r="AA58" s="470" t="s">
        <v>362</v>
      </c>
      <c r="AB58" s="470" t="s">
        <v>108</v>
      </c>
      <c r="AC58" t="str">
        <f t="shared" si="1"/>
        <v>HumanThrower</v>
      </c>
      <c r="AD58" s="487" t="s">
        <v>746</v>
      </c>
      <c r="AE58" s="179"/>
      <c r="AF58" s="179" t="s">
        <v>762</v>
      </c>
      <c r="AG58" s="179" t="s">
        <v>764</v>
      </c>
      <c r="AH58" s="488"/>
      <c r="AI58" s="179"/>
      <c r="AJ58" s="179" t="s">
        <v>763</v>
      </c>
      <c r="AK58" s="179" t="s">
        <v>25</v>
      </c>
      <c r="AL58" s="179"/>
      <c r="AM58" s="488"/>
    </row>
    <row r="59" spans="1:39" ht="15.75" customHeight="1">
      <c r="A59" s="470" t="s">
        <v>362</v>
      </c>
      <c r="B59" s="470" t="s">
        <v>361</v>
      </c>
      <c r="C59" s="484" t="str">
        <f t="shared" si="0"/>
        <v>HumanOgre</v>
      </c>
      <c r="D59" s="484">
        <v>1</v>
      </c>
      <c r="E59" s="485">
        <v>140000</v>
      </c>
      <c r="F59" s="459">
        <v>5</v>
      </c>
      <c r="G59" s="459">
        <v>5</v>
      </c>
      <c r="H59" s="459">
        <v>2</v>
      </c>
      <c r="I59" s="459">
        <v>9</v>
      </c>
      <c r="J59" s="470" t="s">
        <v>874</v>
      </c>
      <c r="K59" s="459" t="s">
        <v>25</v>
      </c>
      <c r="L59" s="459" t="s">
        <v>788</v>
      </c>
      <c r="O59" s="496"/>
      <c r="X59" s="470"/>
      <c r="Y59" s="470"/>
      <c r="Z59" s="470"/>
      <c r="AA59" s="470" t="s">
        <v>362</v>
      </c>
      <c r="AB59" s="470" t="s">
        <v>101</v>
      </c>
      <c r="AC59" t="str">
        <f t="shared" si="1"/>
        <v>HumanBlitzer</v>
      </c>
      <c r="AD59" s="487" t="s">
        <v>746</v>
      </c>
      <c r="AE59" s="179"/>
      <c r="AF59" s="179" t="s">
        <v>25</v>
      </c>
      <c r="AG59" s="179"/>
      <c r="AH59" s="488"/>
      <c r="AI59" s="179"/>
      <c r="AJ59" s="179" t="s">
        <v>763</v>
      </c>
      <c r="AK59" s="179"/>
      <c r="AL59" s="179" t="s">
        <v>764</v>
      </c>
      <c r="AM59" s="488"/>
    </row>
    <row r="60" spans="1:39" ht="15.75" customHeight="1">
      <c r="A60" s="470" t="s">
        <v>583</v>
      </c>
      <c r="B60" s="470" t="s">
        <v>93</v>
      </c>
      <c r="C60" s="484" t="str">
        <f t="shared" si="0"/>
        <v>KhemriSkeleton</v>
      </c>
      <c r="D60" s="484">
        <v>16</v>
      </c>
      <c r="E60" s="485">
        <v>40000</v>
      </c>
      <c r="F60" s="459">
        <v>5</v>
      </c>
      <c r="G60" s="459">
        <v>3</v>
      </c>
      <c r="H60" s="459">
        <v>2</v>
      </c>
      <c r="I60" s="459">
        <v>7</v>
      </c>
      <c r="J60" s="470" t="s">
        <v>875</v>
      </c>
      <c r="K60" s="459" t="s">
        <v>746</v>
      </c>
      <c r="L60" s="459" t="s">
        <v>747</v>
      </c>
      <c r="O60" s="496"/>
      <c r="X60" s="470"/>
      <c r="Y60" s="470"/>
      <c r="Z60" s="470"/>
      <c r="AA60" s="470" t="s">
        <v>362</v>
      </c>
      <c r="AB60" s="470" t="s">
        <v>361</v>
      </c>
      <c r="AC60" t="str">
        <f t="shared" si="1"/>
        <v>HumanOgre</v>
      </c>
      <c r="AD60" s="487"/>
      <c r="AE60" s="179" t="s">
        <v>762</v>
      </c>
      <c r="AF60" s="179" t="s">
        <v>25</v>
      </c>
      <c r="AG60" s="179"/>
      <c r="AH60" s="488"/>
      <c r="AI60" s="179" t="s">
        <v>746</v>
      </c>
      <c r="AJ60" s="179" t="s">
        <v>763</v>
      </c>
      <c r="AK60" s="179"/>
      <c r="AL60" s="179" t="s">
        <v>764</v>
      </c>
      <c r="AM60" s="488"/>
    </row>
    <row r="61" spans="1:39" ht="15.75" customHeight="1">
      <c r="A61" s="470" t="s">
        <v>583</v>
      </c>
      <c r="B61" s="470" t="s">
        <v>876</v>
      </c>
      <c r="C61" s="484" t="str">
        <f t="shared" si="0"/>
        <v>KhemriThro-Ra</v>
      </c>
      <c r="D61" s="484">
        <v>2</v>
      </c>
      <c r="E61" s="485">
        <v>70000</v>
      </c>
      <c r="F61" s="459">
        <v>6</v>
      </c>
      <c r="G61" s="459">
        <v>3</v>
      </c>
      <c r="H61" s="459">
        <v>2</v>
      </c>
      <c r="I61" s="459">
        <v>7</v>
      </c>
      <c r="J61" s="470" t="s">
        <v>877</v>
      </c>
      <c r="K61" s="459" t="s">
        <v>753</v>
      </c>
      <c r="L61" s="459" t="s">
        <v>747</v>
      </c>
      <c r="O61" s="496"/>
      <c r="X61" s="470"/>
      <c r="Y61" s="470"/>
      <c r="Z61" s="470"/>
      <c r="AA61" s="470" t="s">
        <v>583</v>
      </c>
      <c r="AB61" s="470" t="s">
        <v>93</v>
      </c>
      <c r="AC61" t="str">
        <f t="shared" si="1"/>
        <v>KhemriSkeleton</v>
      </c>
      <c r="AD61" s="487" t="s">
        <v>746</v>
      </c>
      <c r="AE61" s="179" t="s">
        <v>762</v>
      </c>
      <c r="AF61" s="179" t="s">
        <v>762</v>
      </c>
      <c r="AG61" s="179"/>
      <c r="AH61" s="488"/>
      <c r="AI61" s="179"/>
      <c r="AJ61" s="179" t="s">
        <v>763</v>
      </c>
      <c r="AK61" s="179" t="s">
        <v>25</v>
      </c>
      <c r="AL61" s="179" t="s">
        <v>764</v>
      </c>
      <c r="AM61" s="488"/>
    </row>
    <row r="62" spans="1:39" ht="15.75" customHeight="1">
      <c r="A62" s="470" t="s">
        <v>583</v>
      </c>
      <c r="B62" s="470" t="s">
        <v>878</v>
      </c>
      <c r="C62" s="484" t="str">
        <f t="shared" si="0"/>
        <v>KhemriBlitz-Ra</v>
      </c>
      <c r="D62" s="484">
        <v>2</v>
      </c>
      <c r="E62" s="485">
        <v>90000</v>
      </c>
      <c r="F62" s="459">
        <v>6</v>
      </c>
      <c r="G62" s="459">
        <v>3</v>
      </c>
      <c r="H62" s="459">
        <v>2</v>
      </c>
      <c r="I62" s="459">
        <v>8</v>
      </c>
      <c r="J62" s="470" t="s">
        <v>879</v>
      </c>
      <c r="K62" s="459" t="s">
        <v>774</v>
      </c>
      <c r="L62" s="459" t="s">
        <v>775</v>
      </c>
      <c r="O62" s="496"/>
      <c r="X62" s="470"/>
      <c r="Y62" s="470"/>
      <c r="Z62" s="470"/>
      <c r="AA62" s="470" t="s">
        <v>583</v>
      </c>
      <c r="AB62" s="470" t="s">
        <v>876</v>
      </c>
      <c r="AC62" t="str">
        <f t="shared" si="1"/>
        <v>KhemriThro-Ra</v>
      </c>
      <c r="AD62" s="487" t="s">
        <v>746</v>
      </c>
      <c r="AE62" s="179"/>
      <c r="AF62" s="179" t="s">
        <v>762</v>
      </c>
      <c r="AG62" s="179" t="s">
        <v>764</v>
      </c>
      <c r="AH62" s="488"/>
      <c r="AI62" s="179"/>
      <c r="AJ62" s="179" t="s">
        <v>763</v>
      </c>
      <c r="AK62" s="179" t="s">
        <v>25</v>
      </c>
      <c r="AL62" s="179" t="s">
        <v>764</v>
      </c>
      <c r="AM62" s="488"/>
    </row>
    <row r="63" spans="1:39" ht="15.75" customHeight="1">
      <c r="A63" s="470" t="s">
        <v>583</v>
      </c>
      <c r="B63" s="470" t="s">
        <v>880</v>
      </c>
      <c r="C63" s="484" t="str">
        <f t="shared" si="0"/>
        <v>KhemriTomb Guardian</v>
      </c>
      <c r="D63" s="484">
        <v>4</v>
      </c>
      <c r="E63" s="485">
        <v>100000</v>
      </c>
      <c r="F63" s="459">
        <v>4</v>
      </c>
      <c r="G63" s="459">
        <v>5</v>
      </c>
      <c r="H63" s="459">
        <v>1</v>
      </c>
      <c r="I63" s="459">
        <v>9</v>
      </c>
      <c r="J63" s="470" t="s">
        <v>881</v>
      </c>
      <c r="K63" s="459" t="s">
        <v>25</v>
      </c>
      <c r="L63" s="459" t="s">
        <v>788</v>
      </c>
      <c r="O63" s="496"/>
      <c r="X63" s="470"/>
      <c r="Y63" s="470"/>
      <c r="Z63" s="470"/>
      <c r="AA63" s="470" t="s">
        <v>583</v>
      </c>
      <c r="AB63" s="470" t="s">
        <v>878</v>
      </c>
      <c r="AC63" t="str">
        <f t="shared" si="1"/>
        <v>KhemriBlitz-Ra</v>
      </c>
      <c r="AD63" s="487" t="s">
        <v>746</v>
      </c>
      <c r="AE63" s="179"/>
      <c r="AF63" s="179" t="s">
        <v>25</v>
      </c>
      <c r="AG63" s="179"/>
      <c r="AH63" s="488"/>
      <c r="AI63" s="179"/>
      <c r="AJ63" s="179" t="s">
        <v>763</v>
      </c>
      <c r="AK63" s="179"/>
      <c r="AL63" s="179" t="s">
        <v>764</v>
      </c>
      <c r="AM63" s="488"/>
    </row>
    <row r="64" spans="1:39" ht="15.75" customHeight="1">
      <c r="A64" s="470" t="s">
        <v>585</v>
      </c>
      <c r="B64" s="470" t="s">
        <v>882</v>
      </c>
      <c r="C64" s="484" t="str">
        <f t="shared" si="0"/>
        <v>LizardmanSkink</v>
      </c>
      <c r="D64" s="484">
        <v>16</v>
      </c>
      <c r="E64" s="485">
        <v>60000</v>
      </c>
      <c r="F64" s="459">
        <v>8</v>
      </c>
      <c r="G64" s="459">
        <v>2</v>
      </c>
      <c r="H64" s="459">
        <v>3</v>
      </c>
      <c r="I64" s="459">
        <v>7</v>
      </c>
      <c r="J64" s="470" t="s">
        <v>883</v>
      </c>
      <c r="K64" s="459" t="s">
        <v>763</v>
      </c>
      <c r="L64" s="459" t="s">
        <v>823</v>
      </c>
      <c r="O64" s="496"/>
      <c r="X64" s="470"/>
      <c r="Y64" s="470"/>
      <c r="Z64" s="470"/>
      <c r="AA64" s="470" t="s">
        <v>583</v>
      </c>
      <c r="AB64" s="470" t="s">
        <v>880</v>
      </c>
      <c r="AC64" t="str">
        <f t="shared" si="1"/>
        <v>KhemriTomb Guardian</v>
      </c>
      <c r="AD64" s="487"/>
      <c r="AE64" s="179" t="s">
        <v>762</v>
      </c>
      <c r="AF64" s="179" t="s">
        <v>25</v>
      </c>
      <c r="AG64" s="179"/>
      <c r="AH64" s="488"/>
      <c r="AI64" s="179" t="s">
        <v>746</v>
      </c>
      <c r="AJ64" s="179" t="s">
        <v>763</v>
      </c>
      <c r="AK64" s="179"/>
      <c r="AL64" s="179" t="s">
        <v>764</v>
      </c>
      <c r="AM64" s="488"/>
    </row>
    <row r="65" spans="1:39" ht="15.75" customHeight="1">
      <c r="A65" s="470" t="s">
        <v>585</v>
      </c>
      <c r="B65" s="470" t="s">
        <v>884</v>
      </c>
      <c r="C65" s="484" t="str">
        <f t="shared" si="0"/>
        <v>LizardmanSaurus</v>
      </c>
      <c r="D65" s="484">
        <v>6</v>
      </c>
      <c r="E65" s="485">
        <v>80000</v>
      </c>
      <c r="F65" s="459">
        <v>6</v>
      </c>
      <c r="G65" s="459">
        <v>4</v>
      </c>
      <c r="H65" s="459">
        <v>1</v>
      </c>
      <c r="I65" s="459">
        <v>9</v>
      </c>
      <c r="K65" s="459" t="s">
        <v>774</v>
      </c>
      <c r="L65" s="459" t="s">
        <v>775</v>
      </c>
      <c r="O65" s="496"/>
      <c r="X65" s="470"/>
      <c r="Y65" s="470"/>
      <c r="Z65" s="470"/>
      <c r="AA65" s="470" t="s">
        <v>585</v>
      </c>
      <c r="AB65" s="470" t="s">
        <v>882</v>
      </c>
      <c r="AC65" t="str">
        <f t="shared" si="1"/>
        <v>LizardmanSkink</v>
      </c>
      <c r="AD65" s="487"/>
      <c r="AE65" s="179" t="s">
        <v>763</v>
      </c>
      <c r="AF65" s="179" t="s">
        <v>762</v>
      </c>
      <c r="AG65" s="179"/>
      <c r="AH65" s="488"/>
      <c r="AI65" s="179" t="s">
        <v>746</v>
      </c>
      <c r="AJ65" s="179"/>
      <c r="AK65" s="179" t="s">
        <v>25</v>
      </c>
      <c r="AL65" s="179" t="s">
        <v>764</v>
      </c>
      <c r="AM65" s="488"/>
    </row>
    <row r="66" spans="1:39" ht="15.75" customHeight="1">
      <c r="A66" s="470" t="s">
        <v>585</v>
      </c>
      <c r="B66" s="470" t="s">
        <v>885</v>
      </c>
      <c r="C66" s="484" t="str">
        <f t="shared" si="0"/>
        <v>LizardmanKroxigor</v>
      </c>
      <c r="D66" s="484">
        <v>1</v>
      </c>
      <c r="E66" s="485">
        <v>140000</v>
      </c>
      <c r="F66" s="459">
        <v>6</v>
      </c>
      <c r="G66" s="459">
        <v>5</v>
      </c>
      <c r="H66" s="459">
        <v>1</v>
      </c>
      <c r="I66" s="459">
        <v>9</v>
      </c>
      <c r="J66" s="470" t="s">
        <v>886</v>
      </c>
      <c r="K66" s="459" t="s">
        <v>25</v>
      </c>
      <c r="L66" s="459" t="s">
        <v>788</v>
      </c>
      <c r="O66" s="496"/>
      <c r="X66" s="470"/>
      <c r="Y66" s="470"/>
      <c r="Z66" s="470"/>
      <c r="AA66" s="470" t="s">
        <v>585</v>
      </c>
      <c r="AB66" s="470" t="s">
        <v>884</v>
      </c>
      <c r="AC66" t="str">
        <f t="shared" si="1"/>
        <v>LizardmanSaurus</v>
      </c>
      <c r="AD66" s="487" t="s">
        <v>746</v>
      </c>
      <c r="AE66" s="179"/>
      <c r="AF66" s="179" t="s">
        <v>25</v>
      </c>
      <c r="AG66" s="179"/>
      <c r="AH66" s="488"/>
      <c r="AI66" s="179"/>
      <c r="AJ66" s="179" t="s">
        <v>763</v>
      </c>
      <c r="AK66" s="179"/>
      <c r="AL66" s="179" t="s">
        <v>764</v>
      </c>
      <c r="AM66" s="488"/>
    </row>
    <row r="67" spans="1:39" ht="15.75" customHeight="1">
      <c r="A67" s="470" t="s">
        <v>586</v>
      </c>
      <c r="B67" s="470" t="s">
        <v>79</v>
      </c>
      <c r="C67" s="484" t="str">
        <f t="shared" si="0"/>
        <v>NecromanticZombie</v>
      </c>
      <c r="D67" s="484">
        <v>16</v>
      </c>
      <c r="E67" s="485">
        <v>40000</v>
      </c>
      <c r="F67" s="459">
        <v>4</v>
      </c>
      <c r="G67" s="459">
        <v>3</v>
      </c>
      <c r="H67" s="459">
        <v>2</v>
      </c>
      <c r="I67" s="459">
        <v>8</v>
      </c>
      <c r="J67" s="470" t="s">
        <v>824</v>
      </c>
      <c r="K67" s="459" t="s">
        <v>746</v>
      </c>
      <c r="L67" s="459" t="s">
        <v>747</v>
      </c>
      <c r="O67" s="496"/>
      <c r="X67" s="470"/>
      <c r="Y67" s="470"/>
      <c r="Z67" s="470"/>
      <c r="AA67" s="470" t="s">
        <v>585</v>
      </c>
      <c r="AB67" s="470" t="s">
        <v>885</v>
      </c>
      <c r="AC67" t="str">
        <f t="shared" si="1"/>
        <v>LizardmanKroxigor</v>
      </c>
      <c r="AD67" s="487"/>
      <c r="AE67" s="179" t="s">
        <v>762</v>
      </c>
      <c r="AF67" s="179" t="s">
        <v>25</v>
      </c>
      <c r="AG67" s="179"/>
      <c r="AH67" s="488"/>
      <c r="AI67" s="179" t="s">
        <v>746</v>
      </c>
      <c r="AJ67" s="179" t="s">
        <v>763</v>
      </c>
      <c r="AK67" s="179"/>
      <c r="AL67" s="179" t="s">
        <v>764</v>
      </c>
      <c r="AM67" s="488"/>
    </row>
    <row r="68" spans="1:39" ht="15.75" customHeight="1">
      <c r="A68" s="470" t="s">
        <v>586</v>
      </c>
      <c r="B68" s="470" t="s">
        <v>97</v>
      </c>
      <c r="C68" s="484" t="str">
        <f t="shared" si="0"/>
        <v>NecromanticGhoul</v>
      </c>
      <c r="D68" s="484">
        <v>2</v>
      </c>
      <c r="E68" s="485">
        <v>70000</v>
      </c>
      <c r="F68" s="459">
        <v>7</v>
      </c>
      <c r="G68" s="459">
        <v>3</v>
      </c>
      <c r="H68" s="459">
        <v>3</v>
      </c>
      <c r="I68" s="459">
        <v>7</v>
      </c>
      <c r="J68" s="470" t="s">
        <v>103</v>
      </c>
      <c r="K68" s="459" t="s">
        <v>766</v>
      </c>
      <c r="L68" s="459" t="s">
        <v>767</v>
      </c>
      <c r="O68" s="496"/>
      <c r="X68" s="470"/>
      <c r="Y68" s="470"/>
      <c r="Z68" s="470"/>
      <c r="AA68" s="470" t="s">
        <v>586</v>
      </c>
      <c r="AB68" s="470" t="s">
        <v>79</v>
      </c>
      <c r="AC68" t="str">
        <f t="shared" si="1"/>
        <v>NecromanticZombie</v>
      </c>
      <c r="AD68" s="487" t="s">
        <v>746</v>
      </c>
      <c r="AE68" s="179" t="s">
        <v>762</v>
      </c>
      <c r="AF68" s="179" t="s">
        <v>762</v>
      </c>
      <c r="AG68" s="179"/>
      <c r="AH68" s="488"/>
      <c r="AI68" s="179"/>
      <c r="AJ68" s="179" t="s">
        <v>763</v>
      </c>
      <c r="AK68" s="179" t="s">
        <v>25</v>
      </c>
      <c r="AL68" s="179" t="s">
        <v>764</v>
      </c>
      <c r="AM68" s="488"/>
    </row>
    <row r="69" spans="1:39" ht="15.75" customHeight="1">
      <c r="A69" s="470" t="s">
        <v>586</v>
      </c>
      <c r="B69" s="470" t="s">
        <v>106</v>
      </c>
      <c r="C69" s="484" t="str">
        <f t="shared" si="0"/>
        <v>NecromanticWight</v>
      </c>
      <c r="D69" s="484">
        <v>2</v>
      </c>
      <c r="E69" s="485">
        <v>90000</v>
      </c>
      <c r="F69" s="459">
        <v>6</v>
      </c>
      <c r="G69" s="459">
        <v>3</v>
      </c>
      <c r="H69" s="459">
        <v>3</v>
      </c>
      <c r="I69" s="459">
        <v>8</v>
      </c>
      <c r="J69" s="470" t="s">
        <v>879</v>
      </c>
      <c r="K69" s="459" t="s">
        <v>774</v>
      </c>
      <c r="L69" s="459" t="s">
        <v>775</v>
      </c>
      <c r="O69" s="496"/>
      <c r="X69" s="470"/>
      <c r="Y69" s="470"/>
      <c r="Z69" s="470"/>
      <c r="AA69" s="470" t="s">
        <v>586</v>
      </c>
      <c r="AB69" s="470" t="s">
        <v>97</v>
      </c>
      <c r="AC69" t="str">
        <f t="shared" si="1"/>
        <v>NecromanticGhoul</v>
      </c>
      <c r="AD69" s="487" t="s">
        <v>746</v>
      </c>
      <c r="AE69" s="179" t="s">
        <v>763</v>
      </c>
      <c r="AF69" s="179" t="s">
        <v>762</v>
      </c>
      <c r="AG69" s="179"/>
      <c r="AH69" s="488"/>
      <c r="AI69" s="179"/>
      <c r="AJ69" s="179"/>
      <c r="AK69" s="179" t="s">
        <v>25</v>
      </c>
      <c r="AL69" s="179" t="s">
        <v>764</v>
      </c>
      <c r="AM69" s="488"/>
    </row>
    <row r="70" spans="1:39" ht="15.75" customHeight="1">
      <c r="A70" s="470" t="s">
        <v>586</v>
      </c>
      <c r="B70" s="470" t="s">
        <v>887</v>
      </c>
      <c r="C70" s="484" t="str">
        <f t="shared" si="0"/>
        <v>NecromanticFlesh Golem</v>
      </c>
      <c r="D70" s="484">
        <v>2</v>
      </c>
      <c r="E70" s="485">
        <v>110000</v>
      </c>
      <c r="F70" s="459">
        <v>4</v>
      </c>
      <c r="G70" s="459">
        <v>4</v>
      </c>
      <c r="H70" s="459">
        <v>2</v>
      </c>
      <c r="I70" s="459">
        <v>9</v>
      </c>
      <c r="J70" s="470" t="s">
        <v>888</v>
      </c>
      <c r="K70" s="459" t="s">
        <v>774</v>
      </c>
      <c r="L70" s="459" t="s">
        <v>775</v>
      </c>
      <c r="O70" s="496"/>
      <c r="X70" s="470"/>
      <c r="Y70" s="470"/>
      <c r="Z70" s="470"/>
      <c r="AA70" s="470" t="s">
        <v>586</v>
      </c>
      <c r="AB70" s="470" t="s">
        <v>106</v>
      </c>
      <c r="AC70" t="str">
        <f t="shared" si="1"/>
        <v>NecromanticWight</v>
      </c>
      <c r="AD70" s="487" t="s">
        <v>746</v>
      </c>
      <c r="AE70" s="179"/>
      <c r="AF70" s="179" t="s">
        <v>25</v>
      </c>
      <c r="AG70" s="179"/>
      <c r="AH70" s="488"/>
      <c r="AI70" s="179"/>
      <c r="AJ70" s="179" t="s">
        <v>763</v>
      </c>
      <c r="AK70" s="179" t="s">
        <v>762</v>
      </c>
      <c r="AL70" s="179" t="s">
        <v>764</v>
      </c>
      <c r="AM70" s="488"/>
    </row>
    <row r="71" spans="1:39" ht="15.75" customHeight="1">
      <c r="A71" s="470" t="s">
        <v>586</v>
      </c>
      <c r="B71" s="470" t="s">
        <v>158</v>
      </c>
      <c r="C71" s="484" t="str">
        <f t="shared" si="0"/>
        <v>NecromanticWerewolf</v>
      </c>
      <c r="D71" s="484">
        <v>2</v>
      </c>
      <c r="E71" s="485">
        <v>120000</v>
      </c>
      <c r="F71" s="459">
        <v>8</v>
      </c>
      <c r="G71" s="459">
        <v>3</v>
      </c>
      <c r="H71" s="459">
        <v>3</v>
      </c>
      <c r="I71" s="459">
        <v>8</v>
      </c>
      <c r="J71" s="470" t="s">
        <v>889</v>
      </c>
      <c r="K71" s="459" t="s">
        <v>766</v>
      </c>
      <c r="L71" s="459" t="s">
        <v>767</v>
      </c>
      <c r="O71" s="496"/>
      <c r="X71" s="470"/>
      <c r="Y71" s="470"/>
      <c r="Z71" s="470"/>
      <c r="AA71" s="470" t="s">
        <v>586</v>
      </c>
      <c r="AB71" s="470" t="s">
        <v>887</v>
      </c>
      <c r="AC71" t="str">
        <f t="shared" si="1"/>
        <v>NecromanticFlesh Golem</v>
      </c>
      <c r="AD71" s="487" t="s">
        <v>746</v>
      </c>
      <c r="AE71" s="179"/>
      <c r="AF71" s="179" t="s">
        <v>25</v>
      </c>
      <c r="AG71" s="179"/>
      <c r="AH71" s="488"/>
      <c r="AI71" s="179"/>
      <c r="AJ71" s="179" t="s">
        <v>763</v>
      </c>
      <c r="AK71" s="179" t="s">
        <v>762</v>
      </c>
      <c r="AL71" s="179" t="s">
        <v>764</v>
      </c>
      <c r="AM71" s="488"/>
    </row>
    <row r="72" spans="1:39" ht="15.75" customHeight="1">
      <c r="A72" s="470" t="s">
        <v>17</v>
      </c>
      <c r="B72" s="470" t="s">
        <v>68</v>
      </c>
      <c r="C72" s="484" t="str">
        <f t="shared" si="0"/>
        <v>NorseLineman</v>
      </c>
      <c r="D72" s="484">
        <v>16</v>
      </c>
      <c r="E72" s="485">
        <v>50000</v>
      </c>
      <c r="F72" s="459">
        <v>6</v>
      </c>
      <c r="G72" s="459">
        <v>3</v>
      </c>
      <c r="H72" s="459">
        <v>3</v>
      </c>
      <c r="I72" s="459">
        <v>7</v>
      </c>
      <c r="J72" s="470" t="s">
        <v>155</v>
      </c>
      <c r="K72" s="459" t="s">
        <v>746</v>
      </c>
      <c r="L72" s="459" t="s">
        <v>747</v>
      </c>
      <c r="O72" s="496"/>
      <c r="X72" s="470"/>
      <c r="Y72" s="470"/>
      <c r="Z72" s="470"/>
      <c r="AA72" s="470" t="s">
        <v>586</v>
      </c>
      <c r="AB72" s="470" t="s">
        <v>158</v>
      </c>
      <c r="AC72" t="str">
        <f t="shared" si="1"/>
        <v>NecromanticWerewolf</v>
      </c>
      <c r="AD72" s="487" t="s">
        <v>746</v>
      </c>
      <c r="AE72" s="179" t="s">
        <v>763</v>
      </c>
      <c r="AF72" s="179" t="s">
        <v>762</v>
      </c>
      <c r="AG72" s="179"/>
      <c r="AH72" s="488"/>
      <c r="AI72" s="179"/>
      <c r="AJ72" s="179"/>
      <c r="AK72" s="179" t="s">
        <v>25</v>
      </c>
      <c r="AL72" s="179" t="s">
        <v>764</v>
      </c>
      <c r="AM72" s="488"/>
    </row>
    <row r="73" spans="1:39" ht="15.75" customHeight="1">
      <c r="A73" s="470" t="s">
        <v>17</v>
      </c>
      <c r="B73" s="470" t="s">
        <v>108</v>
      </c>
      <c r="C73" s="484" t="str">
        <f t="shared" si="0"/>
        <v>NorseThrower</v>
      </c>
      <c r="D73" s="484">
        <v>2</v>
      </c>
      <c r="E73" s="485">
        <v>70000</v>
      </c>
      <c r="F73" s="459">
        <v>6</v>
      </c>
      <c r="G73" s="459">
        <v>3</v>
      </c>
      <c r="H73" s="459">
        <v>3</v>
      </c>
      <c r="I73" s="459">
        <v>7</v>
      </c>
      <c r="J73" s="470" t="s">
        <v>890</v>
      </c>
      <c r="K73" s="459" t="s">
        <v>753</v>
      </c>
      <c r="L73" s="459" t="s">
        <v>754</v>
      </c>
      <c r="O73" s="496"/>
      <c r="X73" s="470"/>
      <c r="Y73" s="470"/>
      <c r="Z73" s="470"/>
      <c r="AA73" s="470" t="s">
        <v>17</v>
      </c>
      <c r="AB73" s="470" t="s">
        <v>68</v>
      </c>
      <c r="AC73" t="str">
        <f t="shared" si="1"/>
        <v>NorseLineman</v>
      </c>
      <c r="AD73" s="487" t="s">
        <v>746</v>
      </c>
      <c r="AE73" s="179" t="s">
        <v>762</v>
      </c>
      <c r="AF73" s="179" t="s">
        <v>762</v>
      </c>
      <c r="AG73" s="179"/>
      <c r="AH73" s="488"/>
      <c r="AI73" s="179"/>
      <c r="AJ73" s="179" t="s">
        <v>763</v>
      </c>
      <c r="AK73" s="179" t="s">
        <v>25</v>
      </c>
      <c r="AL73" s="179" t="s">
        <v>764</v>
      </c>
      <c r="AM73" s="488"/>
    </row>
    <row r="74" spans="1:39" ht="15.75" customHeight="1">
      <c r="A74" s="470" t="s">
        <v>17</v>
      </c>
      <c r="B74" s="470" t="s">
        <v>113</v>
      </c>
      <c r="C74" s="484" t="str">
        <f t="shared" si="0"/>
        <v>NorseCatcher</v>
      </c>
      <c r="D74" s="484">
        <v>2</v>
      </c>
      <c r="E74" s="485">
        <v>90000</v>
      </c>
      <c r="F74" s="459">
        <v>7</v>
      </c>
      <c r="G74" s="459">
        <v>3</v>
      </c>
      <c r="H74" s="459">
        <v>3</v>
      </c>
      <c r="I74" s="459">
        <v>7</v>
      </c>
      <c r="J74" s="470" t="s">
        <v>891</v>
      </c>
      <c r="K74" s="459" t="s">
        <v>766</v>
      </c>
      <c r="L74" s="459" t="s">
        <v>767</v>
      </c>
      <c r="O74" s="496"/>
      <c r="X74" s="470"/>
      <c r="Y74" s="470"/>
      <c r="Z74" s="470"/>
      <c r="AA74" s="470" t="s">
        <v>17</v>
      </c>
      <c r="AB74" s="470" t="s">
        <v>108</v>
      </c>
      <c r="AC74" t="str">
        <f t="shared" si="1"/>
        <v>NorseThrower</v>
      </c>
      <c r="AD74" s="487" t="s">
        <v>746</v>
      </c>
      <c r="AE74" s="179"/>
      <c r="AF74" s="179" t="s">
        <v>762</v>
      </c>
      <c r="AG74" s="179" t="s">
        <v>764</v>
      </c>
      <c r="AH74" s="488"/>
      <c r="AI74" s="179"/>
      <c r="AJ74" s="179" t="s">
        <v>763</v>
      </c>
      <c r="AK74" s="179" t="s">
        <v>25</v>
      </c>
      <c r="AL74" s="179"/>
      <c r="AM74" s="488"/>
    </row>
    <row r="75" spans="1:39" ht="15.75" customHeight="1">
      <c r="A75" s="470" t="s">
        <v>17</v>
      </c>
      <c r="B75" s="470" t="s">
        <v>101</v>
      </c>
      <c r="C75" s="484" t="str">
        <f t="shared" si="0"/>
        <v>NorseBlitzer</v>
      </c>
      <c r="D75" s="484">
        <v>2</v>
      </c>
      <c r="E75" s="485">
        <v>90000</v>
      </c>
      <c r="F75" s="459">
        <v>6</v>
      </c>
      <c r="G75" s="459">
        <v>3</v>
      </c>
      <c r="H75" s="459">
        <v>3</v>
      </c>
      <c r="I75" s="459">
        <v>7</v>
      </c>
      <c r="J75" s="470" t="s">
        <v>892</v>
      </c>
      <c r="K75" s="459" t="s">
        <v>774</v>
      </c>
      <c r="L75" s="459" t="s">
        <v>775</v>
      </c>
      <c r="O75" s="496"/>
      <c r="X75" s="470"/>
      <c r="Y75" s="470"/>
      <c r="Z75" s="470"/>
      <c r="AA75" s="470" t="s">
        <v>17</v>
      </c>
      <c r="AB75" s="470" t="s">
        <v>113</v>
      </c>
      <c r="AC75" t="str">
        <f t="shared" si="1"/>
        <v>NorseCatcher</v>
      </c>
      <c r="AD75" s="487" t="s">
        <v>746</v>
      </c>
      <c r="AE75" s="179" t="s">
        <v>763</v>
      </c>
      <c r="AF75" s="179" t="s">
        <v>762</v>
      </c>
      <c r="AG75" s="179"/>
      <c r="AH75" s="488"/>
      <c r="AI75" s="179"/>
      <c r="AJ75" s="179"/>
      <c r="AK75" s="179" t="s">
        <v>25</v>
      </c>
      <c r="AL75" s="179" t="s">
        <v>764</v>
      </c>
      <c r="AM75" s="488"/>
    </row>
    <row r="76" spans="1:39" ht="15.75" customHeight="1">
      <c r="A76" s="470" t="s">
        <v>17</v>
      </c>
      <c r="B76" s="470" t="s">
        <v>158</v>
      </c>
      <c r="C76" s="484" t="str">
        <f t="shared" si="0"/>
        <v>NorseWerewolf</v>
      </c>
      <c r="D76" s="484">
        <v>2</v>
      </c>
      <c r="E76" s="485">
        <v>110000</v>
      </c>
      <c r="F76" s="459">
        <v>6</v>
      </c>
      <c r="G76" s="459">
        <v>4</v>
      </c>
      <c r="H76" s="459">
        <v>2</v>
      </c>
      <c r="I76" s="459">
        <v>8</v>
      </c>
      <c r="J76" s="470" t="s">
        <v>838</v>
      </c>
      <c r="K76" s="459" t="s">
        <v>774</v>
      </c>
      <c r="L76" s="459" t="s">
        <v>775</v>
      </c>
      <c r="O76" s="496"/>
      <c r="X76" s="470"/>
      <c r="Y76" s="470"/>
      <c r="Z76" s="470"/>
      <c r="AA76" s="470" t="s">
        <v>17</v>
      </c>
      <c r="AB76" s="470" t="s">
        <v>101</v>
      </c>
      <c r="AC76" t="str">
        <f t="shared" si="1"/>
        <v>NorseBlitzer</v>
      </c>
      <c r="AD76" s="487" t="s">
        <v>746</v>
      </c>
      <c r="AE76" s="179"/>
      <c r="AF76" s="179" t="s">
        <v>25</v>
      </c>
      <c r="AG76" s="179"/>
      <c r="AH76" s="488"/>
      <c r="AI76" s="179"/>
      <c r="AJ76" s="179" t="s">
        <v>763</v>
      </c>
      <c r="AK76" s="179" t="s">
        <v>762</v>
      </c>
      <c r="AL76" s="179" t="s">
        <v>764</v>
      </c>
      <c r="AM76" s="488"/>
    </row>
    <row r="77" spans="1:39" ht="15.75" customHeight="1">
      <c r="A77" s="470" t="s">
        <v>17</v>
      </c>
      <c r="B77" s="470" t="s">
        <v>154</v>
      </c>
      <c r="C77" s="484" t="str">
        <f t="shared" si="0"/>
        <v>NorseYhetee</v>
      </c>
      <c r="D77" s="484">
        <v>1</v>
      </c>
      <c r="E77" s="485">
        <v>140000</v>
      </c>
      <c r="F77" s="459">
        <v>5</v>
      </c>
      <c r="G77" s="459">
        <v>5</v>
      </c>
      <c r="H77" s="459">
        <v>1</v>
      </c>
      <c r="I77" s="459">
        <v>8</v>
      </c>
      <c r="J77" s="470" t="s">
        <v>893</v>
      </c>
      <c r="K77" s="459" t="s">
        <v>25</v>
      </c>
      <c r="L77" s="459" t="s">
        <v>788</v>
      </c>
      <c r="O77" s="496"/>
      <c r="X77" s="470"/>
      <c r="Y77" s="470"/>
      <c r="Z77" s="470"/>
      <c r="AA77" s="470" t="s">
        <v>17</v>
      </c>
      <c r="AB77" s="470" t="s">
        <v>158</v>
      </c>
      <c r="AC77" t="str">
        <f t="shared" si="1"/>
        <v>NorseWerewolf</v>
      </c>
      <c r="AD77" s="487" t="s">
        <v>746</v>
      </c>
      <c r="AE77" s="179"/>
      <c r="AF77" s="179" t="s">
        <v>25</v>
      </c>
      <c r="AG77" s="179"/>
      <c r="AH77" s="488"/>
      <c r="AI77" s="179"/>
      <c r="AJ77" s="179" t="s">
        <v>763</v>
      </c>
      <c r="AK77" s="179" t="s">
        <v>762</v>
      </c>
      <c r="AL77" s="179" t="s">
        <v>764</v>
      </c>
      <c r="AM77" s="488"/>
    </row>
    <row r="78" spans="1:39" ht="15.75" customHeight="1">
      <c r="A78" s="470" t="s">
        <v>66</v>
      </c>
      <c r="B78" s="470" t="s">
        <v>508</v>
      </c>
      <c r="C78" s="484" t="str">
        <f t="shared" si="0"/>
        <v>NurgleRotter</v>
      </c>
      <c r="D78" s="484">
        <v>16</v>
      </c>
      <c r="E78" s="485">
        <v>40000</v>
      </c>
      <c r="F78" s="459">
        <v>5</v>
      </c>
      <c r="G78" s="459">
        <v>3</v>
      </c>
      <c r="H78" s="459">
        <v>3</v>
      </c>
      <c r="I78" s="459">
        <v>8</v>
      </c>
      <c r="J78" s="470" t="s">
        <v>894</v>
      </c>
      <c r="K78" s="459" t="s">
        <v>826</v>
      </c>
      <c r="L78" s="459" t="s">
        <v>747</v>
      </c>
      <c r="O78" s="496"/>
      <c r="X78" s="470"/>
      <c r="Y78" s="470"/>
      <c r="Z78" s="470"/>
      <c r="AA78" s="470" t="s">
        <v>17</v>
      </c>
      <c r="AB78" s="470" t="s">
        <v>154</v>
      </c>
      <c r="AC78" t="str">
        <f t="shared" si="1"/>
        <v>NorseYhetee</v>
      </c>
      <c r="AD78" s="487"/>
      <c r="AE78" s="179" t="s">
        <v>762</v>
      </c>
      <c r="AF78" s="179" t="s">
        <v>25</v>
      </c>
      <c r="AG78" s="179"/>
      <c r="AH78" s="488"/>
      <c r="AI78" s="179" t="s">
        <v>746</v>
      </c>
      <c r="AJ78" s="179" t="s">
        <v>763</v>
      </c>
      <c r="AK78" s="179"/>
      <c r="AL78" s="179" t="s">
        <v>764</v>
      </c>
      <c r="AM78" s="488"/>
    </row>
    <row r="79" spans="1:39" ht="15.75" customHeight="1">
      <c r="A79" s="470" t="s">
        <v>66</v>
      </c>
      <c r="B79" s="470" t="s">
        <v>503</v>
      </c>
      <c r="C79" s="484" t="str">
        <f t="shared" si="0"/>
        <v>NurglePestigor</v>
      </c>
      <c r="D79" s="484">
        <v>4</v>
      </c>
      <c r="E79" s="485">
        <v>80000</v>
      </c>
      <c r="F79" s="459">
        <v>6</v>
      </c>
      <c r="G79" s="459">
        <v>3</v>
      </c>
      <c r="H79" s="459">
        <v>3</v>
      </c>
      <c r="I79" s="459">
        <v>8</v>
      </c>
      <c r="J79" s="470" t="s">
        <v>895</v>
      </c>
      <c r="K79" s="459" t="s">
        <v>795</v>
      </c>
      <c r="L79" s="459" t="s">
        <v>775</v>
      </c>
      <c r="O79" s="496"/>
      <c r="X79" s="470"/>
      <c r="Y79" s="470"/>
      <c r="Z79" s="470"/>
      <c r="AA79" s="470" t="s">
        <v>66</v>
      </c>
      <c r="AB79" s="470" t="s">
        <v>508</v>
      </c>
      <c r="AC79" t="str">
        <f t="shared" si="1"/>
        <v>NurgleRotter</v>
      </c>
      <c r="AD79" s="487" t="s">
        <v>746</v>
      </c>
      <c r="AE79" s="179"/>
      <c r="AF79" s="179" t="s">
        <v>762</v>
      </c>
      <c r="AG79" s="179"/>
      <c r="AH79" s="488" t="s">
        <v>20</v>
      </c>
      <c r="AI79" s="179"/>
      <c r="AJ79" s="179" t="s">
        <v>763</v>
      </c>
      <c r="AK79" s="179" t="s">
        <v>25</v>
      </c>
      <c r="AL79" s="179" t="s">
        <v>764</v>
      </c>
      <c r="AM79" s="488"/>
    </row>
    <row r="80" spans="1:39" ht="15.75" customHeight="1">
      <c r="A80" s="470" t="s">
        <v>66</v>
      </c>
      <c r="B80" s="470" t="s">
        <v>498</v>
      </c>
      <c r="C80" s="484" t="str">
        <f t="shared" si="0"/>
        <v>NurgleWarrior</v>
      </c>
      <c r="D80" s="484">
        <v>4</v>
      </c>
      <c r="E80" s="485">
        <v>110000</v>
      </c>
      <c r="F80" s="459">
        <v>4</v>
      </c>
      <c r="G80" s="459">
        <v>4</v>
      </c>
      <c r="H80" s="459">
        <v>2</v>
      </c>
      <c r="I80" s="459">
        <v>9</v>
      </c>
      <c r="J80" s="470" t="s">
        <v>896</v>
      </c>
      <c r="K80" s="459" t="s">
        <v>795</v>
      </c>
      <c r="L80" s="459" t="s">
        <v>775</v>
      </c>
      <c r="O80" s="496"/>
      <c r="X80" s="470"/>
      <c r="Y80" s="470"/>
      <c r="Z80" s="470"/>
      <c r="AA80" s="470" t="s">
        <v>66</v>
      </c>
      <c r="AB80" s="470" t="s">
        <v>503</v>
      </c>
      <c r="AC80" t="str">
        <f t="shared" si="1"/>
        <v>NurglePestigor</v>
      </c>
      <c r="AD80" s="487" t="s">
        <v>746</v>
      </c>
      <c r="AE80" s="179"/>
      <c r="AF80" s="179" t="s">
        <v>25</v>
      </c>
      <c r="AG80" s="179"/>
      <c r="AH80" s="488" t="s">
        <v>20</v>
      </c>
      <c r="AI80" s="179"/>
      <c r="AJ80" s="179" t="s">
        <v>763</v>
      </c>
      <c r="AK80" s="179" t="s">
        <v>762</v>
      </c>
      <c r="AL80" s="179" t="s">
        <v>764</v>
      </c>
      <c r="AM80" s="488"/>
    </row>
    <row r="81" spans="1:39" ht="15.75" customHeight="1">
      <c r="A81" s="470" t="s">
        <v>66</v>
      </c>
      <c r="B81" s="470" t="s">
        <v>495</v>
      </c>
      <c r="C81" s="484" t="str">
        <f t="shared" si="0"/>
        <v>NurgleBeast</v>
      </c>
      <c r="D81" s="484">
        <v>1</v>
      </c>
      <c r="E81" s="485">
        <v>140000</v>
      </c>
      <c r="F81" s="459">
        <v>4</v>
      </c>
      <c r="G81" s="459">
        <v>5</v>
      </c>
      <c r="H81" s="459">
        <v>1</v>
      </c>
      <c r="I81" s="459">
        <v>9</v>
      </c>
      <c r="J81" s="470" t="s">
        <v>897</v>
      </c>
      <c r="K81" s="459" t="s">
        <v>25</v>
      </c>
      <c r="L81" s="459" t="s">
        <v>815</v>
      </c>
      <c r="O81" s="496"/>
      <c r="X81" s="470"/>
      <c r="Y81" s="470"/>
      <c r="Z81" s="470"/>
      <c r="AA81" s="470" t="s">
        <v>66</v>
      </c>
      <c r="AB81" s="470" t="s">
        <v>498</v>
      </c>
      <c r="AC81" t="str">
        <f t="shared" si="1"/>
        <v>NurgleWarrior</v>
      </c>
      <c r="AD81" s="487" t="s">
        <v>746</v>
      </c>
      <c r="AE81" s="179"/>
      <c r="AF81" s="179" t="s">
        <v>25</v>
      </c>
      <c r="AG81" s="179"/>
      <c r="AH81" s="488" t="s">
        <v>20</v>
      </c>
      <c r="AI81" s="179"/>
      <c r="AJ81" s="179" t="s">
        <v>763</v>
      </c>
      <c r="AK81" s="179" t="s">
        <v>762</v>
      </c>
      <c r="AL81" s="179" t="s">
        <v>764</v>
      </c>
      <c r="AM81" s="488"/>
    </row>
    <row r="82" spans="1:39" ht="15.75" customHeight="1">
      <c r="A82" s="470" t="s">
        <v>361</v>
      </c>
      <c r="B82" s="470" t="s">
        <v>898</v>
      </c>
      <c r="C82" s="484" t="str">
        <f t="shared" si="0"/>
        <v>OgreSnotling</v>
      </c>
      <c r="D82" s="484">
        <v>16</v>
      </c>
      <c r="E82" s="485">
        <v>20000</v>
      </c>
      <c r="F82" s="459">
        <v>5</v>
      </c>
      <c r="G82" s="459">
        <v>1</v>
      </c>
      <c r="H82" s="459">
        <v>3</v>
      </c>
      <c r="I82" s="459">
        <v>5</v>
      </c>
      <c r="J82" s="470" t="s">
        <v>899</v>
      </c>
      <c r="K82" s="459" t="s">
        <v>763</v>
      </c>
      <c r="L82" s="459" t="s">
        <v>823</v>
      </c>
      <c r="O82" s="496"/>
      <c r="X82" s="470"/>
      <c r="Y82" s="470"/>
      <c r="Z82" s="470"/>
      <c r="AA82" s="470" t="s">
        <v>66</v>
      </c>
      <c r="AB82" s="470" t="s">
        <v>495</v>
      </c>
      <c r="AC82" t="str">
        <f t="shared" si="1"/>
        <v>NurgleBeast</v>
      </c>
      <c r="AD82" s="487"/>
      <c r="AE82" s="179" t="s">
        <v>762</v>
      </c>
      <c r="AF82" s="179" t="s">
        <v>25</v>
      </c>
      <c r="AG82" s="179"/>
      <c r="AH82" s="488"/>
      <c r="AI82" s="179" t="s">
        <v>746</v>
      </c>
      <c r="AJ82" s="179" t="s">
        <v>763</v>
      </c>
      <c r="AK82" s="179"/>
      <c r="AL82" s="179" t="s">
        <v>764</v>
      </c>
      <c r="AM82" s="488"/>
    </row>
    <row r="83" spans="1:39" ht="15.75" customHeight="1">
      <c r="A83" s="470" t="s">
        <v>361</v>
      </c>
      <c r="B83" s="470" t="s">
        <v>361</v>
      </c>
      <c r="C83" s="484" t="str">
        <f t="shared" si="0"/>
        <v>OgreOgre</v>
      </c>
      <c r="D83" s="484">
        <v>6</v>
      </c>
      <c r="E83" s="485">
        <v>140000</v>
      </c>
      <c r="F83" s="459">
        <v>5</v>
      </c>
      <c r="G83" s="459">
        <v>5</v>
      </c>
      <c r="H83" s="459">
        <v>2</v>
      </c>
      <c r="I83" s="459">
        <v>9</v>
      </c>
      <c r="J83" s="470" t="s">
        <v>900</v>
      </c>
      <c r="K83" s="459" t="s">
        <v>25</v>
      </c>
      <c r="L83" s="459" t="s">
        <v>788</v>
      </c>
      <c r="O83" s="496"/>
      <c r="X83" s="470"/>
      <c r="Y83" s="470"/>
      <c r="Z83" s="470"/>
      <c r="AA83" s="470" t="s">
        <v>361</v>
      </c>
      <c r="AB83" s="470" t="s">
        <v>898</v>
      </c>
      <c r="AC83" t="str">
        <f t="shared" si="1"/>
        <v>OgreSnotling</v>
      </c>
      <c r="AD83" s="487"/>
      <c r="AE83" s="179" t="s">
        <v>763</v>
      </c>
      <c r="AF83" s="179" t="s">
        <v>762</v>
      </c>
      <c r="AG83" s="179"/>
      <c r="AH83" s="488"/>
      <c r="AI83" s="179" t="s">
        <v>746</v>
      </c>
      <c r="AJ83" s="179"/>
      <c r="AK83" s="179" t="s">
        <v>25</v>
      </c>
      <c r="AL83" s="179" t="s">
        <v>764</v>
      </c>
      <c r="AM83" s="488"/>
    </row>
    <row r="84" spans="1:39" ht="15.75" customHeight="1">
      <c r="A84" s="470" t="s">
        <v>64</v>
      </c>
      <c r="B84" s="470" t="s">
        <v>68</v>
      </c>
      <c r="C84" s="484" t="str">
        <f t="shared" si="0"/>
        <v>OrcLineman</v>
      </c>
      <c r="D84" s="484">
        <v>16</v>
      </c>
      <c r="E84" s="485">
        <v>50000</v>
      </c>
      <c r="F84" s="459">
        <v>5</v>
      </c>
      <c r="G84" s="459">
        <v>3</v>
      </c>
      <c r="H84" s="459">
        <v>3</v>
      </c>
      <c r="I84" s="459">
        <v>9</v>
      </c>
      <c r="K84" s="459" t="s">
        <v>746</v>
      </c>
      <c r="L84" s="459" t="s">
        <v>747</v>
      </c>
      <c r="O84" s="496"/>
      <c r="X84" s="470"/>
      <c r="Y84" s="470"/>
      <c r="Z84" s="470"/>
      <c r="AA84" s="470" t="s">
        <v>361</v>
      </c>
      <c r="AB84" s="470" t="s">
        <v>361</v>
      </c>
      <c r="AC84" t="str">
        <f t="shared" si="1"/>
        <v>OgreOgre</v>
      </c>
      <c r="AD84" s="487"/>
      <c r="AE84" s="179" t="s">
        <v>762</v>
      </c>
      <c r="AF84" s="179" t="s">
        <v>25</v>
      </c>
      <c r="AG84" s="179"/>
      <c r="AH84" s="488"/>
      <c r="AI84" s="179" t="s">
        <v>746</v>
      </c>
      <c r="AJ84" s="179" t="s">
        <v>763</v>
      </c>
      <c r="AK84" s="179"/>
      <c r="AL84" s="179" t="s">
        <v>764</v>
      </c>
      <c r="AM84" s="488"/>
    </row>
    <row r="85" spans="1:39" ht="15.75" customHeight="1">
      <c r="A85" s="470" t="s">
        <v>64</v>
      </c>
      <c r="B85" s="470" t="s">
        <v>150</v>
      </c>
      <c r="C85" s="484" t="str">
        <f t="shared" si="0"/>
        <v>OrcGoblin</v>
      </c>
      <c r="D85" s="484">
        <v>4</v>
      </c>
      <c r="E85" s="485">
        <v>40000</v>
      </c>
      <c r="F85" s="459">
        <v>6</v>
      </c>
      <c r="G85" s="459">
        <v>2</v>
      </c>
      <c r="H85" s="459">
        <v>3</v>
      </c>
      <c r="I85" s="459">
        <v>7</v>
      </c>
      <c r="J85" s="470" t="s">
        <v>901</v>
      </c>
      <c r="K85" s="459" t="s">
        <v>763</v>
      </c>
      <c r="L85" s="459" t="s">
        <v>823</v>
      </c>
      <c r="O85" s="496"/>
      <c r="X85" s="470"/>
      <c r="Y85" s="470"/>
      <c r="Z85" s="470"/>
      <c r="AA85" s="470" t="s">
        <v>64</v>
      </c>
      <c r="AB85" s="470" t="s">
        <v>68</v>
      </c>
      <c r="AC85" t="str">
        <f t="shared" si="1"/>
        <v>OrcLineman</v>
      </c>
      <c r="AD85" s="487" t="s">
        <v>746</v>
      </c>
      <c r="AE85" s="179" t="s">
        <v>762</v>
      </c>
      <c r="AF85" s="179" t="s">
        <v>762</v>
      </c>
      <c r="AG85" s="179"/>
      <c r="AH85" s="488"/>
      <c r="AI85" s="179"/>
      <c r="AJ85" s="179" t="s">
        <v>763</v>
      </c>
      <c r="AK85" s="179" t="s">
        <v>25</v>
      </c>
      <c r="AL85" s="179" t="s">
        <v>764</v>
      </c>
      <c r="AM85" s="488"/>
    </row>
    <row r="86" spans="1:39" ht="15.75" customHeight="1">
      <c r="A86" s="470" t="s">
        <v>64</v>
      </c>
      <c r="B86" s="470" t="s">
        <v>108</v>
      </c>
      <c r="C86" s="484" t="str">
        <f t="shared" si="0"/>
        <v>OrcThrower</v>
      </c>
      <c r="D86" s="484">
        <v>2</v>
      </c>
      <c r="E86" s="485">
        <v>70000</v>
      </c>
      <c r="F86" s="459">
        <v>5</v>
      </c>
      <c r="G86" s="459">
        <v>3</v>
      </c>
      <c r="H86" s="459">
        <v>3</v>
      </c>
      <c r="I86" s="459">
        <v>8</v>
      </c>
      <c r="J86" s="470" t="s">
        <v>902</v>
      </c>
      <c r="K86" s="459" t="s">
        <v>767</v>
      </c>
      <c r="L86" s="459" t="s">
        <v>754</v>
      </c>
      <c r="O86" s="496"/>
      <c r="X86" s="470"/>
      <c r="Y86" s="470"/>
      <c r="Z86" s="470"/>
      <c r="AA86" s="470" t="s">
        <v>64</v>
      </c>
      <c r="AB86" s="470" t="s">
        <v>150</v>
      </c>
      <c r="AC86" t="str">
        <f t="shared" si="1"/>
        <v>OrcGoblin</v>
      </c>
      <c r="AD86" s="487"/>
      <c r="AE86" s="179" t="s">
        <v>763</v>
      </c>
      <c r="AF86" s="179" t="s">
        <v>762</v>
      </c>
      <c r="AG86" s="179"/>
      <c r="AH86" s="488"/>
      <c r="AI86" s="179" t="s">
        <v>746</v>
      </c>
      <c r="AJ86" s="179"/>
      <c r="AK86" s="179" t="s">
        <v>25</v>
      </c>
      <c r="AL86" s="179" t="s">
        <v>764</v>
      </c>
      <c r="AM86" s="488"/>
    </row>
    <row r="87" spans="1:39" ht="15.75" customHeight="1">
      <c r="A87" s="470" t="s">
        <v>64</v>
      </c>
      <c r="B87" s="470" t="s">
        <v>394</v>
      </c>
      <c r="C87" s="484" t="str">
        <f t="shared" si="0"/>
        <v>OrcBlack Orc Blocker</v>
      </c>
      <c r="D87" s="484">
        <v>4</v>
      </c>
      <c r="E87" s="485">
        <v>80000</v>
      </c>
      <c r="F87" s="459">
        <v>4</v>
      </c>
      <c r="G87" s="459">
        <v>4</v>
      </c>
      <c r="H87" s="459">
        <v>2</v>
      </c>
      <c r="I87" s="459">
        <v>9</v>
      </c>
      <c r="K87" s="459" t="s">
        <v>774</v>
      </c>
      <c r="L87" s="459" t="s">
        <v>775</v>
      </c>
      <c r="O87" s="496"/>
      <c r="X87" s="470"/>
      <c r="Y87" s="470"/>
      <c r="Z87" s="470"/>
      <c r="AA87" s="470" t="s">
        <v>64</v>
      </c>
      <c r="AB87" s="470" t="s">
        <v>108</v>
      </c>
      <c r="AC87" t="str">
        <f t="shared" si="1"/>
        <v>OrcThrower</v>
      </c>
      <c r="AD87" s="487"/>
      <c r="AE87" s="179"/>
      <c r="AF87" s="179" t="s">
        <v>25</v>
      </c>
      <c r="AG87" s="179" t="s">
        <v>764</v>
      </c>
      <c r="AH87" s="488"/>
      <c r="AI87" s="179"/>
      <c r="AJ87" s="179" t="s">
        <v>763</v>
      </c>
      <c r="AK87" s="179" t="s">
        <v>25</v>
      </c>
      <c r="AL87" s="179"/>
      <c r="AM87" s="488"/>
    </row>
    <row r="88" spans="1:39" ht="15.75" customHeight="1">
      <c r="A88" s="470" t="s">
        <v>64</v>
      </c>
      <c r="B88" s="470" t="s">
        <v>101</v>
      </c>
      <c r="C88" s="484" t="str">
        <f t="shared" si="0"/>
        <v>OrcBlitzer</v>
      </c>
      <c r="D88" s="484">
        <v>4</v>
      </c>
      <c r="E88" s="485">
        <v>80000</v>
      </c>
      <c r="F88" s="459">
        <v>6</v>
      </c>
      <c r="G88" s="459">
        <v>3</v>
      </c>
      <c r="H88" s="459">
        <v>3</v>
      </c>
      <c r="I88" s="459">
        <v>9</v>
      </c>
      <c r="J88" s="470" t="s">
        <v>155</v>
      </c>
      <c r="K88" s="459" t="s">
        <v>774</v>
      </c>
      <c r="L88" s="459" t="s">
        <v>775</v>
      </c>
      <c r="O88" s="496"/>
      <c r="X88" s="470"/>
      <c r="Y88" s="470"/>
      <c r="Z88" s="470"/>
      <c r="AA88" s="470" t="s">
        <v>64</v>
      </c>
      <c r="AB88" s="470" t="s">
        <v>903</v>
      </c>
      <c r="AC88" t="str">
        <f t="shared" si="1"/>
        <v>OrcBlack Orc</v>
      </c>
      <c r="AD88" s="487" t="s">
        <v>746</v>
      </c>
      <c r="AE88" s="179"/>
      <c r="AF88" s="179" t="s">
        <v>25</v>
      </c>
      <c r="AG88" s="179"/>
      <c r="AH88" s="488"/>
      <c r="AI88" s="179"/>
      <c r="AJ88" s="179" t="s">
        <v>763</v>
      </c>
      <c r="AK88" s="179" t="s">
        <v>762</v>
      </c>
      <c r="AL88" s="179" t="s">
        <v>764</v>
      </c>
      <c r="AM88" s="488"/>
    </row>
    <row r="89" spans="1:39" ht="15.75" customHeight="1">
      <c r="A89" s="470" t="s">
        <v>64</v>
      </c>
      <c r="B89" s="470" t="s">
        <v>212</v>
      </c>
      <c r="C89" s="484" t="str">
        <f t="shared" si="0"/>
        <v>OrcTroll</v>
      </c>
      <c r="D89" s="484">
        <v>1</v>
      </c>
      <c r="E89" s="485">
        <v>110000</v>
      </c>
      <c r="F89" s="459">
        <v>4</v>
      </c>
      <c r="G89" s="459">
        <v>5</v>
      </c>
      <c r="H89" s="459">
        <v>1</v>
      </c>
      <c r="I89" s="459">
        <v>9</v>
      </c>
      <c r="J89" s="470" t="s">
        <v>831</v>
      </c>
      <c r="K89" s="459" t="s">
        <v>25</v>
      </c>
      <c r="L89" s="459" t="s">
        <v>788</v>
      </c>
      <c r="O89" s="496"/>
      <c r="X89" s="470"/>
      <c r="Y89" s="470"/>
      <c r="Z89" s="470"/>
      <c r="AA89" s="470" t="s">
        <v>64</v>
      </c>
      <c r="AB89" s="470" t="s">
        <v>101</v>
      </c>
      <c r="AC89" t="str">
        <f t="shared" si="1"/>
        <v>OrcBlitzer</v>
      </c>
      <c r="AD89" s="487" t="s">
        <v>746</v>
      </c>
      <c r="AE89" s="179"/>
      <c r="AF89" s="179" t="s">
        <v>25</v>
      </c>
      <c r="AG89" s="179"/>
      <c r="AH89" s="488"/>
      <c r="AI89" s="179"/>
      <c r="AJ89" s="179" t="s">
        <v>763</v>
      </c>
      <c r="AK89" s="179" t="s">
        <v>762</v>
      </c>
      <c r="AL89" s="179" t="s">
        <v>764</v>
      </c>
      <c r="AM89" s="488"/>
    </row>
    <row r="90" spans="1:39" ht="15.75" customHeight="1">
      <c r="A90" s="470" t="s">
        <v>55</v>
      </c>
      <c r="B90" s="470" t="s">
        <v>904</v>
      </c>
      <c r="C90" s="484" t="str">
        <f t="shared" si="0"/>
        <v>SimyinBonobo</v>
      </c>
      <c r="D90" s="484">
        <v>12</v>
      </c>
      <c r="E90" s="485">
        <v>50000</v>
      </c>
      <c r="F90" s="459">
        <v>6</v>
      </c>
      <c r="G90" s="459">
        <v>3</v>
      </c>
      <c r="H90" s="459">
        <v>3</v>
      </c>
      <c r="I90" s="459">
        <v>7</v>
      </c>
      <c r="J90" s="470" t="s">
        <v>293</v>
      </c>
      <c r="K90" s="459" t="s">
        <v>746</v>
      </c>
      <c r="L90" s="459" t="s">
        <v>747</v>
      </c>
      <c r="O90" s="496"/>
      <c r="X90" s="470"/>
      <c r="Y90" s="470"/>
      <c r="Z90" s="470"/>
      <c r="AA90" s="470" t="s">
        <v>64</v>
      </c>
      <c r="AB90" s="470" t="s">
        <v>212</v>
      </c>
      <c r="AC90" t="str">
        <f t="shared" si="1"/>
        <v>OrcTroll</v>
      </c>
      <c r="AD90" s="487"/>
      <c r="AE90" s="179" t="s">
        <v>762</v>
      </c>
      <c r="AF90" s="179" t="s">
        <v>25</v>
      </c>
      <c r="AG90" s="179"/>
      <c r="AH90" s="488"/>
      <c r="AI90" s="179" t="s">
        <v>746</v>
      </c>
      <c r="AJ90" s="179" t="s">
        <v>763</v>
      </c>
      <c r="AK90" s="179"/>
      <c r="AL90" s="179" t="s">
        <v>764</v>
      </c>
      <c r="AM90" s="488"/>
    </row>
    <row r="91" spans="1:39" ht="15.75" customHeight="1">
      <c r="A91" s="470" t="s">
        <v>55</v>
      </c>
      <c r="B91" s="470" t="s">
        <v>905</v>
      </c>
      <c r="C91" s="484" t="str">
        <f t="shared" si="0"/>
        <v>SimyinOrangutan</v>
      </c>
      <c r="D91" s="484">
        <v>2</v>
      </c>
      <c r="E91" s="485">
        <v>70000</v>
      </c>
      <c r="F91" s="459">
        <v>5</v>
      </c>
      <c r="G91" s="459">
        <v>3</v>
      </c>
      <c r="H91" s="459">
        <v>3</v>
      </c>
      <c r="I91" s="459">
        <v>8</v>
      </c>
      <c r="J91" s="470" t="s">
        <v>906</v>
      </c>
      <c r="K91" s="459" t="s">
        <v>753</v>
      </c>
      <c r="L91" s="459" t="s">
        <v>754</v>
      </c>
      <c r="O91" s="496"/>
      <c r="X91" s="470"/>
      <c r="Y91" s="470"/>
      <c r="Z91" s="470"/>
      <c r="AA91" s="470" t="s">
        <v>55</v>
      </c>
      <c r="AB91" s="470" t="s">
        <v>904</v>
      </c>
      <c r="AC91" t="str">
        <f t="shared" si="1"/>
        <v>SimyinBonobo</v>
      </c>
      <c r="AD91" s="487" t="s">
        <v>746</v>
      </c>
      <c r="AE91" s="179" t="s">
        <v>762</v>
      </c>
      <c r="AF91" s="179" t="s">
        <v>762</v>
      </c>
      <c r="AG91" s="179"/>
      <c r="AH91" s="488"/>
      <c r="AI91" s="179"/>
      <c r="AJ91" s="179" t="s">
        <v>763</v>
      </c>
      <c r="AK91" s="179" t="s">
        <v>25</v>
      </c>
      <c r="AL91" s="179" t="s">
        <v>764</v>
      </c>
      <c r="AM91" s="488"/>
    </row>
    <row r="92" spans="1:39" ht="15.75" customHeight="1">
      <c r="A92" s="470" t="s">
        <v>55</v>
      </c>
      <c r="B92" s="470" t="s">
        <v>907</v>
      </c>
      <c r="C92" s="484" t="str">
        <f t="shared" si="0"/>
        <v>SimyinChimpanzee</v>
      </c>
      <c r="D92" s="484">
        <v>2</v>
      </c>
      <c r="E92" s="485">
        <v>80000</v>
      </c>
      <c r="F92" s="459">
        <v>7</v>
      </c>
      <c r="G92" s="459">
        <v>3</v>
      </c>
      <c r="H92" s="459">
        <v>3</v>
      </c>
      <c r="I92" s="459">
        <v>7</v>
      </c>
      <c r="J92" s="470" t="s">
        <v>908</v>
      </c>
      <c r="K92" s="459" t="s">
        <v>766</v>
      </c>
      <c r="L92" s="459" t="s">
        <v>767</v>
      </c>
      <c r="O92" s="496"/>
      <c r="X92" s="470"/>
      <c r="Y92" s="470"/>
      <c r="Z92" s="470"/>
      <c r="AA92" s="470" t="s">
        <v>55</v>
      </c>
      <c r="AB92" s="470" t="s">
        <v>905</v>
      </c>
      <c r="AC92" t="str">
        <f t="shared" si="1"/>
        <v>SimyinOrangutan</v>
      </c>
      <c r="AD92" s="487" t="s">
        <v>746</v>
      </c>
      <c r="AE92" s="179"/>
      <c r="AF92" s="179"/>
      <c r="AG92" s="179" t="s">
        <v>764</v>
      </c>
      <c r="AH92" s="488"/>
      <c r="AI92" s="179"/>
      <c r="AJ92" s="179" t="s">
        <v>763</v>
      </c>
      <c r="AK92" s="179" t="s">
        <v>25</v>
      </c>
      <c r="AL92" s="179"/>
      <c r="AM92" s="488"/>
    </row>
    <row r="93" spans="1:39" ht="15.75" customHeight="1">
      <c r="A93" s="470" t="s">
        <v>55</v>
      </c>
      <c r="B93" s="470" t="s">
        <v>909</v>
      </c>
      <c r="C93" s="484" t="str">
        <f t="shared" si="0"/>
        <v>SimyinGorilla</v>
      </c>
      <c r="D93" s="484">
        <v>4</v>
      </c>
      <c r="E93" s="485">
        <v>100000</v>
      </c>
      <c r="F93" s="459">
        <v>5</v>
      </c>
      <c r="G93" s="459">
        <v>4</v>
      </c>
      <c r="H93" s="459">
        <v>2</v>
      </c>
      <c r="I93" s="459">
        <v>8</v>
      </c>
      <c r="J93" s="470" t="s">
        <v>910</v>
      </c>
      <c r="K93" s="459" t="s">
        <v>754</v>
      </c>
      <c r="L93" s="459" t="s">
        <v>767</v>
      </c>
      <c r="O93" s="496"/>
      <c r="X93" s="470"/>
      <c r="Y93" s="470"/>
      <c r="Z93" s="470"/>
      <c r="AA93" s="470" t="s">
        <v>55</v>
      </c>
      <c r="AB93" s="470" t="s">
        <v>907</v>
      </c>
      <c r="AC93" t="str">
        <f t="shared" si="1"/>
        <v>SimyinChimpanzee</v>
      </c>
      <c r="AD93" s="487" t="s">
        <v>746</v>
      </c>
      <c r="AE93" s="179" t="s">
        <v>763</v>
      </c>
      <c r="AF93" s="179" t="s">
        <v>762</v>
      </c>
      <c r="AG93" s="179"/>
      <c r="AH93" s="488"/>
      <c r="AI93" s="179"/>
      <c r="AJ93" s="179"/>
      <c r="AK93" s="179" t="s">
        <v>25</v>
      </c>
      <c r="AL93" s="179" t="s">
        <v>764</v>
      </c>
      <c r="AM93" s="488"/>
    </row>
    <row r="94" spans="1:39" ht="15.75" customHeight="1">
      <c r="A94" s="470" t="s">
        <v>55</v>
      </c>
      <c r="B94" s="470" t="s">
        <v>911</v>
      </c>
      <c r="C94" s="484" t="str">
        <f t="shared" si="0"/>
        <v>SimyinSilverback</v>
      </c>
      <c r="D94" s="484">
        <v>1</v>
      </c>
      <c r="E94" s="485">
        <v>140000</v>
      </c>
      <c r="F94" s="459">
        <v>5</v>
      </c>
      <c r="G94" s="459">
        <v>5</v>
      </c>
      <c r="H94" s="459">
        <v>1</v>
      </c>
      <c r="I94" s="459">
        <v>9</v>
      </c>
      <c r="J94" s="470" t="s">
        <v>912</v>
      </c>
      <c r="K94" s="459" t="s">
        <v>25</v>
      </c>
      <c r="L94" s="459" t="s">
        <v>788</v>
      </c>
      <c r="O94" s="496"/>
      <c r="X94" s="470"/>
      <c r="Y94" s="470"/>
      <c r="Z94" s="470"/>
      <c r="AA94" s="470" t="s">
        <v>55</v>
      </c>
      <c r="AB94" s="470" t="s">
        <v>909</v>
      </c>
      <c r="AC94" t="str">
        <f t="shared" si="1"/>
        <v>SimyinGorilla</v>
      </c>
      <c r="AD94" s="487"/>
      <c r="AE94" s="179" t="s">
        <v>763</v>
      </c>
      <c r="AF94" s="179" t="s">
        <v>25</v>
      </c>
      <c r="AG94" s="179"/>
      <c r="AH94" s="488"/>
      <c r="AI94" s="179"/>
      <c r="AJ94" s="179"/>
      <c r="AK94" s="179" t="s">
        <v>25</v>
      </c>
      <c r="AL94" s="179" t="s">
        <v>764</v>
      </c>
      <c r="AM94" s="488"/>
    </row>
    <row r="95" spans="1:39" ht="15.75" customHeight="1">
      <c r="A95" s="470" t="s">
        <v>57</v>
      </c>
      <c r="B95" s="470" t="s">
        <v>68</v>
      </c>
      <c r="C95" s="484" t="str">
        <f t="shared" si="0"/>
        <v>SkavenLineman</v>
      </c>
      <c r="D95" s="484">
        <v>16</v>
      </c>
      <c r="E95" s="485">
        <v>50000</v>
      </c>
      <c r="F95" s="459">
        <v>7</v>
      </c>
      <c r="G95" s="459">
        <v>3</v>
      </c>
      <c r="H95" s="459">
        <v>3</v>
      </c>
      <c r="I95" s="459">
        <v>7</v>
      </c>
      <c r="K95" s="459" t="s">
        <v>746</v>
      </c>
      <c r="L95" s="459" t="s">
        <v>913</v>
      </c>
      <c r="O95" s="496"/>
      <c r="X95" s="470"/>
      <c r="Y95" s="470"/>
      <c r="Z95" s="470"/>
      <c r="AA95" s="470" t="s">
        <v>55</v>
      </c>
      <c r="AB95" s="470" t="s">
        <v>911</v>
      </c>
      <c r="AC95" t="str">
        <f t="shared" si="1"/>
        <v>SimyinSilverback</v>
      </c>
      <c r="AD95" s="487"/>
      <c r="AE95" s="179" t="s">
        <v>762</v>
      </c>
      <c r="AF95" s="179" t="s">
        <v>25</v>
      </c>
      <c r="AG95" s="179"/>
      <c r="AH95" s="488"/>
      <c r="AI95" s="179" t="s">
        <v>746</v>
      </c>
      <c r="AJ95" s="179" t="s">
        <v>763</v>
      </c>
      <c r="AK95" s="179"/>
      <c r="AL95" s="179" t="s">
        <v>764</v>
      </c>
      <c r="AM95" s="488"/>
    </row>
    <row r="96" spans="1:39" ht="15.75" customHeight="1">
      <c r="A96" s="470" t="s">
        <v>57</v>
      </c>
      <c r="B96" s="470" t="s">
        <v>108</v>
      </c>
      <c r="C96" s="484" t="str">
        <f t="shared" si="0"/>
        <v>SkavenThrower</v>
      </c>
      <c r="D96" s="484">
        <v>2</v>
      </c>
      <c r="E96" s="485">
        <v>70000</v>
      </c>
      <c r="F96" s="459">
        <v>7</v>
      </c>
      <c r="G96" s="459">
        <v>3</v>
      </c>
      <c r="H96" s="459">
        <v>3</v>
      </c>
      <c r="I96" s="459">
        <v>7</v>
      </c>
      <c r="J96" s="470" t="s">
        <v>873</v>
      </c>
      <c r="K96" s="459" t="s">
        <v>753</v>
      </c>
      <c r="L96" s="459" t="s">
        <v>914</v>
      </c>
      <c r="O96" s="496"/>
      <c r="X96" s="470"/>
      <c r="Y96" s="470"/>
      <c r="Z96" s="470"/>
      <c r="AA96" s="470" t="s">
        <v>57</v>
      </c>
      <c r="AB96" s="470" t="s">
        <v>68</v>
      </c>
      <c r="AC96" t="str">
        <f t="shared" si="1"/>
        <v>SkavenLineman</v>
      </c>
      <c r="AD96" s="487" t="s">
        <v>746</v>
      </c>
      <c r="AE96" s="179" t="s">
        <v>762</v>
      </c>
      <c r="AF96" s="179" t="s">
        <v>762</v>
      </c>
      <c r="AG96" s="179"/>
      <c r="AH96" s="488"/>
      <c r="AI96" s="179"/>
      <c r="AJ96" s="179" t="s">
        <v>763</v>
      </c>
      <c r="AK96" s="179" t="s">
        <v>25</v>
      </c>
      <c r="AL96" s="179" t="s">
        <v>764</v>
      </c>
      <c r="AM96" s="488"/>
    </row>
    <row r="97" spans="1:39" ht="15.75" customHeight="1">
      <c r="A97" s="470" t="s">
        <v>57</v>
      </c>
      <c r="B97" s="470" t="s">
        <v>152</v>
      </c>
      <c r="C97" s="484" t="str">
        <f t="shared" si="0"/>
        <v>SkavenGutter Runner</v>
      </c>
      <c r="D97" s="484">
        <v>4</v>
      </c>
      <c r="E97" s="485">
        <v>80000</v>
      </c>
      <c r="F97" s="459">
        <v>9</v>
      </c>
      <c r="G97" s="459">
        <v>2</v>
      </c>
      <c r="H97" s="459">
        <v>4</v>
      </c>
      <c r="I97" s="459">
        <v>7</v>
      </c>
      <c r="J97" s="470" t="s">
        <v>915</v>
      </c>
      <c r="K97" s="459" t="s">
        <v>766</v>
      </c>
      <c r="L97" s="459" t="s">
        <v>916</v>
      </c>
      <c r="O97" s="496"/>
      <c r="X97" s="470"/>
      <c r="Y97" s="470"/>
      <c r="Z97" s="470"/>
      <c r="AA97" s="470" t="s">
        <v>57</v>
      </c>
      <c r="AB97" s="470" t="s">
        <v>108</v>
      </c>
      <c r="AC97" t="str">
        <f t="shared" si="1"/>
        <v>SkavenThrower</v>
      </c>
      <c r="AD97" s="487" t="s">
        <v>746</v>
      </c>
      <c r="AE97" s="179"/>
      <c r="AF97" s="179" t="s">
        <v>762</v>
      </c>
      <c r="AG97" s="179" t="s">
        <v>764</v>
      </c>
      <c r="AH97" s="488"/>
      <c r="AI97" s="179"/>
      <c r="AJ97" s="179" t="s">
        <v>763</v>
      </c>
      <c r="AK97" s="179" t="s">
        <v>25</v>
      </c>
      <c r="AL97" s="179"/>
      <c r="AM97" s="488" t="s">
        <v>20</v>
      </c>
    </row>
    <row r="98" spans="1:39" ht="15.75" customHeight="1">
      <c r="A98" s="470" t="s">
        <v>57</v>
      </c>
      <c r="B98" s="470" t="s">
        <v>101</v>
      </c>
      <c r="C98" s="484" t="str">
        <f t="shared" si="0"/>
        <v>SkavenBlitzer</v>
      </c>
      <c r="D98" s="484">
        <v>2</v>
      </c>
      <c r="E98" s="485">
        <v>90000</v>
      </c>
      <c r="F98" s="459">
        <v>7</v>
      </c>
      <c r="G98" s="459">
        <v>3</v>
      </c>
      <c r="H98" s="459">
        <v>3</v>
      </c>
      <c r="I98" s="459">
        <v>8</v>
      </c>
      <c r="J98" s="470" t="s">
        <v>155</v>
      </c>
      <c r="K98" s="459" t="s">
        <v>774</v>
      </c>
      <c r="L98" s="459" t="s">
        <v>811</v>
      </c>
      <c r="O98" s="496"/>
      <c r="X98" s="470"/>
      <c r="Y98" s="470"/>
      <c r="Z98" s="470"/>
      <c r="AA98" s="470" t="s">
        <v>57</v>
      </c>
      <c r="AB98" s="470" t="s">
        <v>152</v>
      </c>
      <c r="AC98" t="str">
        <f t="shared" si="1"/>
        <v>SkavenGutter Runner</v>
      </c>
      <c r="AD98" s="487" t="s">
        <v>746</v>
      </c>
      <c r="AE98" s="179" t="s">
        <v>763</v>
      </c>
      <c r="AF98" s="179" t="s">
        <v>762</v>
      </c>
      <c r="AG98" s="179"/>
      <c r="AH98" s="488"/>
      <c r="AI98" s="179"/>
      <c r="AJ98" s="179"/>
      <c r="AK98" s="179" t="s">
        <v>25</v>
      </c>
      <c r="AL98" s="179" t="s">
        <v>764</v>
      </c>
      <c r="AM98" s="488" t="s">
        <v>20</v>
      </c>
    </row>
    <row r="99" spans="1:39" ht="15.75" customHeight="1">
      <c r="A99" s="470" t="s">
        <v>57</v>
      </c>
      <c r="B99" s="470" t="s">
        <v>184</v>
      </c>
      <c r="C99" s="484" t="str">
        <f t="shared" si="0"/>
        <v>SkavenRat Ogre</v>
      </c>
      <c r="D99" s="484">
        <v>1</v>
      </c>
      <c r="E99" s="485">
        <v>150000</v>
      </c>
      <c r="F99" s="459">
        <v>6</v>
      </c>
      <c r="G99" s="459">
        <v>5</v>
      </c>
      <c r="H99" s="459">
        <v>2</v>
      </c>
      <c r="I99" s="459">
        <v>8</v>
      </c>
      <c r="J99" s="470" t="s">
        <v>917</v>
      </c>
      <c r="K99" s="459" t="s">
        <v>25</v>
      </c>
      <c r="L99" s="459" t="s">
        <v>815</v>
      </c>
      <c r="O99" s="496"/>
      <c r="X99" s="470"/>
      <c r="Y99" s="470"/>
      <c r="Z99" s="470"/>
      <c r="AA99" s="470" t="s">
        <v>57</v>
      </c>
      <c r="AB99" s="470" t="s">
        <v>101</v>
      </c>
      <c r="AC99" t="str">
        <f t="shared" si="1"/>
        <v>SkavenBlitzer</v>
      </c>
      <c r="AD99" s="487" t="s">
        <v>746</v>
      </c>
      <c r="AE99" s="179"/>
      <c r="AF99" s="179" t="s">
        <v>25</v>
      </c>
      <c r="AG99" s="179"/>
      <c r="AH99" s="488"/>
      <c r="AI99" s="179"/>
      <c r="AJ99" s="179" t="s">
        <v>763</v>
      </c>
      <c r="AK99" s="179"/>
      <c r="AL99" s="179" t="s">
        <v>764</v>
      </c>
      <c r="AM99" s="488" t="s">
        <v>20</v>
      </c>
    </row>
    <row r="100" spans="1:39" ht="15.75" customHeight="1">
      <c r="A100" s="497" t="s">
        <v>587</v>
      </c>
      <c r="B100" s="497" t="s">
        <v>68</v>
      </c>
      <c r="C100" s="484" t="str">
        <f t="shared" si="0"/>
        <v>SlannLineman</v>
      </c>
      <c r="D100" s="470">
        <v>16</v>
      </c>
      <c r="E100" s="485">
        <v>60000</v>
      </c>
      <c r="F100" s="459">
        <v>6</v>
      </c>
      <c r="G100" s="459">
        <v>3</v>
      </c>
      <c r="H100" s="459">
        <v>3</v>
      </c>
      <c r="I100" s="459">
        <v>8</v>
      </c>
      <c r="J100" s="470" t="s">
        <v>918</v>
      </c>
      <c r="K100" s="179" t="s">
        <v>746</v>
      </c>
      <c r="L100" s="179" t="s">
        <v>747</v>
      </c>
      <c r="O100" s="496"/>
      <c r="X100" s="470"/>
      <c r="Y100" s="470"/>
      <c r="Z100" s="470"/>
      <c r="AA100" s="470" t="s">
        <v>57</v>
      </c>
      <c r="AB100" s="470" t="s">
        <v>184</v>
      </c>
      <c r="AC100" t="str">
        <f t="shared" si="1"/>
        <v>SkavenRat Ogre</v>
      </c>
      <c r="AD100" s="487"/>
      <c r="AE100" s="179" t="s">
        <v>762</v>
      </c>
      <c r="AF100" s="179" t="s">
        <v>25</v>
      </c>
      <c r="AG100" s="179"/>
      <c r="AH100" s="488"/>
      <c r="AI100" s="179" t="s">
        <v>746</v>
      </c>
      <c r="AJ100" s="179" t="s">
        <v>763</v>
      </c>
      <c r="AK100" s="179"/>
      <c r="AL100" s="179" t="s">
        <v>764</v>
      </c>
      <c r="AM100" s="488"/>
    </row>
    <row r="101" spans="1:39" ht="15.75" customHeight="1">
      <c r="A101" s="497" t="s">
        <v>587</v>
      </c>
      <c r="B101" s="497" t="s">
        <v>113</v>
      </c>
      <c r="C101" s="484" t="str">
        <f t="shared" si="0"/>
        <v>SlannCatcher</v>
      </c>
      <c r="D101" s="470">
        <v>4</v>
      </c>
      <c r="E101" s="485">
        <v>80000</v>
      </c>
      <c r="F101" s="459">
        <v>7</v>
      </c>
      <c r="G101" s="459">
        <v>2</v>
      </c>
      <c r="H101" s="459">
        <v>4</v>
      </c>
      <c r="I101" s="459">
        <v>7</v>
      </c>
      <c r="J101" s="470" t="s">
        <v>919</v>
      </c>
      <c r="K101" s="179" t="s">
        <v>766</v>
      </c>
      <c r="L101" s="179" t="s">
        <v>767</v>
      </c>
      <c r="O101" s="496"/>
      <c r="X101" s="497"/>
      <c r="Y101" s="497"/>
      <c r="Z101" s="497"/>
      <c r="AA101" s="497" t="s">
        <v>587</v>
      </c>
      <c r="AB101" s="497" t="s">
        <v>68</v>
      </c>
      <c r="AC101" t="str">
        <f t="shared" si="1"/>
        <v>SlannLineman</v>
      </c>
      <c r="AD101" s="487" t="s">
        <v>746</v>
      </c>
      <c r="AE101" s="179"/>
      <c r="AF101" s="179"/>
      <c r="AG101" s="179"/>
      <c r="AH101" s="488"/>
      <c r="AI101" s="179"/>
      <c r="AJ101" s="179" t="s">
        <v>763</v>
      </c>
      <c r="AK101" s="179" t="s">
        <v>25</v>
      </c>
      <c r="AL101" s="179" t="s">
        <v>764</v>
      </c>
      <c r="AM101" s="488"/>
    </row>
    <row r="102" spans="1:39" ht="15.75" customHeight="1">
      <c r="A102" s="497" t="s">
        <v>587</v>
      </c>
      <c r="B102" s="497" t="s">
        <v>101</v>
      </c>
      <c r="C102" s="484" t="str">
        <f t="shared" si="0"/>
        <v>SlannBlitzer</v>
      </c>
      <c r="D102" s="470">
        <v>4</v>
      </c>
      <c r="E102" s="485">
        <v>110000</v>
      </c>
      <c r="F102" s="459">
        <v>7</v>
      </c>
      <c r="G102" s="459">
        <v>3</v>
      </c>
      <c r="H102" s="459">
        <v>3</v>
      </c>
      <c r="I102" s="459">
        <v>8</v>
      </c>
      <c r="J102" s="470" t="s">
        <v>920</v>
      </c>
      <c r="K102" s="179" t="s">
        <v>842</v>
      </c>
      <c r="L102" s="179" t="s">
        <v>764</v>
      </c>
      <c r="O102" s="496"/>
      <c r="X102" s="497"/>
      <c r="Y102" s="497"/>
      <c r="Z102" s="497"/>
      <c r="AA102" s="497" t="s">
        <v>587</v>
      </c>
      <c r="AB102" s="497" t="s">
        <v>113</v>
      </c>
      <c r="AC102" t="str">
        <f t="shared" si="1"/>
        <v>SlannCatcher</v>
      </c>
      <c r="AD102" s="487" t="s">
        <v>746</v>
      </c>
      <c r="AE102" s="179" t="s">
        <v>763</v>
      </c>
      <c r="AF102" s="179"/>
      <c r="AG102" s="179"/>
      <c r="AH102" s="488"/>
      <c r="AI102" s="179"/>
      <c r="AJ102" s="179"/>
      <c r="AK102" s="179" t="s">
        <v>25</v>
      </c>
      <c r="AL102" s="179" t="s">
        <v>764</v>
      </c>
      <c r="AM102" s="488"/>
    </row>
    <row r="103" spans="1:39" ht="15.75" customHeight="1">
      <c r="A103" s="497" t="s">
        <v>587</v>
      </c>
      <c r="B103" s="497" t="s">
        <v>885</v>
      </c>
      <c r="C103" s="484" t="str">
        <f t="shared" si="0"/>
        <v>SlannKroxigor</v>
      </c>
      <c r="D103" s="470">
        <v>1</v>
      </c>
      <c r="E103" s="485">
        <v>140000</v>
      </c>
      <c r="F103" s="459">
        <v>6</v>
      </c>
      <c r="G103" s="459">
        <v>5</v>
      </c>
      <c r="H103" s="459">
        <v>1</v>
      </c>
      <c r="I103" s="459">
        <v>9</v>
      </c>
      <c r="J103" s="470" t="s">
        <v>921</v>
      </c>
      <c r="K103" s="179" t="s">
        <v>25</v>
      </c>
      <c r="L103" s="179" t="s">
        <v>788</v>
      </c>
      <c r="O103" s="496"/>
      <c r="X103" s="497"/>
      <c r="Y103" s="497"/>
      <c r="Z103" s="497"/>
      <c r="AA103" s="497" t="s">
        <v>587</v>
      </c>
      <c r="AB103" s="497" t="s">
        <v>101</v>
      </c>
      <c r="AC103" t="str">
        <f t="shared" si="1"/>
        <v>SlannBlitzer</v>
      </c>
      <c r="AD103" s="487" t="s">
        <v>746</v>
      </c>
      <c r="AE103" s="179" t="s">
        <v>763</v>
      </c>
      <c r="AF103" s="179" t="s">
        <v>25</v>
      </c>
      <c r="AG103" s="179"/>
      <c r="AH103" s="488"/>
      <c r="AI103" s="179"/>
      <c r="AJ103" s="179"/>
      <c r="AK103" s="179"/>
      <c r="AL103" s="179" t="s">
        <v>764</v>
      </c>
      <c r="AM103" s="488"/>
    </row>
    <row r="104" spans="1:39" ht="15.75" customHeight="1">
      <c r="A104" s="497" t="s">
        <v>32</v>
      </c>
      <c r="B104" s="497" t="s">
        <v>93</v>
      </c>
      <c r="C104" s="484" t="str">
        <f t="shared" si="0"/>
        <v>UndeadSkeleton</v>
      </c>
      <c r="D104" s="498">
        <v>16</v>
      </c>
      <c r="E104" s="486">
        <v>40000</v>
      </c>
      <c r="F104" s="499">
        <v>5</v>
      </c>
      <c r="G104" s="499">
        <v>3</v>
      </c>
      <c r="H104" s="500">
        <v>2</v>
      </c>
      <c r="I104" s="500">
        <v>7</v>
      </c>
      <c r="J104" s="497" t="s">
        <v>875</v>
      </c>
      <c r="K104" s="499" t="s">
        <v>746</v>
      </c>
      <c r="L104" s="499" t="s">
        <v>747</v>
      </c>
      <c r="O104" s="496"/>
      <c r="X104" s="497"/>
      <c r="Y104" s="497"/>
      <c r="Z104" s="497"/>
      <c r="AA104" s="497" t="s">
        <v>587</v>
      </c>
      <c r="AB104" s="497" t="s">
        <v>885</v>
      </c>
      <c r="AC104" t="str">
        <f t="shared" si="1"/>
        <v>SlannKroxigor</v>
      </c>
      <c r="AD104" s="487"/>
      <c r="AE104" s="179"/>
      <c r="AF104" s="179" t="s">
        <v>25</v>
      </c>
      <c r="AG104" s="179"/>
      <c r="AH104" s="488"/>
      <c r="AI104" s="179" t="s">
        <v>746</v>
      </c>
      <c r="AJ104" s="179" t="s">
        <v>763</v>
      </c>
      <c r="AK104" s="179"/>
      <c r="AL104" s="179" t="s">
        <v>764</v>
      </c>
      <c r="AM104" s="488"/>
    </row>
    <row r="105" spans="1:39" ht="15.75" customHeight="1">
      <c r="A105" s="497" t="s">
        <v>32</v>
      </c>
      <c r="B105" s="470" t="s">
        <v>79</v>
      </c>
      <c r="C105" s="484" t="str">
        <f t="shared" si="0"/>
        <v>UndeadZombie</v>
      </c>
      <c r="D105" s="484">
        <v>16</v>
      </c>
      <c r="E105" s="485">
        <v>40000</v>
      </c>
      <c r="F105" s="459">
        <v>4</v>
      </c>
      <c r="G105" s="459">
        <v>3</v>
      </c>
      <c r="H105" s="459">
        <v>2</v>
      </c>
      <c r="I105" s="459">
        <v>8</v>
      </c>
      <c r="J105" s="470" t="s">
        <v>824</v>
      </c>
      <c r="K105" s="459" t="s">
        <v>746</v>
      </c>
      <c r="L105" s="459" t="s">
        <v>747</v>
      </c>
      <c r="O105" s="496"/>
      <c r="X105" s="497"/>
      <c r="Y105" s="497"/>
      <c r="Z105" s="497"/>
      <c r="AA105" s="497" t="s">
        <v>32</v>
      </c>
      <c r="AB105" s="497" t="s">
        <v>93</v>
      </c>
      <c r="AC105" t="str">
        <f t="shared" si="1"/>
        <v>UndeadSkeleton</v>
      </c>
      <c r="AD105" s="487" t="s">
        <v>746</v>
      </c>
      <c r="AE105" s="179" t="s">
        <v>762</v>
      </c>
      <c r="AF105" s="179" t="s">
        <v>762</v>
      </c>
      <c r="AG105" s="179"/>
      <c r="AH105" s="488"/>
      <c r="AI105" s="179"/>
      <c r="AJ105" s="179" t="s">
        <v>763</v>
      </c>
      <c r="AK105" s="179" t="s">
        <v>25</v>
      </c>
      <c r="AL105" s="179" t="s">
        <v>764</v>
      </c>
      <c r="AM105" s="488"/>
    </row>
    <row r="106" spans="1:39" ht="15.75" customHeight="1">
      <c r="A106" s="497" t="s">
        <v>32</v>
      </c>
      <c r="B106" s="470" t="s">
        <v>97</v>
      </c>
      <c r="C106" s="484" t="str">
        <f t="shared" si="0"/>
        <v>UndeadGhoul</v>
      </c>
      <c r="D106" s="484">
        <v>4</v>
      </c>
      <c r="E106" s="485">
        <v>70000</v>
      </c>
      <c r="F106" s="459">
        <v>7</v>
      </c>
      <c r="G106" s="459">
        <v>3</v>
      </c>
      <c r="H106" s="459">
        <v>3</v>
      </c>
      <c r="I106" s="459">
        <v>7</v>
      </c>
      <c r="J106" s="470" t="s">
        <v>103</v>
      </c>
      <c r="K106" s="459" t="s">
        <v>766</v>
      </c>
      <c r="L106" s="459" t="s">
        <v>767</v>
      </c>
      <c r="O106" s="496"/>
      <c r="X106" s="497"/>
      <c r="Y106" s="497"/>
      <c r="Z106" s="497"/>
      <c r="AA106" s="497" t="s">
        <v>32</v>
      </c>
      <c r="AB106" s="470" t="s">
        <v>79</v>
      </c>
      <c r="AC106" t="str">
        <f t="shared" si="1"/>
        <v>UndeadZombie</v>
      </c>
      <c r="AD106" s="487" t="s">
        <v>746</v>
      </c>
      <c r="AE106" s="179" t="s">
        <v>762</v>
      </c>
      <c r="AF106" s="179" t="s">
        <v>762</v>
      </c>
      <c r="AG106" s="179"/>
      <c r="AH106" s="488"/>
      <c r="AI106" s="179"/>
      <c r="AJ106" s="179" t="s">
        <v>763</v>
      </c>
      <c r="AK106" s="179" t="s">
        <v>25</v>
      </c>
      <c r="AL106" s="179" t="s">
        <v>764</v>
      </c>
      <c r="AM106" s="488"/>
    </row>
    <row r="107" spans="1:39" ht="15.75" customHeight="1">
      <c r="A107" s="497" t="s">
        <v>32</v>
      </c>
      <c r="B107" s="470" t="s">
        <v>106</v>
      </c>
      <c r="C107" s="484" t="str">
        <f t="shared" si="0"/>
        <v>UndeadWight</v>
      </c>
      <c r="D107" s="484">
        <v>2</v>
      </c>
      <c r="E107" s="485">
        <v>90000</v>
      </c>
      <c r="F107" s="459">
        <v>6</v>
      </c>
      <c r="G107" s="459">
        <v>3</v>
      </c>
      <c r="H107" s="459">
        <v>3</v>
      </c>
      <c r="I107" s="459">
        <v>8</v>
      </c>
      <c r="J107" s="470" t="s">
        <v>879</v>
      </c>
      <c r="K107" s="459" t="s">
        <v>774</v>
      </c>
      <c r="L107" s="459" t="s">
        <v>775</v>
      </c>
      <c r="O107" s="496"/>
      <c r="X107" s="497"/>
      <c r="Y107" s="497"/>
      <c r="Z107" s="497"/>
      <c r="AA107" s="497" t="s">
        <v>32</v>
      </c>
      <c r="AB107" s="470" t="s">
        <v>97</v>
      </c>
      <c r="AC107" t="str">
        <f t="shared" si="1"/>
        <v>UndeadGhoul</v>
      </c>
      <c r="AD107" s="487" t="s">
        <v>746</v>
      </c>
      <c r="AE107" s="179" t="s">
        <v>763</v>
      </c>
      <c r="AF107" s="179" t="s">
        <v>762</v>
      </c>
      <c r="AG107" s="179"/>
      <c r="AH107" s="488"/>
      <c r="AI107" s="179"/>
      <c r="AJ107" s="179"/>
      <c r="AK107" s="179" t="s">
        <v>25</v>
      </c>
      <c r="AL107" s="179" t="s">
        <v>764</v>
      </c>
      <c r="AM107" s="488"/>
    </row>
    <row r="108" spans="1:39" ht="15.75" customHeight="1">
      <c r="A108" s="497" t="s">
        <v>32</v>
      </c>
      <c r="B108" s="470" t="s">
        <v>111</v>
      </c>
      <c r="C108" s="484" t="str">
        <f t="shared" si="0"/>
        <v>UndeadMummy</v>
      </c>
      <c r="D108" s="484">
        <v>2</v>
      </c>
      <c r="E108" s="485">
        <v>120000</v>
      </c>
      <c r="F108" s="459">
        <v>3</v>
      </c>
      <c r="G108" s="459">
        <v>5</v>
      </c>
      <c r="H108" s="459">
        <v>1</v>
      </c>
      <c r="I108" s="459">
        <v>9</v>
      </c>
      <c r="J108" s="470" t="s">
        <v>922</v>
      </c>
      <c r="K108" s="459" t="s">
        <v>25</v>
      </c>
      <c r="L108" s="459" t="s">
        <v>788</v>
      </c>
      <c r="O108" s="496"/>
      <c r="X108" s="497"/>
      <c r="Y108" s="497"/>
      <c r="Z108" s="497"/>
      <c r="AA108" s="497" t="s">
        <v>32</v>
      </c>
      <c r="AB108" s="470" t="s">
        <v>106</v>
      </c>
      <c r="AC108" t="str">
        <f t="shared" si="1"/>
        <v>UndeadWight</v>
      </c>
      <c r="AD108" s="487" t="s">
        <v>746</v>
      </c>
      <c r="AE108" s="179"/>
      <c r="AF108" s="179" t="s">
        <v>25</v>
      </c>
      <c r="AG108" s="179"/>
      <c r="AH108" s="488"/>
      <c r="AI108" s="179"/>
      <c r="AJ108" s="179" t="s">
        <v>763</v>
      </c>
      <c r="AK108" s="179"/>
      <c r="AL108" s="179" t="s">
        <v>764</v>
      </c>
      <c r="AM108" s="488"/>
    </row>
    <row r="109" spans="1:39" ht="15.75" customHeight="1">
      <c r="A109" s="497" t="s">
        <v>588</v>
      </c>
      <c r="B109" s="497" t="s">
        <v>150</v>
      </c>
      <c r="C109" s="484" t="str">
        <f t="shared" si="0"/>
        <v>UnderworldGoblin</v>
      </c>
      <c r="D109" s="470">
        <v>12</v>
      </c>
      <c r="E109" s="485">
        <v>40000</v>
      </c>
      <c r="F109" s="459">
        <v>6</v>
      </c>
      <c r="G109" s="459">
        <v>2</v>
      </c>
      <c r="H109" s="459">
        <v>3</v>
      </c>
      <c r="I109" s="459">
        <v>7</v>
      </c>
      <c r="J109" s="470" t="s">
        <v>901</v>
      </c>
      <c r="K109" s="179" t="s">
        <v>822</v>
      </c>
      <c r="L109" s="493" t="s">
        <v>823</v>
      </c>
      <c r="O109" s="496"/>
      <c r="X109" s="497"/>
      <c r="Y109" s="497"/>
      <c r="Z109" s="497"/>
      <c r="AA109" s="497" t="s">
        <v>32</v>
      </c>
      <c r="AB109" s="470" t="s">
        <v>111</v>
      </c>
      <c r="AC109" t="str">
        <f t="shared" si="1"/>
        <v>UndeadMummy</v>
      </c>
      <c r="AD109" s="487"/>
      <c r="AE109" s="179" t="s">
        <v>762</v>
      </c>
      <c r="AF109" s="179" t="s">
        <v>25</v>
      </c>
      <c r="AG109" s="179"/>
      <c r="AH109" s="488"/>
      <c r="AI109" s="179" t="s">
        <v>746</v>
      </c>
      <c r="AJ109" s="179" t="s">
        <v>763</v>
      </c>
      <c r="AK109" s="179"/>
      <c r="AL109" s="179" t="s">
        <v>764</v>
      </c>
      <c r="AM109" s="488"/>
    </row>
    <row r="110" spans="1:39" ht="15.75" customHeight="1">
      <c r="A110" s="497" t="s">
        <v>588</v>
      </c>
      <c r="B110" s="497" t="s">
        <v>923</v>
      </c>
      <c r="C110" s="484" t="str">
        <f t="shared" si="0"/>
        <v>UnderworldSkaven Lineman</v>
      </c>
      <c r="D110" s="470">
        <v>2</v>
      </c>
      <c r="E110" s="485">
        <v>50000</v>
      </c>
      <c r="F110" s="459">
        <v>7</v>
      </c>
      <c r="G110" s="459">
        <v>3</v>
      </c>
      <c r="H110" s="459">
        <v>3</v>
      </c>
      <c r="I110" s="459">
        <v>7</v>
      </c>
      <c r="J110" s="470" t="s">
        <v>760</v>
      </c>
      <c r="K110" s="493" t="s">
        <v>826</v>
      </c>
      <c r="L110" s="493" t="s">
        <v>747</v>
      </c>
      <c r="O110" s="496"/>
      <c r="X110" s="497"/>
      <c r="Y110" s="497"/>
      <c r="Z110" s="497"/>
      <c r="AA110" s="497" t="s">
        <v>588</v>
      </c>
      <c r="AB110" s="497" t="s">
        <v>150</v>
      </c>
      <c r="AC110" t="str">
        <f t="shared" si="1"/>
        <v>UnderworldGoblin</v>
      </c>
      <c r="AD110" s="487"/>
      <c r="AE110" s="459" t="s">
        <v>763</v>
      </c>
      <c r="AF110" s="179"/>
      <c r="AG110" s="179"/>
      <c r="AH110" s="495" t="s">
        <v>20</v>
      </c>
      <c r="AI110" s="459" t="s">
        <v>746</v>
      </c>
      <c r="AJ110" s="179"/>
      <c r="AK110" s="459" t="s">
        <v>25</v>
      </c>
      <c r="AL110" s="459" t="s">
        <v>764</v>
      </c>
      <c r="AM110" s="488"/>
    </row>
    <row r="111" spans="1:39" ht="15.75" customHeight="1">
      <c r="A111" s="497" t="s">
        <v>588</v>
      </c>
      <c r="B111" s="497" t="s">
        <v>924</v>
      </c>
      <c r="C111" s="484" t="str">
        <f t="shared" si="0"/>
        <v>UnderworldSkaven Thrower</v>
      </c>
      <c r="D111" s="470">
        <v>2</v>
      </c>
      <c r="E111" s="485">
        <v>70000</v>
      </c>
      <c r="F111" s="459">
        <v>7</v>
      </c>
      <c r="G111" s="459">
        <v>3</v>
      </c>
      <c r="H111" s="459">
        <v>3</v>
      </c>
      <c r="I111" s="459">
        <v>7</v>
      </c>
      <c r="J111" s="470" t="s">
        <v>925</v>
      </c>
      <c r="K111" s="493" t="s">
        <v>926</v>
      </c>
      <c r="L111" s="493" t="s">
        <v>754</v>
      </c>
      <c r="O111" s="496"/>
      <c r="X111" s="497"/>
      <c r="Y111" s="497"/>
      <c r="Z111" s="497"/>
      <c r="AA111" s="497" t="s">
        <v>588</v>
      </c>
      <c r="AB111" s="497" t="s">
        <v>923</v>
      </c>
      <c r="AC111" t="str">
        <f t="shared" si="1"/>
        <v>UnderworldSkaven Lineman</v>
      </c>
      <c r="AD111" s="494" t="s">
        <v>746</v>
      </c>
      <c r="AE111" s="179"/>
      <c r="AF111" s="179"/>
      <c r="AG111" s="179"/>
      <c r="AH111" s="495" t="s">
        <v>20</v>
      </c>
      <c r="AI111" s="179"/>
      <c r="AJ111" s="459" t="s">
        <v>763</v>
      </c>
      <c r="AK111" s="459" t="s">
        <v>25</v>
      </c>
      <c r="AL111" s="459" t="s">
        <v>764</v>
      </c>
      <c r="AM111" s="488"/>
    </row>
    <row r="112" spans="1:39" ht="15.75" customHeight="1">
      <c r="A112" s="497" t="s">
        <v>588</v>
      </c>
      <c r="B112" s="497" t="s">
        <v>927</v>
      </c>
      <c r="C112" s="484" t="str">
        <f t="shared" si="0"/>
        <v>UnderworldSkaven Blitzer</v>
      </c>
      <c r="D112" s="470">
        <v>2</v>
      </c>
      <c r="E112" s="485">
        <v>90000</v>
      </c>
      <c r="F112" s="459">
        <v>7</v>
      </c>
      <c r="G112" s="459">
        <v>3</v>
      </c>
      <c r="H112" s="459">
        <v>3</v>
      </c>
      <c r="I112" s="459">
        <v>8</v>
      </c>
      <c r="J112" s="470" t="s">
        <v>928</v>
      </c>
      <c r="K112" s="493" t="s">
        <v>795</v>
      </c>
      <c r="L112" s="179" t="s">
        <v>775</v>
      </c>
      <c r="X112" s="497"/>
      <c r="Y112" s="497"/>
      <c r="Z112" s="497"/>
      <c r="AA112" s="497" t="s">
        <v>588</v>
      </c>
      <c r="AB112" s="497" t="s">
        <v>924</v>
      </c>
      <c r="AC112" t="str">
        <f t="shared" si="1"/>
        <v>UnderworldSkaven Thrower</v>
      </c>
      <c r="AD112" s="494" t="s">
        <v>746</v>
      </c>
      <c r="AE112" s="179"/>
      <c r="AF112" s="179"/>
      <c r="AG112" s="459" t="s">
        <v>764</v>
      </c>
      <c r="AH112" s="495" t="s">
        <v>20</v>
      </c>
      <c r="AI112" s="179"/>
      <c r="AJ112" s="459" t="s">
        <v>763</v>
      </c>
      <c r="AK112" s="459" t="s">
        <v>25</v>
      </c>
      <c r="AL112" s="179"/>
      <c r="AM112" s="488"/>
    </row>
    <row r="113" spans="1:39" ht="15.75" customHeight="1">
      <c r="A113" s="497" t="s">
        <v>588</v>
      </c>
      <c r="B113" s="497" t="s">
        <v>212</v>
      </c>
      <c r="C113" s="484" t="str">
        <f t="shared" si="0"/>
        <v>UnderworldTroll</v>
      </c>
      <c r="D113" s="470">
        <v>1</v>
      </c>
      <c r="E113" s="485">
        <v>110000</v>
      </c>
      <c r="F113" s="459">
        <v>4</v>
      </c>
      <c r="G113" s="459">
        <v>5</v>
      </c>
      <c r="H113" s="459">
        <v>1</v>
      </c>
      <c r="I113" s="459">
        <v>9</v>
      </c>
      <c r="J113" s="470" t="s">
        <v>831</v>
      </c>
      <c r="K113" s="493" t="s">
        <v>804</v>
      </c>
      <c r="L113" s="179" t="s">
        <v>788</v>
      </c>
      <c r="X113" s="497"/>
      <c r="Y113" s="497"/>
      <c r="Z113" s="497"/>
      <c r="AA113" s="497" t="s">
        <v>588</v>
      </c>
      <c r="AB113" s="497" t="s">
        <v>927</v>
      </c>
      <c r="AC113" t="str">
        <f t="shared" si="1"/>
        <v>UnderworldSkaven Blitzer</v>
      </c>
      <c r="AD113" s="494" t="s">
        <v>746</v>
      </c>
      <c r="AE113" s="179"/>
      <c r="AF113" s="459" t="s">
        <v>25</v>
      </c>
      <c r="AG113" s="179"/>
      <c r="AH113" s="495" t="s">
        <v>20</v>
      </c>
      <c r="AI113" s="179"/>
      <c r="AJ113" s="459" t="s">
        <v>763</v>
      </c>
      <c r="AK113" s="179"/>
      <c r="AL113" s="459" t="s">
        <v>764</v>
      </c>
      <c r="AM113" s="488"/>
    </row>
    <row r="114" spans="1:39" ht="15.75" customHeight="1">
      <c r="A114" s="497" t="s">
        <v>320</v>
      </c>
      <c r="B114" s="497" t="s">
        <v>334</v>
      </c>
      <c r="C114" s="484" t="str">
        <f t="shared" si="0"/>
        <v>VampireThrall</v>
      </c>
      <c r="D114" s="498">
        <v>16</v>
      </c>
      <c r="E114" s="486">
        <v>40000</v>
      </c>
      <c r="F114" s="500">
        <v>6</v>
      </c>
      <c r="G114" s="499">
        <v>3</v>
      </c>
      <c r="H114" s="499">
        <v>3</v>
      </c>
      <c r="I114" s="500">
        <v>7</v>
      </c>
      <c r="J114" s="501"/>
      <c r="K114" s="499" t="s">
        <v>746</v>
      </c>
      <c r="L114" s="499" t="s">
        <v>747</v>
      </c>
      <c r="X114" s="497"/>
      <c r="Y114" s="497"/>
      <c r="Z114" s="497"/>
      <c r="AA114" s="497" t="s">
        <v>588</v>
      </c>
      <c r="AB114" s="497" t="s">
        <v>212</v>
      </c>
      <c r="AC114" t="str">
        <f t="shared" si="1"/>
        <v>UnderworldTroll</v>
      </c>
      <c r="AD114" s="487"/>
      <c r="AE114" s="179"/>
      <c r="AF114" s="459" t="s">
        <v>25</v>
      </c>
      <c r="AG114" s="179"/>
      <c r="AH114" s="495" t="s">
        <v>20</v>
      </c>
      <c r="AI114" s="459" t="s">
        <v>746</v>
      </c>
      <c r="AJ114" s="459" t="s">
        <v>763</v>
      </c>
      <c r="AK114" s="179"/>
      <c r="AL114" s="459" t="s">
        <v>764</v>
      </c>
      <c r="AM114" s="488"/>
    </row>
    <row r="115" spans="1:39" ht="15.75" customHeight="1">
      <c r="A115" s="497" t="s">
        <v>320</v>
      </c>
      <c r="B115" s="470" t="s">
        <v>320</v>
      </c>
      <c r="C115" s="484" t="str">
        <f t="shared" si="0"/>
        <v>VampireVampire</v>
      </c>
      <c r="D115" s="484">
        <v>6</v>
      </c>
      <c r="E115" s="485">
        <v>110000</v>
      </c>
      <c r="F115" s="459">
        <v>6</v>
      </c>
      <c r="G115" s="459">
        <v>4</v>
      </c>
      <c r="H115" s="459">
        <v>4</v>
      </c>
      <c r="I115" s="459">
        <v>8</v>
      </c>
      <c r="J115" s="470" t="s">
        <v>929</v>
      </c>
      <c r="K115" s="459" t="s">
        <v>842</v>
      </c>
      <c r="L115" s="459" t="s">
        <v>764</v>
      </c>
      <c r="X115" s="497"/>
      <c r="Y115" s="497"/>
      <c r="Z115" s="497"/>
      <c r="AA115" s="497" t="s">
        <v>320</v>
      </c>
      <c r="AB115" s="497" t="s">
        <v>334</v>
      </c>
      <c r="AC115" t="str">
        <f t="shared" si="1"/>
        <v>VampireThrall</v>
      </c>
      <c r="AD115" s="487" t="s">
        <v>746</v>
      </c>
      <c r="AE115" s="179" t="s">
        <v>762</v>
      </c>
      <c r="AF115" s="179" t="s">
        <v>762</v>
      </c>
      <c r="AG115" s="179"/>
      <c r="AH115" s="488"/>
      <c r="AI115" s="179"/>
      <c r="AJ115" s="179" t="s">
        <v>763</v>
      </c>
      <c r="AK115" s="179" t="s">
        <v>25</v>
      </c>
      <c r="AL115" s="179" t="s">
        <v>764</v>
      </c>
      <c r="AM115" s="488"/>
    </row>
    <row r="116" spans="1:39" ht="15.75" customHeight="1">
      <c r="A116" s="497" t="s">
        <v>489</v>
      </c>
      <c r="B116" s="497" t="s">
        <v>68</v>
      </c>
      <c r="C116" s="484" t="str">
        <f t="shared" si="0"/>
        <v>Wood ElfLineman</v>
      </c>
      <c r="D116" s="498">
        <v>16</v>
      </c>
      <c r="E116" s="486">
        <v>70000</v>
      </c>
      <c r="F116" s="500">
        <v>7</v>
      </c>
      <c r="G116" s="499">
        <v>3</v>
      </c>
      <c r="H116" s="500">
        <v>4</v>
      </c>
      <c r="I116" s="500">
        <v>7</v>
      </c>
      <c r="J116" s="501"/>
      <c r="K116" s="500" t="s">
        <v>766</v>
      </c>
      <c r="L116" s="500" t="s">
        <v>767</v>
      </c>
      <c r="M116" s="470"/>
      <c r="X116" s="497"/>
      <c r="Y116" s="497"/>
      <c r="Z116" s="497"/>
      <c r="AA116" s="497" t="s">
        <v>320</v>
      </c>
      <c r="AB116" s="470" t="s">
        <v>320</v>
      </c>
      <c r="AC116" t="str">
        <f t="shared" si="1"/>
        <v>VampireVampire</v>
      </c>
      <c r="AD116" s="487" t="s">
        <v>746</v>
      </c>
      <c r="AE116" s="179" t="s">
        <v>763</v>
      </c>
      <c r="AF116" s="179" t="s">
        <v>25</v>
      </c>
      <c r="AG116" s="179"/>
      <c r="AH116" s="488"/>
      <c r="AI116" s="179"/>
      <c r="AJ116" s="179" t="s">
        <v>762</v>
      </c>
      <c r="AK116" s="179" t="s">
        <v>762</v>
      </c>
      <c r="AL116" s="179" t="s">
        <v>764</v>
      </c>
      <c r="AM116" s="488"/>
    </row>
    <row r="117" spans="1:39" ht="15.75" customHeight="1">
      <c r="A117" s="497" t="s">
        <v>489</v>
      </c>
      <c r="B117" s="470" t="s">
        <v>113</v>
      </c>
      <c r="C117" s="484" t="str">
        <f t="shared" si="0"/>
        <v>Wood ElfCatcher</v>
      </c>
      <c r="D117" s="484">
        <v>4</v>
      </c>
      <c r="E117" s="485">
        <v>90000</v>
      </c>
      <c r="F117" s="459">
        <v>8</v>
      </c>
      <c r="G117" s="459">
        <v>2</v>
      </c>
      <c r="H117" s="459">
        <v>4</v>
      </c>
      <c r="I117" s="459">
        <v>7</v>
      </c>
      <c r="J117" s="470" t="s">
        <v>930</v>
      </c>
      <c r="K117" s="459" t="s">
        <v>766</v>
      </c>
      <c r="L117" s="459" t="s">
        <v>767</v>
      </c>
      <c r="M117" s="470"/>
      <c r="X117" s="497"/>
      <c r="Y117" s="497"/>
      <c r="Z117" s="497"/>
      <c r="AA117" s="497" t="s">
        <v>489</v>
      </c>
      <c r="AB117" s="497" t="s">
        <v>68</v>
      </c>
      <c r="AC117" t="str">
        <f t="shared" si="1"/>
        <v>Wood ElfLineman</v>
      </c>
      <c r="AD117" s="487" t="s">
        <v>746</v>
      </c>
      <c r="AE117" s="179" t="s">
        <v>763</v>
      </c>
      <c r="AF117" s="179" t="s">
        <v>762</v>
      </c>
      <c r="AG117" s="179"/>
      <c r="AH117" s="488"/>
      <c r="AI117" s="179"/>
      <c r="AJ117" s="179"/>
      <c r="AK117" s="179" t="s">
        <v>25</v>
      </c>
      <c r="AL117" s="179" t="s">
        <v>764</v>
      </c>
      <c r="AM117" s="488"/>
    </row>
    <row r="118" spans="1:39" ht="15.75" customHeight="1">
      <c r="A118" s="497" t="s">
        <v>489</v>
      </c>
      <c r="B118" s="470" t="s">
        <v>108</v>
      </c>
      <c r="C118" s="484" t="str">
        <f t="shared" si="0"/>
        <v>Wood ElfThrower</v>
      </c>
      <c r="D118" s="484">
        <v>2</v>
      </c>
      <c r="E118" s="485">
        <v>90000</v>
      </c>
      <c r="F118" s="459">
        <v>7</v>
      </c>
      <c r="G118" s="459">
        <v>3</v>
      </c>
      <c r="H118" s="459">
        <v>4</v>
      </c>
      <c r="I118" s="459">
        <v>7</v>
      </c>
      <c r="J118" s="470" t="s">
        <v>862</v>
      </c>
      <c r="K118" s="459" t="s">
        <v>788</v>
      </c>
      <c r="L118" s="459" t="s">
        <v>25</v>
      </c>
      <c r="X118" s="497"/>
      <c r="Y118" s="497"/>
      <c r="Z118" s="497"/>
      <c r="AA118" s="497" t="s">
        <v>489</v>
      </c>
      <c r="AB118" s="470" t="s">
        <v>113</v>
      </c>
      <c r="AC118" t="str">
        <f t="shared" si="1"/>
        <v>Wood ElfCatcher</v>
      </c>
      <c r="AD118" s="487" t="s">
        <v>746</v>
      </c>
      <c r="AE118" s="179" t="s">
        <v>763</v>
      </c>
      <c r="AF118" s="179" t="s">
        <v>762</v>
      </c>
      <c r="AG118" s="179"/>
      <c r="AH118" s="488"/>
      <c r="AI118" s="179"/>
      <c r="AJ118" s="179"/>
      <c r="AK118" s="179" t="s">
        <v>25</v>
      </c>
      <c r="AL118" s="179" t="s">
        <v>764</v>
      </c>
      <c r="AM118" s="488"/>
    </row>
    <row r="119" spans="1:39" ht="15.75" customHeight="1">
      <c r="A119" s="497" t="s">
        <v>489</v>
      </c>
      <c r="B119" s="470" t="s">
        <v>483</v>
      </c>
      <c r="C119" s="484" t="str">
        <f t="shared" si="0"/>
        <v>Wood ElfWardancer</v>
      </c>
      <c r="D119" s="484">
        <v>2</v>
      </c>
      <c r="E119" s="485">
        <v>120000</v>
      </c>
      <c r="F119" s="459">
        <v>8</v>
      </c>
      <c r="G119" s="459">
        <v>3</v>
      </c>
      <c r="H119" s="459">
        <v>4</v>
      </c>
      <c r="I119" s="459">
        <v>7</v>
      </c>
      <c r="J119" s="470" t="s">
        <v>931</v>
      </c>
      <c r="K119" s="459" t="s">
        <v>766</v>
      </c>
      <c r="L119" s="459" t="s">
        <v>767</v>
      </c>
      <c r="M119" s="470"/>
      <c r="X119" s="497"/>
      <c r="Y119" s="497"/>
      <c r="Z119" s="497"/>
      <c r="AA119" s="497" t="s">
        <v>489</v>
      </c>
      <c r="AB119" s="470" t="s">
        <v>108</v>
      </c>
      <c r="AC119" t="str">
        <f t="shared" si="1"/>
        <v>Wood ElfThrower</v>
      </c>
      <c r="AD119" s="487" t="s">
        <v>746</v>
      </c>
      <c r="AE119" s="179" t="s">
        <v>763</v>
      </c>
      <c r="AF119" s="179"/>
      <c r="AG119" s="179" t="s">
        <v>764</v>
      </c>
      <c r="AH119" s="488"/>
      <c r="AI119" s="179"/>
      <c r="AJ119" s="179"/>
      <c r="AK119" s="179" t="s">
        <v>25</v>
      </c>
      <c r="AL119" s="179" t="s">
        <v>762</v>
      </c>
      <c r="AM119" s="488"/>
    </row>
    <row r="120" spans="1:39" ht="15.75" customHeight="1">
      <c r="A120" s="497" t="s">
        <v>489</v>
      </c>
      <c r="B120" s="470" t="s">
        <v>366</v>
      </c>
      <c r="C120" s="484" t="str">
        <f t="shared" si="0"/>
        <v>Wood ElfTreeman</v>
      </c>
      <c r="D120" s="484">
        <v>1</v>
      </c>
      <c r="E120" s="485">
        <v>120000</v>
      </c>
      <c r="F120" s="459">
        <v>2</v>
      </c>
      <c r="G120" s="459">
        <v>6</v>
      </c>
      <c r="H120" s="459">
        <v>1</v>
      </c>
      <c r="I120" s="459">
        <v>10</v>
      </c>
      <c r="J120" s="470" t="s">
        <v>932</v>
      </c>
      <c r="K120" s="459" t="s">
        <v>25</v>
      </c>
      <c r="L120" s="459" t="s">
        <v>788</v>
      </c>
      <c r="M120" s="470"/>
      <c r="X120" s="497"/>
      <c r="Y120" s="497"/>
      <c r="Z120" s="497"/>
      <c r="AA120" s="497" t="s">
        <v>489</v>
      </c>
      <c r="AB120" s="470" t="s">
        <v>483</v>
      </c>
      <c r="AC120" t="str">
        <f t="shared" si="1"/>
        <v>Wood ElfWardancer</v>
      </c>
      <c r="AD120" s="487" t="s">
        <v>746</v>
      </c>
      <c r="AE120" s="179" t="s">
        <v>763</v>
      </c>
      <c r="AF120" s="179" t="s">
        <v>762</v>
      </c>
      <c r="AG120" s="179"/>
      <c r="AH120" s="488"/>
      <c r="AI120" s="179"/>
      <c r="AJ120" s="179"/>
      <c r="AK120" s="179" t="s">
        <v>25</v>
      </c>
      <c r="AL120" s="179" t="s">
        <v>764</v>
      </c>
      <c r="AM120" s="488"/>
    </row>
    <row r="121" spans="1:39" ht="15.75" customHeight="1">
      <c r="E121" s="502"/>
      <c r="F121" s="179"/>
      <c r="G121" s="179"/>
      <c r="H121" s="179"/>
      <c r="I121" s="179"/>
      <c r="K121" s="179"/>
      <c r="L121" s="179"/>
      <c r="O121" s="496"/>
      <c r="X121" s="497"/>
      <c r="Y121" s="497"/>
      <c r="Z121" s="497"/>
      <c r="AA121" s="497" t="s">
        <v>489</v>
      </c>
      <c r="AB121" s="470" t="s">
        <v>366</v>
      </c>
      <c r="AC121" t="str">
        <f t="shared" si="1"/>
        <v>Wood ElfTreeman</v>
      </c>
      <c r="AD121" s="487"/>
      <c r="AE121" s="179" t="s">
        <v>762</v>
      </c>
      <c r="AF121" s="179" t="s">
        <v>25</v>
      </c>
      <c r="AG121" s="179"/>
      <c r="AH121" s="488"/>
      <c r="AI121" s="179" t="s">
        <v>746</v>
      </c>
      <c r="AJ121" s="179" t="s">
        <v>763</v>
      </c>
      <c r="AK121" s="179"/>
      <c r="AL121" s="179" t="s">
        <v>764</v>
      </c>
      <c r="AM121" s="488"/>
    </row>
    <row r="122" spans="1:39" ht="15.75" customHeight="1">
      <c r="E122" s="502"/>
      <c r="F122" s="179"/>
      <c r="G122" s="179"/>
      <c r="H122" s="179"/>
      <c r="I122" s="179"/>
      <c r="K122" s="179"/>
      <c r="L122" s="179"/>
      <c r="O122" s="496"/>
    </row>
    <row r="123" spans="1:39" ht="15.75" customHeight="1">
      <c r="E123" s="502"/>
      <c r="F123" s="179"/>
      <c r="G123" s="179"/>
      <c r="H123" s="179"/>
      <c r="I123" s="179"/>
      <c r="K123" s="179"/>
      <c r="L123" s="179"/>
      <c r="O123" s="496"/>
    </row>
    <row r="124" spans="1:39" ht="15.75" customHeight="1">
      <c r="E124" s="502"/>
      <c r="F124" s="179"/>
      <c r="G124" s="179"/>
      <c r="H124" s="179"/>
      <c r="I124" s="179"/>
      <c r="K124" s="179"/>
      <c r="L124" s="179"/>
      <c r="O124" s="496"/>
    </row>
    <row r="125" spans="1:39" ht="15.75" customHeight="1">
      <c r="E125" s="502"/>
      <c r="F125" s="179"/>
      <c r="G125" s="179"/>
      <c r="H125" s="179"/>
      <c r="I125" s="179"/>
      <c r="K125" s="179"/>
      <c r="L125" s="179"/>
      <c r="O125" s="496"/>
    </row>
    <row r="126" spans="1:39" ht="15.75" customHeight="1">
      <c r="E126" s="502"/>
      <c r="F126" s="179"/>
      <c r="G126" s="179"/>
      <c r="H126" s="179"/>
      <c r="I126" s="179"/>
      <c r="K126" s="179"/>
      <c r="L126" s="179"/>
      <c r="O126" s="496"/>
    </row>
    <row r="127" spans="1:39" ht="15.75" customHeight="1">
      <c r="E127" s="502"/>
      <c r="F127" s="179"/>
      <c r="G127" s="179"/>
      <c r="H127" s="179"/>
      <c r="I127" s="179"/>
      <c r="K127" s="179"/>
      <c r="L127" s="179"/>
      <c r="O127" s="496"/>
    </row>
    <row r="128" spans="1:39" ht="15.75" customHeight="1">
      <c r="E128" s="502"/>
      <c r="F128" s="179"/>
      <c r="G128" s="179"/>
      <c r="H128" s="179"/>
      <c r="I128" s="179"/>
      <c r="K128" s="179"/>
      <c r="L128" s="179"/>
      <c r="O128" s="496"/>
    </row>
    <row r="129" spans="5:15" ht="15.75" customHeight="1">
      <c r="E129" s="502"/>
      <c r="F129" s="179"/>
      <c r="G129" s="179"/>
      <c r="H129" s="179"/>
      <c r="I129" s="179"/>
      <c r="K129" s="179"/>
      <c r="L129" s="179"/>
      <c r="O129" s="496"/>
    </row>
    <row r="130" spans="5:15" ht="15.75" customHeight="1">
      <c r="E130" s="502"/>
      <c r="F130" s="179"/>
      <c r="G130" s="179"/>
      <c r="H130" s="179"/>
      <c r="I130" s="179"/>
      <c r="K130" s="179"/>
      <c r="L130" s="179"/>
      <c r="O130" s="496"/>
    </row>
    <row r="131" spans="5:15" ht="15.75" customHeight="1">
      <c r="E131" s="502"/>
      <c r="F131" s="179"/>
      <c r="G131" s="179"/>
      <c r="H131" s="179"/>
      <c r="I131" s="179"/>
      <c r="K131" s="179"/>
      <c r="L131" s="179"/>
      <c r="O131" s="496"/>
    </row>
    <row r="132" spans="5:15" ht="15.75" customHeight="1">
      <c r="E132" s="502"/>
      <c r="F132" s="179"/>
      <c r="G132" s="179"/>
      <c r="H132" s="179"/>
      <c r="I132" s="179"/>
      <c r="K132" s="179"/>
      <c r="L132" s="179"/>
      <c r="O132" s="496"/>
    </row>
    <row r="133" spans="5:15" ht="15.75" customHeight="1">
      <c r="E133" s="502"/>
      <c r="F133" s="179"/>
      <c r="G133" s="179"/>
      <c r="H133" s="179"/>
      <c r="I133" s="179"/>
      <c r="K133" s="179"/>
      <c r="L133" s="179"/>
      <c r="O133" s="496"/>
    </row>
    <row r="134" spans="5:15" ht="15.75" customHeight="1">
      <c r="E134" s="502"/>
      <c r="F134" s="179"/>
      <c r="G134" s="179"/>
      <c r="H134" s="179"/>
      <c r="I134" s="179"/>
      <c r="K134" s="179"/>
      <c r="L134" s="179"/>
      <c r="O134" s="496"/>
    </row>
    <row r="135" spans="5:15" ht="15.75" customHeight="1">
      <c r="E135" s="502"/>
      <c r="F135" s="179"/>
      <c r="G135" s="179"/>
      <c r="H135" s="179"/>
      <c r="I135" s="179"/>
      <c r="K135" s="179"/>
      <c r="L135" s="179"/>
      <c r="O135" s="496"/>
    </row>
    <row r="136" spans="5:15" ht="15.75" customHeight="1">
      <c r="E136" s="502"/>
      <c r="F136" s="179"/>
      <c r="G136" s="179"/>
      <c r="H136" s="179"/>
      <c r="I136" s="179"/>
      <c r="K136" s="179"/>
      <c r="L136" s="179"/>
      <c r="O136" s="496"/>
    </row>
    <row r="137" spans="5:15" ht="15.75" customHeight="1">
      <c r="E137" s="502"/>
      <c r="F137" s="179"/>
      <c r="G137" s="179"/>
      <c r="H137" s="179"/>
      <c r="I137" s="179"/>
      <c r="K137" s="179"/>
      <c r="L137" s="179"/>
      <c r="O137" s="496"/>
    </row>
  </sheetData>
  <mergeCells count="2">
    <mergeCell ref="AI1:AM1"/>
    <mergeCell ref="AD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AM1</vt:lpstr>
      <vt:lpstr>AM2</vt:lpstr>
      <vt:lpstr>CT3</vt:lpstr>
      <vt:lpstr>DC1</vt:lpstr>
      <vt:lpstr>DC3</vt:lpstr>
      <vt:lpstr>DH1</vt:lpstr>
      <vt:lpstr>DH2</vt:lpstr>
      <vt:lpstr>DH3</vt:lpstr>
      <vt:lpstr>FT1</vt:lpstr>
      <vt:lpstr>FT2</vt:lpstr>
      <vt:lpstr>JR1</vt:lpstr>
      <vt:lpstr>JR2</vt:lpstr>
      <vt:lpstr>JR3</vt:lpstr>
      <vt:lpstr>KB1</vt:lpstr>
      <vt:lpstr>KB2</vt:lpstr>
      <vt:lpstr>MQ1</vt:lpstr>
      <vt:lpstr>MQ2</vt:lpstr>
      <vt:lpstr>MQ3</vt:lpstr>
      <vt:lpstr>NM1</vt:lpstr>
      <vt:lpstr>NM2</vt:lpstr>
      <vt:lpstr>PM1</vt:lpstr>
      <vt:lpstr>PP2</vt:lpstr>
      <vt:lpstr>RC2</vt:lpstr>
      <vt:lpstr>RP1</vt:lpstr>
      <vt:lpstr>TL1</vt:lpstr>
      <vt:lpstr>TL2</vt:lpstr>
      <vt:lpstr>TL3</vt:lpstr>
      <vt:lpstr>Star Players-Hidden</vt:lpstr>
      <vt:lpstr>Database-Hidden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2018-07-05T14:16:01Z</dcterms:created>
  <dcterms:modified xsi:type="dcterms:W3CDTF">2018-07-06T16:00:41Z</dcterms:modified>
</cp:coreProperties>
</file>