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showPivotChartFilter="1" defaultThemeVersion="124226"/>
  <mc:AlternateContent xmlns:mc="http://schemas.openxmlformats.org/markup-compatibility/2006">
    <mc:Choice Requires="x15">
      <x15ac:absPath xmlns:x15ac="http://schemas.microsoft.com/office/spreadsheetml/2010/11/ac" url="https://lsecloud-my.sharepoint.com/personal/s_yang50_lse_ac_uk/Documents/UG/2021/2021/Done/Term 2/Done/EIS Final/Final Submission/"/>
    </mc:Choice>
  </mc:AlternateContent>
  <xr:revisionPtr revIDLastSave="1754" documentId="8_{123FE9F1-71DC-4294-AEB2-38EF5D958335}" xr6:coauthVersionLast="47" xr6:coauthVersionMax="47" xr10:uidLastSave="{D264B2F9-B6FA-D847-AD2B-023FA3A4FC0A}"/>
  <bookViews>
    <workbookView xWindow="0" yWindow="740" windowWidth="28800" windowHeight="16880" tabRatio="741" activeTab="2" xr2:uid="{00000000-000D-0000-FFFF-FFFF00000000}"/>
  </bookViews>
  <sheets>
    <sheet name="Current_Stock" sheetId="8" r:id="rId1"/>
    <sheet name="Historical_Stock" sheetId="9" r:id="rId2"/>
    <sheet name="Sales" sheetId="11" r:id="rId3"/>
    <sheet name="Financials" sheetId="10" r:id="rId4"/>
    <sheet name="Dashboard" sheetId="14" r:id="rId5"/>
  </sheets>
  <definedNames>
    <definedName name="_xlchart.v5.0" hidden="1">Current_Stock!$C$11:$C$26</definedName>
    <definedName name="_xlchart.v5.1" hidden="1">Current_Stock!$D$11:$D$26</definedName>
    <definedName name="_xlchart.v5.2" hidden="1">Current_Stock!$G$11</definedName>
    <definedName name="_xlchart.v5.3" hidden="1">Current_Stock!$L$42</definedName>
    <definedName name="Slicer_SIM_ROUND">#N/A</definedName>
  </definedNames>
  <calcPr calcId="191029"/>
  <pivotCaches>
    <pivotCache cacheId="18" r:id="rId6"/>
    <pivotCache cacheId="19" r:id="rId7"/>
    <pivotCache cacheId="20" r:id="rId8"/>
    <pivotCache cacheId="21" r:id="rId9"/>
    <pivotCache cacheId="22" r:id="rId10"/>
    <pivotCache cacheId="23"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4" i="8" l="1"/>
  <c r="D44" i="8"/>
  <c r="C45" i="8"/>
  <c r="D45" i="8"/>
  <c r="C46" i="8"/>
  <c r="D46" i="8"/>
  <c r="C47" i="8"/>
  <c r="D47" i="8"/>
  <c r="C48" i="8"/>
  <c r="D48" i="8"/>
  <c r="C49" i="8"/>
  <c r="D49" i="8"/>
  <c r="G12" i="8"/>
  <c r="P488" i="9"/>
  <c r="P489" i="9"/>
  <c r="P490" i="9"/>
  <c r="P491" i="9"/>
  <c r="P492" i="9"/>
  <c r="P493" i="9"/>
  <c r="P494" i="9"/>
  <c r="P495" i="9"/>
  <c r="P496" i="9"/>
  <c r="P497" i="9"/>
  <c r="P498" i="9"/>
  <c r="P487" i="9"/>
  <c r="T498" i="9"/>
  <c r="U498" i="9"/>
  <c r="V498" i="9"/>
  <c r="W498" i="9"/>
  <c r="X498" i="9"/>
  <c r="T497" i="9"/>
  <c r="U497" i="9"/>
  <c r="V497" i="9"/>
  <c r="W497" i="9"/>
  <c r="X497" i="9"/>
  <c r="T496" i="9"/>
  <c r="U496" i="9"/>
  <c r="V496" i="9"/>
  <c r="W496" i="9"/>
  <c r="X496" i="9"/>
  <c r="T495" i="9"/>
  <c r="U495" i="9"/>
  <c r="V495" i="9"/>
  <c r="W495" i="9"/>
  <c r="X495" i="9"/>
  <c r="T494" i="9"/>
  <c r="U494" i="9"/>
  <c r="V494" i="9"/>
  <c r="W494" i="9"/>
  <c r="X494" i="9"/>
  <c r="T493" i="9"/>
  <c r="U493" i="9"/>
  <c r="V493" i="9"/>
  <c r="W493" i="9"/>
  <c r="X493" i="9"/>
  <c r="T492" i="9"/>
  <c r="U492" i="9"/>
  <c r="V492" i="9"/>
  <c r="W492" i="9"/>
  <c r="X492" i="9"/>
  <c r="T491" i="9"/>
  <c r="U491" i="9"/>
  <c r="V491" i="9"/>
  <c r="W491" i="9"/>
  <c r="X491" i="9"/>
  <c r="S494" i="9"/>
  <c r="S492" i="9"/>
  <c r="S491" i="9"/>
  <c r="S498" i="9"/>
  <c r="S497" i="9"/>
  <c r="S496" i="9"/>
  <c r="S495" i="9"/>
  <c r="S493" i="9"/>
  <c r="T490" i="9"/>
  <c r="U490" i="9"/>
  <c r="V490" i="9"/>
  <c r="W490" i="9"/>
  <c r="X490" i="9"/>
  <c r="T489" i="9"/>
  <c r="U489" i="9"/>
  <c r="V489" i="9"/>
  <c r="W489" i="9"/>
  <c r="X489" i="9"/>
  <c r="T488" i="9"/>
  <c r="U488" i="9"/>
  <c r="V488" i="9"/>
  <c r="W488" i="9"/>
  <c r="X488" i="9"/>
  <c r="S488" i="9"/>
  <c r="S490" i="9"/>
  <c r="S489" i="9"/>
  <c r="T487" i="9"/>
  <c r="U487" i="9"/>
  <c r="V487" i="9"/>
  <c r="W487" i="9"/>
  <c r="X487" i="9"/>
  <c r="S487" i="9"/>
  <c r="U466" i="9"/>
  <c r="R468" i="9"/>
  <c r="R467" i="9"/>
  <c r="R466" i="9"/>
  <c r="Q466" i="9"/>
  <c r="L22" i="14"/>
  <c r="D191" i="11"/>
  <c r="E191" i="11" s="1"/>
  <c r="D192" i="11"/>
  <c r="E192" i="11" s="1"/>
  <c r="D193" i="11"/>
  <c r="E193" i="11" s="1"/>
  <c r="D194" i="11"/>
  <c r="E194" i="11" s="1"/>
  <c r="D195" i="11"/>
  <c r="E195" i="11" s="1"/>
  <c r="D190" i="11"/>
  <c r="E190" i="11" s="1"/>
  <c r="G23" i="8"/>
  <c r="J22" i="14" l="1"/>
  <c r="Q77" i="10"/>
  <c r="P77" i="10"/>
  <c r="O74" i="10"/>
  <c r="R67" i="10"/>
  <c r="R66" i="10"/>
  <c r="R65" i="10"/>
  <c r="Q65" i="10"/>
  <c r="Q69" i="10"/>
  <c r="O69" i="10"/>
  <c r="J77" i="10"/>
  <c r="K77" i="10"/>
  <c r="I74" i="10"/>
  <c r="L66" i="10"/>
  <c r="L67" i="10"/>
  <c r="L65" i="10"/>
  <c r="K69" i="10"/>
  <c r="F69" i="10"/>
  <c r="K65" i="10"/>
  <c r="D69" i="10"/>
  <c r="I69" i="10"/>
  <c r="C69" i="10"/>
  <c r="E66" i="10"/>
  <c r="E67" i="10"/>
  <c r="E65" i="10"/>
  <c r="D77" i="10"/>
  <c r="E77" i="10"/>
  <c r="F65" i="10"/>
  <c r="C74" i="10"/>
  <c r="O114" i="11"/>
  <c r="O113" i="11"/>
  <c r="P135" i="11" s="1" a="1"/>
  <c r="P135" i="11" s="1"/>
  <c r="U119" i="11"/>
  <c r="U118" i="11"/>
  <c r="P121" i="11"/>
  <c r="Q121" i="11"/>
  <c r="R121" i="11"/>
  <c r="S121" i="11"/>
  <c r="T121" i="11"/>
  <c r="O120" i="11"/>
  <c r="U120" i="11" s="1"/>
  <c r="S413" i="9"/>
  <c r="Q474" i="9"/>
  <c r="Q473" i="9"/>
  <c r="P54" i="11"/>
  <c r="P55" i="11"/>
  <c r="P64" i="11"/>
  <c r="P75" i="11"/>
  <c r="P86" i="11"/>
  <c r="P97" i="11"/>
  <c r="N54" i="11"/>
  <c r="N55" i="11"/>
  <c r="N64" i="11"/>
  <c r="N75" i="11"/>
  <c r="N86" i="11"/>
  <c r="N97" i="11"/>
  <c r="D175" i="11"/>
  <c r="B175" i="11"/>
  <c r="C175" i="11"/>
  <c r="L164" i="11"/>
  <c r="L165" i="11" s="1"/>
  <c r="J164" i="11"/>
  <c r="J165" i="11" s="1"/>
  <c r="K164" i="11"/>
  <c r="K165" i="11" s="1"/>
  <c r="I164" i="11"/>
  <c r="I165" i="11" s="1"/>
  <c r="J157" i="11"/>
  <c r="K153" i="11"/>
  <c r="K155" i="11"/>
  <c r="L158" i="11"/>
  <c r="J156" i="11"/>
  <c r="K158" i="11"/>
  <c r="L157" i="11"/>
  <c r="J155" i="11"/>
  <c r="K156" i="11"/>
  <c r="J153" i="11"/>
  <c r="K157" i="11"/>
  <c r="K154" i="11"/>
  <c r="L154" i="11"/>
  <c r="J154" i="11"/>
  <c r="J158" i="11"/>
  <c r="L156" i="11"/>
  <c r="L153" i="11"/>
  <c r="F180" i="11"/>
  <c r="F182" i="11"/>
  <c r="I67" i="10"/>
  <c r="C67" i="10"/>
  <c r="C65" i="10"/>
  <c r="I68" i="10"/>
  <c r="O67" i="10"/>
  <c r="O66" i="10"/>
  <c r="C68" i="10"/>
  <c r="I66" i="10"/>
  <c r="I65" i="10"/>
  <c r="C66" i="10"/>
  <c r="O65" i="10"/>
  <c r="O68" i="10"/>
  <c r="S414" i="9"/>
  <c r="G20" i="8"/>
  <c r="G21" i="8"/>
  <c r="G24" i="8"/>
  <c r="G22" i="8"/>
  <c r="G25" i="8"/>
  <c r="C62" i="10"/>
  <c r="O62" i="10"/>
  <c r="I62" i="10"/>
  <c r="G17" i="8" l="1"/>
  <c r="Q482" i="9"/>
  <c r="Q483" i="9"/>
  <c r="Q484" i="9"/>
  <c r="Q481" i="9"/>
  <c r="P74" i="10"/>
  <c r="C73" i="10"/>
  <c r="C88" i="10" a="1"/>
  <c r="C88" i="10" s="1"/>
  <c r="D88" i="10" s="1"/>
  <c r="C90" i="10" a="1"/>
  <c r="C90" i="10" s="1"/>
  <c r="C89" i="10" a="1"/>
  <c r="C89" i="10" s="1"/>
  <c r="O80" i="10"/>
  <c r="R80" i="10" s="1"/>
  <c r="O73" i="10"/>
  <c r="P73" i="10" s="1"/>
  <c r="R68" i="10"/>
  <c r="Q68" i="10"/>
  <c r="O79" i="10"/>
  <c r="R79" i="10" s="1"/>
  <c r="Q67" i="10"/>
  <c r="O78" i="10"/>
  <c r="R78" i="10" s="1"/>
  <c r="Q66" i="10"/>
  <c r="O77" i="10"/>
  <c r="R77" i="10" s="1"/>
  <c r="P69" i="10" a="1"/>
  <c r="P69" i="10" s="1"/>
  <c r="I78" i="10"/>
  <c r="L78" i="10" s="1"/>
  <c r="I73" i="10"/>
  <c r="J73" i="10" s="1"/>
  <c r="L68" i="10"/>
  <c r="I80" i="10"/>
  <c r="L80" i="10" s="1"/>
  <c r="I79" i="10"/>
  <c r="L79" i="10" s="1"/>
  <c r="J74" i="10"/>
  <c r="I77" i="10"/>
  <c r="L77" i="10" s="1"/>
  <c r="K66" i="10"/>
  <c r="K68" i="10"/>
  <c r="K67" i="10"/>
  <c r="E68" i="10"/>
  <c r="J69" i="10" a="1"/>
  <c r="J69" i="10" s="1"/>
  <c r="F67" i="10"/>
  <c r="C79" i="10"/>
  <c r="F79" i="10" s="1"/>
  <c r="C78" i="10"/>
  <c r="F66" i="10"/>
  <c r="D74" i="10"/>
  <c r="C77" i="10"/>
  <c r="F77" i="10" s="1"/>
  <c r="F68" i="10"/>
  <c r="C80" i="10"/>
  <c r="F80" i="10" s="1"/>
  <c r="D73" i="10"/>
  <c r="P68" i="10"/>
  <c r="P67" i="10"/>
  <c r="P66" i="10"/>
  <c r="P65" i="10"/>
  <c r="J66" i="10" a="1"/>
  <c r="J66" i="10" s="1"/>
  <c r="J67" i="10" a="1"/>
  <c r="J67" i="10" s="1"/>
  <c r="J65" i="10" a="1"/>
  <c r="J65" i="10" s="1"/>
  <c r="J68" i="10" a="1"/>
  <c r="J68" i="10" s="1"/>
  <c r="D67" i="10" a="1"/>
  <c r="D67" i="10" s="1"/>
  <c r="D65" i="10" a="1"/>
  <c r="D65" i="10" s="1"/>
  <c r="D68" i="10" a="1"/>
  <c r="D68" i="10" s="1"/>
  <c r="D66" i="10" a="1"/>
  <c r="D66" i="10" s="1"/>
  <c r="O135" i="11" a="1"/>
  <c r="O135" i="11" s="1"/>
  <c r="P130" i="11" a="1"/>
  <c r="P130" i="11" s="1"/>
  <c r="P133" i="11" a="1"/>
  <c r="P133" i="11" s="1"/>
  <c r="P132" i="11" a="1"/>
  <c r="P132" i="11" s="1"/>
  <c r="P131" i="11" a="1"/>
  <c r="P131" i="11" s="1"/>
  <c r="O134" i="11" a="1"/>
  <c r="O134" i="11" s="1"/>
  <c r="P125" i="11" a="1"/>
  <c r="P125" i="11" s="1"/>
  <c r="O124" i="11" a="1"/>
  <c r="O124" i="11" s="1"/>
  <c r="O126" i="11" a="1"/>
  <c r="O126" i="11" s="1"/>
  <c r="O133" i="11" a="1"/>
  <c r="O133" i="11" s="1"/>
  <c r="P134" i="11" a="1"/>
  <c r="P134" i="11" s="1"/>
  <c r="O125" i="11" a="1"/>
  <c r="O125" i="11" s="1"/>
  <c r="O132" i="11" a="1"/>
  <c r="O132" i="11" s="1"/>
  <c r="O130" i="11" a="1"/>
  <c r="O130" i="11" s="1"/>
  <c r="P124" i="11" a="1"/>
  <c r="P124" i="11" s="1"/>
  <c r="O131" i="11" a="1"/>
  <c r="O131" i="11" s="1"/>
  <c r="P126" i="11" a="1"/>
  <c r="P126" i="11" s="1"/>
  <c r="U121" i="11"/>
  <c r="O121" i="11"/>
  <c r="C180" i="11"/>
  <c r="C181" i="11"/>
  <c r="E181" i="11" s="1"/>
  <c r="C185" i="11"/>
  <c r="C184" i="11"/>
  <c r="C183" i="11"/>
  <c r="Q467" i="9"/>
  <c r="Q468" i="9"/>
  <c r="S466" i="9"/>
  <c r="S467" i="9"/>
  <c r="S468" i="9"/>
  <c r="T466" i="9"/>
  <c r="T467" i="9"/>
  <c r="T468" i="9"/>
  <c r="U467" i="9"/>
  <c r="U468" i="9"/>
  <c r="V466" i="9"/>
  <c r="V467" i="9"/>
  <c r="V468" i="9"/>
  <c r="B51" i="11"/>
  <c r="C51" i="11"/>
  <c r="G11" i="8"/>
  <c r="C30" i="8" s="1"/>
  <c r="O55" i="11"/>
  <c r="O64" i="11"/>
  <c r="O75" i="11"/>
  <c r="O86" i="11"/>
  <c r="O97" i="11"/>
  <c r="O54" i="11"/>
  <c r="Q64" i="11"/>
  <c r="Q97" i="11"/>
  <c r="Q55" i="11"/>
  <c r="Q75" i="11"/>
  <c r="Q86" i="11"/>
  <c r="Q54" i="11"/>
  <c r="X3" i="9" a="1"/>
  <c r="X3" i="9" s="1"/>
  <c r="X381" i="9"/>
  <c r="J387" i="9"/>
  <c r="Q260" i="9"/>
  <c r="Q161" i="9"/>
  <c r="C289" i="9"/>
  <c r="X335" i="9"/>
  <c r="J332" i="9"/>
  <c r="X218" i="9"/>
  <c r="Q332" i="9"/>
  <c r="X194" i="9"/>
  <c r="Q209" i="9"/>
  <c r="X278" i="9"/>
  <c r="J219" i="9"/>
  <c r="C164" i="9"/>
  <c r="X234" i="9"/>
  <c r="J318" i="9"/>
  <c r="X385" i="9"/>
  <c r="J186" i="9"/>
  <c r="Q382" i="9"/>
  <c r="Q394" i="9"/>
  <c r="J266" i="9"/>
  <c r="X142" i="9"/>
  <c r="Q264" i="9"/>
  <c r="J248" i="9"/>
  <c r="C316" i="9"/>
  <c r="Q117" i="9"/>
  <c r="C388" i="9"/>
  <c r="X319" i="9"/>
  <c r="J142" i="9"/>
  <c r="C209" i="9"/>
  <c r="J283" i="9"/>
  <c r="C400" i="9"/>
  <c r="Q322" i="9"/>
  <c r="C242" i="9"/>
  <c r="X141" i="9"/>
  <c r="X147" i="9"/>
  <c r="C351" i="9"/>
  <c r="C352" i="9"/>
  <c r="C191" i="9"/>
  <c r="J235" i="9"/>
  <c r="C338" i="9"/>
  <c r="Q397" i="9"/>
  <c r="C186" i="9"/>
  <c r="Q389" i="9"/>
  <c r="X165" i="9"/>
  <c r="X327" i="9"/>
  <c r="X403" i="9"/>
  <c r="X275" i="9"/>
  <c r="Q115" i="9"/>
  <c r="C265" i="9"/>
  <c r="X270" i="9"/>
  <c r="J213" i="9"/>
  <c r="C158" i="9"/>
  <c r="X230" i="9"/>
  <c r="Q223" i="9"/>
  <c r="C163" i="9"/>
  <c r="J289" i="9"/>
  <c r="J277" i="9"/>
  <c r="J393" i="9"/>
  <c r="J244" i="9"/>
  <c r="J311" i="9"/>
  <c r="X322" i="9"/>
  <c r="C290" i="9"/>
  <c r="J330" i="9"/>
  <c r="J172" i="9"/>
  <c r="C235" i="9"/>
  <c r="Q214" i="9"/>
  <c r="C394" i="9"/>
  <c r="Q232" i="9"/>
  <c r="Q145" i="9"/>
  <c r="Q242" i="9"/>
  <c r="Q327" i="9"/>
  <c r="Q229" i="9"/>
  <c r="Q194" i="9"/>
  <c r="J148" i="9"/>
  <c r="X352" i="9"/>
  <c r="J242" i="9"/>
  <c r="X296" i="9"/>
  <c r="X168" i="9"/>
  <c r="C314" i="9"/>
  <c r="J299" i="9"/>
  <c r="J339" i="9"/>
  <c r="Q181" i="9"/>
  <c r="C274" i="9"/>
  <c r="C353" i="9"/>
  <c r="J382" i="9"/>
  <c r="X268" i="9"/>
  <c r="X252" i="9"/>
  <c r="C251" i="9"/>
  <c r="X139" i="9"/>
  <c r="C403" i="9"/>
  <c r="Q234" i="9"/>
  <c r="C239" i="9"/>
  <c r="Q129" i="9"/>
  <c r="X391" i="9"/>
  <c r="Q230" i="9"/>
  <c r="Q267" i="9"/>
  <c r="J223" i="9"/>
  <c r="C320" i="9"/>
  <c r="J128" i="9"/>
  <c r="C341" i="9"/>
  <c r="X320" i="9"/>
  <c r="Q272" i="9"/>
  <c r="C184" i="9"/>
  <c r="J211" i="9"/>
  <c r="C383" i="9"/>
  <c r="J233" i="9"/>
  <c r="J370" i="9"/>
  <c r="J225" i="9"/>
  <c r="X163" i="9"/>
  <c r="J367" i="9"/>
  <c r="C317" i="9"/>
  <c r="J199" i="9"/>
  <c r="X342" i="9"/>
  <c r="J110" i="9"/>
  <c r="X286" i="9"/>
  <c r="C287" i="9"/>
  <c r="J275" i="9"/>
  <c r="Q165" i="9"/>
  <c r="Q341" i="9"/>
  <c r="C389" i="9"/>
  <c r="C210" i="9"/>
  <c r="J399" i="9"/>
  <c r="C319" i="9"/>
  <c r="J218" i="9"/>
  <c r="J322" i="9"/>
  <c r="J406" i="9"/>
  <c r="X393" i="9"/>
  <c r="X301" i="9"/>
  <c r="C328" i="9"/>
  <c r="J247" i="9"/>
  <c r="C295" i="9"/>
  <c r="C401" i="9"/>
  <c r="X378" i="9"/>
  <c r="X173" i="9"/>
  <c r="C365" i="9"/>
  <c r="C286" i="9"/>
  <c r="X318" i="9"/>
  <c r="X273" i="9"/>
  <c r="C337" i="9"/>
  <c r="C396" i="9"/>
  <c r="J175" i="9"/>
  <c r="J298" i="9"/>
  <c r="C336" i="9"/>
  <c r="C262" i="9"/>
  <c r="J220" i="9"/>
  <c r="Q133" i="9"/>
  <c r="Q149" i="9"/>
  <c r="C190" i="9"/>
  <c r="J354" i="9"/>
  <c r="Q349" i="9"/>
  <c r="J184" i="9"/>
  <c r="C366" i="9"/>
  <c r="J284" i="9"/>
  <c r="X238" i="9"/>
  <c r="C393" i="9"/>
  <c r="J286" i="9"/>
  <c r="Q282" i="9"/>
  <c r="J365" i="9"/>
  <c r="X325" i="9"/>
  <c r="X377" i="9"/>
  <c r="Q123" i="9"/>
  <c r="Q401" i="9"/>
  <c r="X225" i="9"/>
  <c r="J221" i="9"/>
  <c r="J163" i="9"/>
  <c r="X192" i="9"/>
  <c r="Q363" i="9"/>
  <c r="C318" i="9"/>
  <c r="X240" i="9"/>
  <c r="C266" i="9"/>
  <c r="X109" i="9"/>
  <c r="X338" i="9"/>
  <c r="Q118" i="9"/>
  <c r="Q354" i="9"/>
  <c r="J384" i="9"/>
  <c r="J216" i="9"/>
  <c r="J112" i="9"/>
  <c r="C248" i="9"/>
  <c r="X212" i="9"/>
  <c r="J375" i="9"/>
  <c r="C296" i="9"/>
  <c r="C406" i="9"/>
  <c r="C354" i="9"/>
  <c r="X272" i="9"/>
  <c r="Q325" i="9"/>
  <c r="Q290" i="9"/>
  <c r="J336" i="9"/>
  <c r="X295" i="9"/>
  <c r="J274" i="9"/>
  <c r="J290" i="9"/>
  <c r="X172" i="9"/>
  <c r="X220" i="9"/>
  <c r="X368" i="9"/>
  <c r="Q266" i="9"/>
  <c r="Q370" i="9"/>
  <c r="Q179" i="9"/>
  <c r="X177" i="9"/>
  <c r="Q244" i="9"/>
  <c r="C364" i="9"/>
  <c r="X247" i="9"/>
  <c r="Q211" i="9"/>
  <c r="X128" i="9"/>
  <c r="Q217" i="9"/>
  <c r="C345" i="9"/>
  <c r="Q372" i="9"/>
  <c r="C198" i="9"/>
  <c r="J340" i="9"/>
  <c r="J329" i="9"/>
  <c r="X180" i="9"/>
  <c r="J302" i="9"/>
  <c r="C386" i="9"/>
  <c r="J170" i="9"/>
  <c r="C241" i="9"/>
  <c r="X367" i="9"/>
  <c r="J390" i="9"/>
  <c r="X143" i="9"/>
  <c r="X239" i="9"/>
  <c r="C222" i="9"/>
  <c r="Q231" i="9"/>
  <c r="X223" i="9"/>
  <c r="J396" i="9"/>
  <c r="Q144" i="9"/>
  <c r="C278" i="9"/>
  <c r="J385" i="9"/>
  <c r="X161" i="9"/>
  <c r="Q159" i="9"/>
  <c r="C387" i="9"/>
  <c r="J136" i="9"/>
  <c r="X314" i="9"/>
  <c r="J346" i="9"/>
  <c r="J296" i="9"/>
  <c r="X366" i="9"/>
  <c r="C231" i="9"/>
  <c r="C218" i="9"/>
  <c r="C165" i="9"/>
  <c r="J177" i="9"/>
  <c r="Q348" i="9"/>
  <c r="C225" i="9"/>
  <c r="Q174" i="9"/>
  <c r="J303" i="9"/>
  <c r="J372" i="9"/>
  <c r="Q268" i="9"/>
  <c r="J323" i="9"/>
  <c r="Q393" i="9"/>
  <c r="J320" i="9"/>
  <c r="Q218" i="9"/>
  <c r="X343" i="9"/>
  <c r="X331" i="9"/>
  <c r="J380" i="9"/>
  <c r="C226" i="9"/>
  <c r="J395" i="9"/>
  <c r="J342" i="9"/>
  <c r="Q278" i="9"/>
  <c r="X193" i="9"/>
  <c r="Q313" i="9"/>
  <c r="C339" i="9"/>
  <c r="J276" i="9"/>
  <c r="C200" i="9"/>
  <c r="X171" i="9"/>
  <c r="Q201" i="9"/>
  <c r="C288" i="9"/>
  <c r="X235" i="9"/>
  <c r="J371" i="9"/>
  <c r="C344" i="9"/>
  <c r="X345" i="9"/>
  <c r="X122" i="9"/>
  <c r="C230" i="9"/>
  <c r="C118" i="9"/>
  <c r="J349" i="9"/>
  <c r="Q167" i="9"/>
  <c r="J229" i="9"/>
  <c r="Q116" i="9"/>
  <c r="X112" i="9"/>
  <c r="C335" i="9"/>
  <c r="Q284" i="9"/>
  <c r="C297" i="9"/>
  <c r="X323" i="9"/>
  <c r="J120" i="9"/>
  <c r="X201" i="9"/>
  <c r="Q381" i="9"/>
  <c r="C384" i="9"/>
  <c r="Q333" i="9"/>
  <c r="X233" i="9"/>
  <c r="X386" i="9"/>
  <c r="Q346" i="9"/>
  <c r="X209" i="9"/>
  <c r="J388" i="9"/>
  <c r="Q344" i="9"/>
  <c r="X329" i="9"/>
  <c r="C377" i="9"/>
  <c r="Q292" i="9"/>
  <c r="J394" i="9"/>
  <c r="X179" i="9"/>
  <c r="J267" i="9"/>
  <c r="C217" i="9"/>
  <c r="J164" i="9"/>
  <c r="X249" i="9"/>
  <c r="J131" i="9"/>
  <c r="X271" i="9"/>
  <c r="Q263" i="9"/>
  <c r="J300" i="9"/>
  <c r="X222" i="9"/>
  <c r="Q131" i="9"/>
  <c r="C170" i="9"/>
  <c r="J314" i="9"/>
  <c r="C405" i="9"/>
  <c r="C246" i="9"/>
  <c r="X370" i="9"/>
  <c r="X261" i="9"/>
  <c r="C214" i="9"/>
  <c r="X328" i="9"/>
  <c r="J126" i="9"/>
  <c r="C169" i="9"/>
  <c r="J228" i="9"/>
  <c r="C261" i="9"/>
  <c r="Q369" i="9"/>
  <c r="J263" i="9"/>
  <c r="C192" i="9"/>
  <c r="J278" i="9"/>
  <c r="Q189" i="9"/>
  <c r="Q330" i="9"/>
  <c r="X260" i="9"/>
  <c r="X107" i="9"/>
  <c r="J281" i="9"/>
  <c r="Q213" i="9"/>
  <c r="J348" i="9"/>
  <c r="X399" i="9"/>
  <c r="J169" i="9"/>
  <c r="X344" i="9"/>
  <c r="X291" i="9"/>
  <c r="Q400" i="9"/>
  <c r="X315" i="9"/>
  <c r="J347" i="9"/>
  <c r="C199" i="9"/>
  <c r="J215" i="9"/>
  <c r="C281" i="9"/>
  <c r="C187" i="9"/>
  <c r="J168" i="9"/>
  <c r="C271" i="9"/>
  <c r="J268" i="9"/>
  <c r="C381" i="9"/>
  <c r="Q352" i="9"/>
  <c r="J363" i="9"/>
  <c r="J122" i="9"/>
  <c r="C347" i="9"/>
  <c r="J252" i="9"/>
  <c r="Q295" i="9"/>
  <c r="Q162" i="9"/>
  <c r="X113" i="9"/>
  <c r="Q237" i="9"/>
  <c r="J144" i="9"/>
  <c r="Q351" i="9"/>
  <c r="X145" i="9"/>
  <c r="Q243" i="9"/>
  <c r="X376" i="9"/>
  <c r="X241" i="9"/>
  <c r="J239" i="9"/>
  <c r="Q302" i="9"/>
  <c r="Q112" i="9"/>
  <c r="X148" i="9"/>
  <c r="X333" i="9"/>
  <c r="J364" i="9"/>
  <c r="X300" i="9"/>
  <c r="Q119" i="9"/>
  <c r="J297" i="9"/>
  <c r="X121" i="9"/>
  <c r="J113" i="9"/>
  <c r="J293" i="9"/>
  <c r="J240" i="9"/>
  <c r="J123" i="9"/>
  <c r="J212" i="9"/>
  <c r="Q385" i="9"/>
  <c r="X392" i="9"/>
  <c r="J118" i="9"/>
  <c r="Q210" i="9"/>
  <c r="C374" i="9"/>
  <c r="Q190" i="9"/>
  <c r="Q187" i="9"/>
  <c r="X119" i="9"/>
  <c r="J313" i="9"/>
  <c r="Q240" i="9"/>
  <c r="X227" i="9"/>
  <c r="X175" i="9"/>
  <c r="Q148" i="9"/>
  <c r="Q227" i="9"/>
  <c r="J241" i="9"/>
  <c r="C313" i="9"/>
  <c r="X127" i="9"/>
  <c r="Q221" i="9"/>
  <c r="J214" i="9"/>
  <c r="C382" i="9"/>
  <c r="J194" i="9"/>
  <c r="X373" i="9"/>
  <c r="Q403" i="9"/>
  <c r="J337" i="9"/>
  <c r="C252" i="9"/>
  <c r="X279" i="9"/>
  <c r="J139" i="9"/>
  <c r="J366" i="9"/>
  <c r="X186" i="9"/>
  <c r="J287" i="9"/>
  <c r="X390" i="9"/>
  <c r="C129" i="9"/>
  <c r="Q191" i="9"/>
  <c r="Q158" i="9"/>
  <c r="C247" i="9"/>
  <c r="Q136" i="9"/>
  <c r="Q320" i="9"/>
  <c r="X196" i="9"/>
  <c r="J129" i="9"/>
  <c r="J295" i="9"/>
  <c r="Q271" i="9"/>
  <c r="Q245" i="9"/>
  <c r="C397" i="9"/>
  <c r="X167" i="9"/>
  <c r="C372" i="9"/>
  <c r="J404" i="9"/>
  <c r="X290" i="9"/>
  <c r="Q114" i="9"/>
  <c r="X365" i="9"/>
  <c r="X340" i="9"/>
  <c r="C285" i="9"/>
  <c r="Q321" i="9"/>
  <c r="C342" i="9"/>
  <c r="J324" i="9"/>
  <c r="X293" i="9"/>
  <c r="X337" i="9"/>
  <c r="C180" i="9"/>
  <c r="Q251" i="9"/>
  <c r="J167" i="9"/>
  <c r="C197" i="9"/>
  <c r="J135" i="9"/>
  <c r="C185" i="9"/>
  <c r="C321" i="9"/>
  <c r="X398" i="9"/>
  <c r="C189" i="9"/>
  <c r="X387" i="9"/>
  <c r="Q176" i="9"/>
  <c r="C145" i="9"/>
  <c r="Q374" i="9"/>
  <c r="C166" i="9"/>
  <c r="C233" i="9"/>
  <c r="Q166" i="9"/>
  <c r="J374" i="9"/>
  <c r="J328" i="9"/>
  <c r="J301" i="9"/>
  <c r="J319" i="9"/>
  <c r="X371" i="9"/>
  <c r="Q200" i="9"/>
  <c r="C370" i="9"/>
  <c r="X388" i="9"/>
  <c r="Q183" i="9"/>
  <c r="Q120" i="9"/>
  <c r="X217" i="9"/>
  <c r="X133" i="9"/>
  <c r="Q173" i="9"/>
  <c r="C148" i="9"/>
  <c r="Q178" i="9"/>
  <c r="Q239" i="9"/>
  <c r="Q143" i="9"/>
  <c r="J292" i="9"/>
  <c r="X197" i="9"/>
  <c r="C212" i="9"/>
  <c r="J198" i="9"/>
  <c r="Q335" i="9"/>
  <c r="X190" i="9"/>
  <c r="J111" i="9"/>
  <c r="X215" i="9"/>
  <c r="C196" i="9"/>
  <c r="X130" i="9"/>
  <c r="Q281" i="9"/>
  <c r="Q198" i="9"/>
  <c r="X176" i="9"/>
  <c r="Q331" i="9"/>
  <c r="Q110" i="9"/>
  <c r="X140" i="9"/>
  <c r="C312" i="9"/>
  <c r="Q261" i="9"/>
  <c r="Q182" i="9"/>
  <c r="X297" i="9"/>
  <c r="Q250" i="9"/>
  <c r="J149" i="9"/>
  <c r="J196" i="9"/>
  <c r="C291" i="9"/>
  <c r="J114" i="9"/>
  <c r="X210" i="9"/>
  <c r="X401" i="9"/>
  <c r="J224" i="9"/>
  <c r="J316" i="9"/>
  <c r="Q134" i="9"/>
  <c r="Q386" i="9"/>
  <c r="J250" i="9"/>
  <c r="X289" i="9"/>
  <c r="J352" i="9"/>
  <c r="X372" i="9"/>
  <c r="C108" i="9"/>
  <c r="J327" i="9"/>
  <c r="C143" i="9"/>
  <c r="C324" i="9"/>
  <c r="C380" i="9"/>
  <c r="Q324" i="9"/>
  <c r="X336" i="9"/>
  <c r="X110" i="9"/>
  <c r="C334" i="9"/>
  <c r="J398" i="9"/>
  <c r="C228" i="9"/>
  <c r="J261" i="9"/>
  <c r="X346" i="9"/>
  <c r="X350" i="9"/>
  <c r="Q273" i="9"/>
  <c r="Q396" i="9"/>
  <c r="Q236" i="9"/>
  <c r="X114" i="9"/>
  <c r="X170" i="9"/>
  <c r="Q312" i="9"/>
  <c r="Q269" i="9"/>
  <c r="C395" i="9"/>
  <c r="Q300" i="9"/>
  <c r="Q398" i="9"/>
  <c r="C340" i="9"/>
  <c r="Q216" i="9"/>
  <c r="J124" i="9"/>
  <c r="Q246" i="9"/>
  <c r="Q316" i="9"/>
  <c r="J326" i="9"/>
  <c r="Q303" i="9"/>
  <c r="X123" i="9"/>
  <c r="J405" i="9"/>
  <c r="J210" i="9"/>
  <c r="X213" i="9"/>
  <c r="C130" i="9"/>
  <c r="Q301" i="9"/>
  <c r="Q147" i="9"/>
  <c r="Q265" i="9"/>
  <c r="C115" i="9"/>
  <c r="C221" i="9"/>
  <c r="C216" i="9"/>
  <c r="J190" i="9"/>
  <c r="X146" i="9"/>
  <c r="J288" i="9"/>
  <c r="X266" i="9"/>
  <c r="Q233" i="9"/>
  <c r="C232" i="9"/>
  <c r="C333" i="9"/>
  <c r="C220" i="9"/>
  <c r="X267" i="9"/>
  <c r="C182" i="9"/>
  <c r="X406" i="9"/>
  <c r="X263" i="9"/>
  <c r="X232" i="9"/>
  <c r="X269" i="9"/>
  <c r="J182" i="9"/>
  <c r="X294" i="9"/>
  <c r="C315" i="9"/>
  <c r="J158" i="9"/>
  <c r="J187" i="9"/>
  <c r="J127" i="9"/>
  <c r="J265" i="9"/>
  <c r="X216" i="9"/>
  <c r="J392" i="9"/>
  <c r="J291" i="9"/>
  <c r="J176" i="9"/>
  <c r="C279" i="9"/>
  <c r="X311" i="9"/>
  <c r="J197" i="9"/>
  <c r="Q342" i="9"/>
  <c r="X178" i="9"/>
  <c r="Q163" i="9"/>
  <c r="Q130" i="9"/>
  <c r="J237" i="9"/>
  <c r="C292" i="9"/>
  <c r="J333" i="9"/>
  <c r="J217" i="9"/>
  <c r="X303" i="9"/>
  <c r="X214" i="9"/>
  <c r="Q238" i="9"/>
  <c r="Q395" i="9"/>
  <c r="X299" i="9"/>
  <c r="Q340" i="9"/>
  <c r="X374" i="9"/>
  <c r="J227" i="9"/>
  <c r="X149" i="9"/>
  <c r="J226" i="9"/>
  <c r="Q353" i="9"/>
  <c r="C146" i="9"/>
  <c r="X280" i="9"/>
  <c r="Q317" i="9"/>
  <c r="Q343" i="9"/>
  <c r="Q171" i="9"/>
  <c r="X382" i="9"/>
  <c r="Q199" i="9"/>
  <c r="J389" i="9"/>
  <c r="J381" i="9"/>
  <c r="C327" i="9"/>
  <c r="C174" i="9"/>
  <c r="C194" i="9"/>
  <c r="X321" i="9"/>
  <c r="C117" i="9"/>
  <c r="C264" i="9"/>
  <c r="Q168" i="9"/>
  <c r="J238" i="9"/>
  <c r="C350" i="9"/>
  <c r="Q219" i="9"/>
  <c r="C215" i="9"/>
  <c r="X211" i="9"/>
  <c r="X384" i="9"/>
  <c r="C122" i="9"/>
  <c r="J376" i="9"/>
  <c r="Q180" i="9"/>
  <c r="J351" i="9"/>
  <c r="Q195" i="9"/>
  <c r="C390" i="9"/>
  <c r="C236" i="9"/>
  <c r="X198" i="9"/>
  <c r="C349" i="9"/>
  <c r="Q366" i="9"/>
  <c r="J272" i="9"/>
  <c r="Q228" i="9"/>
  <c r="J174" i="9"/>
  <c r="J271" i="9"/>
  <c r="J180" i="9"/>
  <c r="Q288" i="9"/>
  <c r="C173" i="9"/>
  <c r="J232" i="9"/>
  <c r="X134" i="9"/>
  <c r="Q350" i="9"/>
  <c r="J173" i="9"/>
  <c r="Q275" i="9"/>
  <c r="Q323" i="9"/>
  <c r="J401" i="9"/>
  <c r="Q274" i="9"/>
  <c r="Q377" i="9"/>
  <c r="X160" i="9"/>
  <c r="C322" i="9"/>
  <c r="C348" i="9"/>
  <c r="C244" i="9"/>
  <c r="X236" i="9"/>
  <c r="Q402" i="9"/>
  <c r="Q185" i="9"/>
  <c r="Q318" i="9"/>
  <c r="J273" i="9"/>
  <c r="Q294" i="9"/>
  <c r="C219" i="9"/>
  <c r="Q375" i="9"/>
  <c r="C193" i="9"/>
  <c r="Q365" i="9"/>
  <c r="Q160" i="9"/>
  <c r="J400" i="9"/>
  <c r="C368" i="9"/>
  <c r="J145" i="9"/>
  <c r="C284" i="9"/>
  <c r="J373" i="9"/>
  <c r="Q291" i="9"/>
  <c r="J315" i="9"/>
  <c r="Q338" i="9"/>
  <c r="C181" i="9"/>
  <c r="J279" i="9"/>
  <c r="X115" i="9"/>
  <c r="X404" i="9"/>
  <c r="J141" i="9"/>
  <c r="Q262" i="9"/>
  <c r="J222" i="9"/>
  <c r="J117" i="9"/>
  <c r="C371" i="9"/>
  <c r="X265" i="9"/>
  <c r="X116" i="9"/>
  <c r="C162" i="9"/>
  <c r="J108" i="9"/>
  <c r="J317" i="9"/>
  <c r="J178" i="9"/>
  <c r="J209" i="9"/>
  <c r="J294" i="9"/>
  <c r="C183" i="9"/>
  <c r="Q390" i="9"/>
  <c r="C223" i="9"/>
  <c r="J193" i="9"/>
  <c r="Q235" i="9"/>
  <c r="J325" i="9"/>
  <c r="J383" i="9"/>
  <c r="C275" i="9"/>
  <c r="Q220" i="9"/>
  <c r="C142" i="9"/>
  <c r="C175" i="9"/>
  <c r="X396" i="9"/>
  <c r="J171" i="9"/>
  <c r="C144" i="9"/>
  <c r="X219" i="9"/>
  <c r="C402" i="9"/>
  <c r="Q107" i="9"/>
  <c r="C126" i="9"/>
  <c r="Q326" i="9"/>
  <c r="Q378" i="9"/>
  <c r="Q287" i="9"/>
  <c r="J343" i="9"/>
  <c r="C229" i="9"/>
  <c r="J138" i="9"/>
  <c r="Q132" i="9"/>
  <c r="C124" i="9"/>
  <c r="J403" i="9"/>
  <c r="X397" i="9"/>
  <c r="Q146" i="9"/>
  <c r="Q315" i="9"/>
  <c r="Q122" i="9"/>
  <c r="X317" i="9"/>
  <c r="X169" i="9"/>
  <c r="C128" i="9"/>
  <c r="C240" i="9"/>
  <c r="X394" i="9"/>
  <c r="C301" i="9"/>
  <c r="J234" i="9"/>
  <c r="Q252" i="9"/>
  <c r="J231" i="9"/>
  <c r="J312" i="9"/>
  <c r="J181" i="9"/>
  <c r="Q108" i="9"/>
  <c r="Q379" i="9"/>
  <c r="C177" i="9"/>
  <c r="J191" i="9"/>
  <c r="X144" i="9"/>
  <c r="Q406" i="9"/>
  <c r="Q328" i="9"/>
  <c r="X118" i="9"/>
  <c r="C134" i="9"/>
  <c r="C293" i="9"/>
  <c r="X189" i="9"/>
  <c r="C125" i="9"/>
  <c r="J341" i="9"/>
  <c r="X242" i="9"/>
  <c r="X137" i="9"/>
  <c r="C178" i="9"/>
  <c r="Q128" i="9"/>
  <c r="X108" i="9"/>
  <c r="Q169" i="9"/>
  <c r="L363" i="9"/>
  <c r="S240" i="9"/>
  <c r="S233" i="9"/>
  <c r="Z181" i="9"/>
  <c r="L394" i="9"/>
  <c r="S161" i="9"/>
  <c r="Z260" i="9"/>
  <c r="S320" i="9"/>
  <c r="E332" i="9"/>
  <c r="L227" i="9"/>
  <c r="S394" i="9"/>
  <c r="S223" i="9"/>
  <c r="L159" i="9"/>
  <c r="L350" i="9"/>
  <c r="S303" i="9"/>
  <c r="Z145" i="9"/>
  <c r="L124" i="9"/>
  <c r="E331" i="9"/>
  <c r="L322" i="9"/>
  <c r="J130" i="9"/>
  <c r="Q226" i="9"/>
  <c r="Q337" i="9"/>
  <c r="X347" i="9"/>
  <c r="C276" i="9"/>
  <c r="Q138" i="9"/>
  <c r="C325" i="9"/>
  <c r="J107" i="9"/>
  <c r="X224" i="9"/>
  <c r="Q392" i="9"/>
  <c r="X162" i="9"/>
  <c r="Q334" i="9"/>
  <c r="C375" i="9"/>
  <c r="X138" i="9"/>
  <c r="Q280" i="9"/>
  <c r="C303" i="9"/>
  <c r="X159" i="9"/>
  <c r="Q376" i="9"/>
  <c r="Q247" i="9"/>
  <c r="C245" i="9"/>
  <c r="C385" i="9"/>
  <c r="X341" i="9"/>
  <c r="Q193" i="9"/>
  <c r="J195" i="9"/>
  <c r="X353" i="9"/>
  <c r="J262" i="9"/>
  <c r="X264" i="9"/>
  <c r="X228" i="9"/>
  <c r="J353" i="9"/>
  <c r="X282" i="9"/>
  <c r="Q299" i="9"/>
  <c r="J166" i="9"/>
  <c r="C249" i="9"/>
  <c r="C111" i="9"/>
  <c r="J143" i="9"/>
  <c r="Q367" i="9"/>
  <c r="J369" i="9"/>
  <c r="X383" i="9"/>
  <c r="Q293" i="9"/>
  <c r="X200" i="9"/>
  <c r="C141" i="9"/>
  <c r="J377" i="9"/>
  <c r="C110" i="9"/>
  <c r="Q277" i="9"/>
  <c r="Q164" i="9"/>
  <c r="Q270" i="9"/>
  <c r="Q137" i="9"/>
  <c r="C168" i="9"/>
  <c r="Q391" i="9"/>
  <c r="C201" i="9"/>
  <c r="C112" i="9"/>
  <c r="Q279" i="9"/>
  <c r="X245" i="9"/>
  <c r="C302" i="9"/>
  <c r="C161" i="9"/>
  <c r="X326" i="9"/>
  <c r="X302" i="9"/>
  <c r="J165" i="9"/>
  <c r="C268" i="9"/>
  <c r="X136" i="9"/>
  <c r="X231" i="9"/>
  <c r="Q170" i="9"/>
  <c r="C160" i="9"/>
  <c r="C131" i="9"/>
  <c r="J162" i="9"/>
  <c r="C176" i="9"/>
  <c r="X243" i="9"/>
  <c r="C188" i="9"/>
  <c r="X389" i="9"/>
  <c r="Q368" i="9"/>
  <c r="X129" i="9"/>
  <c r="Q192" i="9"/>
  <c r="Q196" i="9"/>
  <c r="X135" i="9"/>
  <c r="C263" i="9"/>
  <c r="Q297" i="9"/>
  <c r="J179" i="9"/>
  <c r="J321" i="9"/>
  <c r="C120" i="9"/>
  <c r="C135" i="9"/>
  <c r="Q248" i="9"/>
  <c r="Q283" i="9"/>
  <c r="J391" i="9"/>
  <c r="X181" i="9"/>
  <c r="Q329" i="9"/>
  <c r="C114" i="9"/>
  <c r="Q364" i="9"/>
  <c r="Q140" i="9"/>
  <c r="Q345" i="9"/>
  <c r="C211" i="9"/>
  <c r="C300" i="9"/>
  <c r="C294" i="9"/>
  <c r="Q405" i="9"/>
  <c r="C139" i="9"/>
  <c r="J331" i="9"/>
  <c r="X351" i="9"/>
  <c r="C136" i="9"/>
  <c r="C234" i="9"/>
  <c r="X316" i="9"/>
  <c r="C238" i="9"/>
  <c r="X369" i="9"/>
  <c r="J121" i="9"/>
  <c r="J132" i="9"/>
  <c r="J243" i="9"/>
  <c r="Q139" i="9"/>
  <c r="X124" i="9"/>
  <c r="X285" i="9"/>
  <c r="J159" i="9"/>
  <c r="Z391" i="9"/>
  <c r="S317" i="9"/>
  <c r="L342" i="9"/>
  <c r="S246" i="9"/>
  <c r="L351" i="9"/>
  <c r="E365" i="9"/>
  <c r="E372" i="9"/>
  <c r="L241" i="9"/>
  <c r="Z130" i="9"/>
  <c r="Z237" i="9"/>
  <c r="E370" i="9"/>
  <c r="E387" i="9"/>
  <c r="L284" i="9"/>
  <c r="E385" i="9"/>
  <c r="E198" i="9"/>
  <c r="E112" i="9"/>
  <c r="S285" i="9"/>
  <c r="Z343" i="9"/>
  <c r="E139" i="9"/>
  <c r="S260" i="9"/>
  <c r="C367" i="9"/>
  <c r="X188" i="9"/>
  <c r="X379" i="9"/>
  <c r="X284" i="9"/>
  <c r="J350" i="9"/>
  <c r="C346" i="9"/>
  <c r="X363" i="9"/>
  <c r="J379" i="9"/>
  <c r="X185" i="9"/>
  <c r="C376" i="9"/>
  <c r="Q177" i="9"/>
  <c r="Q222" i="9"/>
  <c r="J270" i="9"/>
  <c r="C329" i="9"/>
  <c r="X191" i="9"/>
  <c r="X375" i="9"/>
  <c r="Q285" i="9"/>
  <c r="Q241" i="9"/>
  <c r="X132" i="9"/>
  <c r="X312" i="9"/>
  <c r="X195" i="9"/>
  <c r="C283" i="9"/>
  <c r="Q371" i="9"/>
  <c r="Q125" i="9"/>
  <c r="Q276" i="9"/>
  <c r="J345" i="9"/>
  <c r="X276" i="9"/>
  <c r="C121" i="9"/>
  <c r="J338" i="9"/>
  <c r="X402" i="9"/>
  <c r="Q388" i="9"/>
  <c r="J109" i="9"/>
  <c r="X158" i="9"/>
  <c r="J246" i="9"/>
  <c r="J150" i="9"/>
  <c r="X334" i="9"/>
  <c r="X150" i="9"/>
  <c r="X246" i="9"/>
  <c r="Q124" i="9"/>
  <c r="X184" i="9"/>
  <c r="Q383" i="9"/>
  <c r="J185" i="9"/>
  <c r="C116" i="9"/>
  <c r="J386" i="9"/>
  <c r="C179" i="9"/>
  <c r="X292" i="9"/>
  <c r="C150" i="9"/>
  <c r="X182" i="9"/>
  <c r="C399" i="9"/>
  <c r="J134" i="9"/>
  <c r="C140" i="9"/>
  <c r="C138" i="9"/>
  <c r="J200" i="9"/>
  <c r="Z339" i="9"/>
  <c r="L250" i="9"/>
  <c r="E398" i="9"/>
  <c r="Z228" i="9"/>
  <c r="S231" i="9"/>
  <c r="Z333" i="9"/>
  <c r="E197" i="9"/>
  <c r="Z317" i="9"/>
  <c r="E388" i="9"/>
  <c r="L214" i="9"/>
  <c r="E250" i="9"/>
  <c r="Z312" i="9"/>
  <c r="E405" i="9"/>
  <c r="S336" i="9"/>
  <c r="Z120" i="9"/>
  <c r="Z132" i="9"/>
  <c r="Z215" i="9"/>
  <c r="L382" i="9"/>
  <c r="Z390" i="9"/>
  <c r="L107" i="9"/>
  <c r="Z107" i="9"/>
  <c r="L221" i="9"/>
  <c r="S130" i="9"/>
  <c r="L274" i="9"/>
  <c r="L237" i="9"/>
  <c r="E271" i="9"/>
  <c r="E302" i="9"/>
  <c r="L390" i="9"/>
  <c r="L267" i="9"/>
  <c r="E201" i="9"/>
  <c r="E169" i="9"/>
  <c r="Z113" i="9"/>
  <c r="E352" i="9"/>
  <c r="Z403" i="9"/>
  <c r="S400" i="9"/>
  <c r="S301" i="9"/>
  <c r="Z288" i="9"/>
  <c r="E321" i="9"/>
  <c r="Z216" i="9"/>
  <c r="Z161" i="9"/>
  <c r="L225" i="9"/>
  <c r="S270" i="9"/>
  <c r="L181" i="9"/>
  <c r="S314" i="9"/>
  <c r="Z196" i="9"/>
  <c r="Z174" i="9"/>
  <c r="L229" i="9"/>
  <c r="L146" i="9"/>
  <c r="S365" i="9"/>
  <c r="L161" i="9"/>
  <c r="Z319" i="9"/>
  <c r="E168" i="9"/>
  <c r="Z303" i="9"/>
  <c r="L247" i="9"/>
  <c r="L385" i="9"/>
  <c r="S165" i="9"/>
  <c r="E188" i="9"/>
  <c r="S217" i="9"/>
  <c r="E394" i="9"/>
  <c r="Z323" i="9"/>
  <c r="Z297" i="9"/>
  <c r="Z236" i="9"/>
  <c r="S315" i="9"/>
  <c r="L198" i="9"/>
  <c r="S384" i="9"/>
  <c r="E173" i="9"/>
  <c r="S397" i="9"/>
  <c r="E149" i="9"/>
  <c r="Z176" i="9"/>
  <c r="L280" i="9"/>
  <c r="E269" i="9"/>
  <c r="E300" i="9"/>
  <c r="L248" i="9"/>
  <c r="E303" i="9"/>
  <c r="Z140" i="9"/>
  <c r="S160" i="9"/>
  <c r="L317" i="9"/>
  <c r="S284" i="9"/>
  <c r="S311" i="9"/>
  <c r="E285" i="9"/>
  <c r="S171" i="9"/>
  <c r="Z365" i="9"/>
  <c r="S347" i="9"/>
  <c r="E111" i="9"/>
  <c r="E354" i="9"/>
  <c r="Z370" i="9"/>
  <c r="E345" i="9"/>
  <c r="Z354" i="9"/>
  <c r="S216" i="9"/>
  <c r="Z233" i="9"/>
  <c r="E292" i="9"/>
  <c r="L391" i="9"/>
  <c r="Z295" i="9"/>
  <c r="S319" i="9"/>
  <c r="L406" i="9"/>
  <c r="Z379" i="9"/>
  <c r="E195" i="9"/>
  <c r="Z163" i="9"/>
  <c r="L271" i="9"/>
  <c r="E379" i="9"/>
  <c r="Z331" i="9"/>
  <c r="S267" i="9"/>
  <c r="Z346" i="9"/>
  <c r="E261" i="9"/>
  <c r="E196" i="9"/>
  <c r="Z269" i="9"/>
  <c r="E131" i="9"/>
  <c r="S214" i="9"/>
  <c r="S132" i="9"/>
  <c r="Z182" i="9"/>
  <c r="S212" i="9"/>
  <c r="E130" i="9"/>
  <c r="L252" i="9"/>
  <c r="L118" i="9"/>
  <c r="L136" i="9"/>
  <c r="E336" i="9"/>
  <c r="Z194" i="9"/>
  <c r="E294" i="9"/>
  <c r="Z273" i="9"/>
  <c r="S179" i="9"/>
  <c r="Z231" i="9"/>
  <c r="E110" i="9"/>
  <c r="E349" i="9"/>
  <c r="Z278" i="9"/>
  <c r="L333" i="9"/>
  <c r="E239" i="9"/>
  <c r="L132" i="9"/>
  <c r="S221" i="9"/>
  <c r="E114" i="9"/>
  <c r="S126" i="9"/>
  <c r="Z381" i="9"/>
  <c r="E341" i="9"/>
  <c r="Z299" i="9"/>
  <c r="S187" i="9"/>
  <c r="S396" i="9"/>
  <c r="Z321" i="9"/>
  <c r="E317" i="9"/>
  <c r="E400" i="9"/>
  <c r="S228" i="9"/>
  <c r="E217" i="9"/>
  <c r="E170" i="9"/>
  <c r="E364" i="9"/>
  <c r="L335" i="9"/>
  <c r="Z401" i="9"/>
  <c r="E270" i="9"/>
  <c r="L243" i="9"/>
  <c r="L212" i="9"/>
  <c r="E244" i="9"/>
  <c r="Z387" i="9"/>
  <c r="S278" i="9"/>
  <c r="S177" i="9"/>
  <c r="S280" i="9"/>
  <c r="S399" i="9"/>
  <c r="Z124" i="9"/>
  <c r="L129" i="9"/>
  <c r="L372" i="9"/>
  <c r="S189" i="9"/>
  <c r="E245" i="9"/>
  <c r="S398" i="9"/>
  <c r="S283" i="9"/>
  <c r="Z369" i="9"/>
  <c r="Z291" i="9"/>
  <c r="S150" i="9"/>
  <c r="Z201" i="9"/>
  <c r="S241" i="9"/>
  <c r="S252" i="9"/>
  <c r="S147" i="9"/>
  <c r="S318" i="9"/>
  <c r="Z383" i="9"/>
  <c r="L112" i="9"/>
  <c r="L172" i="9"/>
  <c r="E177" i="9"/>
  <c r="S337" i="9"/>
  <c r="E246" i="9"/>
  <c r="L371" i="9"/>
  <c r="S275" i="9"/>
  <c r="E178" i="9"/>
  <c r="S198" i="9"/>
  <c r="S131" i="9"/>
  <c r="E163" i="9"/>
  <c r="Z123" i="9"/>
  <c r="Z376" i="9"/>
  <c r="E224" i="9"/>
  <c r="L373" i="9"/>
  <c r="E312" i="9"/>
  <c r="E186" i="9"/>
  <c r="S109" i="9"/>
  <c r="L368" i="9"/>
  <c r="Z127" i="9"/>
  <c r="L131" i="9"/>
  <c r="S188" i="9"/>
  <c r="L369" i="9"/>
  <c r="E227" i="9"/>
  <c r="Z340" i="9"/>
  <c r="E116" i="9"/>
  <c r="L246" i="9"/>
  <c r="S343" i="9"/>
  <c r="L123" i="9"/>
  <c r="S346" i="9"/>
  <c r="E369" i="9"/>
  <c r="Z248" i="9"/>
  <c r="E268" i="9"/>
  <c r="C378" i="9"/>
  <c r="X395" i="9"/>
  <c r="C311" i="9"/>
  <c r="Q127" i="9"/>
  <c r="C326" i="9"/>
  <c r="Q135" i="9"/>
  <c r="C132" i="9"/>
  <c r="Q314" i="9"/>
  <c r="J140" i="9"/>
  <c r="Q184" i="9"/>
  <c r="X229" i="9"/>
  <c r="J397" i="9"/>
  <c r="J189" i="9"/>
  <c r="Q399" i="9"/>
  <c r="C391" i="9"/>
  <c r="Q175" i="9"/>
  <c r="C373" i="9"/>
  <c r="C331" i="9"/>
  <c r="Q215" i="9"/>
  <c r="J133" i="9"/>
  <c r="J188" i="9"/>
  <c r="Q404" i="9"/>
  <c r="C398" i="9"/>
  <c r="X183" i="9"/>
  <c r="C109" i="9"/>
  <c r="Q141" i="9"/>
  <c r="J137" i="9"/>
  <c r="C119" i="9"/>
  <c r="Q339" i="9"/>
  <c r="Q111" i="9"/>
  <c r="J402" i="9"/>
  <c r="X164" i="9"/>
  <c r="C323" i="9"/>
  <c r="C280" i="9"/>
  <c r="Q289" i="9"/>
  <c r="Q150" i="9"/>
  <c r="C224" i="9"/>
  <c r="C343" i="9"/>
  <c r="J125" i="9"/>
  <c r="J147" i="9"/>
  <c r="C272" i="9"/>
  <c r="C171" i="9"/>
  <c r="C123" i="9"/>
  <c r="J334" i="9"/>
  <c r="X287" i="9"/>
  <c r="C243" i="9"/>
  <c r="C137" i="9"/>
  <c r="J146" i="9"/>
  <c r="C298" i="9"/>
  <c r="J280" i="9"/>
  <c r="Q224" i="9"/>
  <c r="Q336" i="9"/>
  <c r="J230" i="9"/>
  <c r="S227" i="9"/>
  <c r="Z179" i="9"/>
  <c r="E333" i="9"/>
  <c r="S174" i="9"/>
  <c r="L235" i="9"/>
  <c r="Z388" i="9"/>
  <c r="S209" i="9"/>
  <c r="Z224" i="9"/>
  <c r="E240" i="9"/>
  <c r="L312" i="9"/>
  <c r="Z128" i="9"/>
  <c r="L364" i="9"/>
  <c r="L149" i="9"/>
  <c r="L291" i="9"/>
  <c r="L311" i="9"/>
  <c r="L402" i="9"/>
  <c r="E248" i="9"/>
  <c r="E133" i="9"/>
  <c r="E316" i="9"/>
  <c r="E115" i="9"/>
  <c r="S133" i="9"/>
  <c r="S166" i="9"/>
  <c r="Z384" i="9"/>
  <c r="L262" i="9"/>
  <c r="E392" i="9"/>
  <c r="Z230" i="9"/>
  <c r="L244" i="9"/>
  <c r="E282" i="9"/>
  <c r="E339" i="9"/>
  <c r="E252" i="9"/>
  <c r="L196" i="9"/>
  <c r="S349" i="9"/>
  <c r="L189" i="9"/>
  <c r="L224" i="9"/>
  <c r="E171" i="9"/>
  <c r="S383" i="9"/>
  <c r="Z223" i="9"/>
  <c r="S263" i="9"/>
  <c r="L387" i="9"/>
  <c r="E273" i="9"/>
  <c r="Z185" i="9"/>
  <c r="L353" i="9"/>
  <c r="L263" i="9"/>
  <c r="Z139" i="9"/>
  <c r="S167" i="9"/>
  <c r="S297" i="9"/>
  <c r="Z129" i="9"/>
  <c r="Z314" i="9"/>
  <c r="E230" i="9"/>
  <c r="L392" i="9"/>
  <c r="S393" i="9"/>
  <c r="E247" i="9"/>
  <c r="Z396" i="9"/>
  <c r="S141" i="9"/>
  <c r="E389" i="9"/>
  <c r="L216" i="9"/>
  <c r="Z187" i="9"/>
  <c r="S379" i="9"/>
  <c r="Z399" i="9"/>
  <c r="L341" i="9"/>
  <c r="Z405" i="9"/>
  <c r="S272" i="9"/>
  <c r="S402" i="9"/>
  <c r="L171" i="9"/>
  <c r="L165" i="9"/>
  <c r="S299" i="9"/>
  <c r="L286" i="9"/>
  <c r="L314" i="9"/>
  <c r="E117" i="9"/>
  <c r="S158" i="9"/>
  <c r="L251" i="9"/>
  <c r="S199" i="9"/>
  <c r="E402" i="9"/>
  <c r="Z271" i="9"/>
  <c r="S281" i="9"/>
  <c r="Z374" i="9"/>
  <c r="S178" i="9"/>
  <c r="Z334" i="9"/>
  <c r="Z265" i="9"/>
  <c r="L268" i="9"/>
  <c r="E266" i="9"/>
  <c r="L321" i="9"/>
  <c r="Z372" i="9"/>
  <c r="S295" i="9"/>
  <c r="S287" i="9"/>
  <c r="L377" i="9"/>
  <c r="E199" i="9"/>
  <c r="S222" i="9"/>
  <c r="Z180" i="9"/>
  <c r="E136" i="9"/>
  <c r="S330" i="9"/>
  <c r="Z363" i="9"/>
  <c r="Z211" i="9"/>
  <c r="Z382" i="9"/>
  <c r="L275" i="9"/>
  <c r="Z193" i="9"/>
  <c r="Z115" i="9"/>
  <c r="S395" i="9"/>
  <c r="Z320" i="9"/>
  <c r="E334" i="9"/>
  <c r="S180" i="9"/>
  <c r="E330" i="9"/>
  <c r="L374" i="9"/>
  <c r="L375" i="9"/>
  <c r="Z251" i="9"/>
  <c r="L220" i="9"/>
  <c r="L327" i="9"/>
  <c r="L191" i="9"/>
  <c r="S290" i="9"/>
  <c r="S376" i="9"/>
  <c r="Z170" i="9"/>
  <c r="Z162" i="9"/>
  <c r="S302" i="9"/>
  <c r="Z373" i="9"/>
  <c r="L270" i="9"/>
  <c r="E396" i="9"/>
  <c r="E185" i="9"/>
  <c r="L113" i="9"/>
  <c r="L180" i="9"/>
  <c r="L211" i="9"/>
  <c r="Z332" i="9"/>
  <c r="L366" i="9"/>
  <c r="E200" i="9"/>
  <c r="Z349" i="9"/>
  <c r="L328" i="9"/>
  <c r="Z234" i="9"/>
  <c r="L345" i="9"/>
  <c r="L169" i="9"/>
  <c r="S220" i="9"/>
  <c r="L182" i="9"/>
  <c r="E140" i="9"/>
  <c r="S268" i="9"/>
  <c r="E158" i="9"/>
  <c r="E291" i="9"/>
  <c r="S142" i="9"/>
  <c r="L266" i="9"/>
  <c r="Z197" i="9"/>
  <c r="S333" i="9"/>
  <c r="E386" i="9"/>
  <c r="E125" i="9"/>
  <c r="S191" i="9"/>
  <c r="Z272" i="9"/>
  <c r="E347" i="9"/>
  <c r="E219" i="9"/>
  <c r="S405" i="9"/>
  <c r="L403" i="9"/>
  <c r="Z109" i="9"/>
  <c r="S115" i="9"/>
  <c r="Z348" i="9"/>
  <c r="S342" i="9"/>
  <c r="E324" i="9"/>
  <c r="Z238" i="9"/>
  <c r="S323" i="9"/>
  <c r="Z400" i="9"/>
  <c r="E215" i="9"/>
  <c r="Z313" i="9"/>
  <c r="E174" i="9"/>
  <c r="Z402" i="9"/>
  <c r="Z318" i="9"/>
  <c r="E391" i="9"/>
  <c r="Z186" i="9"/>
  <c r="Z232" i="9"/>
  <c r="E326" i="9"/>
  <c r="E214" i="9"/>
  <c r="Z294" i="9"/>
  <c r="Z328" i="9"/>
  <c r="Z242" i="9"/>
  <c r="L370" i="9"/>
  <c r="L142" i="9"/>
  <c r="L334" i="9"/>
  <c r="L300" i="9"/>
  <c r="S110" i="9"/>
  <c r="E318" i="9"/>
  <c r="E222" i="9"/>
  <c r="L199" i="9"/>
  <c r="S107" i="9"/>
  <c r="E406" i="9"/>
  <c r="L283" i="9"/>
  <c r="E164" i="9"/>
  <c r="E143" i="9"/>
  <c r="Z177" i="9"/>
  <c r="L386" i="9"/>
  <c r="S170" i="9"/>
  <c r="E296" i="9"/>
  <c r="L331" i="9"/>
  <c r="L148" i="9"/>
  <c r="E212" i="9"/>
  <c r="S211" i="9"/>
  <c r="Z261" i="9"/>
  <c r="Z225" i="9"/>
  <c r="S229" i="9"/>
  <c r="E147" i="9"/>
  <c r="L175" i="9"/>
  <c r="L209" i="9"/>
  <c r="E216" i="9"/>
  <c r="Z240" i="9"/>
  <c r="E132" i="9"/>
  <c r="S286" i="9"/>
  <c r="L116" i="9"/>
  <c r="L193" i="9"/>
  <c r="S197" i="9"/>
  <c r="C332" i="9"/>
  <c r="X274" i="9"/>
  <c r="X364" i="9"/>
  <c r="X283" i="9"/>
  <c r="X221" i="9"/>
  <c r="J264" i="9"/>
  <c r="X244" i="9"/>
  <c r="X288" i="9"/>
  <c r="C172" i="9"/>
  <c r="Q212" i="9"/>
  <c r="Q225" i="9"/>
  <c r="J160" i="9"/>
  <c r="X400" i="9"/>
  <c r="J378" i="9"/>
  <c r="C149" i="9"/>
  <c r="X250" i="9"/>
  <c r="X226" i="9"/>
  <c r="J335" i="9"/>
  <c r="X251" i="9"/>
  <c r="X111" i="9"/>
  <c r="C369" i="9"/>
  <c r="C213" i="9"/>
  <c r="J249" i="9"/>
  <c r="X339" i="9"/>
  <c r="C127" i="9"/>
  <c r="J260" i="9"/>
  <c r="C113" i="9"/>
  <c r="Z189" i="9"/>
  <c r="Z353" i="9"/>
  <c r="Z268" i="9"/>
  <c r="L164" i="9"/>
  <c r="S271" i="9"/>
  <c r="L337" i="9"/>
  <c r="E119" i="9"/>
  <c r="S215" i="9"/>
  <c r="L276" i="9"/>
  <c r="S185" i="9"/>
  <c r="Z342" i="9"/>
  <c r="E322" i="9"/>
  <c r="Z315" i="9"/>
  <c r="E343" i="9"/>
  <c r="E298" i="9"/>
  <c r="L404" i="9"/>
  <c r="E223" i="9"/>
  <c r="E371" i="9"/>
  <c r="L326" i="9"/>
  <c r="L117" i="9"/>
  <c r="S326" i="9"/>
  <c r="L217" i="9"/>
  <c r="S164" i="9"/>
  <c r="S369" i="9"/>
  <c r="S213" i="9"/>
  <c r="S168" i="9"/>
  <c r="L230" i="9"/>
  <c r="Z144" i="9"/>
  <c r="L348" i="9"/>
  <c r="S296" i="9"/>
  <c r="Z218" i="9"/>
  <c r="L120" i="9"/>
  <c r="E338" i="9"/>
  <c r="L332" i="9"/>
  <c r="Z147" i="9"/>
  <c r="Z274" i="9"/>
  <c r="L349" i="9"/>
  <c r="L133" i="9"/>
  <c r="L108" i="9"/>
  <c r="L128" i="9"/>
  <c r="S183" i="9"/>
  <c r="Z364" i="9"/>
  <c r="Z142" i="9"/>
  <c r="S114" i="9"/>
  <c r="L218" i="9"/>
  <c r="Z395" i="9"/>
  <c r="L141" i="9"/>
  <c r="S143" i="9"/>
  <c r="L173" i="9"/>
  <c r="Z350" i="9"/>
  <c r="L354" i="9"/>
  <c r="E374" i="9"/>
  <c r="L138" i="9"/>
  <c r="E335" i="9"/>
  <c r="E150" i="9"/>
  <c r="Z229" i="9"/>
  <c r="S219" i="9"/>
  <c r="S339" i="9"/>
  <c r="S190" i="9"/>
  <c r="S249" i="9"/>
  <c r="E124" i="9"/>
  <c r="Z287" i="9"/>
  <c r="Z213" i="9"/>
  <c r="E167" i="9"/>
  <c r="S352" i="9"/>
  <c r="Z133" i="9"/>
  <c r="S328" i="9"/>
  <c r="S236" i="9"/>
  <c r="E262" i="9"/>
  <c r="L174" i="9"/>
  <c r="Z114" i="9"/>
  <c r="Z366" i="9"/>
  <c r="E145" i="9"/>
  <c r="L210" i="9"/>
  <c r="Z279" i="9"/>
  <c r="S364" i="9"/>
  <c r="L295" i="9"/>
  <c r="S123" i="9"/>
  <c r="Z337" i="9"/>
  <c r="Z280" i="9"/>
  <c r="E328" i="9"/>
  <c r="S113" i="9"/>
  <c r="E319" i="9"/>
  <c r="L186" i="9"/>
  <c r="E373" i="9"/>
  <c r="L188" i="9"/>
  <c r="E293" i="9"/>
  <c r="Z148" i="9"/>
  <c r="S353" i="9"/>
  <c r="S348" i="9"/>
  <c r="E183" i="9"/>
  <c r="L393" i="9"/>
  <c r="Z226" i="9"/>
  <c r="E161" i="9"/>
  <c r="Z192" i="9"/>
  <c r="S325" i="9"/>
  <c r="Z137" i="9"/>
  <c r="L222" i="9"/>
  <c r="S389" i="9"/>
  <c r="L336" i="9"/>
  <c r="E138" i="9"/>
  <c r="L150" i="9"/>
  <c r="S321" i="9"/>
  <c r="L170" i="9"/>
  <c r="E128" i="9"/>
  <c r="L109" i="9"/>
  <c r="E148" i="9"/>
  <c r="L319" i="9"/>
  <c r="Z131" i="9"/>
  <c r="Z329" i="9"/>
  <c r="E383" i="9"/>
  <c r="S340" i="9"/>
  <c r="E401" i="9"/>
  <c r="L192" i="9"/>
  <c r="S124" i="9"/>
  <c r="L302" i="9"/>
  <c r="L352" i="9"/>
  <c r="E221" i="9"/>
  <c r="S146" i="9"/>
  <c r="L399" i="9"/>
  <c r="S373" i="9"/>
  <c r="E107" i="9"/>
  <c r="S350" i="9"/>
  <c r="L343" i="9"/>
  <c r="L121" i="9"/>
  <c r="S282" i="9"/>
  <c r="S312" i="9"/>
  <c r="S128" i="9"/>
  <c r="E376" i="9"/>
  <c r="E280" i="9"/>
  <c r="Z406" i="9"/>
  <c r="S344" i="9"/>
  <c r="E236" i="9"/>
  <c r="L287" i="9"/>
  <c r="Z300" i="9"/>
  <c r="S266" i="9"/>
  <c r="S108" i="9"/>
  <c r="Z326" i="9"/>
  <c r="Z222" i="9"/>
  <c r="Z108" i="9"/>
  <c r="Z121" i="9"/>
  <c r="S368" i="9"/>
  <c r="Z247" i="9"/>
  <c r="E108" i="9"/>
  <c r="S173" i="9"/>
  <c r="L297" i="9"/>
  <c r="L200" i="9"/>
  <c r="L265" i="9"/>
  <c r="S139" i="9"/>
  <c r="E126" i="9"/>
  <c r="Z212" i="9"/>
  <c r="E299" i="9"/>
  <c r="E313" i="9"/>
  <c r="L140" i="9"/>
  <c r="C195" i="9"/>
  <c r="X199" i="9"/>
  <c r="J192" i="9"/>
  <c r="Q384" i="9"/>
  <c r="X262" i="9"/>
  <c r="X187" i="9"/>
  <c r="C133" i="9"/>
  <c r="X248" i="9"/>
  <c r="X405" i="9"/>
  <c r="C227" i="9"/>
  <c r="C379" i="9"/>
  <c r="C267" i="9"/>
  <c r="J161" i="9"/>
  <c r="X166" i="9"/>
  <c r="L381" i="9"/>
  <c r="S230" i="9"/>
  <c r="Z311" i="9"/>
  <c r="L145" i="9"/>
  <c r="L130" i="9"/>
  <c r="L114" i="9"/>
  <c r="L285" i="9"/>
  <c r="Z160" i="9"/>
  <c r="Z286" i="9"/>
  <c r="S237" i="9"/>
  <c r="Z190" i="9"/>
  <c r="L378" i="9"/>
  <c r="L315" i="9"/>
  <c r="S210" i="9"/>
  <c r="L316" i="9"/>
  <c r="E141" i="9"/>
  <c r="L240" i="9"/>
  <c r="L184" i="9"/>
  <c r="S176" i="9"/>
  <c r="Z284" i="9"/>
  <c r="L293" i="9"/>
  <c r="E233" i="9"/>
  <c r="E211" i="9"/>
  <c r="Z150" i="9"/>
  <c r="S371" i="9"/>
  <c r="E279" i="9"/>
  <c r="L126" i="9"/>
  <c r="E122" i="9"/>
  <c r="L115" i="9"/>
  <c r="S112" i="9"/>
  <c r="L292" i="9"/>
  <c r="Z263" i="9"/>
  <c r="E210" i="9"/>
  <c r="E367" i="9"/>
  <c r="L400" i="9"/>
  <c r="S225" i="9"/>
  <c r="S370" i="9"/>
  <c r="E135" i="9"/>
  <c r="Z119" i="9"/>
  <c r="E142" i="9"/>
  <c r="S262" i="9"/>
  <c r="L231" i="9"/>
  <c r="S385" i="9"/>
  <c r="S390" i="9"/>
  <c r="Z277" i="9"/>
  <c r="S265" i="9"/>
  <c r="S388" i="9"/>
  <c r="L324" i="9"/>
  <c r="S117" i="9"/>
  <c r="L340" i="9"/>
  <c r="Z178" i="9"/>
  <c r="Z386" i="9"/>
  <c r="L160" i="9"/>
  <c r="E346" i="9"/>
  <c r="L388" i="9"/>
  <c r="E381" i="9"/>
  <c r="E329" i="9"/>
  <c r="Z264" i="9"/>
  <c r="Z250" i="9"/>
  <c r="E225" i="9"/>
  <c r="Z404" i="9"/>
  <c r="E213" i="9"/>
  <c r="C277" i="9"/>
  <c r="Q142" i="9"/>
  <c r="J368" i="9"/>
  <c r="Q347" i="9"/>
  <c r="Q286" i="9"/>
  <c r="C282" i="9"/>
  <c r="X348" i="9"/>
  <c r="J245" i="9"/>
  <c r="J183" i="9"/>
  <c r="J251" i="9"/>
  <c r="X330" i="9"/>
  <c r="C270" i="9"/>
  <c r="C363" i="9"/>
  <c r="Q121" i="9"/>
  <c r="Q186" i="9"/>
  <c r="Q197" i="9"/>
  <c r="J344" i="9"/>
  <c r="C260" i="9"/>
  <c r="J285" i="9"/>
  <c r="J282" i="9"/>
  <c r="Q380" i="9"/>
  <c r="X332" i="9"/>
  <c r="X354" i="9"/>
  <c r="C404" i="9"/>
  <c r="X120" i="9"/>
  <c r="Q319" i="9"/>
  <c r="Q188" i="9"/>
  <c r="S386" i="9"/>
  <c r="Z183" i="9"/>
  <c r="S243" i="9"/>
  <c r="S341" i="9"/>
  <c r="Z389" i="9"/>
  <c r="S276" i="9"/>
  <c r="E315" i="9"/>
  <c r="S245" i="9"/>
  <c r="Z290" i="9"/>
  <c r="Z173" i="9"/>
  <c r="L239" i="9"/>
  <c r="L396" i="9"/>
  <c r="E348" i="9"/>
  <c r="S291" i="9"/>
  <c r="E297" i="9"/>
  <c r="Z385" i="9"/>
  <c r="L242" i="9"/>
  <c r="Z338" i="9"/>
  <c r="E228" i="9"/>
  <c r="L201" i="9"/>
  <c r="E278" i="9"/>
  <c r="S226" i="9"/>
  <c r="L401" i="9"/>
  <c r="S381" i="9"/>
  <c r="Z325" i="9"/>
  <c r="Z252" i="9"/>
  <c r="L194" i="9"/>
  <c r="S375" i="9"/>
  <c r="L176" i="9"/>
  <c r="S163" i="9"/>
  <c r="E231" i="9"/>
  <c r="S382" i="9"/>
  <c r="E283" i="9"/>
  <c r="E340" i="9"/>
  <c r="S127" i="9"/>
  <c r="L330" i="9"/>
  <c r="E235" i="9"/>
  <c r="S140" i="9"/>
  <c r="S184" i="9"/>
  <c r="Z393" i="9"/>
  <c r="S162" i="9"/>
  <c r="L245" i="9"/>
  <c r="Z316" i="9"/>
  <c r="S238" i="9"/>
  <c r="L376" i="9"/>
  <c r="Z324" i="9"/>
  <c r="Z262" i="9"/>
  <c r="Z289" i="9"/>
  <c r="S335" i="9"/>
  <c r="E286" i="9"/>
  <c r="E366" i="9"/>
  <c r="E238" i="9"/>
  <c r="E314" i="9"/>
  <c r="Z118" i="9"/>
  <c r="S148" i="9"/>
  <c r="E187" i="9"/>
  <c r="E137" i="9"/>
  <c r="E129" i="9"/>
  <c r="S182" i="9"/>
  <c r="E351" i="9"/>
  <c r="E368" i="9"/>
  <c r="L389" i="9"/>
  <c r="S327" i="9"/>
  <c r="S144" i="9"/>
  <c r="L272" i="9"/>
  <c r="Z191" i="9"/>
  <c r="Z227" i="9"/>
  <c r="S264" i="9"/>
  <c r="Z267" i="9"/>
  <c r="Z135" i="9"/>
  <c r="Z270" i="9"/>
  <c r="Z198" i="9"/>
  <c r="L226" i="9"/>
  <c r="L313" i="9"/>
  <c r="E281" i="9"/>
  <c r="S201" i="9"/>
  <c r="E194" i="9"/>
  <c r="L236" i="9"/>
  <c r="S172" i="9"/>
  <c r="E172" i="9"/>
  <c r="E380" i="9"/>
  <c r="S332" i="9"/>
  <c r="E260" i="9"/>
  <c r="L367" i="9"/>
  <c r="S378" i="9"/>
  <c r="Z149" i="9"/>
  <c r="S175" i="9"/>
  <c r="S366" i="9"/>
  <c r="Z282" i="9"/>
  <c r="Z220" i="9"/>
  <c r="Z345" i="9"/>
  <c r="S324" i="9"/>
  <c r="E267" i="9"/>
  <c r="E146" i="9"/>
  <c r="Z158" i="9"/>
  <c r="S193" i="9"/>
  <c r="Z126" i="9"/>
  <c r="S334" i="9"/>
  <c r="E399" i="9"/>
  <c r="S374" i="9"/>
  <c r="L195" i="9"/>
  <c r="L213" i="9"/>
  <c r="L318" i="9"/>
  <c r="L339" i="9"/>
  <c r="Z352" i="9"/>
  <c r="E265" i="9"/>
  <c r="E327" i="9"/>
  <c r="L125" i="9"/>
  <c r="S136" i="9"/>
  <c r="L277" i="9"/>
  <c r="S322" i="9"/>
  <c r="E242" i="9"/>
  <c r="Z117" i="9"/>
  <c r="S122" i="9"/>
  <c r="Z380" i="9"/>
  <c r="E134" i="9"/>
  <c r="S250" i="9"/>
  <c r="E160" i="9"/>
  <c r="L119" i="9"/>
  <c r="L197" i="9"/>
  <c r="L288" i="9"/>
  <c r="L168" i="9"/>
  <c r="E393" i="9"/>
  <c r="S298" i="9"/>
  <c r="Z293" i="9"/>
  <c r="S134" i="9"/>
  <c r="Z195" i="9"/>
  <c r="S186" i="9"/>
  <c r="S129" i="9"/>
  <c r="Z292" i="9"/>
  <c r="E249" i="9"/>
  <c r="E274" i="9"/>
  <c r="E127" i="9"/>
  <c r="Z394" i="9"/>
  <c r="Z341" i="9"/>
  <c r="E397" i="9"/>
  <c r="Z184" i="9"/>
  <c r="S274" i="9"/>
  <c r="Z375" i="9"/>
  <c r="Z111" i="9"/>
  <c r="S195" i="9"/>
  <c r="Z239" i="9"/>
  <c r="Z134" i="9"/>
  <c r="S338" i="9"/>
  <c r="E232" i="9"/>
  <c r="Z283" i="9"/>
  <c r="E182" i="9"/>
  <c r="Z210" i="9"/>
  <c r="S135" i="9"/>
  <c r="S313" i="9"/>
  <c r="S392" i="9"/>
  <c r="L269" i="9"/>
  <c r="Z330" i="9"/>
  <c r="S377" i="9"/>
  <c r="C250" i="9"/>
  <c r="J116" i="9"/>
  <c r="C159" i="9"/>
  <c r="C330" i="9"/>
  <c r="X126" i="9"/>
  <c r="Q311" i="9"/>
  <c r="C107" i="9"/>
  <c r="Q172" i="9"/>
  <c r="X277" i="9"/>
  <c r="X174" i="9"/>
  <c r="C392" i="9"/>
  <c r="X125" i="9"/>
  <c r="X281" i="9"/>
  <c r="E277" i="9"/>
  <c r="S218" i="9"/>
  <c r="L134" i="9"/>
  <c r="S277" i="9"/>
  <c r="E191" i="9"/>
  <c r="L147" i="9"/>
  <c r="L179" i="9"/>
  <c r="Z285" i="9"/>
  <c r="Z172" i="9"/>
  <c r="Z397" i="9"/>
  <c r="E263" i="9"/>
  <c r="Z214" i="9"/>
  <c r="E337" i="9"/>
  <c r="L347" i="9"/>
  <c r="S329" i="9"/>
  <c r="Z112" i="9"/>
  <c r="L346" i="9"/>
  <c r="Z168" i="9"/>
  <c r="Z371" i="9"/>
  <c r="E275" i="9"/>
  <c r="L223" i="9"/>
  <c r="L290" i="9"/>
  <c r="L279" i="9"/>
  <c r="E165" i="9"/>
  <c r="L185" i="9"/>
  <c r="Z276" i="9"/>
  <c r="E353" i="9"/>
  <c r="Z235" i="9"/>
  <c r="Z146" i="9"/>
  <c r="E378" i="9"/>
  <c r="Z344" i="9"/>
  <c r="E272" i="9"/>
  <c r="Z167" i="9"/>
  <c r="Z241" i="9"/>
  <c r="S292" i="9"/>
  <c r="E159" i="9"/>
  <c r="L344" i="9"/>
  <c r="S345" i="9"/>
  <c r="S138" i="9"/>
  <c r="L158" i="9"/>
  <c r="L143" i="9"/>
  <c r="E287" i="9"/>
  <c r="Z244" i="9"/>
  <c r="E190" i="9"/>
  <c r="S331" i="9"/>
  <c r="S232" i="9"/>
  <c r="Z188" i="9"/>
  <c r="L110" i="9"/>
  <c r="Z136" i="9"/>
  <c r="S125" i="9"/>
  <c r="L273" i="9"/>
  <c r="L398" i="9"/>
  <c r="L282" i="9"/>
  <c r="L289" i="9"/>
  <c r="E243" i="9"/>
  <c r="S251" i="9"/>
  <c r="S200" i="9"/>
  <c r="L163" i="9"/>
  <c r="L177" i="9"/>
  <c r="Z116" i="9"/>
  <c r="E344" i="9"/>
  <c r="X349" i="9"/>
  <c r="J201" i="9"/>
  <c r="Q298" i="9"/>
  <c r="C167" i="9"/>
  <c r="Q113" i="9"/>
  <c r="Q249" i="9"/>
  <c r="L384" i="9"/>
  <c r="E290" i="9"/>
  <c r="Z165" i="9"/>
  <c r="S367" i="9"/>
  <c r="L122" i="9"/>
  <c r="E403" i="9"/>
  <c r="L294" i="9"/>
  <c r="E342" i="9"/>
  <c r="S289" i="9"/>
  <c r="L298" i="9"/>
  <c r="L137" i="9"/>
  <c r="Z347" i="9"/>
  <c r="L395" i="9"/>
  <c r="S403" i="9"/>
  <c r="S372" i="9"/>
  <c r="Z200" i="9"/>
  <c r="L323" i="9"/>
  <c r="Z122" i="9"/>
  <c r="S279" i="9"/>
  <c r="L278" i="9"/>
  <c r="Z327" i="9"/>
  <c r="Z377" i="9"/>
  <c r="E144" i="9"/>
  <c r="E189" i="9"/>
  <c r="L111" i="9"/>
  <c r="S391" i="9"/>
  <c r="Z243" i="9"/>
  <c r="E118" i="9"/>
  <c r="L183" i="9"/>
  <c r="E404" i="9"/>
  <c r="S224" i="9"/>
  <c r="L397" i="9"/>
  <c r="S111" i="9"/>
  <c r="Z275" i="9"/>
  <c r="L166" i="9"/>
  <c r="E113" i="9"/>
  <c r="Z171" i="9"/>
  <c r="S121" i="9"/>
  <c r="L219" i="9"/>
  <c r="L261" i="9"/>
  <c r="L234" i="9"/>
  <c r="S244" i="9"/>
  <c r="Z110" i="9"/>
  <c r="Z169" i="9"/>
  <c r="S194" i="9"/>
  <c r="S137" i="9"/>
  <c r="J236" i="9"/>
  <c r="X131" i="9"/>
  <c r="Q373" i="9"/>
  <c r="E301" i="9"/>
  <c r="S239" i="9"/>
  <c r="L127" i="9"/>
  <c r="E284" i="9"/>
  <c r="L383" i="9"/>
  <c r="S351" i="9"/>
  <c r="Z141" i="9"/>
  <c r="S293" i="9"/>
  <c r="S354" i="9"/>
  <c r="L144" i="9"/>
  <c r="S316" i="9"/>
  <c r="S300" i="9"/>
  <c r="L260" i="9"/>
  <c r="S192" i="9"/>
  <c r="L233" i="9"/>
  <c r="S149" i="9"/>
  <c r="E109" i="9"/>
  <c r="L135" i="9"/>
  <c r="L329" i="9"/>
  <c r="E289" i="9"/>
  <c r="E120" i="9"/>
  <c r="S235" i="9"/>
  <c r="S273" i="9"/>
  <c r="C237" i="9"/>
  <c r="J269" i="9"/>
  <c r="X237" i="9"/>
  <c r="E179" i="9"/>
  <c r="L281" i="9"/>
  <c r="S234" i="9"/>
  <c r="E184" i="9"/>
  <c r="L299" i="9"/>
  <c r="Z367" i="9"/>
  <c r="L325" i="9"/>
  <c r="Z164" i="9"/>
  <c r="Z336" i="9"/>
  <c r="S387" i="9"/>
  <c r="E220" i="9"/>
  <c r="L232" i="9"/>
  <c r="E295" i="9"/>
  <c r="S196" i="9"/>
  <c r="L187" i="9"/>
  <c r="L162" i="9"/>
  <c r="L228" i="9"/>
  <c r="Z335" i="9"/>
  <c r="E237" i="9"/>
  <c r="Z159" i="9"/>
  <c r="L296" i="9"/>
  <c r="E390" i="9"/>
  <c r="Z209" i="9"/>
  <c r="Q109" i="9"/>
  <c r="C273" i="9"/>
  <c r="Q296" i="9"/>
  <c r="X117" i="9"/>
  <c r="X324" i="9"/>
  <c r="J119" i="9"/>
  <c r="C299" i="9"/>
  <c r="S401" i="9"/>
  <c r="E323" i="9"/>
  <c r="Z266" i="9"/>
  <c r="E209" i="9"/>
  <c r="L338" i="9"/>
  <c r="L215" i="9"/>
  <c r="E375" i="9"/>
  <c r="E193" i="9"/>
  <c r="E226" i="9"/>
  <c r="Z245" i="9"/>
  <c r="S118" i="9"/>
  <c r="E377" i="9"/>
  <c r="S119" i="9"/>
  <c r="L380" i="9"/>
  <c r="Z302" i="9"/>
  <c r="S145" i="9"/>
  <c r="E234" i="9"/>
  <c r="E350" i="9"/>
  <c r="E123" i="9"/>
  <c r="L238" i="9"/>
  <c r="Z398" i="9"/>
  <c r="L303" i="9"/>
  <c r="S269" i="9"/>
  <c r="E264" i="9"/>
  <c r="Z296" i="9"/>
  <c r="S380" i="9"/>
  <c r="E325" i="9"/>
  <c r="E162" i="9"/>
  <c r="Z221" i="9"/>
  <c r="E229" i="9"/>
  <c r="L301" i="9"/>
  <c r="E175" i="9"/>
  <c r="L365" i="9"/>
  <c r="Z301" i="9"/>
  <c r="E181" i="9"/>
  <c r="Z217" i="9"/>
  <c r="L320" i="9"/>
  <c r="S159" i="9"/>
  <c r="S116" i="9"/>
  <c r="L139" i="9"/>
  <c r="S181" i="9"/>
  <c r="E251" i="9"/>
  <c r="L249" i="9"/>
  <c r="L167" i="9"/>
  <c r="E395" i="9"/>
  <c r="S288" i="9"/>
  <c r="Q126" i="9"/>
  <c r="X380" i="9"/>
  <c r="J115" i="9"/>
  <c r="C269" i="9"/>
  <c r="Z322" i="9"/>
  <c r="Z392" i="9"/>
  <c r="Z175" i="9"/>
  <c r="E311" i="9"/>
  <c r="S406" i="9"/>
  <c r="Z219" i="9"/>
  <c r="Z246" i="9"/>
  <c r="Z378" i="9"/>
  <c r="Z125" i="9"/>
  <c r="E320" i="9"/>
  <c r="E121" i="9"/>
  <c r="Z281" i="9"/>
  <c r="L379" i="9"/>
  <c r="L178" i="9"/>
  <c r="Z166" i="9"/>
  <c r="E288" i="9"/>
  <c r="S363" i="9"/>
  <c r="L264" i="9"/>
  <c r="S294" i="9"/>
  <c r="Z368" i="9"/>
  <c r="E176" i="9"/>
  <c r="S261" i="9"/>
  <c r="S248" i="9"/>
  <c r="X313" i="9"/>
  <c r="Q387" i="9"/>
  <c r="X298" i="9"/>
  <c r="C147" i="9"/>
  <c r="E363" i="9"/>
  <c r="S242" i="9"/>
  <c r="S247" i="9"/>
  <c r="E218" i="9"/>
  <c r="L190" i="9"/>
  <c r="S169" i="9"/>
  <c r="Z199" i="9"/>
  <c r="E166" i="9"/>
  <c r="Z138" i="9"/>
  <c r="Z249" i="9"/>
  <c r="E384" i="9"/>
  <c r="Z298" i="9"/>
  <c r="E382" i="9"/>
  <c r="L405" i="9"/>
  <c r="E276" i="9"/>
  <c r="S120" i="9"/>
  <c r="E180" i="9"/>
  <c r="S404" i="9"/>
  <c r="Z143" i="9"/>
  <c r="Z351" i="9"/>
  <c r="E192" i="9"/>
  <c r="E241" i="9"/>
  <c r="L155" i="11"/>
  <c r="F181" i="11"/>
  <c r="F184" i="11"/>
  <c r="F185" i="11"/>
  <c r="F183" i="11"/>
  <c r="R78" i="11" a="1"/>
  <c r="R87" i="11" a="1"/>
  <c r="I92" i="11" a="1"/>
  <c r="I57" i="11" a="1"/>
  <c r="I79" i="11" a="1"/>
  <c r="R61" i="11" a="1"/>
  <c r="R97" i="11" a="1"/>
  <c r="I65" i="11" a="1"/>
  <c r="R86" i="11" a="1"/>
  <c r="R73" i="11" a="1"/>
  <c r="R76" i="11" a="1"/>
  <c r="R91" i="11" a="1"/>
  <c r="R68" i="11" a="1"/>
  <c r="I55" i="11" a="1"/>
  <c r="R96" i="11" a="1"/>
  <c r="R72" i="11" a="1"/>
  <c r="I82" i="11" a="1"/>
  <c r="R77" i="11" a="1"/>
  <c r="I72" i="11" a="1"/>
  <c r="I64" i="11" a="1"/>
  <c r="R80" i="11" a="1"/>
  <c r="I84" i="11" a="1"/>
  <c r="I54" i="11" a="1"/>
  <c r="D88" i="11"/>
  <c r="H86" i="11" a="1"/>
  <c r="E73" i="11"/>
  <c r="G65" i="11" a="1"/>
  <c r="G84" i="11" a="1"/>
  <c r="E90" i="11"/>
  <c r="D90" i="11"/>
  <c r="H60" i="11" a="1"/>
  <c r="H61" i="11" a="1"/>
  <c r="H70" i="11" a="1"/>
  <c r="H85" i="11" a="1"/>
  <c r="H91" i="11" a="1"/>
  <c r="D89" i="11"/>
  <c r="D62" i="11"/>
  <c r="G92" i="11" a="1"/>
  <c r="G95" i="11" a="1"/>
  <c r="D80" i="11"/>
  <c r="G75" i="11" a="1"/>
  <c r="G54" i="11" a="1"/>
  <c r="H97" i="11" a="1"/>
  <c r="D67" i="11"/>
  <c r="G72" i="11" a="1"/>
  <c r="G70" i="11" a="1"/>
  <c r="G97" i="11" a="1"/>
  <c r="G76" i="11" a="1"/>
  <c r="E64" i="11"/>
  <c r="G57" i="11" a="1"/>
  <c r="H58" i="11" a="1"/>
  <c r="H69" i="11" a="1"/>
  <c r="H74" i="11" a="1"/>
  <c r="H80" i="11" a="1"/>
  <c r="H96" i="11" a="1"/>
  <c r="E72" i="11"/>
  <c r="D86" i="11"/>
  <c r="D78" i="11"/>
  <c r="G58" i="11" a="1"/>
  <c r="E91" i="11"/>
  <c r="E95" i="11"/>
  <c r="G89" i="11" a="1"/>
  <c r="E63" i="11"/>
  <c r="G63" i="11" a="1"/>
  <c r="G69" i="11" a="1"/>
  <c r="H56" i="11" a="1"/>
  <c r="H96" i="11" l="1"/>
  <c r="J96" i="11" s="1"/>
  <c r="H91" i="11"/>
  <c r="H80" i="11"/>
  <c r="H85" i="11"/>
  <c r="H74" i="11"/>
  <c r="J74" i="11" s="1"/>
  <c r="H70" i="11"/>
  <c r="J70" i="11" s="1"/>
  <c r="H69" i="11"/>
  <c r="J69" i="11" s="1"/>
  <c r="H61" i="11"/>
  <c r="H56" i="11"/>
  <c r="J56" i="11" s="1"/>
  <c r="H58" i="11"/>
  <c r="J58" i="11" s="1"/>
  <c r="H60" i="11"/>
  <c r="J60" i="11" s="1"/>
  <c r="W469" i="9"/>
  <c r="G72" i="11"/>
  <c r="I72" i="11"/>
  <c r="K72" i="11" s="1"/>
  <c r="R72" i="11"/>
  <c r="Q74" i="10"/>
  <c r="O72" i="10"/>
  <c r="P72" i="10" s="1"/>
  <c r="D89" i="10"/>
  <c r="D90" i="10"/>
  <c r="Q78" i="10"/>
  <c r="P78" i="10"/>
  <c r="Q79" i="10"/>
  <c r="Q80" i="10"/>
  <c r="P80" i="10"/>
  <c r="K74" i="10"/>
  <c r="I72" i="10"/>
  <c r="J72" i="10" s="1"/>
  <c r="K78" i="10"/>
  <c r="K80" i="10"/>
  <c r="K79" i="10"/>
  <c r="E78" i="10"/>
  <c r="C72" i="10"/>
  <c r="D72" i="10" s="1"/>
  <c r="E79" i="10"/>
  <c r="E80" i="10"/>
  <c r="F78" i="10"/>
  <c r="E74" i="10" s="1"/>
  <c r="Q132" i="11"/>
  <c r="Q133" i="11"/>
  <c r="Q134" i="11"/>
  <c r="Q135" i="11"/>
  <c r="Q131" i="11"/>
  <c r="Q130" i="11"/>
  <c r="Q125" i="11"/>
  <c r="Q126" i="11"/>
  <c r="Q124" i="11"/>
  <c r="Q476" i="9"/>
  <c r="U469" i="9"/>
  <c r="R469" i="9"/>
  <c r="D139" i="9"/>
  <c r="D125" i="9"/>
  <c r="F125" i="9" s="1"/>
  <c r="G125" i="9" s="1"/>
  <c r="D136" i="9"/>
  <c r="F136" i="9" s="1"/>
  <c r="G136" i="9" s="1"/>
  <c r="D146" i="9"/>
  <c r="F146" i="9" s="1"/>
  <c r="G146" i="9" s="1"/>
  <c r="D108" i="9"/>
  <c r="F108" i="9" s="1"/>
  <c r="G108" i="9" s="1"/>
  <c r="D119" i="9"/>
  <c r="D124" i="9"/>
  <c r="D134" i="9"/>
  <c r="F134" i="9" s="1"/>
  <c r="G134" i="9" s="1"/>
  <c r="D122" i="9"/>
  <c r="D115" i="9"/>
  <c r="D149" i="9"/>
  <c r="F149" i="9" s="1"/>
  <c r="G149" i="9" s="1"/>
  <c r="D107" i="9"/>
  <c r="F107" i="9" s="1"/>
  <c r="D116" i="9"/>
  <c r="D110" i="9"/>
  <c r="D145" i="9"/>
  <c r="F145" i="9" s="1"/>
  <c r="G145" i="9" s="1"/>
  <c r="D142" i="9"/>
  <c r="D126" i="9"/>
  <c r="D141" i="9"/>
  <c r="D123" i="9"/>
  <c r="D114" i="9"/>
  <c r="F114" i="9" s="1"/>
  <c r="G114" i="9" s="1"/>
  <c r="D143" i="9"/>
  <c r="D147" i="9"/>
  <c r="D113" i="9"/>
  <c r="F113" i="9" s="1"/>
  <c r="G113" i="9" s="1"/>
  <c r="D137" i="9"/>
  <c r="F137" i="9" s="1"/>
  <c r="G137" i="9" s="1"/>
  <c r="D148" i="9"/>
  <c r="D127" i="9"/>
  <c r="D129" i="9"/>
  <c r="F129" i="9" s="1"/>
  <c r="G129" i="9" s="1"/>
  <c r="D133" i="9"/>
  <c r="F133" i="9" s="1"/>
  <c r="G133" i="9" s="1"/>
  <c r="D132" i="9"/>
  <c r="F132" i="9" s="1"/>
  <c r="G132" i="9" s="1"/>
  <c r="D112" i="9"/>
  <c r="D109" i="9"/>
  <c r="F109" i="9" s="1"/>
  <c r="G109" i="9" s="1"/>
  <c r="D128" i="9"/>
  <c r="D138" i="9"/>
  <c r="F138" i="9" s="1"/>
  <c r="G138" i="9" s="1"/>
  <c r="D111" i="9"/>
  <c r="D144" i="9"/>
  <c r="F144" i="9" s="1"/>
  <c r="G144" i="9" s="1"/>
  <c r="D120" i="9"/>
  <c r="F120" i="9" s="1"/>
  <c r="G120" i="9" s="1"/>
  <c r="Y114" i="9"/>
  <c r="R124" i="9"/>
  <c r="T124" i="9" s="1"/>
  <c r="U124" i="9" s="1"/>
  <c r="R169" i="9"/>
  <c r="T169" i="9" s="1"/>
  <c r="U169" i="9" s="1"/>
  <c r="D177" i="9"/>
  <c r="R145" i="9"/>
  <c r="T145" i="9" s="1"/>
  <c r="U145" i="9" s="1"/>
  <c r="D178" i="9"/>
  <c r="R196" i="9"/>
  <c r="D316" i="9"/>
  <c r="F316" i="9" s="1"/>
  <c r="G316" i="9" s="1"/>
  <c r="R107" i="9"/>
  <c r="D192" i="9"/>
  <c r="R219" i="9"/>
  <c r="T219" i="9" s="1"/>
  <c r="U219" i="9" s="1"/>
  <c r="K120" i="9"/>
  <c r="D160" i="9"/>
  <c r="R224" i="9"/>
  <c r="T224" i="9" s="1"/>
  <c r="U224" i="9" s="1"/>
  <c r="K108" i="9"/>
  <c r="D170" i="9"/>
  <c r="F170" i="9" s="1"/>
  <c r="G170" i="9" s="1"/>
  <c r="Y180" i="9"/>
  <c r="AA180" i="9" s="1"/>
  <c r="AB180" i="9" s="1"/>
  <c r="Y320" i="9"/>
  <c r="R375" i="9"/>
  <c r="T375" i="9" s="1"/>
  <c r="U375" i="9" s="1"/>
  <c r="D131" i="9"/>
  <c r="F131" i="9" s="1"/>
  <c r="G131" i="9" s="1"/>
  <c r="D130" i="9"/>
  <c r="F130" i="9" s="1"/>
  <c r="G130" i="9" s="1"/>
  <c r="D117" i="9"/>
  <c r="D135" i="9"/>
  <c r="F135" i="9" s="1"/>
  <c r="G135" i="9" s="1"/>
  <c r="D118" i="9"/>
  <c r="D121" i="9"/>
  <c r="D140" i="9"/>
  <c r="F140" i="9" s="1"/>
  <c r="G140" i="9" s="1"/>
  <c r="R149" i="9"/>
  <c r="T149" i="9" s="1"/>
  <c r="U149" i="9" s="1"/>
  <c r="K186" i="9"/>
  <c r="M186" i="9" s="1"/>
  <c r="N186" i="9" s="1"/>
  <c r="R135" i="9"/>
  <c r="T135" i="9" s="1"/>
  <c r="U135" i="9" s="1"/>
  <c r="K164" i="9"/>
  <c r="R146" i="9"/>
  <c r="T146" i="9" s="1"/>
  <c r="U146" i="9" s="1"/>
  <c r="D169" i="9"/>
  <c r="F169" i="9" s="1"/>
  <c r="G169" i="9" s="1"/>
  <c r="D235" i="9"/>
  <c r="F235" i="9" s="1"/>
  <c r="G235" i="9" s="1"/>
  <c r="K315" i="9"/>
  <c r="Y149" i="9"/>
  <c r="AA149" i="9" s="1"/>
  <c r="AB149" i="9" s="1"/>
  <c r="K189" i="9"/>
  <c r="M189" i="9" s="1"/>
  <c r="N189" i="9" s="1"/>
  <c r="R390" i="9"/>
  <c r="R148" i="9"/>
  <c r="T148" i="9" s="1"/>
  <c r="U148" i="9" s="1"/>
  <c r="K177" i="9"/>
  <c r="Y278" i="9"/>
  <c r="R131" i="9"/>
  <c r="T131" i="9" s="1"/>
  <c r="U131" i="9" s="1"/>
  <c r="Y165" i="9"/>
  <c r="K225" i="9"/>
  <c r="M225" i="9" s="1"/>
  <c r="N225" i="9" s="1"/>
  <c r="Y215" i="9"/>
  <c r="Y175" i="9"/>
  <c r="AA175" i="9" s="1"/>
  <c r="AB175" i="9" s="1"/>
  <c r="Y139" i="9"/>
  <c r="R171" i="9"/>
  <c r="T171" i="9" s="1"/>
  <c r="U171" i="9" s="1"/>
  <c r="Y129" i="9"/>
  <c r="AA129" i="9" s="1"/>
  <c r="AB129" i="9" s="1"/>
  <c r="R174" i="9"/>
  <c r="R110" i="9"/>
  <c r="T110" i="9" s="1"/>
  <c r="U110" i="9" s="1"/>
  <c r="K196" i="9"/>
  <c r="R235" i="9"/>
  <c r="K316" i="9"/>
  <c r="M316" i="9" s="1"/>
  <c r="N316" i="9" s="1"/>
  <c r="Y107" i="9"/>
  <c r="K180" i="9"/>
  <c r="M180" i="9" s="1"/>
  <c r="N180" i="9" s="1"/>
  <c r="Y375" i="9"/>
  <c r="AA375" i="9" s="1"/>
  <c r="AB375" i="9" s="1"/>
  <c r="R112" i="9"/>
  <c r="T112" i="9" s="1"/>
  <c r="U112" i="9" s="1"/>
  <c r="K174" i="9"/>
  <c r="Y301" i="9"/>
  <c r="AA301" i="9" s="1"/>
  <c r="AB301" i="9" s="1"/>
  <c r="R142" i="9"/>
  <c r="T142" i="9" s="1"/>
  <c r="U142" i="9" s="1"/>
  <c r="K390" i="9"/>
  <c r="D301" i="9"/>
  <c r="F301" i="9" s="1"/>
  <c r="G301" i="9" s="1"/>
  <c r="R287" i="9"/>
  <c r="T287" i="9" s="1"/>
  <c r="U287" i="9" s="1"/>
  <c r="D302" i="9"/>
  <c r="D188" i="9"/>
  <c r="F188" i="9" s="1"/>
  <c r="G188" i="9" s="1"/>
  <c r="Y124" i="9"/>
  <c r="K111" i="9"/>
  <c r="M111" i="9" s="1"/>
  <c r="N111" i="9" s="1"/>
  <c r="Y119" i="9"/>
  <c r="AA119" i="9" s="1"/>
  <c r="AB119" i="9" s="1"/>
  <c r="K197" i="9"/>
  <c r="M197" i="9" s="1"/>
  <c r="N197" i="9" s="1"/>
  <c r="D263" i="9"/>
  <c r="K140" i="9"/>
  <c r="M140" i="9" s="1"/>
  <c r="N140" i="9" s="1"/>
  <c r="Y128" i="9"/>
  <c r="AA128" i="9" s="1"/>
  <c r="AB128" i="9" s="1"/>
  <c r="Y325" i="9"/>
  <c r="Y112" i="9"/>
  <c r="K179" i="9"/>
  <c r="M179" i="9" s="1"/>
  <c r="N179" i="9" s="1"/>
  <c r="K330" i="9"/>
  <c r="M330" i="9" s="1"/>
  <c r="N330" i="9" s="1"/>
  <c r="Y132" i="9"/>
  <c r="AA132" i="9" s="1"/>
  <c r="AB132" i="9" s="1"/>
  <c r="K112" i="9"/>
  <c r="Y297" i="9"/>
  <c r="Y379" i="9"/>
  <c r="AA379" i="9" s="1"/>
  <c r="AB379" i="9" s="1"/>
  <c r="Y368" i="9"/>
  <c r="AA368" i="9" s="1"/>
  <c r="AB368" i="9" s="1"/>
  <c r="K124" i="9"/>
  <c r="K175" i="9"/>
  <c r="M175" i="9" s="1"/>
  <c r="N175" i="9" s="1"/>
  <c r="D167" i="9"/>
  <c r="F167" i="9" s="1"/>
  <c r="G167" i="9" s="1"/>
  <c r="D272" i="9"/>
  <c r="K130" i="9"/>
  <c r="M130" i="9" s="1"/>
  <c r="N130" i="9" s="1"/>
  <c r="Y130" i="9"/>
  <c r="K161" i="9"/>
  <c r="K270" i="9"/>
  <c r="M270" i="9" s="1"/>
  <c r="N270" i="9" s="1"/>
  <c r="K135" i="9"/>
  <c r="Y133" i="9"/>
  <c r="K247" i="9"/>
  <c r="M247" i="9" s="1"/>
  <c r="N247" i="9" s="1"/>
  <c r="Y338" i="9"/>
  <c r="Y117" i="9"/>
  <c r="R181" i="9"/>
  <c r="R339" i="9"/>
  <c r="T339" i="9" s="1"/>
  <c r="U339" i="9" s="1"/>
  <c r="D195" i="9"/>
  <c r="D179" i="9"/>
  <c r="F179" i="9" s="1"/>
  <c r="G179" i="9" s="1"/>
  <c r="R374" i="9"/>
  <c r="T374" i="9" s="1"/>
  <c r="U374" i="9" s="1"/>
  <c r="Y168" i="9"/>
  <c r="AA168" i="9" s="1"/>
  <c r="AB168" i="9" s="1"/>
  <c r="D218" i="9"/>
  <c r="K243" i="9"/>
  <c r="K113" i="9"/>
  <c r="M113" i="9" s="1"/>
  <c r="N113" i="9" s="1"/>
  <c r="K178" i="9"/>
  <c r="M178" i="9" s="1"/>
  <c r="N178" i="9" s="1"/>
  <c r="Y134" i="9"/>
  <c r="AA134" i="9" s="1"/>
  <c r="AB134" i="9" s="1"/>
  <c r="K128" i="9"/>
  <c r="D173" i="9"/>
  <c r="F173" i="9" s="1"/>
  <c r="G173" i="9" s="1"/>
  <c r="R186" i="9"/>
  <c r="T186" i="9" s="1"/>
  <c r="U186" i="9" s="1"/>
  <c r="R403" i="9"/>
  <c r="R143" i="9"/>
  <c r="T143" i="9" s="1"/>
  <c r="U143" i="9" s="1"/>
  <c r="D193" i="9"/>
  <c r="F193" i="9" s="1"/>
  <c r="G193" i="9" s="1"/>
  <c r="K229" i="9"/>
  <c r="M229" i="9" s="1"/>
  <c r="N229" i="9" s="1"/>
  <c r="K107" i="9"/>
  <c r="M107" i="9" s="1"/>
  <c r="D196" i="9"/>
  <c r="F196" i="9" s="1"/>
  <c r="G196" i="9" s="1"/>
  <c r="R234" i="9"/>
  <c r="K131" i="9"/>
  <c r="M131" i="9" s="1"/>
  <c r="N131" i="9" s="1"/>
  <c r="D159" i="9"/>
  <c r="Y250" i="9"/>
  <c r="D320" i="9"/>
  <c r="F320" i="9" s="1"/>
  <c r="G320" i="9" s="1"/>
  <c r="K281" i="9"/>
  <c r="Y386" i="9"/>
  <c r="Y108" i="9"/>
  <c r="AA108" i="9" s="1"/>
  <c r="AB108" i="9" s="1"/>
  <c r="R386" i="9"/>
  <c r="T386" i="9" s="1"/>
  <c r="U386" i="9" s="1"/>
  <c r="R251" i="9"/>
  <c r="T251" i="9" s="1"/>
  <c r="U251" i="9" s="1"/>
  <c r="K320" i="9"/>
  <c r="M320" i="9" s="1"/>
  <c r="N320" i="9" s="1"/>
  <c r="K366" i="9"/>
  <c r="R318" i="9"/>
  <c r="T318" i="9" s="1"/>
  <c r="U318" i="9" s="1"/>
  <c r="R108" i="9"/>
  <c r="T108" i="9" s="1"/>
  <c r="U108" i="9" s="1"/>
  <c r="Y145" i="9"/>
  <c r="K159" i="9"/>
  <c r="Y181" i="9"/>
  <c r="AA181" i="9" s="1"/>
  <c r="AB181" i="9" s="1"/>
  <c r="Y280" i="9"/>
  <c r="K133" i="9"/>
  <c r="R118" i="9"/>
  <c r="T118" i="9" s="1"/>
  <c r="U118" i="9" s="1"/>
  <c r="D171" i="9"/>
  <c r="F171" i="9" s="1"/>
  <c r="G171" i="9" s="1"/>
  <c r="R168" i="9"/>
  <c r="T168" i="9" s="1"/>
  <c r="U168" i="9" s="1"/>
  <c r="R285" i="9"/>
  <c r="T285" i="9" s="1"/>
  <c r="U285" i="9" s="1"/>
  <c r="Y143" i="9"/>
  <c r="D187" i="9"/>
  <c r="R194" i="9"/>
  <c r="T194" i="9" s="1"/>
  <c r="U194" i="9" s="1"/>
  <c r="D372" i="9"/>
  <c r="K137" i="9"/>
  <c r="Y111" i="9"/>
  <c r="AA111" i="9" s="1"/>
  <c r="AB111" i="9" s="1"/>
  <c r="K190" i="9"/>
  <c r="K210" i="9"/>
  <c r="R344" i="9"/>
  <c r="R127" i="9"/>
  <c r="T127" i="9" s="1"/>
  <c r="U127" i="9" s="1"/>
  <c r="K187" i="9"/>
  <c r="K302" i="9"/>
  <c r="M302" i="9" s="1"/>
  <c r="N302" i="9" s="1"/>
  <c r="D226" i="9"/>
  <c r="F226" i="9" s="1"/>
  <c r="G226" i="9" s="1"/>
  <c r="R237" i="9"/>
  <c r="T237" i="9" s="1"/>
  <c r="U237" i="9" s="1"/>
  <c r="K291" i="9"/>
  <c r="M291" i="9" s="1"/>
  <c r="N291" i="9" s="1"/>
  <c r="D401" i="9"/>
  <c r="F401" i="9" s="1"/>
  <c r="G401" i="9" s="1"/>
  <c r="Y374" i="9"/>
  <c r="K334" i="9"/>
  <c r="M334" i="9" s="1"/>
  <c r="N334" i="9" s="1"/>
  <c r="D220" i="9"/>
  <c r="Y229" i="9"/>
  <c r="D378" i="9"/>
  <c r="F378" i="9" s="1"/>
  <c r="G378" i="9" s="1"/>
  <c r="K337" i="9"/>
  <c r="M337" i="9" s="1"/>
  <c r="N337" i="9" s="1"/>
  <c r="K249" i="9"/>
  <c r="M249" i="9" s="1"/>
  <c r="N249" i="9" s="1"/>
  <c r="R302" i="9"/>
  <c r="T302" i="9" s="1"/>
  <c r="U302" i="9" s="1"/>
  <c r="K326" i="9"/>
  <c r="D229" i="9"/>
  <c r="F229" i="9" s="1"/>
  <c r="G229" i="9" s="1"/>
  <c r="R280" i="9"/>
  <c r="T280" i="9" s="1"/>
  <c r="U280" i="9" s="1"/>
  <c r="K350" i="9"/>
  <c r="D274" i="9"/>
  <c r="Y387" i="9"/>
  <c r="AA387" i="9" s="1"/>
  <c r="AB387" i="9" s="1"/>
  <c r="Y333" i="9"/>
  <c r="AA333" i="9" s="1"/>
  <c r="AB333" i="9" s="1"/>
  <c r="Y287" i="9"/>
  <c r="K139" i="9"/>
  <c r="R335" i="9"/>
  <c r="T335" i="9" s="1"/>
  <c r="U335" i="9" s="1"/>
  <c r="K122" i="9"/>
  <c r="M122" i="9" s="1"/>
  <c r="N122" i="9" s="1"/>
  <c r="R130" i="9"/>
  <c r="T130" i="9" s="1"/>
  <c r="U130" i="9" s="1"/>
  <c r="D174" i="9"/>
  <c r="K170" i="9"/>
  <c r="D210" i="9"/>
  <c r="F210" i="9" s="1"/>
  <c r="G210" i="9" s="1"/>
  <c r="D375" i="9"/>
  <c r="F375" i="9" s="1"/>
  <c r="G375" i="9" s="1"/>
  <c r="K110" i="9"/>
  <c r="R132" i="9"/>
  <c r="T132" i="9" s="1"/>
  <c r="U132" i="9" s="1"/>
  <c r="D182" i="9"/>
  <c r="F182" i="9" s="1"/>
  <c r="G182" i="9" s="1"/>
  <c r="R184" i="9"/>
  <c r="Y279" i="9"/>
  <c r="AA279" i="9" s="1"/>
  <c r="AB279" i="9" s="1"/>
  <c r="K114" i="9"/>
  <c r="M114" i="9" s="1"/>
  <c r="N114" i="9" s="1"/>
  <c r="Y148" i="9"/>
  <c r="AA148" i="9" s="1"/>
  <c r="AB148" i="9" s="1"/>
  <c r="D180" i="9"/>
  <c r="F180" i="9" s="1"/>
  <c r="G180" i="9" s="1"/>
  <c r="Y160" i="9"/>
  <c r="K377" i="9"/>
  <c r="M377" i="9" s="1"/>
  <c r="N377" i="9" s="1"/>
  <c r="R138" i="9"/>
  <c r="T138" i="9" s="1"/>
  <c r="U138" i="9" s="1"/>
  <c r="Y116" i="9"/>
  <c r="AA116" i="9" s="1"/>
  <c r="AB116" i="9" s="1"/>
  <c r="K165" i="9"/>
  <c r="M165" i="9" s="1"/>
  <c r="N165" i="9" s="1"/>
  <c r="R227" i="9"/>
  <c r="T227" i="9" s="1"/>
  <c r="U227" i="9" s="1"/>
  <c r="Y311" i="9"/>
  <c r="AA311" i="9" s="1"/>
  <c r="R147" i="9"/>
  <c r="K184" i="9"/>
  <c r="R275" i="9"/>
  <c r="T275" i="9" s="1"/>
  <c r="U275" i="9" s="1"/>
  <c r="D237" i="9"/>
  <c r="F237" i="9" s="1"/>
  <c r="G237" i="9" s="1"/>
  <c r="R242" i="9"/>
  <c r="K288" i="9"/>
  <c r="D395" i="9"/>
  <c r="F395" i="9" s="1"/>
  <c r="G395" i="9" s="1"/>
  <c r="Y403" i="9"/>
  <c r="AA403" i="9" s="1"/>
  <c r="AB403" i="9" s="1"/>
  <c r="R352" i="9"/>
  <c r="D242" i="9"/>
  <c r="F242" i="9" s="1"/>
  <c r="G242" i="9" s="1"/>
  <c r="Y210" i="9"/>
  <c r="AA210" i="9" s="1"/>
  <c r="AB210" i="9" s="1"/>
  <c r="K397" i="9"/>
  <c r="M397" i="9" s="1"/>
  <c r="N397" i="9" s="1"/>
  <c r="R347" i="9"/>
  <c r="R247" i="9"/>
  <c r="T247" i="9" s="1"/>
  <c r="U247" i="9" s="1"/>
  <c r="Y286" i="9"/>
  <c r="AA286" i="9" s="1"/>
  <c r="AB286" i="9" s="1"/>
  <c r="K322" i="9"/>
  <c r="M322" i="9" s="1"/>
  <c r="N322" i="9" s="1"/>
  <c r="K215" i="9"/>
  <c r="M215" i="9" s="1"/>
  <c r="N215" i="9" s="1"/>
  <c r="Y281" i="9"/>
  <c r="AA281" i="9" s="1"/>
  <c r="AB281" i="9" s="1"/>
  <c r="K294" i="9"/>
  <c r="M294" i="9" s="1"/>
  <c r="N294" i="9" s="1"/>
  <c r="R163" i="9"/>
  <c r="T163" i="9" s="1"/>
  <c r="U163" i="9" s="1"/>
  <c r="R288" i="9"/>
  <c r="K141" i="9"/>
  <c r="Y110" i="9"/>
  <c r="AA110" i="9" s="1"/>
  <c r="AB110" i="9" s="1"/>
  <c r="R161" i="9"/>
  <c r="T161" i="9" s="1"/>
  <c r="U161" i="9" s="1"/>
  <c r="K351" i="9"/>
  <c r="D248" i="9"/>
  <c r="F248" i="9" s="1"/>
  <c r="G248" i="9" s="1"/>
  <c r="Y216" i="9"/>
  <c r="AA216" i="9" s="1"/>
  <c r="AB216" i="9" s="1"/>
  <c r="R293" i="9"/>
  <c r="K369" i="9"/>
  <c r="M369" i="9" s="1"/>
  <c r="N369" i="9" s="1"/>
  <c r="Y370" i="9"/>
  <c r="Y331" i="9"/>
  <c r="K233" i="9"/>
  <c r="M233" i="9" s="1"/>
  <c r="N233" i="9" s="1"/>
  <c r="K290" i="9"/>
  <c r="M290" i="9" s="1"/>
  <c r="N290" i="9" s="1"/>
  <c r="K380" i="9"/>
  <c r="Y350" i="9"/>
  <c r="AA350" i="9" s="1"/>
  <c r="AB350" i="9" s="1"/>
  <c r="Y248" i="9"/>
  <c r="AA248" i="9" s="1"/>
  <c r="AB248" i="9" s="1"/>
  <c r="K402" i="9"/>
  <c r="R341" i="9"/>
  <c r="T341" i="9" s="1"/>
  <c r="U341" i="9" s="1"/>
  <c r="Y249" i="9"/>
  <c r="AA249" i="9" s="1"/>
  <c r="AB249" i="9" s="1"/>
  <c r="D386" i="9"/>
  <c r="F386" i="9" s="1"/>
  <c r="G386" i="9" s="1"/>
  <c r="Y159" i="9"/>
  <c r="AA159" i="9" s="1"/>
  <c r="AB159" i="9" s="1"/>
  <c r="R263" i="9"/>
  <c r="R179" i="9"/>
  <c r="Y288" i="9"/>
  <c r="K136" i="9"/>
  <c r="M136" i="9" s="1"/>
  <c r="N136" i="9" s="1"/>
  <c r="Y115" i="9"/>
  <c r="R166" i="9"/>
  <c r="T166" i="9" s="1"/>
  <c r="U166" i="9" s="1"/>
  <c r="K352" i="9"/>
  <c r="M352" i="9" s="1"/>
  <c r="N352" i="9" s="1"/>
  <c r="D212" i="9"/>
  <c r="D262" i="9"/>
  <c r="R300" i="9"/>
  <c r="T300" i="9" s="1"/>
  <c r="U300" i="9" s="1"/>
  <c r="K392" i="9"/>
  <c r="M392" i="9" s="1"/>
  <c r="N392" i="9" s="1"/>
  <c r="Y389" i="9"/>
  <c r="AA389" i="9" s="1"/>
  <c r="AB389" i="9" s="1"/>
  <c r="Y315" i="9"/>
  <c r="K279" i="9"/>
  <c r="M279" i="9" s="1"/>
  <c r="N279" i="9" s="1"/>
  <c r="R389" i="9"/>
  <c r="T389" i="9" s="1"/>
  <c r="U389" i="9" s="1"/>
  <c r="Y187" i="9"/>
  <c r="D279" i="9"/>
  <c r="K395" i="9"/>
  <c r="M395" i="9" s="1"/>
  <c r="N395" i="9" s="1"/>
  <c r="R319" i="9"/>
  <c r="T319" i="9" s="1"/>
  <c r="U319" i="9" s="1"/>
  <c r="D286" i="9"/>
  <c r="K375" i="9"/>
  <c r="M375" i="9" s="1"/>
  <c r="N375" i="9" s="1"/>
  <c r="Y194" i="9"/>
  <c r="AA194" i="9" s="1"/>
  <c r="AB194" i="9" s="1"/>
  <c r="D390" i="9"/>
  <c r="F390" i="9" s="1"/>
  <c r="G390" i="9" s="1"/>
  <c r="Y137" i="9"/>
  <c r="AA137" i="9" s="1"/>
  <c r="AB137" i="9" s="1"/>
  <c r="D181" i="9"/>
  <c r="D239" i="9"/>
  <c r="F239" i="9" s="1"/>
  <c r="G239" i="9" s="1"/>
  <c r="R405" i="9"/>
  <c r="T405" i="9" s="1"/>
  <c r="U405" i="9" s="1"/>
  <c r="D184" i="9"/>
  <c r="F184" i="9" s="1"/>
  <c r="G184" i="9" s="1"/>
  <c r="D298" i="9"/>
  <c r="Y199" i="9"/>
  <c r="AA199" i="9" s="1"/>
  <c r="AB199" i="9" s="1"/>
  <c r="R229" i="9"/>
  <c r="T229" i="9" s="1"/>
  <c r="U229" i="9" s="1"/>
  <c r="D265" i="9"/>
  <c r="Y261" i="9"/>
  <c r="AA261" i="9" s="1"/>
  <c r="AB261" i="9" s="1"/>
  <c r="R404" i="9"/>
  <c r="T404" i="9" s="1"/>
  <c r="U404" i="9" s="1"/>
  <c r="K333" i="9"/>
  <c r="M333" i="9" s="1"/>
  <c r="N333" i="9" s="1"/>
  <c r="Y162" i="9"/>
  <c r="AA162" i="9" s="1"/>
  <c r="AB162" i="9" s="1"/>
  <c r="Y219" i="9"/>
  <c r="AA219" i="9" s="1"/>
  <c r="AB219" i="9" s="1"/>
  <c r="R262" i="9"/>
  <c r="D333" i="9"/>
  <c r="F333" i="9" s="1"/>
  <c r="G333" i="9" s="1"/>
  <c r="D222" i="9"/>
  <c r="F222" i="9" s="1"/>
  <c r="G222" i="9" s="1"/>
  <c r="R264" i="9"/>
  <c r="Y393" i="9"/>
  <c r="AA393" i="9" s="1"/>
  <c r="AB393" i="9" s="1"/>
  <c r="Y164" i="9"/>
  <c r="AA164" i="9" s="1"/>
  <c r="AB164" i="9" s="1"/>
  <c r="D293" i="9"/>
  <c r="D335" i="9"/>
  <c r="F335" i="9" s="1"/>
  <c r="G335" i="9" s="1"/>
  <c r="K209" i="9"/>
  <c r="M209" i="9" s="1"/>
  <c r="K340" i="9"/>
  <c r="M340" i="9" s="1"/>
  <c r="N340" i="9" s="1"/>
  <c r="R185" i="9"/>
  <c r="T185" i="9" s="1"/>
  <c r="U185" i="9" s="1"/>
  <c r="D199" i="9"/>
  <c r="R190" i="9"/>
  <c r="T190" i="9" s="1"/>
  <c r="U190" i="9" s="1"/>
  <c r="Y113" i="9"/>
  <c r="AA113" i="9" s="1"/>
  <c r="AB113" i="9" s="1"/>
  <c r="K126" i="9"/>
  <c r="Y236" i="9"/>
  <c r="D172" i="9"/>
  <c r="F172" i="9" s="1"/>
  <c r="G172" i="9" s="1"/>
  <c r="K116" i="9"/>
  <c r="M116" i="9" s="1"/>
  <c r="N116" i="9" s="1"/>
  <c r="D244" i="9"/>
  <c r="K149" i="9"/>
  <c r="M149" i="9" s="1"/>
  <c r="N149" i="9" s="1"/>
  <c r="R115" i="9"/>
  <c r="T115" i="9" s="1"/>
  <c r="U115" i="9" s="1"/>
  <c r="Y135" i="9"/>
  <c r="D183" i="9"/>
  <c r="F183" i="9" s="1"/>
  <c r="G183" i="9" s="1"/>
  <c r="K181" i="9"/>
  <c r="R177" i="9"/>
  <c r="Y214" i="9"/>
  <c r="AA214" i="9" s="1"/>
  <c r="AB214" i="9" s="1"/>
  <c r="K376" i="9"/>
  <c r="M376" i="9" s="1"/>
  <c r="N376" i="9" s="1"/>
  <c r="R313" i="9"/>
  <c r="T313" i="9" s="1"/>
  <c r="U313" i="9" s="1"/>
  <c r="K143" i="9"/>
  <c r="M143" i="9" s="1"/>
  <c r="N143" i="9" s="1"/>
  <c r="R134" i="9"/>
  <c r="T134" i="9" s="1"/>
  <c r="U134" i="9" s="1"/>
  <c r="Y125" i="9"/>
  <c r="K158" i="9"/>
  <c r="M158" i="9" s="1"/>
  <c r="R167" i="9"/>
  <c r="T167" i="9" s="1"/>
  <c r="U167" i="9" s="1"/>
  <c r="K278" i="9"/>
  <c r="Y388" i="9"/>
  <c r="AA388" i="9" s="1"/>
  <c r="AB388" i="9" s="1"/>
  <c r="K147" i="9"/>
  <c r="R120" i="9"/>
  <c r="K195" i="9"/>
  <c r="M195" i="9" s="1"/>
  <c r="N195" i="9" s="1"/>
  <c r="R195" i="9"/>
  <c r="T195" i="9" s="1"/>
  <c r="U195" i="9" s="1"/>
  <c r="Y230" i="9"/>
  <c r="AA230" i="9" s="1"/>
  <c r="AB230" i="9" s="1"/>
  <c r="Y378" i="9"/>
  <c r="AA378" i="9" s="1"/>
  <c r="AB378" i="9" s="1"/>
  <c r="K138" i="9"/>
  <c r="M138" i="9" s="1"/>
  <c r="N138" i="9" s="1"/>
  <c r="R117" i="9"/>
  <c r="Y121" i="9"/>
  <c r="K182" i="9"/>
  <c r="M182" i="9" s="1"/>
  <c r="N182" i="9" s="1"/>
  <c r="R172" i="9"/>
  <c r="T172" i="9" s="1"/>
  <c r="U172" i="9" s="1"/>
  <c r="D294" i="9"/>
  <c r="F294" i="9" s="1"/>
  <c r="G294" i="9" s="1"/>
  <c r="Y383" i="9"/>
  <c r="K132" i="9"/>
  <c r="R116" i="9"/>
  <c r="T116" i="9" s="1"/>
  <c r="U116" i="9" s="1"/>
  <c r="R187" i="9"/>
  <c r="T187" i="9" s="1"/>
  <c r="U187" i="9" s="1"/>
  <c r="R377" i="9"/>
  <c r="Y173" i="9"/>
  <c r="AA173" i="9" s="1"/>
  <c r="AB173" i="9" s="1"/>
  <c r="K239" i="9"/>
  <c r="M239" i="9" s="1"/>
  <c r="N239" i="9" s="1"/>
  <c r="Y221" i="9"/>
  <c r="K296" i="9"/>
  <c r="M296" i="9" s="1"/>
  <c r="N296" i="9" s="1"/>
  <c r="R286" i="9"/>
  <c r="T286" i="9" s="1"/>
  <c r="U286" i="9" s="1"/>
  <c r="D371" i="9"/>
  <c r="F371" i="9" s="1"/>
  <c r="G371" i="9" s="1"/>
  <c r="R364" i="9"/>
  <c r="T364" i="9" s="1"/>
  <c r="U364" i="9" s="1"/>
  <c r="D331" i="9"/>
  <c r="R316" i="9"/>
  <c r="Y182" i="9"/>
  <c r="AA182" i="9" s="1"/>
  <c r="AB182" i="9" s="1"/>
  <c r="K219" i="9"/>
  <c r="D270" i="9"/>
  <c r="R297" i="9"/>
  <c r="T297" i="9" s="1"/>
  <c r="U297" i="9" s="1"/>
  <c r="R366" i="9"/>
  <c r="T366" i="9" s="1"/>
  <c r="U366" i="9" s="1"/>
  <c r="R346" i="9"/>
  <c r="K248" i="9"/>
  <c r="M248" i="9" s="1"/>
  <c r="N248" i="9" s="1"/>
  <c r="D278" i="9"/>
  <c r="F278" i="9" s="1"/>
  <c r="G278" i="9" s="1"/>
  <c r="D394" i="9"/>
  <c r="F394" i="9" s="1"/>
  <c r="G394" i="9" s="1"/>
  <c r="Y400" i="9"/>
  <c r="AA400" i="9" s="1"/>
  <c r="AB400" i="9" s="1"/>
  <c r="Y339" i="9"/>
  <c r="K226" i="9"/>
  <c r="M226" i="9" s="1"/>
  <c r="N226" i="9" s="1"/>
  <c r="K264" i="9"/>
  <c r="M264" i="9" s="1"/>
  <c r="N264" i="9" s="1"/>
  <c r="K384" i="9"/>
  <c r="R343" i="9"/>
  <c r="R215" i="9"/>
  <c r="T215" i="9" s="1"/>
  <c r="U215" i="9" s="1"/>
  <c r="K381" i="9"/>
  <c r="M381" i="9" s="1"/>
  <c r="N381" i="9" s="1"/>
  <c r="R113" i="9"/>
  <c r="K146" i="9"/>
  <c r="K242" i="9"/>
  <c r="D163" i="9"/>
  <c r="F163" i="9" s="1"/>
  <c r="G163" i="9" s="1"/>
  <c r="R144" i="9"/>
  <c r="T144" i="9" s="1"/>
  <c r="U144" i="9" s="1"/>
  <c r="D405" i="9"/>
  <c r="K200" i="9"/>
  <c r="R133" i="9"/>
  <c r="T133" i="9" s="1"/>
  <c r="U133" i="9" s="1"/>
  <c r="R394" i="9"/>
  <c r="T394" i="9" s="1"/>
  <c r="U394" i="9" s="1"/>
  <c r="K115" i="9"/>
  <c r="M115" i="9" s="1"/>
  <c r="N115" i="9" s="1"/>
  <c r="R141" i="9"/>
  <c r="T141" i="9" s="1"/>
  <c r="U141" i="9" s="1"/>
  <c r="Y140" i="9"/>
  <c r="AA140" i="9" s="1"/>
  <c r="AB140" i="9" s="1"/>
  <c r="D194" i="9"/>
  <c r="K192" i="9"/>
  <c r="M192" i="9" s="1"/>
  <c r="N192" i="9" s="1"/>
  <c r="R175" i="9"/>
  <c r="T175" i="9" s="1"/>
  <c r="U175" i="9" s="1"/>
  <c r="D267" i="9"/>
  <c r="F267" i="9" s="1"/>
  <c r="G267" i="9" s="1"/>
  <c r="K405" i="9"/>
  <c r="M405" i="9" s="1"/>
  <c r="N405" i="9" s="1"/>
  <c r="Y330" i="9"/>
  <c r="R121" i="9"/>
  <c r="T121" i="9" s="1"/>
  <c r="U121" i="9" s="1"/>
  <c r="Y144" i="9"/>
  <c r="AA144" i="9" s="1"/>
  <c r="AB144" i="9" s="1"/>
  <c r="D162" i="9"/>
  <c r="K169" i="9"/>
  <c r="R165" i="9"/>
  <c r="T165" i="9" s="1"/>
  <c r="U165" i="9" s="1"/>
  <c r="R278" i="9"/>
  <c r="D336" i="9"/>
  <c r="K118" i="9"/>
  <c r="M118" i="9" s="1"/>
  <c r="N118" i="9" s="1"/>
  <c r="R123" i="9"/>
  <c r="T123" i="9" s="1"/>
  <c r="U123" i="9" s="1"/>
  <c r="D191" i="9"/>
  <c r="K188" i="9"/>
  <c r="M188" i="9" s="1"/>
  <c r="N188" i="9" s="1"/>
  <c r="R159" i="9"/>
  <c r="D268" i="9"/>
  <c r="F268" i="9" s="1"/>
  <c r="G268" i="9" s="1"/>
  <c r="D311" i="9"/>
  <c r="F311" i="9" s="1"/>
  <c r="K121" i="9"/>
  <c r="M121" i="9" s="1"/>
  <c r="N121" i="9" s="1"/>
  <c r="R122" i="9"/>
  <c r="T122" i="9" s="1"/>
  <c r="U122" i="9" s="1"/>
  <c r="D198" i="9"/>
  <c r="F198" i="9" s="1"/>
  <c r="G198" i="9" s="1"/>
  <c r="K193" i="9"/>
  <c r="M193" i="9" s="1"/>
  <c r="N193" i="9" s="1"/>
  <c r="R189" i="9"/>
  <c r="K286" i="9"/>
  <c r="M286" i="9" s="1"/>
  <c r="N286" i="9" s="1"/>
  <c r="D325" i="9"/>
  <c r="F325" i="9" s="1"/>
  <c r="G325" i="9" s="1"/>
  <c r="K117" i="9"/>
  <c r="M117" i="9" s="1"/>
  <c r="N117" i="9" s="1"/>
  <c r="Y126" i="9"/>
  <c r="AA126" i="9" s="1"/>
  <c r="AB126" i="9" s="1"/>
  <c r="K171" i="9"/>
  <c r="Y183" i="9"/>
  <c r="Y396" i="9"/>
  <c r="AA396" i="9" s="1"/>
  <c r="AB396" i="9" s="1"/>
  <c r="Y178" i="9"/>
  <c r="K250" i="9"/>
  <c r="Y232" i="9"/>
  <c r="AA232" i="9" s="1"/>
  <c r="AB232" i="9" s="1"/>
  <c r="K260" i="9"/>
  <c r="R267" i="9"/>
  <c r="K383" i="9"/>
  <c r="R381" i="9"/>
  <c r="D341" i="9"/>
  <c r="F341" i="9" s="1"/>
  <c r="G341" i="9" s="1"/>
  <c r="R331" i="9"/>
  <c r="T331" i="9" s="1"/>
  <c r="U331" i="9" s="1"/>
  <c r="D209" i="9"/>
  <c r="F209" i="9" s="1"/>
  <c r="R250" i="9"/>
  <c r="K268" i="9"/>
  <c r="M268" i="9" s="1"/>
  <c r="N268" i="9" s="1"/>
  <c r="Y302" i="9"/>
  <c r="Y390" i="9"/>
  <c r="AA390" i="9" s="1"/>
  <c r="AB390" i="9" s="1"/>
  <c r="R330" i="9"/>
  <c r="T330" i="9" s="1"/>
  <c r="U330" i="9" s="1"/>
  <c r="K238" i="9"/>
  <c r="M238" i="9" s="1"/>
  <c r="N238" i="9" s="1"/>
  <c r="D269" i="9"/>
  <c r="K401" i="9"/>
  <c r="M401" i="9" s="1"/>
  <c r="N401" i="9" s="1"/>
  <c r="D328" i="9"/>
  <c r="F328" i="9" s="1"/>
  <c r="G328" i="9" s="1"/>
  <c r="Y171" i="9"/>
  <c r="AA171" i="9" s="1"/>
  <c r="AB171" i="9" s="1"/>
  <c r="R232" i="9"/>
  <c r="T232" i="9" s="1"/>
  <c r="U232" i="9" s="1"/>
  <c r="R269" i="9"/>
  <c r="R367" i="9"/>
  <c r="Y318" i="9"/>
  <c r="AA318" i="9" s="1"/>
  <c r="AB318" i="9" s="1"/>
  <c r="Y238" i="9"/>
  <c r="AA238" i="9" s="1"/>
  <c r="AB238" i="9" s="1"/>
  <c r="R388" i="9"/>
  <c r="T388" i="9" s="1"/>
  <c r="U388" i="9" s="1"/>
  <c r="K339" i="9"/>
  <c r="M339" i="9" s="1"/>
  <c r="N339" i="9" s="1"/>
  <c r="Y343" i="9"/>
  <c r="AA343" i="9" s="1"/>
  <c r="AB343" i="9" s="1"/>
  <c r="K160" i="9"/>
  <c r="R294" i="9"/>
  <c r="K275" i="9"/>
  <c r="M275" i="9" s="1"/>
  <c r="N275" i="9" s="1"/>
  <c r="D168" i="9"/>
  <c r="F168" i="9" s="1"/>
  <c r="G168" i="9" s="1"/>
  <c r="D321" i="9"/>
  <c r="K191" i="9"/>
  <c r="M191" i="9" s="1"/>
  <c r="N191" i="9" s="1"/>
  <c r="K145" i="9"/>
  <c r="M145" i="9" s="1"/>
  <c r="N145" i="9" s="1"/>
  <c r="Y191" i="9"/>
  <c r="AA191" i="9" s="1"/>
  <c r="AB191" i="9" s="1"/>
  <c r="R140" i="9"/>
  <c r="T140" i="9" s="1"/>
  <c r="U140" i="9" s="1"/>
  <c r="K285" i="9"/>
  <c r="K119" i="9"/>
  <c r="M119" i="9" s="1"/>
  <c r="N119" i="9" s="1"/>
  <c r="R119" i="9"/>
  <c r="T119" i="9" s="1"/>
  <c r="U119" i="9" s="1"/>
  <c r="Y120" i="9"/>
  <c r="Y109" i="9"/>
  <c r="D158" i="9"/>
  <c r="F158" i="9" s="1"/>
  <c r="K172" i="9"/>
  <c r="M172" i="9" s="1"/>
  <c r="N172" i="9" s="1"/>
  <c r="R160" i="9"/>
  <c r="T160" i="9" s="1"/>
  <c r="U160" i="9" s="1"/>
  <c r="K232" i="9"/>
  <c r="R292" i="9"/>
  <c r="T292" i="9" s="1"/>
  <c r="U292" i="9" s="1"/>
  <c r="Y404" i="9"/>
  <c r="AA404" i="9" s="1"/>
  <c r="AB404" i="9" s="1"/>
  <c r="K123" i="9"/>
  <c r="K109" i="9"/>
  <c r="M109" i="9" s="1"/>
  <c r="N109" i="9" s="1"/>
  <c r="R129" i="9"/>
  <c r="T129" i="9" s="1"/>
  <c r="U129" i="9" s="1"/>
  <c r="Y123" i="9"/>
  <c r="D166" i="9"/>
  <c r="K194" i="9"/>
  <c r="M194" i="9" s="1"/>
  <c r="N194" i="9" s="1"/>
  <c r="R193" i="9"/>
  <c r="Y196" i="9"/>
  <c r="D283" i="9"/>
  <c r="K391" i="9"/>
  <c r="R334" i="9"/>
  <c r="K127" i="9"/>
  <c r="M127" i="9" s="1"/>
  <c r="N127" i="9" s="1"/>
  <c r="R137" i="9"/>
  <c r="T137" i="9" s="1"/>
  <c r="U137" i="9" s="1"/>
  <c r="Y138" i="9"/>
  <c r="AA138" i="9" s="1"/>
  <c r="AB138" i="9" s="1"/>
  <c r="Y127" i="9"/>
  <c r="AA127" i="9" s="1"/>
  <c r="AB127" i="9" s="1"/>
  <c r="D176" i="9"/>
  <c r="K163" i="9"/>
  <c r="R178" i="9"/>
  <c r="T178" i="9" s="1"/>
  <c r="U178" i="9" s="1"/>
  <c r="K246" i="9"/>
  <c r="M246" i="9" s="1"/>
  <c r="N246" i="9" s="1"/>
  <c r="R289" i="9"/>
  <c r="T289" i="9" s="1"/>
  <c r="U289" i="9" s="1"/>
  <c r="Y369" i="9"/>
  <c r="AA369" i="9" s="1"/>
  <c r="AB369" i="9" s="1"/>
  <c r="K142" i="9"/>
  <c r="K148" i="9"/>
  <c r="M148" i="9" s="1"/>
  <c r="N148" i="9" s="1"/>
  <c r="R114" i="9"/>
  <c r="T114" i="9" s="1"/>
  <c r="U114" i="9" s="1"/>
  <c r="Y147" i="9"/>
  <c r="AA147" i="9" s="1"/>
  <c r="AB147" i="9" s="1"/>
  <c r="D190" i="9"/>
  <c r="K183" i="9"/>
  <c r="M183" i="9" s="1"/>
  <c r="N183" i="9" s="1"/>
  <c r="K173" i="9"/>
  <c r="M173" i="9" s="1"/>
  <c r="N173" i="9" s="1"/>
  <c r="R158" i="9"/>
  <c r="Y234" i="9"/>
  <c r="D397" i="9"/>
  <c r="F397" i="9" s="1"/>
  <c r="G397" i="9" s="1"/>
  <c r="K341" i="9"/>
  <c r="M341" i="9" s="1"/>
  <c r="N341" i="9" s="1"/>
  <c r="K129" i="9"/>
  <c r="M129" i="9" s="1"/>
  <c r="N129" i="9" s="1"/>
  <c r="R125" i="9"/>
  <c r="Y141" i="9"/>
  <c r="D164" i="9"/>
  <c r="F164" i="9" s="1"/>
  <c r="G164" i="9" s="1"/>
  <c r="K167" i="9"/>
  <c r="M167" i="9" s="1"/>
  <c r="N167" i="9" s="1"/>
  <c r="K221" i="9"/>
  <c r="D398" i="9"/>
  <c r="F398" i="9" s="1"/>
  <c r="G398" i="9" s="1"/>
  <c r="R191" i="9"/>
  <c r="D246" i="9"/>
  <c r="K223" i="9"/>
  <c r="M223" i="9" s="1"/>
  <c r="N223" i="9" s="1"/>
  <c r="R220" i="9"/>
  <c r="T220" i="9" s="1"/>
  <c r="U220" i="9" s="1"/>
  <c r="Y231" i="9"/>
  <c r="D281" i="9"/>
  <c r="F281" i="9" s="1"/>
  <c r="G281" i="9" s="1"/>
  <c r="R260" i="9"/>
  <c r="Y298" i="9"/>
  <c r="AA298" i="9" s="1"/>
  <c r="AB298" i="9" s="1"/>
  <c r="D374" i="9"/>
  <c r="F374" i="9" s="1"/>
  <c r="G374" i="9" s="1"/>
  <c r="K387" i="9"/>
  <c r="Y372" i="9"/>
  <c r="AA372" i="9" s="1"/>
  <c r="AB372" i="9" s="1"/>
  <c r="D352" i="9"/>
  <c r="F352" i="9" s="1"/>
  <c r="G352" i="9" s="1"/>
  <c r="K348" i="9"/>
  <c r="M348" i="9" s="1"/>
  <c r="N348" i="9" s="1"/>
  <c r="Y336" i="9"/>
  <c r="Y167" i="9"/>
  <c r="K218" i="9"/>
  <c r="R231" i="9"/>
  <c r="T231" i="9" s="1"/>
  <c r="U231" i="9" s="1"/>
  <c r="D295" i="9"/>
  <c r="F295" i="9" s="1"/>
  <c r="G295" i="9" s="1"/>
  <c r="R296" i="9"/>
  <c r="T296" i="9" s="1"/>
  <c r="U296" i="9" s="1"/>
  <c r="D389" i="9"/>
  <c r="F389" i="9" s="1"/>
  <c r="G389" i="9" s="1"/>
  <c r="R376" i="9"/>
  <c r="T376" i="9" s="1"/>
  <c r="U376" i="9" s="1"/>
  <c r="K332" i="9"/>
  <c r="M332" i="9" s="1"/>
  <c r="N332" i="9" s="1"/>
  <c r="Y345" i="9"/>
  <c r="D241" i="9"/>
  <c r="F241" i="9" s="1"/>
  <c r="G241" i="9" s="1"/>
  <c r="Y220" i="9"/>
  <c r="AA220" i="9" s="1"/>
  <c r="AB220" i="9" s="1"/>
  <c r="K276" i="9"/>
  <c r="D364" i="9"/>
  <c r="F364" i="9" s="1"/>
  <c r="G364" i="9" s="1"/>
  <c r="R383" i="9"/>
  <c r="T383" i="9" s="1"/>
  <c r="U383" i="9" s="1"/>
  <c r="K321" i="9"/>
  <c r="M321" i="9" s="1"/>
  <c r="N321" i="9" s="1"/>
  <c r="Y342" i="9"/>
  <c r="AA342" i="9" s="1"/>
  <c r="AB342" i="9" s="1"/>
  <c r="D224" i="9"/>
  <c r="Y244" i="9"/>
  <c r="AA244" i="9" s="1"/>
  <c r="AB244" i="9" s="1"/>
  <c r="K300" i="9"/>
  <c r="M300" i="9" s="1"/>
  <c r="N300" i="9" s="1"/>
  <c r="D385" i="9"/>
  <c r="F385" i="9" s="1"/>
  <c r="G385" i="9" s="1"/>
  <c r="R363" i="9"/>
  <c r="T363" i="9" s="1"/>
  <c r="K345" i="9"/>
  <c r="M345" i="9" s="1"/>
  <c r="N345" i="9" s="1"/>
  <c r="Y316" i="9"/>
  <c r="AA316" i="9" s="1"/>
  <c r="AB316" i="9" s="1"/>
  <c r="D215" i="9"/>
  <c r="Y227" i="9"/>
  <c r="K262" i="9"/>
  <c r="M262" i="9" s="1"/>
  <c r="N262" i="9" s="1"/>
  <c r="D396" i="9"/>
  <c r="F396" i="9" s="1"/>
  <c r="G396" i="9" s="1"/>
  <c r="R378" i="9"/>
  <c r="T378" i="9" s="1"/>
  <c r="U378" i="9" s="1"/>
  <c r="D326" i="9"/>
  <c r="Y346" i="9"/>
  <c r="AA346" i="9" s="1"/>
  <c r="AB346" i="9" s="1"/>
  <c r="Y376" i="9"/>
  <c r="K346" i="9"/>
  <c r="M346" i="9" s="1"/>
  <c r="N346" i="9" s="1"/>
  <c r="Y198" i="9"/>
  <c r="AA198" i="9" s="1"/>
  <c r="AB198" i="9" s="1"/>
  <c r="K245" i="9"/>
  <c r="M245" i="9" s="1"/>
  <c r="N245" i="9" s="1"/>
  <c r="Y222" i="9"/>
  <c r="AA222" i="9" s="1"/>
  <c r="AB222" i="9" s="1"/>
  <c r="R299" i="9"/>
  <c r="D366" i="9"/>
  <c r="F366" i="9" s="1"/>
  <c r="G366" i="9" s="1"/>
  <c r="Y363" i="9"/>
  <c r="AA363" i="9" s="1"/>
  <c r="K329" i="9"/>
  <c r="M329" i="9" s="1"/>
  <c r="N329" i="9" s="1"/>
  <c r="D282" i="9"/>
  <c r="F282" i="9" s="1"/>
  <c r="G282" i="9" s="1"/>
  <c r="Y276" i="9"/>
  <c r="AA276" i="9" s="1"/>
  <c r="AB276" i="9" s="1"/>
  <c r="K393" i="9"/>
  <c r="M393" i="9" s="1"/>
  <c r="N393" i="9" s="1"/>
  <c r="D342" i="9"/>
  <c r="F342" i="9" s="1"/>
  <c r="G342" i="9" s="1"/>
  <c r="R332" i="9"/>
  <c r="T332" i="9" s="1"/>
  <c r="U332" i="9" s="1"/>
  <c r="Y118" i="9"/>
  <c r="D161" i="9"/>
  <c r="K166" i="9"/>
  <c r="K185" i="9"/>
  <c r="R192" i="9"/>
  <c r="T192" i="9" s="1"/>
  <c r="U192" i="9" s="1"/>
  <c r="Y217" i="9"/>
  <c r="AA217" i="9" s="1"/>
  <c r="AB217" i="9" s="1"/>
  <c r="D388" i="9"/>
  <c r="F388" i="9" s="1"/>
  <c r="G388" i="9" s="1"/>
  <c r="K325" i="9"/>
  <c r="M325" i="9" s="1"/>
  <c r="N325" i="9" s="1"/>
  <c r="K144" i="9"/>
  <c r="M144" i="9" s="1"/>
  <c r="N144" i="9" s="1"/>
  <c r="R109" i="9"/>
  <c r="R128" i="9"/>
  <c r="T128" i="9" s="1"/>
  <c r="U128" i="9" s="1"/>
  <c r="Y122" i="9"/>
  <c r="D165" i="9"/>
  <c r="F165" i="9" s="1"/>
  <c r="G165" i="9" s="1"/>
  <c r="K199" i="9"/>
  <c r="M199" i="9" s="1"/>
  <c r="N199" i="9" s="1"/>
  <c r="R197" i="9"/>
  <c r="D219" i="9"/>
  <c r="K289" i="9"/>
  <c r="M289" i="9" s="1"/>
  <c r="N289" i="9" s="1"/>
  <c r="R379" i="9"/>
  <c r="T379" i="9" s="1"/>
  <c r="U379" i="9" s="1"/>
  <c r="Y347" i="9"/>
  <c r="AA347" i="9" s="1"/>
  <c r="AB347" i="9" s="1"/>
  <c r="K134" i="9"/>
  <c r="M134" i="9" s="1"/>
  <c r="N134" i="9" s="1"/>
  <c r="R139" i="9"/>
  <c r="Y142" i="9"/>
  <c r="D185" i="9"/>
  <c r="F185" i="9" s="1"/>
  <c r="G185" i="9" s="1"/>
  <c r="D197" i="9"/>
  <c r="F197" i="9" s="1"/>
  <c r="G197" i="9" s="1"/>
  <c r="K168" i="9"/>
  <c r="M168" i="9" s="1"/>
  <c r="N168" i="9" s="1"/>
  <c r="R199" i="9"/>
  <c r="T199" i="9" s="1"/>
  <c r="U199" i="9" s="1"/>
  <c r="Y239" i="9"/>
  <c r="D338" i="9"/>
  <c r="K125" i="9"/>
  <c r="M125" i="9" s="1"/>
  <c r="N125" i="9" s="1"/>
  <c r="R126" i="9"/>
  <c r="T126" i="9" s="1"/>
  <c r="U126" i="9" s="1"/>
  <c r="Y136" i="9"/>
  <c r="D200" i="9"/>
  <c r="F200" i="9" s="1"/>
  <c r="G200" i="9" s="1"/>
  <c r="K162" i="9"/>
  <c r="D230" i="9"/>
  <c r="F230" i="9" s="1"/>
  <c r="G230" i="9" s="1"/>
  <c r="D392" i="9"/>
  <c r="F392" i="9" s="1"/>
  <c r="G392" i="9" s="1"/>
  <c r="Y322" i="9"/>
  <c r="AA322" i="9" s="1"/>
  <c r="AB322" i="9" s="1"/>
  <c r="Y188" i="9"/>
  <c r="AA188" i="9" s="1"/>
  <c r="AB188" i="9" s="1"/>
  <c r="K224" i="9"/>
  <c r="M224" i="9" s="1"/>
  <c r="N224" i="9" s="1"/>
  <c r="R209" i="9"/>
  <c r="T209" i="9" s="1"/>
  <c r="Y241" i="9"/>
  <c r="D276" i="9"/>
  <c r="F276" i="9" s="1"/>
  <c r="G276" i="9" s="1"/>
  <c r="Y270" i="9"/>
  <c r="AA270" i="9" s="1"/>
  <c r="AB270" i="9" s="1"/>
  <c r="D373" i="9"/>
  <c r="K404" i="9"/>
  <c r="M404" i="9" s="1"/>
  <c r="N404" i="9" s="1"/>
  <c r="R402" i="9"/>
  <c r="T402" i="9" s="1"/>
  <c r="U402" i="9" s="1"/>
  <c r="D330" i="9"/>
  <c r="K343" i="9"/>
  <c r="M343" i="9" s="1"/>
  <c r="N343" i="9" s="1"/>
  <c r="Y186" i="9"/>
  <c r="AA186" i="9" s="1"/>
  <c r="AB186" i="9" s="1"/>
  <c r="D211" i="9"/>
  <c r="F211" i="9" s="1"/>
  <c r="G211" i="9" s="1"/>
  <c r="R228" i="9"/>
  <c r="T228" i="9" s="1"/>
  <c r="U228" i="9" s="1"/>
  <c r="D284" i="9"/>
  <c r="F284" i="9" s="1"/>
  <c r="G284" i="9" s="1"/>
  <c r="K287" i="9"/>
  <c r="Y291" i="9"/>
  <c r="AA291" i="9" s="1"/>
  <c r="AB291" i="9" s="1"/>
  <c r="R382" i="9"/>
  <c r="D319" i="9"/>
  <c r="Y349" i="9"/>
  <c r="D250" i="9"/>
  <c r="R210" i="9"/>
  <c r="T210" i="9" s="1"/>
  <c r="U210" i="9" s="1"/>
  <c r="K297" i="9"/>
  <c r="M297" i="9" s="1"/>
  <c r="N297" i="9" s="1"/>
  <c r="Y299" i="9"/>
  <c r="AA299" i="9" s="1"/>
  <c r="AB299" i="9" s="1"/>
  <c r="R369" i="9"/>
  <c r="D327" i="9"/>
  <c r="F327" i="9" s="1"/>
  <c r="G327" i="9" s="1"/>
  <c r="R324" i="9"/>
  <c r="T324" i="9" s="1"/>
  <c r="U324" i="9" s="1"/>
  <c r="D245" i="9"/>
  <c r="R223" i="9"/>
  <c r="T223" i="9" s="1"/>
  <c r="U223" i="9" s="1"/>
  <c r="Y274" i="9"/>
  <c r="K373" i="9"/>
  <c r="M373" i="9" s="1"/>
  <c r="N373" i="9" s="1"/>
  <c r="D351" i="9"/>
  <c r="F351" i="9" s="1"/>
  <c r="G351" i="9" s="1"/>
  <c r="R348" i="9"/>
  <c r="Y158" i="9"/>
  <c r="AA158" i="9" s="1"/>
  <c r="R226" i="9"/>
  <c r="T226" i="9" s="1"/>
  <c r="U226" i="9" s="1"/>
  <c r="D287" i="9"/>
  <c r="F287" i="9" s="1"/>
  <c r="G287" i="9" s="1"/>
  <c r="Y263" i="9"/>
  <c r="K394" i="9"/>
  <c r="M394" i="9" s="1"/>
  <c r="N394" i="9" s="1"/>
  <c r="D323" i="9"/>
  <c r="F323" i="9" s="1"/>
  <c r="G323" i="9" s="1"/>
  <c r="R337" i="9"/>
  <c r="R136" i="9"/>
  <c r="T136" i="9" s="1"/>
  <c r="U136" i="9" s="1"/>
  <c r="Y131" i="9"/>
  <c r="AA131" i="9" s="1"/>
  <c r="AB131" i="9" s="1"/>
  <c r="D186" i="9"/>
  <c r="F186" i="9" s="1"/>
  <c r="G186" i="9" s="1"/>
  <c r="D175" i="9"/>
  <c r="F175" i="9" s="1"/>
  <c r="G175" i="9" s="1"/>
  <c r="K198" i="9"/>
  <c r="M198" i="9" s="1"/>
  <c r="N198" i="9" s="1"/>
  <c r="R183" i="9"/>
  <c r="R238" i="9"/>
  <c r="T238" i="9" s="1"/>
  <c r="U238" i="9" s="1"/>
  <c r="Y293" i="9"/>
  <c r="D347" i="9"/>
  <c r="R176" i="9"/>
  <c r="T176" i="9" s="1"/>
  <c r="U176" i="9" s="1"/>
  <c r="Y197" i="9"/>
  <c r="AA197" i="9" s="1"/>
  <c r="AB197" i="9" s="1"/>
  <c r="D228" i="9"/>
  <c r="K228" i="9"/>
  <c r="M228" i="9" s="1"/>
  <c r="N228" i="9" s="1"/>
  <c r="R245" i="9"/>
  <c r="T245" i="9" s="1"/>
  <c r="U245" i="9" s="1"/>
  <c r="Y235" i="9"/>
  <c r="D273" i="9"/>
  <c r="F273" i="9" s="1"/>
  <c r="G273" i="9" s="1"/>
  <c r="K271" i="9"/>
  <c r="R271" i="9"/>
  <c r="T271" i="9" s="1"/>
  <c r="U271" i="9" s="1"/>
  <c r="Y295" i="9"/>
  <c r="AA295" i="9" s="1"/>
  <c r="AB295" i="9" s="1"/>
  <c r="Y277" i="9"/>
  <c r="AA277" i="9" s="1"/>
  <c r="AB277" i="9" s="1"/>
  <c r="D393" i="9"/>
  <c r="K374" i="9"/>
  <c r="M374" i="9" s="1"/>
  <c r="N374" i="9" s="1"/>
  <c r="R387" i="9"/>
  <c r="Y397" i="9"/>
  <c r="D322" i="9"/>
  <c r="F322" i="9" s="1"/>
  <c r="G322" i="9" s="1"/>
  <c r="K312" i="9"/>
  <c r="M312" i="9" s="1"/>
  <c r="N312" i="9" s="1"/>
  <c r="R321" i="9"/>
  <c r="T321" i="9" s="1"/>
  <c r="U321" i="9" s="1"/>
  <c r="Y329" i="9"/>
  <c r="AA329" i="9" s="1"/>
  <c r="AB329" i="9" s="1"/>
  <c r="R173" i="9"/>
  <c r="T173" i="9" s="1"/>
  <c r="U173" i="9" s="1"/>
  <c r="Y172" i="9"/>
  <c r="D231" i="9"/>
  <c r="K217" i="9"/>
  <c r="R217" i="9"/>
  <c r="T217" i="9" s="1"/>
  <c r="U217" i="9" s="1"/>
  <c r="R236" i="9"/>
  <c r="T236" i="9" s="1"/>
  <c r="U236" i="9" s="1"/>
  <c r="Y213" i="9"/>
  <c r="AA213" i="9" s="1"/>
  <c r="AB213" i="9" s="1"/>
  <c r="D292" i="9"/>
  <c r="K301" i="9"/>
  <c r="M301" i="9" s="1"/>
  <c r="N301" i="9" s="1"/>
  <c r="R301" i="9"/>
  <c r="R261" i="9"/>
  <c r="Y284" i="9"/>
  <c r="AA284" i="9" s="1"/>
  <c r="AB284" i="9" s="1"/>
  <c r="D403" i="9"/>
  <c r="K403" i="9"/>
  <c r="R368" i="9"/>
  <c r="T368" i="9" s="1"/>
  <c r="U368" i="9" s="1"/>
  <c r="Y395" i="9"/>
  <c r="AA395" i="9" s="1"/>
  <c r="AB395" i="9" s="1"/>
  <c r="Y405" i="9"/>
  <c r="D329" i="9"/>
  <c r="F329" i="9" s="1"/>
  <c r="G329" i="9" s="1"/>
  <c r="K342" i="9"/>
  <c r="M342" i="9" s="1"/>
  <c r="N342" i="9" s="1"/>
  <c r="R351" i="9"/>
  <c r="Y324" i="9"/>
  <c r="AA324" i="9" s="1"/>
  <c r="AB324" i="9" s="1"/>
  <c r="Y314" i="9"/>
  <c r="AA314" i="9" s="1"/>
  <c r="AB314" i="9" s="1"/>
  <c r="Y161" i="9"/>
  <c r="AA161" i="9" s="1"/>
  <c r="AB161" i="9" s="1"/>
  <c r="D214" i="9"/>
  <c r="F214" i="9" s="1"/>
  <c r="G214" i="9" s="1"/>
  <c r="K212" i="9"/>
  <c r="M212" i="9" s="1"/>
  <c r="N212" i="9" s="1"/>
  <c r="K213" i="9"/>
  <c r="M213" i="9" s="1"/>
  <c r="N213" i="9" s="1"/>
  <c r="R225" i="9"/>
  <c r="T225" i="9" s="1"/>
  <c r="U225" i="9" s="1"/>
  <c r="Y223" i="9"/>
  <c r="AA223" i="9" s="1"/>
  <c r="AB223" i="9" s="1"/>
  <c r="D289" i="9"/>
  <c r="F289" i="9" s="1"/>
  <c r="G289" i="9" s="1"/>
  <c r="K284" i="9"/>
  <c r="M284" i="9" s="1"/>
  <c r="N284" i="9" s="1"/>
  <c r="R284" i="9"/>
  <c r="T284" i="9" s="1"/>
  <c r="U284" i="9" s="1"/>
  <c r="R291" i="9"/>
  <c r="Y285" i="9"/>
  <c r="D383" i="9"/>
  <c r="F383" i="9" s="1"/>
  <c r="G383" i="9" s="1"/>
  <c r="K400" i="9"/>
  <c r="M400" i="9" s="1"/>
  <c r="N400" i="9" s="1"/>
  <c r="R385" i="9"/>
  <c r="T385" i="9" s="1"/>
  <c r="U385" i="9" s="1"/>
  <c r="Y384" i="9"/>
  <c r="D348" i="9"/>
  <c r="F348" i="9" s="1"/>
  <c r="G348" i="9" s="1"/>
  <c r="K331" i="9"/>
  <c r="M331" i="9" s="1"/>
  <c r="N331" i="9" s="1"/>
  <c r="R340" i="9"/>
  <c r="Y337" i="9"/>
  <c r="Y344" i="9"/>
  <c r="AA344" i="9" s="1"/>
  <c r="AB344" i="9" s="1"/>
  <c r="Y185" i="9"/>
  <c r="AA185" i="9" s="1"/>
  <c r="AB185" i="9" s="1"/>
  <c r="D238" i="9"/>
  <c r="K236" i="9"/>
  <c r="M236" i="9" s="1"/>
  <c r="N236" i="9" s="1"/>
  <c r="K237" i="9"/>
  <c r="M237" i="9" s="1"/>
  <c r="N237" i="9" s="1"/>
  <c r="R249" i="9"/>
  <c r="T249" i="9" s="1"/>
  <c r="U249" i="9" s="1"/>
  <c r="Y218" i="9"/>
  <c r="AA218" i="9" s="1"/>
  <c r="AB218" i="9" s="1"/>
  <c r="D266" i="9"/>
  <c r="F266" i="9" s="1"/>
  <c r="G266" i="9" s="1"/>
  <c r="K273" i="9"/>
  <c r="M273" i="9" s="1"/>
  <c r="N273" i="9" s="1"/>
  <c r="K269" i="9"/>
  <c r="M269" i="9" s="1"/>
  <c r="N269" i="9" s="1"/>
  <c r="R270" i="9"/>
  <c r="T270" i="9" s="1"/>
  <c r="U270" i="9" s="1"/>
  <c r="Y275" i="9"/>
  <c r="D369" i="9"/>
  <c r="F369" i="9" s="1"/>
  <c r="G369" i="9" s="1"/>
  <c r="K389" i="9"/>
  <c r="M389" i="9" s="1"/>
  <c r="N389" i="9" s="1"/>
  <c r="R396" i="9"/>
  <c r="R371" i="9"/>
  <c r="T371" i="9" s="1"/>
  <c r="U371" i="9" s="1"/>
  <c r="Y398" i="9"/>
  <c r="AA398" i="9" s="1"/>
  <c r="AB398" i="9" s="1"/>
  <c r="D315" i="9"/>
  <c r="F315" i="9" s="1"/>
  <c r="G315" i="9" s="1"/>
  <c r="K314" i="9"/>
  <c r="M314" i="9" s="1"/>
  <c r="N314" i="9" s="1"/>
  <c r="R329" i="9"/>
  <c r="R312" i="9"/>
  <c r="T312" i="9" s="1"/>
  <c r="U312" i="9" s="1"/>
  <c r="Y327" i="9"/>
  <c r="AA327" i="9" s="1"/>
  <c r="AB327" i="9" s="1"/>
  <c r="Y169" i="9"/>
  <c r="AA169" i="9" s="1"/>
  <c r="AB169" i="9" s="1"/>
  <c r="D233" i="9"/>
  <c r="D223" i="9"/>
  <c r="F223" i="9" s="1"/>
  <c r="G223" i="9" s="1"/>
  <c r="K220" i="9"/>
  <c r="M220" i="9" s="1"/>
  <c r="N220" i="9" s="1"/>
  <c r="R211" i="9"/>
  <c r="Y237" i="9"/>
  <c r="AA237" i="9" s="1"/>
  <c r="AB237" i="9" s="1"/>
  <c r="D296" i="9"/>
  <c r="F296" i="9" s="1"/>
  <c r="G296" i="9" s="1"/>
  <c r="K292" i="9"/>
  <c r="M292" i="9" s="1"/>
  <c r="N292" i="9" s="1"/>
  <c r="K299" i="9"/>
  <c r="M299" i="9" s="1"/>
  <c r="N299" i="9" s="1"/>
  <c r="R274" i="9"/>
  <c r="T274" i="9" s="1"/>
  <c r="U274" i="9" s="1"/>
  <c r="Y268" i="9"/>
  <c r="D379" i="9"/>
  <c r="F379" i="9" s="1"/>
  <c r="G379" i="9" s="1"/>
  <c r="K386" i="9"/>
  <c r="M386" i="9" s="1"/>
  <c r="N386" i="9" s="1"/>
  <c r="K378" i="9"/>
  <c r="R372" i="9"/>
  <c r="T372" i="9" s="1"/>
  <c r="U372" i="9" s="1"/>
  <c r="Y382" i="9"/>
  <c r="AA382" i="9" s="1"/>
  <c r="AB382" i="9" s="1"/>
  <c r="D345" i="9"/>
  <c r="K344" i="9"/>
  <c r="M344" i="9" s="1"/>
  <c r="N344" i="9" s="1"/>
  <c r="R317" i="9"/>
  <c r="T317" i="9" s="1"/>
  <c r="U317" i="9" s="1"/>
  <c r="R342" i="9"/>
  <c r="T342" i="9" s="1"/>
  <c r="U342" i="9" s="1"/>
  <c r="Y353" i="9"/>
  <c r="AA353" i="9" s="1"/>
  <c r="AB353" i="9" s="1"/>
  <c r="K323" i="9"/>
  <c r="R326" i="9"/>
  <c r="Y340" i="9"/>
  <c r="AA340" i="9" s="1"/>
  <c r="AB340" i="9" s="1"/>
  <c r="R170" i="9"/>
  <c r="T170" i="9" s="1"/>
  <c r="U170" i="9" s="1"/>
  <c r="Y189" i="9"/>
  <c r="AA189" i="9" s="1"/>
  <c r="AB189" i="9" s="1"/>
  <c r="D216" i="9"/>
  <c r="F216" i="9" s="1"/>
  <c r="G216" i="9" s="1"/>
  <c r="K222" i="9"/>
  <c r="M222" i="9" s="1"/>
  <c r="N222" i="9" s="1"/>
  <c r="R239" i="9"/>
  <c r="Y251" i="9"/>
  <c r="AA251" i="9" s="1"/>
  <c r="AB251" i="9" s="1"/>
  <c r="Y246" i="9"/>
  <c r="AA246" i="9" s="1"/>
  <c r="AB246" i="9" s="1"/>
  <c r="D261" i="9"/>
  <c r="F261" i="9" s="1"/>
  <c r="G261" i="9" s="1"/>
  <c r="K265" i="9"/>
  <c r="M265" i="9" s="1"/>
  <c r="N265" i="9" s="1"/>
  <c r="R265" i="9"/>
  <c r="Y300" i="9"/>
  <c r="Y271" i="9"/>
  <c r="AA271" i="9" s="1"/>
  <c r="AB271" i="9" s="1"/>
  <c r="D404" i="9"/>
  <c r="F404" i="9" s="1"/>
  <c r="G404" i="9" s="1"/>
  <c r="K388" i="9"/>
  <c r="M388" i="9" s="1"/>
  <c r="N388" i="9" s="1"/>
  <c r="R398" i="9"/>
  <c r="T398" i="9" s="1"/>
  <c r="U398" i="9" s="1"/>
  <c r="Y402" i="9"/>
  <c r="AA402" i="9" s="1"/>
  <c r="AB402" i="9" s="1"/>
  <c r="D349" i="9"/>
  <c r="D350" i="9"/>
  <c r="F350" i="9" s="1"/>
  <c r="G350" i="9" s="1"/>
  <c r="K353" i="9"/>
  <c r="M353" i="9" s="1"/>
  <c r="N353" i="9" s="1"/>
  <c r="R315" i="9"/>
  <c r="T315" i="9" s="1"/>
  <c r="U315" i="9" s="1"/>
  <c r="Y323" i="9"/>
  <c r="AA323" i="9" s="1"/>
  <c r="AB323" i="9" s="1"/>
  <c r="R200" i="9"/>
  <c r="T200" i="9" s="1"/>
  <c r="U200" i="9" s="1"/>
  <c r="Y166" i="9"/>
  <c r="AA166" i="9" s="1"/>
  <c r="AB166" i="9" s="1"/>
  <c r="D225" i="9"/>
  <c r="F225" i="9" s="1"/>
  <c r="G225" i="9" s="1"/>
  <c r="K211" i="9"/>
  <c r="M211" i="9" s="1"/>
  <c r="N211" i="9" s="1"/>
  <c r="R246" i="9"/>
  <c r="R230" i="9"/>
  <c r="T230" i="9" s="1"/>
  <c r="U230" i="9" s="1"/>
  <c r="Y242" i="9"/>
  <c r="AA242" i="9" s="1"/>
  <c r="AB242" i="9" s="1"/>
  <c r="D280" i="9"/>
  <c r="K295" i="9"/>
  <c r="M295" i="9" s="1"/>
  <c r="N295" i="9" s="1"/>
  <c r="R295" i="9"/>
  <c r="T295" i="9" s="1"/>
  <c r="U295" i="9" s="1"/>
  <c r="Y296" i="9"/>
  <c r="Y266" i="9"/>
  <c r="AA266" i="9" s="1"/>
  <c r="AB266" i="9" s="1"/>
  <c r="D367" i="9"/>
  <c r="K367" i="9"/>
  <c r="M367" i="9" s="1"/>
  <c r="N367" i="9" s="1"/>
  <c r="R370" i="9"/>
  <c r="T370" i="9" s="1"/>
  <c r="U370" i="9" s="1"/>
  <c r="Y364" i="9"/>
  <c r="AA364" i="9" s="1"/>
  <c r="AB364" i="9" s="1"/>
  <c r="Y373" i="9"/>
  <c r="D317" i="9"/>
  <c r="F317" i="9" s="1"/>
  <c r="G317" i="9" s="1"/>
  <c r="K336" i="9"/>
  <c r="R345" i="9"/>
  <c r="Y312" i="9"/>
  <c r="AA312" i="9" s="1"/>
  <c r="AB312" i="9" s="1"/>
  <c r="R180" i="9"/>
  <c r="T180" i="9" s="1"/>
  <c r="U180" i="9" s="1"/>
  <c r="Y190" i="9"/>
  <c r="AA190" i="9" s="1"/>
  <c r="AB190" i="9" s="1"/>
  <c r="D249" i="9"/>
  <c r="F249" i="9" s="1"/>
  <c r="G249" i="9" s="1"/>
  <c r="K241" i="9"/>
  <c r="R213" i="9"/>
  <c r="T213" i="9" s="1"/>
  <c r="U213" i="9" s="1"/>
  <c r="Y211" i="9"/>
  <c r="AA211" i="9" s="1"/>
  <c r="AB211" i="9" s="1"/>
  <c r="D277" i="9"/>
  <c r="K272" i="9"/>
  <c r="R272" i="9"/>
  <c r="T272" i="9" s="1"/>
  <c r="U272" i="9" s="1"/>
  <c r="R279" i="9"/>
  <c r="T279" i="9" s="1"/>
  <c r="U279" i="9" s="1"/>
  <c r="Y273" i="9"/>
  <c r="D399" i="9"/>
  <c r="F399" i="9" s="1"/>
  <c r="G399" i="9" s="1"/>
  <c r="K396" i="9"/>
  <c r="M396" i="9" s="1"/>
  <c r="N396" i="9" s="1"/>
  <c r="R365" i="9"/>
  <c r="T365" i="9" s="1"/>
  <c r="U365" i="9" s="1"/>
  <c r="Y377" i="9"/>
  <c r="AA377" i="9" s="1"/>
  <c r="AB377" i="9" s="1"/>
  <c r="Y381" i="9"/>
  <c r="D318" i="9"/>
  <c r="F318" i="9" s="1"/>
  <c r="G318" i="9" s="1"/>
  <c r="K319" i="9"/>
  <c r="M319" i="9" s="1"/>
  <c r="N319" i="9" s="1"/>
  <c r="R328" i="9"/>
  <c r="Y319" i="9"/>
  <c r="Y332" i="9"/>
  <c r="AA332" i="9" s="1"/>
  <c r="AB332" i="9" s="1"/>
  <c r="Y179" i="9"/>
  <c r="AA179" i="9" s="1"/>
  <c r="AB179" i="9" s="1"/>
  <c r="D232" i="9"/>
  <c r="K230" i="9"/>
  <c r="M230" i="9" s="1"/>
  <c r="N230" i="9" s="1"/>
  <c r="K231" i="9"/>
  <c r="M231" i="9" s="1"/>
  <c r="N231" i="9" s="1"/>
  <c r="R243" i="9"/>
  <c r="T243" i="9" s="1"/>
  <c r="U243" i="9" s="1"/>
  <c r="Y247" i="9"/>
  <c r="AA247" i="9" s="1"/>
  <c r="AB247" i="9" s="1"/>
  <c r="D260" i="9"/>
  <c r="F260" i="9" s="1"/>
  <c r="K261" i="9"/>
  <c r="M261" i="9" s="1"/>
  <c r="N261" i="9" s="1"/>
  <c r="K263" i="9"/>
  <c r="M263" i="9" s="1"/>
  <c r="N263" i="9" s="1"/>
  <c r="R298" i="9"/>
  <c r="T298" i="9" s="1"/>
  <c r="U298" i="9" s="1"/>
  <c r="Y269" i="9"/>
  <c r="D380" i="9"/>
  <c r="F380" i="9" s="1"/>
  <c r="G380" i="9" s="1"/>
  <c r="K364" i="9"/>
  <c r="R399" i="9"/>
  <c r="R397" i="9"/>
  <c r="T397" i="9" s="1"/>
  <c r="U397" i="9" s="1"/>
  <c r="Y401" i="9"/>
  <c r="AA401" i="9" s="1"/>
  <c r="AB401" i="9" s="1"/>
  <c r="D343" i="9"/>
  <c r="F343" i="9" s="1"/>
  <c r="G343" i="9" s="1"/>
  <c r="K349" i="9"/>
  <c r="M349" i="9" s="1"/>
  <c r="N349" i="9" s="1"/>
  <c r="R323" i="9"/>
  <c r="R311" i="9"/>
  <c r="T311" i="9" s="1"/>
  <c r="Y321" i="9"/>
  <c r="AA321" i="9" s="1"/>
  <c r="AB321" i="9" s="1"/>
  <c r="Y264" i="9"/>
  <c r="AA264" i="9" s="1"/>
  <c r="AB264" i="9" s="1"/>
  <c r="D370" i="9"/>
  <c r="D376" i="9"/>
  <c r="F376" i="9" s="1"/>
  <c r="G376" i="9" s="1"/>
  <c r="K368" i="9"/>
  <c r="M368" i="9" s="1"/>
  <c r="N368" i="9" s="1"/>
  <c r="R380" i="9"/>
  <c r="Y394" i="9"/>
  <c r="AA394" i="9" s="1"/>
  <c r="AB394" i="9" s="1"/>
  <c r="D324" i="9"/>
  <c r="F324" i="9" s="1"/>
  <c r="G324" i="9" s="1"/>
  <c r="D314" i="9"/>
  <c r="F314" i="9" s="1"/>
  <c r="G314" i="9" s="1"/>
  <c r="K317" i="9"/>
  <c r="M317" i="9" s="1"/>
  <c r="N317" i="9" s="1"/>
  <c r="R320" i="9"/>
  <c r="Y334" i="9"/>
  <c r="AA334" i="9" s="1"/>
  <c r="AB334" i="9" s="1"/>
  <c r="R164" i="9"/>
  <c r="T164" i="9" s="1"/>
  <c r="U164" i="9" s="1"/>
  <c r="Y177" i="9"/>
  <c r="AA177" i="9" s="1"/>
  <c r="AB177" i="9" s="1"/>
  <c r="D251" i="9"/>
  <c r="F251" i="9" s="1"/>
  <c r="G251" i="9" s="1"/>
  <c r="K216" i="9"/>
  <c r="M216" i="9" s="1"/>
  <c r="N216" i="9" s="1"/>
  <c r="R233" i="9"/>
  <c r="T233" i="9" s="1"/>
  <c r="U233" i="9" s="1"/>
  <c r="Y245" i="9"/>
  <c r="Y240" i="9"/>
  <c r="AA240" i="9" s="1"/>
  <c r="AB240" i="9" s="1"/>
  <c r="D300" i="9"/>
  <c r="F300" i="9" s="1"/>
  <c r="G300" i="9" s="1"/>
  <c r="K298" i="9"/>
  <c r="M298" i="9" s="1"/>
  <c r="N298" i="9" s="1"/>
  <c r="R290" i="9"/>
  <c r="T290" i="9" s="1"/>
  <c r="U290" i="9" s="1"/>
  <c r="Y294" i="9"/>
  <c r="Y265" i="9"/>
  <c r="AA265" i="9" s="1"/>
  <c r="AB265" i="9" s="1"/>
  <c r="D368" i="9"/>
  <c r="F368" i="9" s="1"/>
  <c r="G368" i="9" s="1"/>
  <c r="K385" i="9"/>
  <c r="R395" i="9"/>
  <c r="T395" i="9" s="1"/>
  <c r="U395" i="9" s="1"/>
  <c r="Y366" i="9"/>
  <c r="AA366" i="9" s="1"/>
  <c r="AB366" i="9" s="1"/>
  <c r="D337" i="9"/>
  <c r="D344" i="9"/>
  <c r="K347" i="9"/>
  <c r="M347" i="9" s="1"/>
  <c r="N347" i="9" s="1"/>
  <c r="R350" i="9"/>
  <c r="T350" i="9" s="1"/>
  <c r="U350" i="9" s="1"/>
  <c r="Y317" i="9"/>
  <c r="AA317" i="9" s="1"/>
  <c r="AB317" i="9" s="1"/>
  <c r="R188" i="9"/>
  <c r="T188" i="9" s="1"/>
  <c r="U188" i="9" s="1"/>
  <c r="Y192" i="9"/>
  <c r="D213" i="9"/>
  <c r="F213" i="9" s="1"/>
  <c r="G213" i="9" s="1"/>
  <c r="K240" i="9"/>
  <c r="M240" i="9" s="1"/>
  <c r="N240" i="9" s="1"/>
  <c r="R222" i="9"/>
  <c r="T222" i="9" s="1"/>
  <c r="U222" i="9" s="1"/>
  <c r="R218" i="9"/>
  <c r="Y224" i="9"/>
  <c r="AA224" i="9" s="1"/>
  <c r="AB224" i="9" s="1"/>
  <c r="D297" i="9"/>
  <c r="F297" i="9" s="1"/>
  <c r="G297" i="9" s="1"/>
  <c r="K283" i="9"/>
  <c r="M283" i="9" s="1"/>
  <c r="N283" i="9" s="1"/>
  <c r="R283" i="9"/>
  <c r="T283" i="9" s="1"/>
  <c r="U283" i="9" s="1"/>
  <c r="Y272" i="9"/>
  <c r="AA272" i="9" s="1"/>
  <c r="AB272" i="9" s="1"/>
  <c r="Y289" i="9"/>
  <c r="D377" i="9"/>
  <c r="F377" i="9" s="1"/>
  <c r="G377" i="9" s="1"/>
  <c r="K399" i="9"/>
  <c r="M399" i="9" s="1"/>
  <c r="N399" i="9" s="1"/>
  <c r="R384" i="9"/>
  <c r="T384" i="9" s="1"/>
  <c r="U384" i="9" s="1"/>
  <c r="Y380" i="9"/>
  <c r="AA380" i="9" s="1"/>
  <c r="AB380" i="9" s="1"/>
  <c r="D346" i="9"/>
  <c r="F346" i="9" s="1"/>
  <c r="G346" i="9" s="1"/>
  <c r="K324" i="9"/>
  <c r="M324" i="9" s="1"/>
  <c r="N324" i="9" s="1"/>
  <c r="R333" i="9"/>
  <c r="T333" i="9" s="1"/>
  <c r="U333" i="9" s="1"/>
  <c r="Y341" i="9"/>
  <c r="AA341" i="9" s="1"/>
  <c r="AB341" i="9" s="1"/>
  <c r="R162" i="9"/>
  <c r="Y184" i="9"/>
  <c r="AA184" i="9" s="1"/>
  <c r="AB184" i="9" s="1"/>
  <c r="D243" i="9"/>
  <c r="F243" i="9" s="1"/>
  <c r="G243" i="9" s="1"/>
  <c r="K235" i="9"/>
  <c r="M235" i="9" s="1"/>
  <c r="N235" i="9" s="1"/>
  <c r="R241" i="9"/>
  <c r="T241" i="9" s="1"/>
  <c r="U241" i="9" s="1"/>
  <c r="R248" i="9"/>
  <c r="T248" i="9" s="1"/>
  <c r="U248" i="9" s="1"/>
  <c r="Y243" i="9"/>
  <c r="AA243" i="9" s="1"/>
  <c r="AB243" i="9" s="1"/>
  <c r="D271" i="9"/>
  <c r="F271" i="9" s="1"/>
  <c r="G271" i="9" s="1"/>
  <c r="K266" i="9"/>
  <c r="M266" i="9" s="1"/>
  <c r="N266" i="9" s="1"/>
  <c r="R266" i="9"/>
  <c r="R273" i="9"/>
  <c r="T273" i="9" s="1"/>
  <c r="U273" i="9" s="1"/>
  <c r="Y267" i="9"/>
  <c r="AA267" i="9" s="1"/>
  <c r="AB267" i="9" s="1"/>
  <c r="D363" i="9"/>
  <c r="F363" i="9" s="1"/>
  <c r="K382" i="9"/>
  <c r="M382" i="9" s="1"/>
  <c r="N382" i="9" s="1"/>
  <c r="R393" i="9"/>
  <c r="T393" i="9" s="1"/>
  <c r="U393" i="9" s="1"/>
  <c r="Y367" i="9"/>
  <c r="AA367" i="9" s="1"/>
  <c r="AB367" i="9" s="1"/>
  <c r="Y392" i="9"/>
  <c r="AA392" i="9" s="1"/>
  <c r="AB392" i="9" s="1"/>
  <c r="D353" i="9"/>
  <c r="K313" i="9"/>
  <c r="M313" i="9" s="1"/>
  <c r="N313" i="9" s="1"/>
  <c r="R322" i="9"/>
  <c r="T322" i="9" s="1"/>
  <c r="U322" i="9" s="1"/>
  <c r="Y348" i="9"/>
  <c r="AA348" i="9" s="1"/>
  <c r="AB348" i="9" s="1"/>
  <c r="Y326" i="9"/>
  <c r="AA326" i="9" s="1"/>
  <c r="AB326" i="9" s="1"/>
  <c r="R111" i="9"/>
  <c r="T111" i="9" s="1"/>
  <c r="U111" i="9" s="1"/>
  <c r="Y146" i="9"/>
  <c r="AA146" i="9" s="1"/>
  <c r="AB146" i="9" s="1"/>
  <c r="D189" i="9"/>
  <c r="K176" i="9"/>
  <c r="R198" i="9"/>
  <c r="T198" i="9" s="1"/>
  <c r="U198" i="9" s="1"/>
  <c r="Y170" i="9"/>
  <c r="AA170" i="9" s="1"/>
  <c r="AB170" i="9" s="1"/>
  <c r="D299" i="9"/>
  <c r="F299" i="9" s="1"/>
  <c r="G299" i="9" s="1"/>
  <c r="K379" i="9"/>
  <c r="R349" i="9"/>
  <c r="T349" i="9" s="1"/>
  <c r="U349" i="9" s="1"/>
  <c r="Y163" i="9"/>
  <c r="AA163" i="9" s="1"/>
  <c r="AB163" i="9" s="1"/>
  <c r="D221" i="9"/>
  <c r="F221" i="9" s="1"/>
  <c r="G221" i="9" s="1"/>
  <c r="D217" i="9"/>
  <c r="F217" i="9" s="1"/>
  <c r="G217" i="9" s="1"/>
  <c r="K214" i="9"/>
  <c r="M214" i="9" s="1"/>
  <c r="N214" i="9" s="1"/>
  <c r="R240" i="9"/>
  <c r="T240" i="9" s="1"/>
  <c r="U240" i="9" s="1"/>
  <c r="Y225" i="9"/>
  <c r="D290" i="9"/>
  <c r="F290" i="9" s="1"/>
  <c r="G290" i="9" s="1"/>
  <c r="K280" i="9"/>
  <c r="M280" i="9" s="1"/>
  <c r="N280" i="9" s="1"/>
  <c r="K293" i="9"/>
  <c r="M293" i="9" s="1"/>
  <c r="N293" i="9" s="1"/>
  <c r="R268" i="9"/>
  <c r="T268" i="9" s="1"/>
  <c r="U268" i="9" s="1"/>
  <c r="Y262" i="9"/>
  <c r="AA262" i="9" s="1"/>
  <c r="AB262" i="9" s="1"/>
  <c r="D384" i="9"/>
  <c r="F384" i="9" s="1"/>
  <c r="G384" i="9" s="1"/>
  <c r="K371" i="9"/>
  <c r="M371" i="9" s="1"/>
  <c r="N371" i="9" s="1"/>
  <c r="R401" i="9"/>
  <c r="Y385" i="9"/>
  <c r="AA385" i="9" s="1"/>
  <c r="AB385" i="9" s="1"/>
  <c r="D339" i="9"/>
  <c r="F339" i="9" s="1"/>
  <c r="G339" i="9" s="1"/>
  <c r="K338" i="9"/>
  <c r="M338" i="9" s="1"/>
  <c r="N338" i="9" s="1"/>
  <c r="R353" i="9"/>
  <c r="R336" i="9"/>
  <c r="T336" i="9" s="1"/>
  <c r="U336" i="9" s="1"/>
  <c r="Y351" i="9"/>
  <c r="AA351" i="9" s="1"/>
  <c r="AB351" i="9" s="1"/>
  <c r="Y193" i="9"/>
  <c r="AA193" i="9" s="1"/>
  <c r="AB193" i="9" s="1"/>
  <c r="D234" i="9"/>
  <c r="F234" i="9" s="1"/>
  <c r="G234" i="9" s="1"/>
  <c r="D247" i="9"/>
  <c r="K244" i="9"/>
  <c r="M244" i="9" s="1"/>
  <c r="N244" i="9" s="1"/>
  <c r="R214" i="9"/>
  <c r="T214" i="9" s="1"/>
  <c r="U214" i="9" s="1"/>
  <c r="Y226" i="9"/>
  <c r="AA226" i="9" s="1"/>
  <c r="AB226" i="9" s="1"/>
  <c r="D291" i="9"/>
  <c r="F291" i="9" s="1"/>
  <c r="G291" i="9" s="1"/>
  <c r="D275" i="9"/>
  <c r="F275" i="9" s="1"/>
  <c r="G275" i="9" s="1"/>
  <c r="K282" i="9"/>
  <c r="M282" i="9" s="1"/>
  <c r="N282" i="9" s="1"/>
  <c r="R282" i="9"/>
  <c r="Y292" i="9"/>
  <c r="AA292" i="9" s="1"/>
  <c r="AB292" i="9" s="1"/>
  <c r="D400" i="9"/>
  <c r="F400" i="9" s="1"/>
  <c r="G400" i="9" s="1"/>
  <c r="K372" i="9"/>
  <c r="M372" i="9" s="1"/>
  <c r="N372" i="9" s="1"/>
  <c r="K398" i="9"/>
  <c r="M398" i="9" s="1"/>
  <c r="N398" i="9" s="1"/>
  <c r="R392" i="9"/>
  <c r="Y371" i="9"/>
  <c r="AA371" i="9" s="1"/>
  <c r="AB371" i="9" s="1"/>
  <c r="D340" i="9"/>
  <c r="F340" i="9" s="1"/>
  <c r="G340" i="9" s="1"/>
  <c r="K327" i="9"/>
  <c r="K328" i="9"/>
  <c r="R325" i="9"/>
  <c r="T325" i="9" s="1"/>
  <c r="U325" i="9" s="1"/>
  <c r="Y313" i="9"/>
  <c r="AA313" i="9" s="1"/>
  <c r="AB313" i="9" s="1"/>
  <c r="Y195" i="9"/>
  <c r="Y176" i="9"/>
  <c r="AA176" i="9" s="1"/>
  <c r="AB176" i="9" s="1"/>
  <c r="D236" i="9"/>
  <c r="F236" i="9" s="1"/>
  <c r="G236" i="9" s="1"/>
  <c r="K227" i="9"/>
  <c r="M227" i="9" s="1"/>
  <c r="N227" i="9" s="1"/>
  <c r="R244" i="9"/>
  <c r="T244" i="9" s="1"/>
  <c r="U244" i="9" s="1"/>
  <c r="Y209" i="9"/>
  <c r="D264" i="9"/>
  <c r="K267" i="9"/>
  <c r="M267" i="9" s="1"/>
  <c r="N267" i="9" s="1"/>
  <c r="R281" i="9"/>
  <c r="Y290" i="9"/>
  <c r="AA290" i="9" s="1"/>
  <c r="AB290" i="9" s="1"/>
  <c r="D381" i="9"/>
  <c r="F381" i="9" s="1"/>
  <c r="G381" i="9" s="1"/>
  <c r="D387" i="9"/>
  <c r="F387" i="9" s="1"/>
  <c r="G387" i="9" s="1"/>
  <c r="K370" i="9"/>
  <c r="R391" i="9"/>
  <c r="T391" i="9" s="1"/>
  <c r="U391" i="9" s="1"/>
  <c r="Y391" i="9"/>
  <c r="AA391" i="9" s="1"/>
  <c r="AB391" i="9" s="1"/>
  <c r="D312" i="9"/>
  <c r="F312" i="9" s="1"/>
  <c r="G312" i="9" s="1"/>
  <c r="K311" i="9"/>
  <c r="M311" i="9" s="1"/>
  <c r="R314" i="9"/>
  <c r="Y328" i="9"/>
  <c r="AA328" i="9" s="1"/>
  <c r="AB328" i="9" s="1"/>
  <c r="Y200" i="9"/>
  <c r="AA200" i="9" s="1"/>
  <c r="AB200" i="9" s="1"/>
  <c r="D227" i="9"/>
  <c r="K251" i="9"/>
  <c r="M251" i="9" s="1"/>
  <c r="N251" i="9" s="1"/>
  <c r="R221" i="9"/>
  <c r="T221" i="9" s="1"/>
  <c r="U221" i="9" s="1"/>
  <c r="Y233" i="9"/>
  <c r="AA233" i="9" s="1"/>
  <c r="AB233" i="9" s="1"/>
  <c r="Y228" i="9"/>
  <c r="D288" i="9"/>
  <c r="F288" i="9" s="1"/>
  <c r="G288" i="9" s="1"/>
  <c r="K274" i="9"/>
  <c r="M274" i="9" s="1"/>
  <c r="N274" i="9" s="1"/>
  <c r="R276" i="9"/>
  <c r="T276" i="9" s="1"/>
  <c r="U276" i="9" s="1"/>
  <c r="Y282" i="9"/>
  <c r="AA282" i="9" s="1"/>
  <c r="AB282" i="9" s="1"/>
  <c r="D391" i="9"/>
  <c r="D402" i="9"/>
  <c r="F402" i="9" s="1"/>
  <c r="G402" i="9" s="1"/>
  <c r="K365" i="9"/>
  <c r="M365" i="9" s="1"/>
  <c r="N365" i="9" s="1"/>
  <c r="R373" i="9"/>
  <c r="T373" i="9" s="1"/>
  <c r="U373" i="9" s="1"/>
  <c r="Y399" i="9"/>
  <c r="D313" i="9"/>
  <c r="F313" i="9" s="1"/>
  <c r="G313" i="9" s="1"/>
  <c r="D332" i="9"/>
  <c r="F332" i="9" s="1"/>
  <c r="G332" i="9" s="1"/>
  <c r="K335" i="9"/>
  <c r="R338" i="9"/>
  <c r="T338" i="9" s="1"/>
  <c r="U338" i="9" s="1"/>
  <c r="Y352" i="9"/>
  <c r="AA352" i="9" s="1"/>
  <c r="AB352" i="9" s="1"/>
  <c r="R182" i="9"/>
  <c r="T182" i="9" s="1"/>
  <c r="U182" i="9" s="1"/>
  <c r="Y174" i="9"/>
  <c r="AA174" i="9" s="1"/>
  <c r="AB174" i="9" s="1"/>
  <c r="D240" i="9"/>
  <c r="K234" i="9"/>
  <c r="M234" i="9" s="1"/>
  <c r="N234" i="9" s="1"/>
  <c r="R216" i="9"/>
  <c r="T216" i="9" s="1"/>
  <c r="U216" i="9" s="1"/>
  <c r="R212" i="9"/>
  <c r="T212" i="9" s="1"/>
  <c r="U212" i="9" s="1"/>
  <c r="Y212" i="9"/>
  <c r="AA212" i="9" s="1"/>
  <c r="AB212" i="9" s="1"/>
  <c r="D285" i="9"/>
  <c r="F285" i="9" s="1"/>
  <c r="G285" i="9" s="1"/>
  <c r="K277" i="9"/>
  <c r="M277" i="9" s="1"/>
  <c r="N277" i="9" s="1"/>
  <c r="R277" i="9"/>
  <c r="Y260" i="9"/>
  <c r="AA260" i="9" s="1"/>
  <c r="Y283" i="9"/>
  <c r="AA283" i="9" s="1"/>
  <c r="AB283" i="9" s="1"/>
  <c r="D382" i="9"/>
  <c r="F382" i="9" s="1"/>
  <c r="G382" i="9" s="1"/>
  <c r="K363" i="9"/>
  <c r="M363" i="9" s="1"/>
  <c r="R400" i="9"/>
  <c r="Y365" i="9"/>
  <c r="AA365" i="9" s="1"/>
  <c r="AB365" i="9" s="1"/>
  <c r="D365" i="9"/>
  <c r="F365" i="9" s="1"/>
  <c r="G365" i="9" s="1"/>
  <c r="D334" i="9"/>
  <c r="K318" i="9"/>
  <c r="R327" i="9"/>
  <c r="T327" i="9" s="1"/>
  <c r="U327" i="9" s="1"/>
  <c r="Y335" i="9"/>
  <c r="AA335" i="9" s="1"/>
  <c r="AB335" i="9" s="1"/>
  <c r="W468" i="9"/>
  <c r="V469" i="9"/>
  <c r="S469" i="9"/>
  <c r="W466" i="9"/>
  <c r="T469" i="9"/>
  <c r="Q469" i="9"/>
  <c r="W467" i="9"/>
  <c r="D184" i="11"/>
  <c r="D180" i="11"/>
  <c r="D181" i="11"/>
  <c r="D185" i="11"/>
  <c r="D183" i="11"/>
  <c r="D182" i="11"/>
  <c r="C182" i="11"/>
  <c r="E183" i="11"/>
  <c r="G183" i="11" s="1"/>
  <c r="H183" i="11" s="1" a="1"/>
  <c r="H183" i="11" s="1"/>
  <c r="E184" i="11"/>
  <c r="G184" i="11" s="1"/>
  <c r="H184" i="11" s="1" a="1"/>
  <c r="H184" i="11" s="1"/>
  <c r="E185" i="11"/>
  <c r="G185" i="11" s="1"/>
  <c r="H185" i="11" s="1" a="1"/>
  <c r="H185" i="11" s="1"/>
  <c r="G181" i="11"/>
  <c r="H181" i="11" s="1" a="1"/>
  <c r="H181" i="11" s="1"/>
  <c r="E180" i="11"/>
  <c r="M108" i="9"/>
  <c r="N108" i="9" s="1"/>
  <c r="T197" i="9"/>
  <c r="U197" i="9" s="1"/>
  <c r="M133" i="9"/>
  <c r="N133" i="9" s="1"/>
  <c r="T345" i="9"/>
  <c r="U345" i="9" s="1"/>
  <c r="T184" i="9"/>
  <c r="U184" i="9" s="1"/>
  <c r="F201" i="9"/>
  <c r="G201" i="9" s="1"/>
  <c r="F148" i="9"/>
  <c r="G148" i="9" s="1"/>
  <c r="T266" i="9"/>
  <c r="U266" i="9" s="1"/>
  <c r="AA145" i="9"/>
  <c r="AB145" i="9" s="1"/>
  <c r="M135" i="9"/>
  <c r="N135" i="9" s="1"/>
  <c r="M323" i="9"/>
  <c r="N323" i="9" s="1"/>
  <c r="F116" i="9"/>
  <c r="G116" i="9" s="1"/>
  <c r="AA118" i="9"/>
  <c r="AB118" i="9" s="1"/>
  <c r="AA122" i="9"/>
  <c r="AB122" i="9" s="1"/>
  <c r="F147" i="9"/>
  <c r="G147" i="9" s="1"/>
  <c r="F127" i="9"/>
  <c r="G127" i="9" s="1"/>
  <c r="F370" i="9"/>
  <c r="G370" i="9" s="1"/>
  <c r="F177" i="9"/>
  <c r="G177" i="9" s="1"/>
  <c r="T107" i="9"/>
  <c r="T125" i="9"/>
  <c r="U125" i="9" s="1"/>
  <c r="F224" i="9"/>
  <c r="G224" i="9" s="1"/>
  <c r="F143" i="9"/>
  <c r="G143" i="9" s="1"/>
  <c r="F279" i="9"/>
  <c r="G279" i="9" s="1"/>
  <c r="M150" i="9"/>
  <c r="N150" i="9" s="1"/>
  <c r="M278" i="9"/>
  <c r="N278" i="9" s="1"/>
  <c r="T109" i="9"/>
  <c r="U109" i="9" s="1"/>
  <c r="AA139" i="9"/>
  <c r="AB139" i="9" s="1"/>
  <c r="AA109" i="9"/>
  <c r="AB109" i="9" s="1"/>
  <c r="AA239" i="9"/>
  <c r="AB239" i="9" s="1"/>
  <c r="M303" i="9"/>
  <c r="N303" i="9" s="1"/>
  <c r="M112" i="9"/>
  <c r="N112" i="9" s="1"/>
  <c r="AA124" i="9"/>
  <c r="AB124" i="9" s="1"/>
  <c r="F110" i="9"/>
  <c r="G110" i="9" s="1"/>
  <c r="F190" i="9"/>
  <c r="G190" i="9" s="1"/>
  <c r="T293" i="9"/>
  <c r="U293" i="9" s="1"/>
  <c r="F244" i="9"/>
  <c r="G244" i="9" s="1"/>
  <c r="M166" i="9"/>
  <c r="N166" i="9" s="1"/>
  <c r="F161" i="9"/>
  <c r="G161" i="9" s="1"/>
  <c r="AA227" i="9"/>
  <c r="AB227" i="9" s="1"/>
  <c r="F195" i="9"/>
  <c r="G195" i="9" s="1"/>
  <c r="F176" i="9"/>
  <c r="G176" i="9" s="1"/>
  <c r="M128" i="9"/>
  <c r="N128" i="9" s="1"/>
  <c r="T147" i="9"/>
  <c r="U147" i="9" s="1"/>
  <c r="T177" i="9"/>
  <c r="U177" i="9" s="1"/>
  <c r="F126" i="9"/>
  <c r="G126" i="9" s="1"/>
  <c r="T179" i="9"/>
  <c r="U179" i="9" s="1"/>
  <c r="AA263" i="9"/>
  <c r="AB263" i="9" s="1"/>
  <c r="M110" i="9"/>
  <c r="N110" i="9" s="1"/>
  <c r="M201" i="9"/>
  <c r="N201" i="9" s="1"/>
  <c r="T193" i="9"/>
  <c r="U193" i="9" s="1"/>
  <c r="T181" i="9"/>
  <c r="U181" i="9" s="1"/>
  <c r="M169" i="9"/>
  <c r="N169" i="9" s="1"/>
  <c r="AA195" i="9"/>
  <c r="AB195" i="9" s="1"/>
  <c r="AA142" i="9"/>
  <c r="AB142" i="9" s="1"/>
  <c r="T201" i="9"/>
  <c r="U201" i="9" s="1"/>
  <c r="M219" i="9"/>
  <c r="N219" i="9" s="1"/>
  <c r="M177" i="9"/>
  <c r="N177" i="9" s="1"/>
  <c r="F174" i="9"/>
  <c r="G174" i="9" s="1"/>
  <c r="T196" i="9"/>
  <c r="U196" i="9" s="1"/>
  <c r="AA165" i="9"/>
  <c r="AB165" i="9" s="1"/>
  <c r="F212" i="9"/>
  <c r="G212" i="9" s="1"/>
  <c r="F218" i="9"/>
  <c r="G218" i="9" s="1"/>
  <c r="AA235" i="9"/>
  <c r="AB235" i="9" s="1"/>
  <c r="T250" i="9"/>
  <c r="U250" i="9" s="1"/>
  <c r="M185" i="9"/>
  <c r="N185" i="9" s="1"/>
  <c r="AA121" i="9"/>
  <c r="AB121" i="9" s="1"/>
  <c r="M187" i="9"/>
  <c r="N187" i="9" s="1"/>
  <c r="M146" i="9"/>
  <c r="N146" i="9" s="1"/>
  <c r="F117" i="9"/>
  <c r="G117" i="9" s="1"/>
  <c r="F189" i="9"/>
  <c r="G189" i="9" s="1"/>
  <c r="T158" i="9"/>
  <c r="F250" i="9"/>
  <c r="G250" i="9" s="1"/>
  <c r="M170" i="9"/>
  <c r="N170" i="9" s="1"/>
  <c r="F121" i="9"/>
  <c r="G121" i="9" s="1"/>
  <c r="AA172" i="9"/>
  <c r="AB172" i="9" s="1"/>
  <c r="T139" i="9"/>
  <c r="U139" i="9" s="1"/>
  <c r="F227" i="9"/>
  <c r="G227" i="9" s="1"/>
  <c r="M164" i="9"/>
  <c r="N164" i="9" s="1"/>
  <c r="F128" i="9"/>
  <c r="G128" i="9" s="1"/>
  <c r="M287" i="9"/>
  <c r="N287" i="9" s="1"/>
  <c r="F112" i="9"/>
  <c r="G112" i="9" s="1"/>
  <c r="F345" i="9"/>
  <c r="G345" i="9" s="1"/>
  <c r="AA135" i="9"/>
  <c r="AB135" i="9" s="1"/>
  <c r="AA225" i="9"/>
  <c r="AB225" i="9" s="1"/>
  <c r="T235" i="9"/>
  <c r="U235" i="9" s="1"/>
  <c r="AA201" i="9"/>
  <c r="AB201" i="9" s="1"/>
  <c r="F123" i="9"/>
  <c r="G123" i="9" s="1"/>
  <c r="AA187" i="9"/>
  <c r="AB187" i="9" s="1"/>
  <c r="M252" i="9"/>
  <c r="N252" i="9" s="1"/>
  <c r="F191" i="9"/>
  <c r="G191" i="9" s="1"/>
  <c r="F166" i="9"/>
  <c r="G166" i="9" s="1"/>
  <c r="M174" i="9"/>
  <c r="N174" i="9" s="1"/>
  <c r="T294" i="9"/>
  <c r="U294" i="9" s="1"/>
  <c r="F181" i="9"/>
  <c r="G181" i="9" s="1"/>
  <c r="AA120" i="9"/>
  <c r="AB120" i="9" s="1"/>
  <c r="M190" i="9"/>
  <c r="N190" i="9" s="1"/>
  <c r="F274" i="9"/>
  <c r="G274" i="9" s="1"/>
  <c r="M260" i="9"/>
  <c r="T390" i="9"/>
  <c r="U390" i="9" s="1"/>
  <c r="F187" i="9"/>
  <c r="G187" i="9" s="1"/>
  <c r="F228" i="9"/>
  <c r="G228" i="9" s="1"/>
  <c r="M328" i="9"/>
  <c r="N328" i="9" s="1"/>
  <c r="AA381" i="9"/>
  <c r="AB381" i="9" s="1"/>
  <c r="M126" i="9"/>
  <c r="N126" i="9" s="1"/>
  <c r="T120" i="9"/>
  <c r="U120" i="9" s="1"/>
  <c r="AA287" i="9"/>
  <c r="AB287" i="9" s="1"/>
  <c r="M387" i="9"/>
  <c r="N387" i="9" s="1"/>
  <c r="AA143" i="9"/>
  <c r="AB143" i="9" s="1"/>
  <c r="F160" i="9"/>
  <c r="G160" i="9" s="1"/>
  <c r="AA130" i="9"/>
  <c r="AB130" i="9" s="1"/>
  <c r="F141" i="9"/>
  <c r="G141" i="9" s="1"/>
  <c r="M139" i="9"/>
  <c r="N139" i="9" s="1"/>
  <c r="T150" i="9"/>
  <c r="U150" i="9" s="1"/>
  <c r="F192" i="9"/>
  <c r="G192" i="9" s="1"/>
  <c r="M163" i="9"/>
  <c r="N163" i="9" s="1"/>
  <c r="AA192" i="9"/>
  <c r="AB192" i="9" s="1"/>
  <c r="AA107" i="9"/>
  <c r="F118" i="9"/>
  <c r="G118" i="9" s="1"/>
  <c r="F262" i="9"/>
  <c r="G262" i="9" s="1"/>
  <c r="M403" i="9"/>
  <c r="N403" i="9" s="1"/>
  <c r="AA178" i="9"/>
  <c r="AB178" i="9" s="1"/>
  <c r="F115" i="9"/>
  <c r="G115" i="9" s="1"/>
  <c r="AA141" i="9"/>
  <c r="AB141" i="9" s="1"/>
  <c r="M217" i="9"/>
  <c r="N217" i="9" s="1"/>
  <c r="AA280" i="9"/>
  <c r="AB280" i="9" s="1"/>
  <c r="T291" i="9"/>
  <c r="U291" i="9" s="1"/>
  <c r="T282" i="9"/>
  <c r="U282" i="9" s="1"/>
  <c r="F326" i="9"/>
  <c r="G326" i="9" s="1"/>
  <c r="M326" i="9"/>
  <c r="N326" i="9" s="1"/>
  <c r="T277" i="9"/>
  <c r="U277" i="9" s="1"/>
  <c r="T400" i="9"/>
  <c r="U400" i="9" s="1"/>
  <c r="F330" i="9"/>
  <c r="G330" i="9" s="1"/>
  <c r="AA125" i="9"/>
  <c r="AB125" i="9" s="1"/>
  <c r="F391" i="9"/>
  <c r="G391" i="9" s="1"/>
  <c r="AA338" i="9"/>
  <c r="AB338" i="9" s="1"/>
  <c r="M200" i="9"/>
  <c r="N200" i="9" s="1"/>
  <c r="M176" i="9"/>
  <c r="N176" i="9" s="1"/>
  <c r="M132" i="9"/>
  <c r="N132" i="9" s="1"/>
  <c r="AA241" i="9"/>
  <c r="AB241" i="9" s="1"/>
  <c r="T299" i="9"/>
  <c r="U299" i="9" s="1"/>
  <c r="AA370" i="9"/>
  <c r="AB370" i="9" s="1"/>
  <c r="T234" i="9"/>
  <c r="U234" i="9" s="1"/>
  <c r="M232" i="9"/>
  <c r="N232" i="9" s="1"/>
  <c r="T354" i="9"/>
  <c r="U354" i="9" s="1"/>
  <c r="T381" i="9"/>
  <c r="U381" i="9" s="1"/>
  <c r="F245" i="9"/>
  <c r="G245" i="9" s="1"/>
  <c r="AA250" i="9"/>
  <c r="AB250" i="9" s="1"/>
  <c r="T261" i="9"/>
  <c r="U261" i="9" s="1"/>
  <c r="F292" i="9"/>
  <c r="G292" i="9" s="1"/>
  <c r="AA302" i="9"/>
  <c r="AB302" i="9" s="1"/>
  <c r="AA112" i="9"/>
  <c r="AB112" i="9" s="1"/>
  <c r="F283" i="9"/>
  <c r="G283" i="9" s="1"/>
  <c r="AA234" i="9"/>
  <c r="AB234" i="9" s="1"/>
  <c r="F344" i="9"/>
  <c r="G344" i="9" s="1"/>
  <c r="M120" i="9"/>
  <c r="N120" i="9" s="1"/>
  <c r="F162" i="9"/>
  <c r="G162" i="9" s="1"/>
  <c r="T117" i="9"/>
  <c r="U117" i="9" s="1"/>
  <c r="T183" i="9"/>
  <c r="U183" i="9" s="1"/>
  <c r="M181" i="9"/>
  <c r="N181" i="9" s="1"/>
  <c r="F272" i="9"/>
  <c r="G272" i="9" s="1"/>
  <c r="F373" i="9"/>
  <c r="G373" i="9" s="1"/>
  <c r="M171" i="9"/>
  <c r="N171" i="9" s="1"/>
  <c r="F194" i="9"/>
  <c r="G194" i="9" s="1"/>
  <c r="AA196" i="9"/>
  <c r="AB196" i="9" s="1"/>
  <c r="T113" i="9"/>
  <c r="U113" i="9" s="1"/>
  <c r="M142" i="9"/>
  <c r="N142" i="9" s="1"/>
  <c r="F159" i="9"/>
  <c r="G159" i="9" s="1"/>
  <c r="AA215" i="9"/>
  <c r="AB215" i="9" s="1"/>
  <c r="T267" i="9"/>
  <c r="U267" i="9" s="1"/>
  <c r="M210" i="9"/>
  <c r="N210" i="9" s="1"/>
  <c r="AA274" i="9"/>
  <c r="AB274" i="9" s="1"/>
  <c r="M370" i="9"/>
  <c r="N370" i="9" s="1"/>
  <c r="F232" i="9"/>
  <c r="G232" i="9" s="1"/>
  <c r="AA231" i="9"/>
  <c r="AB231" i="9" s="1"/>
  <c r="T328" i="9"/>
  <c r="U328" i="9" s="1"/>
  <c r="AA386" i="9"/>
  <c r="AB386" i="9" s="1"/>
  <c r="T340" i="9"/>
  <c r="U340" i="9" s="1"/>
  <c r="M315" i="9"/>
  <c r="N315" i="9" s="1"/>
  <c r="AA245" i="9"/>
  <c r="AB245" i="9" s="1"/>
  <c r="AA406" i="9"/>
  <c r="AB406" i="9" s="1"/>
  <c r="T347" i="9"/>
  <c r="U347" i="9" s="1"/>
  <c r="M379" i="9"/>
  <c r="N379" i="9" s="1"/>
  <c r="M335" i="9"/>
  <c r="N335" i="9" s="1"/>
  <c r="T387" i="9"/>
  <c r="U387" i="9" s="1"/>
  <c r="T288" i="9"/>
  <c r="U288" i="9" s="1"/>
  <c r="M336" i="9"/>
  <c r="N336" i="9" s="1"/>
  <c r="T264" i="9"/>
  <c r="U264" i="9" s="1"/>
  <c r="T377" i="9"/>
  <c r="U377" i="9" s="1"/>
  <c r="M351" i="9"/>
  <c r="N351" i="9" s="1"/>
  <c r="F393" i="9"/>
  <c r="G393" i="9" s="1"/>
  <c r="AA330" i="9"/>
  <c r="AB330" i="9" s="1"/>
  <c r="F219" i="9"/>
  <c r="G219" i="9" s="1"/>
  <c r="F269" i="9"/>
  <c r="G269" i="9" s="1"/>
  <c r="M288" i="9"/>
  <c r="N288" i="9" s="1"/>
  <c r="M243" i="9"/>
  <c r="N243" i="9" s="1"/>
  <c r="AA115" i="9"/>
  <c r="AB115" i="9" s="1"/>
  <c r="AA114" i="9"/>
  <c r="AB114" i="9" s="1"/>
  <c r="F270" i="9"/>
  <c r="G270" i="9" s="1"/>
  <c r="F220" i="9"/>
  <c r="G220" i="9" s="1"/>
  <c r="AA275" i="9"/>
  <c r="AB275" i="9" s="1"/>
  <c r="M272" i="9"/>
  <c r="N272" i="9" s="1"/>
  <c r="M147" i="9"/>
  <c r="N147" i="9" s="1"/>
  <c r="M184" i="9"/>
  <c r="N184" i="9" s="1"/>
  <c r="AA117" i="9"/>
  <c r="AB117" i="9" s="1"/>
  <c r="T174" i="9"/>
  <c r="U174" i="9" s="1"/>
  <c r="M162" i="9"/>
  <c r="N162" i="9" s="1"/>
  <c r="M221" i="9"/>
  <c r="N221" i="9" s="1"/>
  <c r="T262" i="9"/>
  <c r="U262" i="9" s="1"/>
  <c r="F347" i="9"/>
  <c r="G347" i="9" s="1"/>
  <c r="F178" i="9"/>
  <c r="G178" i="9" s="1"/>
  <c r="T159" i="9"/>
  <c r="U159" i="9" s="1"/>
  <c r="T265" i="9"/>
  <c r="U265" i="9" s="1"/>
  <c r="T380" i="9"/>
  <c r="U380" i="9" s="1"/>
  <c r="AA325" i="9"/>
  <c r="AB325" i="9" s="1"/>
  <c r="M406" i="9"/>
  <c r="N406" i="9" s="1"/>
  <c r="AA269" i="9"/>
  <c r="AB269" i="9" s="1"/>
  <c r="T403" i="9"/>
  <c r="U403" i="9" s="1"/>
  <c r="T343" i="9"/>
  <c r="U343" i="9" s="1"/>
  <c r="T346" i="9"/>
  <c r="U346" i="9" s="1"/>
  <c r="F240" i="9"/>
  <c r="G240" i="9" s="1"/>
  <c r="AA297" i="9"/>
  <c r="AB297" i="9" s="1"/>
  <c r="AA345" i="9"/>
  <c r="AB345" i="9" s="1"/>
  <c r="M350" i="9"/>
  <c r="N350" i="9" s="1"/>
  <c r="T367" i="9"/>
  <c r="U367" i="9" s="1"/>
  <c r="T353" i="9"/>
  <c r="U353" i="9" s="1"/>
  <c r="AA221" i="9"/>
  <c r="AB221" i="9" s="1"/>
  <c r="T323" i="9"/>
  <c r="U323" i="9" s="1"/>
  <c r="T396" i="9"/>
  <c r="U396" i="9" s="1"/>
  <c r="F233" i="9"/>
  <c r="G233" i="9" s="1"/>
  <c r="T344" i="9"/>
  <c r="U344" i="9" s="1"/>
  <c r="AA405" i="9"/>
  <c r="AB405" i="9" s="1"/>
  <c r="T320" i="9"/>
  <c r="U320" i="9" s="1"/>
  <c r="M318" i="9"/>
  <c r="N318" i="9" s="1"/>
  <c r="F302" i="9"/>
  <c r="G302" i="9" s="1"/>
  <c r="AA373" i="9"/>
  <c r="AB373" i="9" s="1"/>
  <c r="AA336" i="9"/>
  <c r="AB336" i="9" s="1"/>
  <c r="F280" i="9"/>
  <c r="G280" i="9" s="1"/>
  <c r="AA288" i="9"/>
  <c r="AB288" i="9" s="1"/>
  <c r="F246" i="9"/>
  <c r="G246" i="9" s="1"/>
  <c r="T303" i="9"/>
  <c r="U303" i="9" s="1"/>
  <c r="F338" i="9"/>
  <c r="G338" i="9" s="1"/>
  <c r="T269" i="9"/>
  <c r="U269" i="9" s="1"/>
  <c r="F124" i="9"/>
  <c r="G124" i="9" s="1"/>
  <c r="AA136" i="9"/>
  <c r="AB136" i="9" s="1"/>
  <c r="M366" i="9"/>
  <c r="N366" i="9" s="1"/>
  <c r="AA229" i="9"/>
  <c r="AB229" i="9" s="1"/>
  <c r="M160" i="9"/>
  <c r="N160" i="9" s="1"/>
  <c r="F122" i="9"/>
  <c r="G122" i="9" s="1"/>
  <c r="M250" i="9"/>
  <c r="N250" i="9" s="1"/>
  <c r="M281" i="9"/>
  <c r="N281" i="9" s="1"/>
  <c r="AA236" i="9"/>
  <c r="AB236" i="9" s="1"/>
  <c r="AA268" i="9"/>
  <c r="AB268" i="9" s="1"/>
  <c r="T337" i="9"/>
  <c r="U337" i="9" s="1"/>
  <c r="AA319" i="9"/>
  <c r="AB319" i="9" s="1"/>
  <c r="T162" i="9"/>
  <c r="U162" i="9" s="1"/>
  <c r="M123" i="9"/>
  <c r="N123" i="9" s="1"/>
  <c r="F150" i="9"/>
  <c r="G150" i="9" s="1"/>
  <c r="T191" i="9"/>
  <c r="U191" i="9" s="1"/>
  <c r="F298" i="9"/>
  <c r="G298" i="9" s="1"/>
  <c r="AA294" i="9"/>
  <c r="AB294" i="9" s="1"/>
  <c r="F334" i="9"/>
  <c r="G334" i="9" s="1"/>
  <c r="T252" i="9"/>
  <c r="U252" i="9" s="1"/>
  <c r="M271" i="9"/>
  <c r="N271" i="9" s="1"/>
  <c r="F337" i="9"/>
  <c r="G337" i="9" s="1"/>
  <c r="T369" i="9"/>
  <c r="U369" i="9" s="1"/>
  <c r="F367" i="9"/>
  <c r="G367" i="9" s="1"/>
  <c r="T348" i="9"/>
  <c r="U348" i="9" s="1"/>
  <c r="AA383" i="9"/>
  <c r="AB383" i="9" s="1"/>
  <c r="M390" i="9"/>
  <c r="N390" i="9" s="1"/>
  <c r="F265" i="9"/>
  <c r="G265" i="9" s="1"/>
  <c r="F403" i="9"/>
  <c r="G403" i="9" s="1"/>
  <c r="F319" i="9"/>
  <c r="G319" i="9" s="1"/>
  <c r="F231" i="9"/>
  <c r="G231" i="9" s="1"/>
  <c r="F293" i="9"/>
  <c r="G293" i="9" s="1"/>
  <c r="AA273" i="9"/>
  <c r="AB273" i="9" s="1"/>
  <c r="AA331" i="9"/>
  <c r="AB331" i="9" s="1"/>
  <c r="T326" i="9"/>
  <c r="U326" i="9" s="1"/>
  <c r="M354" i="9"/>
  <c r="N354" i="9" s="1"/>
  <c r="T329" i="9"/>
  <c r="U329" i="9" s="1"/>
  <c r="F286" i="9"/>
  <c r="G286" i="9" s="1"/>
  <c r="AA296" i="9"/>
  <c r="AB296" i="9" s="1"/>
  <c r="AA354" i="9"/>
  <c r="AB354" i="9" s="1"/>
  <c r="T242" i="9"/>
  <c r="U242" i="9" s="1"/>
  <c r="F252" i="9"/>
  <c r="G252" i="9" s="1"/>
  <c r="AA303" i="9"/>
  <c r="AB303" i="9" s="1"/>
  <c r="T301" i="9"/>
  <c r="U301" i="9" s="1"/>
  <c r="AA337" i="9"/>
  <c r="AB337" i="9" s="1"/>
  <c r="T316" i="9"/>
  <c r="U316" i="9" s="1"/>
  <c r="M124" i="9"/>
  <c r="N124" i="9" s="1"/>
  <c r="F199" i="9"/>
  <c r="G199" i="9" s="1"/>
  <c r="AA160" i="9"/>
  <c r="AB160" i="9" s="1"/>
  <c r="M242" i="9"/>
  <c r="N242" i="9" s="1"/>
  <c r="F215" i="9"/>
  <c r="G215" i="9" s="1"/>
  <c r="T278" i="9"/>
  <c r="U278" i="9" s="1"/>
  <c r="F119" i="9"/>
  <c r="G119" i="9" s="1"/>
  <c r="T189" i="9"/>
  <c r="U189" i="9" s="1"/>
  <c r="M364" i="9"/>
  <c r="N364" i="9" s="1"/>
  <c r="F277" i="9"/>
  <c r="G277" i="9" s="1"/>
  <c r="AA252" i="9"/>
  <c r="AB252" i="9" s="1"/>
  <c r="T263" i="9"/>
  <c r="U263" i="9" s="1"/>
  <c r="AA167" i="9"/>
  <c r="AB167" i="9" s="1"/>
  <c r="M159" i="9"/>
  <c r="N159" i="9" s="1"/>
  <c r="F139" i="9"/>
  <c r="G139" i="9" s="1"/>
  <c r="M241" i="9"/>
  <c r="N241" i="9" s="1"/>
  <c r="AA285" i="9"/>
  <c r="AB285" i="9" s="1"/>
  <c r="T260" i="9"/>
  <c r="M378" i="9"/>
  <c r="N378" i="9" s="1"/>
  <c r="AA349" i="9"/>
  <c r="AB349" i="9" s="1"/>
  <c r="F406" i="9"/>
  <c r="G406" i="9" s="1"/>
  <c r="AA384" i="9"/>
  <c r="AB384" i="9" s="1"/>
  <c r="T351" i="9"/>
  <c r="U351" i="9" s="1"/>
  <c r="F331" i="9"/>
  <c r="G331" i="9" s="1"/>
  <c r="F263" i="9"/>
  <c r="G263" i="9" s="1"/>
  <c r="AA300" i="9"/>
  <c r="AB300" i="9" s="1"/>
  <c r="F372" i="9"/>
  <c r="G372" i="9" s="1"/>
  <c r="F336" i="9"/>
  <c r="G336" i="9" s="1"/>
  <c r="AA376" i="9"/>
  <c r="AB376" i="9" s="1"/>
  <c r="M391" i="9"/>
  <c r="N391" i="9" s="1"/>
  <c r="F303" i="9"/>
  <c r="G303" i="9" s="1"/>
  <c r="AA399" i="9"/>
  <c r="AB399" i="9" s="1"/>
  <c r="AA374" i="9"/>
  <c r="AB374" i="9" s="1"/>
  <c r="T218" i="9"/>
  <c r="U218" i="9" s="1"/>
  <c r="T406" i="9"/>
  <c r="U406" i="9" s="1"/>
  <c r="M383" i="9"/>
  <c r="N383" i="9" s="1"/>
  <c r="F353" i="9"/>
  <c r="G353" i="9" s="1"/>
  <c r="F321" i="9"/>
  <c r="G321" i="9" s="1"/>
  <c r="M402" i="9"/>
  <c r="N402" i="9" s="1"/>
  <c r="AA289" i="9"/>
  <c r="AB289" i="9" s="1"/>
  <c r="T401" i="9"/>
  <c r="U401" i="9" s="1"/>
  <c r="AA293" i="9"/>
  <c r="AB293" i="9" s="1"/>
  <c r="AA209" i="9"/>
  <c r="T399" i="9"/>
  <c r="U399" i="9" s="1"/>
  <c r="M161" i="9"/>
  <c r="N161" i="9" s="1"/>
  <c r="F354" i="9"/>
  <c r="G354" i="9" s="1"/>
  <c r="T211" i="9"/>
  <c r="U211" i="9" s="1"/>
  <c r="AA278" i="9"/>
  <c r="AB278" i="9" s="1"/>
  <c r="M196" i="9"/>
  <c r="N196" i="9" s="1"/>
  <c r="AA123" i="9"/>
  <c r="AB123" i="9" s="1"/>
  <c r="M141" i="9"/>
  <c r="N141" i="9" s="1"/>
  <c r="AA183" i="9"/>
  <c r="AB183" i="9" s="1"/>
  <c r="M218" i="9"/>
  <c r="N218" i="9" s="1"/>
  <c r="F264" i="9"/>
  <c r="G264" i="9" s="1"/>
  <c r="F238" i="9"/>
  <c r="G238" i="9" s="1"/>
  <c r="T334" i="9"/>
  <c r="U334" i="9" s="1"/>
  <c r="F142" i="9"/>
  <c r="G142" i="9" s="1"/>
  <c r="AA150" i="9"/>
  <c r="AB150" i="9" s="1"/>
  <c r="M137" i="9"/>
  <c r="N137" i="9" s="1"/>
  <c r="F111" i="9"/>
  <c r="G111" i="9" s="1"/>
  <c r="AA133" i="9"/>
  <c r="AB133" i="9" s="1"/>
  <c r="T239" i="9"/>
  <c r="U239" i="9" s="1"/>
  <c r="M380" i="9"/>
  <c r="N380" i="9" s="1"/>
  <c r="F247" i="9"/>
  <c r="G247" i="9" s="1"/>
  <c r="AA228" i="9"/>
  <c r="AB228" i="9" s="1"/>
  <c r="T246" i="9"/>
  <c r="U246" i="9" s="1"/>
  <c r="T352" i="9"/>
  <c r="U352" i="9" s="1"/>
  <c r="M276" i="9"/>
  <c r="N276" i="9" s="1"/>
  <c r="T382" i="9"/>
  <c r="U382" i="9" s="1"/>
  <c r="AA320" i="9"/>
  <c r="AB320" i="9" s="1"/>
  <c r="M385" i="9"/>
  <c r="N385" i="9" s="1"/>
  <c r="F349" i="9"/>
  <c r="G349" i="9" s="1"/>
  <c r="F405" i="9"/>
  <c r="G405" i="9" s="1"/>
  <c r="AA339" i="9"/>
  <c r="AB339" i="9" s="1"/>
  <c r="M285" i="9"/>
  <c r="N285" i="9" s="1"/>
  <c r="M384" i="9"/>
  <c r="N384" i="9" s="1"/>
  <c r="AA397" i="9"/>
  <c r="AB397" i="9" s="1"/>
  <c r="AA315" i="9"/>
  <c r="AB315" i="9" s="1"/>
  <c r="T281" i="9"/>
  <c r="U281" i="9" s="1"/>
  <c r="T392" i="9"/>
  <c r="U392" i="9" s="1"/>
  <c r="T314" i="9"/>
  <c r="U314" i="9" s="1"/>
  <c r="M327" i="9"/>
  <c r="N327" i="9" s="1"/>
  <c r="H97" i="11"/>
  <c r="J97" i="11" s="1"/>
  <c r="R91" i="11"/>
  <c r="R86" i="11"/>
  <c r="S86" i="11" s="1"/>
  <c r="T86" i="11" s="1"/>
  <c r="R76" i="11"/>
  <c r="H86" i="11"/>
  <c r="J86" i="11" s="1"/>
  <c r="I92" i="11"/>
  <c r="K92" i="11" s="1"/>
  <c r="R78" i="11"/>
  <c r="I84" i="11"/>
  <c r="K84" i="11" s="1"/>
  <c r="G95" i="11"/>
  <c r="G92" i="11"/>
  <c r="G84" i="11"/>
  <c r="G70" i="11"/>
  <c r="I82" i="11"/>
  <c r="K82" i="11" s="1"/>
  <c r="R87" i="11"/>
  <c r="R80" i="11"/>
  <c r="R73" i="11"/>
  <c r="G97" i="11"/>
  <c r="G75" i="11"/>
  <c r="G58" i="11"/>
  <c r="G69" i="11"/>
  <c r="G57" i="11"/>
  <c r="F90" i="11"/>
  <c r="R97" i="11"/>
  <c r="S97" i="11" s="1"/>
  <c r="T97" i="11" s="1"/>
  <c r="R96" i="11"/>
  <c r="R77" i="11"/>
  <c r="R68" i="11"/>
  <c r="R61" i="11"/>
  <c r="G89" i="11"/>
  <c r="G65" i="11"/>
  <c r="G63" i="11"/>
  <c r="I64" i="11"/>
  <c r="K64" i="11" s="1"/>
  <c r="C114" i="11"/>
  <c r="I79" i="11"/>
  <c r="K79" i="11" s="1"/>
  <c r="I65" i="11"/>
  <c r="K65" i="11" s="1"/>
  <c r="I57" i="11"/>
  <c r="K57" i="11" s="1"/>
  <c r="I55" i="11"/>
  <c r="K55" i="11" s="1"/>
  <c r="G76" i="11"/>
  <c r="G54" i="11"/>
  <c r="I54" i="11"/>
  <c r="K54" i="11" s="1"/>
  <c r="D15" i="8"/>
  <c r="I89" i="11" a="1"/>
  <c r="D14" i="8"/>
  <c r="D24" i="8"/>
  <c r="I58" i="11" a="1"/>
  <c r="R57" i="11" a="1"/>
  <c r="R67" i="11" a="1"/>
  <c r="R60" i="11" a="1"/>
  <c r="R56" i="11" a="1"/>
  <c r="I90" i="11" a="1"/>
  <c r="R58" i="11" a="1"/>
  <c r="I63" i="11" a="1"/>
  <c r="C32" i="8"/>
  <c r="I76" i="11" a="1"/>
  <c r="R65" i="11" a="1"/>
  <c r="I81" i="11" a="1"/>
  <c r="R55" i="11" a="1"/>
  <c r="I94" i="11" a="1"/>
  <c r="R70" i="11" a="1"/>
  <c r="I88" i="11" a="1"/>
  <c r="R85" i="11" a="1"/>
  <c r="R89" i="11" a="1"/>
  <c r="D20" i="8"/>
  <c r="R93" i="11" a="1"/>
  <c r="I74" i="11" a="1"/>
  <c r="I69" i="11" a="1"/>
  <c r="I71" i="11" a="1"/>
  <c r="D25" i="8"/>
  <c r="D17" i="8"/>
  <c r="R71" i="11" a="1"/>
  <c r="D13" i="8"/>
  <c r="R94" i="11" a="1"/>
  <c r="R88" i="11" a="1"/>
  <c r="I91" i="11" a="1"/>
  <c r="I70" i="11" a="1"/>
  <c r="I83" i="11" a="1"/>
  <c r="I87" i="11" a="1"/>
  <c r="D11" i="8"/>
  <c r="I93" i="11" a="1"/>
  <c r="R83" i="11" a="1"/>
  <c r="R79" i="11" a="1"/>
  <c r="R81" i="11" a="1"/>
  <c r="I61" i="11" a="1"/>
  <c r="R66" i="11" a="1"/>
  <c r="I97" i="11" a="1"/>
  <c r="D18" i="8"/>
  <c r="D23" i="8"/>
  <c r="I95" i="11" a="1"/>
  <c r="R90" i="11" a="1"/>
  <c r="R64" i="11" a="1"/>
  <c r="I77" i="11" a="1"/>
  <c r="R54" i="11" a="1"/>
  <c r="D19" i="8"/>
  <c r="R63" i="11" a="1"/>
  <c r="R82" i="11" a="1"/>
  <c r="C33" i="8"/>
  <c r="R75" i="11" a="1"/>
  <c r="R92" i="11" a="1"/>
  <c r="D26" i="8"/>
  <c r="R62" i="11" a="1"/>
  <c r="D21" i="8"/>
  <c r="I68" i="11" a="1"/>
  <c r="I66" i="11" a="1"/>
  <c r="I85" i="11" a="1"/>
  <c r="R69" i="11" a="1"/>
  <c r="I78" i="11" a="1"/>
  <c r="D16" i="8"/>
  <c r="C31" i="8"/>
  <c r="R74" i="11" a="1"/>
  <c r="I62" i="11" a="1"/>
  <c r="I67" i="11" a="1"/>
  <c r="R84" i="11" a="1"/>
  <c r="R95" i="11" a="1"/>
  <c r="I80" i="11" a="1"/>
  <c r="D22" i="8"/>
  <c r="R59" i="11" a="1"/>
  <c r="I73" i="11" a="1"/>
  <c r="I59" i="11" a="1"/>
  <c r="D12" i="8"/>
  <c r="I56" i="11" a="1"/>
  <c r="I75" i="11" a="1"/>
  <c r="I60" i="11" a="1"/>
  <c r="I86" i="11" a="1"/>
  <c r="I96" i="11" a="1"/>
  <c r="E59" i="11"/>
  <c r="D71" i="11"/>
  <c r="E84" i="11"/>
  <c r="D63" i="11"/>
  <c r="G61" i="11" a="1"/>
  <c r="D84" i="11"/>
  <c r="H71" i="11" a="1"/>
  <c r="E69" i="11"/>
  <c r="G77" i="11" a="1"/>
  <c r="H66" i="11" a="1"/>
  <c r="G78" i="11" a="1"/>
  <c r="H21" i="8"/>
  <c r="G85" i="11" a="1"/>
  <c r="G80" i="11" a="1"/>
  <c r="E86" i="11"/>
  <c r="D77" i="11"/>
  <c r="G83" i="11" a="1"/>
  <c r="D64" i="11"/>
  <c r="G64" i="11" a="1"/>
  <c r="D79" i="11"/>
  <c r="E81" i="11"/>
  <c r="E57" i="11"/>
  <c r="E76" i="11"/>
  <c r="E82" i="11"/>
  <c r="H88" i="11" a="1"/>
  <c r="E77" i="11"/>
  <c r="G68" i="11" a="1"/>
  <c r="H57" i="11" a="1"/>
  <c r="E75" i="11"/>
  <c r="E83" i="11"/>
  <c r="H55" i="11" a="1"/>
  <c r="D56" i="11"/>
  <c r="H23" i="8"/>
  <c r="E56" i="11"/>
  <c r="D95" i="11"/>
  <c r="D96" i="11"/>
  <c r="H75" i="11" a="1"/>
  <c r="D60" i="11"/>
  <c r="E58" i="11"/>
  <c r="D92" i="11"/>
  <c r="E68" i="11"/>
  <c r="E60" i="11"/>
  <c r="D94" i="11"/>
  <c r="G81" i="11" a="1"/>
  <c r="D66" i="11"/>
  <c r="E74" i="11"/>
  <c r="G56" i="11" a="1"/>
  <c r="D91" i="11"/>
  <c r="D70" i="11"/>
  <c r="D58" i="11"/>
  <c r="E93" i="11"/>
  <c r="D93" i="11"/>
  <c r="G93" i="11" a="1"/>
  <c r="E92" i="11"/>
  <c r="D65" i="11"/>
  <c r="D68" i="11"/>
  <c r="D83" i="11"/>
  <c r="D85" i="11"/>
  <c r="D74" i="11"/>
  <c r="G94" i="11" a="1"/>
  <c r="H83" i="11" a="1"/>
  <c r="G73" i="11" a="1"/>
  <c r="D73" i="11"/>
  <c r="H90" i="11" a="1"/>
  <c r="E78" i="11"/>
  <c r="D81" i="11"/>
  <c r="E89" i="11"/>
  <c r="G79" i="11" a="1"/>
  <c r="H22" i="8"/>
  <c r="G67" i="11" a="1"/>
  <c r="H95" i="11" a="1"/>
  <c r="G90" i="11" a="1"/>
  <c r="H84" i="11" a="1"/>
  <c r="D82" i="11"/>
  <c r="G62" i="11" a="1"/>
  <c r="H76" i="11" a="1"/>
  <c r="D75" i="11"/>
  <c r="G66" i="11" a="1"/>
  <c r="E66" i="11"/>
  <c r="E88" i="11"/>
  <c r="H25" i="8"/>
  <c r="G74" i="11" a="1"/>
  <c r="H81" i="11" a="1"/>
  <c r="G82" i="11" a="1"/>
  <c r="H73" i="11" a="1"/>
  <c r="E85" i="11"/>
  <c r="D72" i="11"/>
  <c r="H72" i="11" a="1"/>
  <c r="E62" i="11"/>
  <c r="E87" i="11"/>
  <c r="E55" i="11"/>
  <c r="H92" i="11" a="1"/>
  <c r="H24" i="8"/>
  <c r="D61" i="11"/>
  <c r="H68" i="11" a="1"/>
  <c r="E71" i="11"/>
  <c r="H63" i="11" a="1"/>
  <c r="E67" i="11"/>
  <c r="H89" i="11" a="1"/>
  <c r="H65" i="11" a="1"/>
  <c r="G59" i="11" a="1"/>
  <c r="H94" i="11" a="1"/>
  <c r="E65" i="11"/>
  <c r="H87" i="11" a="1"/>
  <c r="H20" i="8"/>
  <c r="E80" i="11"/>
  <c r="H59" i="11" a="1"/>
  <c r="E70" i="11"/>
  <c r="D87" i="11"/>
  <c r="D59" i="11"/>
  <c r="H79" i="11" a="1"/>
  <c r="H62" i="11" a="1"/>
  <c r="G71" i="11" a="1"/>
  <c r="H93" i="11" a="1"/>
  <c r="H64" i="11" a="1"/>
  <c r="H82" i="11" a="1"/>
  <c r="G88" i="11" a="1"/>
  <c r="E94" i="11"/>
  <c r="E79" i="11"/>
  <c r="D76" i="11"/>
  <c r="G96" i="11" a="1"/>
  <c r="D57" i="11"/>
  <c r="G60" i="11" a="1"/>
  <c r="E96" i="11"/>
  <c r="H54" i="11" a="1"/>
  <c r="G87" i="11" a="1"/>
  <c r="E61" i="11"/>
  <c r="E54" i="11"/>
  <c r="H78" i="11" a="1"/>
  <c r="G86" i="11" a="1"/>
  <c r="D69" i="11"/>
  <c r="H77" i="11" a="1"/>
  <c r="G91" i="11" a="1"/>
  <c r="H67" i="11" a="1"/>
  <c r="E97" i="11"/>
  <c r="D97" i="11"/>
  <c r="D54" i="11"/>
  <c r="D55" i="11"/>
  <c r="G55" i="11" a="1"/>
  <c r="H67" i="11" l="1"/>
  <c r="J67" i="11" s="1"/>
  <c r="G91" i="11"/>
  <c r="H77" i="11"/>
  <c r="F69" i="11"/>
  <c r="G86" i="11"/>
  <c r="H78" i="11"/>
  <c r="J78" i="11" s="1"/>
  <c r="G87" i="11"/>
  <c r="M87" i="11" s="1"/>
  <c r="H54" i="11"/>
  <c r="J54" i="11" s="1"/>
  <c r="H82" i="11"/>
  <c r="J82" i="11" s="1"/>
  <c r="H64" i="11"/>
  <c r="J64" i="11" s="1"/>
  <c r="H93" i="11"/>
  <c r="J93" i="11" s="1"/>
  <c r="G71" i="11"/>
  <c r="L71" i="11" s="1"/>
  <c r="H62" i="11"/>
  <c r="J62" i="11" s="1"/>
  <c r="H79" i="11"/>
  <c r="J79" i="11" s="1"/>
  <c r="F59" i="11"/>
  <c r="F87" i="11"/>
  <c r="H59" i="11"/>
  <c r="F80" i="11"/>
  <c r="H87" i="11"/>
  <c r="J87" i="11" s="1"/>
  <c r="H94" i="11"/>
  <c r="J94" i="11" s="1"/>
  <c r="G59" i="11"/>
  <c r="L59" i="11" s="1"/>
  <c r="C109" i="11" s="1"/>
  <c r="H65" i="11"/>
  <c r="J65" i="11" s="1"/>
  <c r="H89" i="11"/>
  <c r="J89" i="11" s="1"/>
  <c r="F67" i="11"/>
  <c r="H63" i="11"/>
  <c r="J63" i="11" s="1"/>
  <c r="H68" i="11"/>
  <c r="J68" i="11" s="1"/>
  <c r="F61" i="11"/>
  <c r="H92" i="11"/>
  <c r="J92" i="11" s="1"/>
  <c r="F62" i="11"/>
  <c r="H72" i="11"/>
  <c r="J72" i="11" s="1"/>
  <c r="F72" i="11"/>
  <c r="H73" i="11"/>
  <c r="J73" i="11" s="1"/>
  <c r="G82" i="11"/>
  <c r="H81" i="11"/>
  <c r="J81" i="11" s="1"/>
  <c r="G74" i="11"/>
  <c r="F88" i="11"/>
  <c r="G66" i="11"/>
  <c r="L66" i="11" s="1"/>
  <c r="F75" i="11"/>
  <c r="H76" i="11"/>
  <c r="J76" i="11" s="1"/>
  <c r="G62" i="11"/>
  <c r="L62" i="11" s="1"/>
  <c r="F82" i="11"/>
  <c r="H84" i="11"/>
  <c r="J84" i="11" s="1"/>
  <c r="G90" i="11"/>
  <c r="H95" i="11"/>
  <c r="J95" i="11" s="1"/>
  <c r="G67" i="11"/>
  <c r="L67" i="11" s="1"/>
  <c r="O67" i="11" s="1"/>
  <c r="G79" i="11"/>
  <c r="L79" i="11" s="1"/>
  <c r="O79" i="11" s="1"/>
  <c r="F89" i="11"/>
  <c r="F78" i="11"/>
  <c r="H90" i="11"/>
  <c r="J90" i="11" s="1"/>
  <c r="F73" i="11"/>
  <c r="G73" i="11"/>
  <c r="H83" i="11"/>
  <c r="J83" i="11" s="1"/>
  <c r="G94" i="11"/>
  <c r="L94" i="11" s="1"/>
  <c r="O94" i="11" s="1"/>
  <c r="F85" i="11"/>
  <c r="H55" i="11"/>
  <c r="J55" i="11" s="1"/>
  <c r="H57" i="11"/>
  <c r="J57" i="11" s="1"/>
  <c r="G68" i="11"/>
  <c r="H88" i="11"/>
  <c r="J88" i="11" s="1"/>
  <c r="G78" i="11"/>
  <c r="H66" i="11"/>
  <c r="J66" i="11" s="1"/>
  <c r="G77" i="11"/>
  <c r="L77" i="11" s="1"/>
  <c r="D127" i="11" s="1"/>
  <c r="H71" i="11"/>
  <c r="F84" i="11"/>
  <c r="G61" i="11"/>
  <c r="L61" i="11" s="1"/>
  <c r="C111" i="11" s="1"/>
  <c r="F63" i="11"/>
  <c r="F71" i="11"/>
  <c r="Q73" i="10"/>
  <c r="G16" i="8"/>
  <c r="G13" i="8"/>
  <c r="L72" i="11"/>
  <c r="C122" i="11" s="1"/>
  <c r="M72" i="11"/>
  <c r="G96" i="11"/>
  <c r="L96" i="11" s="1"/>
  <c r="D146" i="11" s="1"/>
  <c r="J59" i="11"/>
  <c r="G64" i="11"/>
  <c r="F81" i="11"/>
  <c r="F66" i="11"/>
  <c r="F65" i="11"/>
  <c r="J71" i="11"/>
  <c r="G83" i="11"/>
  <c r="M83" i="11" s="1"/>
  <c r="F70" i="11"/>
  <c r="F68" i="11"/>
  <c r="G60" i="11"/>
  <c r="L60" i="11" s="1"/>
  <c r="J80" i="11"/>
  <c r="F74" i="11"/>
  <c r="G55" i="11"/>
  <c r="F54" i="11"/>
  <c r="F91" i="11"/>
  <c r="G93" i="11"/>
  <c r="L93" i="11" s="1"/>
  <c r="F79" i="11"/>
  <c r="E98" i="11" a="1"/>
  <c r="E98" i="11" s="1"/>
  <c r="F56" i="11"/>
  <c r="G56" i="11"/>
  <c r="L56" i="11" s="1"/>
  <c r="H75" i="11"/>
  <c r="J75" i="11" s="1"/>
  <c r="F64" i="11"/>
  <c r="D114" i="11"/>
  <c r="B114" i="11" s="1"/>
  <c r="F60" i="11"/>
  <c r="J77" i="11"/>
  <c r="F92" i="11"/>
  <c r="R92" i="11"/>
  <c r="G88" i="11"/>
  <c r="L88" i="11" s="1"/>
  <c r="O88" i="11" s="1"/>
  <c r="F86" i="11"/>
  <c r="F55" i="11"/>
  <c r="J61" i="11"/>
  <c r="F77" i="11"/>
  <c r="F76" i="11"/>
  <c r="J91" i="11"/>
  <c r="F58" i="11"/>
  <c r="F96" i="11"/>
  <c r="G80" i="11"/>
  <c r="M80" i="11" s="1"/>
  <c r="G81" i="11"/>
  <c r="M81" i="11" s="1"/>
  <c r="J85" i="11"/>
  <c r="F93" i="11"/>
  <c r="I56" i="11"/>
  <c r="K56" i="11" s="1"/>
  <c r="R93" i="11"/>
  <c r="G85" i="11"/>
  <c r="M85" i="11" s="1"/>
  <c r="F95" i="11"/>
  <c r="F83" i="11"/>
  <c r="P79" i="10"/>
  <c r="Q72" i="10" s="1"/>
  <c r="G14" i="8"/>
  <c r="G15" i="8" s="1" a="1"/>
  <c r="G15" i="8" s="1"/>
  <c r="G158" i="9"/>
  <c r="F202" i="9"/>
  <c r="G260" i="9"/>
  <c r="F304" i="9"/>
  <c r="G311" i="9"/>
  <c r="F355" i="9"/>
  <c r="G363" i="9"/>
  <c r="F407" i="9"/>
  <c r="G107" i="9"/>
  <c r="F151" i="9"/>
  <c r="G209" i="9"/>
  <c r="F253" i="9"/>
  <c r="I83" i="11"/>
  <c r="K83" i="11" s="1"/>
  <c r="I76" i="11"/>
  <c r="K76" i="11" s="1"/>
  <c r="I63" i="11"/>
  <c r="K63" i="11" s="1"/>
  <c r="I94" i="11"/>
  <c r="K94" i="11" s="1"/>
  <c r="I74" i="11"/>
  <c r="K74" i="11" s="1"/>
  <c r="I97" i="11"/>
  <c r="K97" i="11" s="1"/>
  <c r="R79" i="11"/>
  <c r="I61" i="11"/>
  <c r="K61" i="11" s="1"/>
  <c r="I95" i="11"/>
  <c r="K95" i="11" s="1"/>
  <c r="I85" i="11"/>
  <c r="K85" i="11" s="1"/>
  <c r="R70" i="11"/>
  <c r="I58" i="11"/>
  <c r="K58" i="11" s="1"/>
  <c r="I59" i="11"/>
  <c r="K59" i="11" s="1"/>
  <c r="I60" i="11"/>
  <c r="K60" i="11" s="1"/>
  <c r="R66" i="11"/>
  <c r="I89" i="11"/>
  <c r="K89" i="11" s="1"/>
  <c r="R75" i="11"/>
  <c r="S75" i="11" s="1"/>
  <c r="T75" i="11" s="1"/>
  <c r="I88" i="11"/>
  <c r="K88" i="11" s="1"/>
  <c r="I96" i="11"/>
  <c r="K96" i="11" s="1"/>
  <c r="R71" i="11"/>
  <c r="I78" i="11"/>
  <c r="K78" i="11" s="1"/>
  <c r="R74" i="11"/>
  <c r="R65" i="11"/>
  <c r="R67" i="11"/>
  <c r="R62" i="11"/>
  <c r="I86" i="11"/>
  <c r="K86" i="11" s="1"/>
  <c r="I91" i="11"/>
  <c r="K91" i="11" s="1"/>
  <c r="R63" i="11"/>
  <c r="I81" i="11"/>
  <c r="K81" i="11" s="1"/>
  <c r="I66" i="11"/>
  <c r="K66" i="11" s="1"/>
  <c r="I69" i="11"/>
  <c r="K69" i="11" s="1"/>
  <c r="R89" i="11"/>
  <c r="R84" i="11"/>
  <c r="R81" i="11"/>
  <c r="I75" i="11"/>
  <c r="K75" i="11" s="1"/>
  <c r="R55" i="11"/>
  <c r="S55" i="11" s="1"/>
  <c r="T55" i="11" s="1"/>
  <c r="I80" i="11"/>
  <c r="K80" i="11" s="1"/>
  <c r="R59" i="11"/>
  <c r="I93" i="11"/>
  <c r="K93" i="11" s="1"/>
  <c r="R90" i="11"/>
  <c r="I87" i="11"/>
  <c r="K87" i="11" s="1"/>
  <c r="R58" i="11"/>
  <c r="R54" i="11"/>
  <c r="S54" i="11" s="1"/>
  <c r="T54" i="11" s="1"/>
  <c r="R95" i="11"/>
  <c r="R88" i="11"/>
  <c r="R64" i="11"/>
  <c r="S64" i="11" s="1"/>
  <c r="T64" i="11" s="1"/>
  <c r="R94" i="11"/>
  <c r="R85" i="11"/>
  <c r="I70" i="11"/>
  <c r="K70" i="11" s="1"/>
  <c r="I71" i="11"/>
  <c r="K71" i="11" s="1"/>
  <c r="R60" i="11"/>
  <c r="I68" i="11"/>
  <c r="K68" i="11" s="1"/>
  <c r="I73" i="11"/>
  <c r="K73" i="11" s="1"/>
  <c r="I77" i="11"/>
  <c r="K77" i="11" s="1"/>
  <c r="I90" i="11"/>
  <c r="K90" i="11" s="1"/>
  <c r="R69" i="11"/>
  <c r="R83" i="11"/>
  <c r="R82" i="11"/>
  <c r="I67" i="11"/>
  <c r="K67" i="11" s="1"/>
  <c r="R56" i="11"/>
  <c r="I62" i="11"/>
  <c r="K62" i="11" s="1"/>
  <c r="R57" i="11"/>
  <c r="Q475" i="9"/>
  <c r="J80" i="10"/>
  <c r="D78" i="10"/>
  <c r="J78" i="10"/>
  <c r="K73" i="10"/>
  <c r="D80" i="10"/>
  <c r="J79" i="10"/>
  <c r="D79" i="10"/>
  <c r="E73" i="10"/>
  <c r="F97" i="11"/>
  <c r="F94" i="11"/>
  <c r="D98" i="11"/>
  <c r="F57" i="11"/>
  <c r="Q477" i="9"/>
  <c r="Q479" i="9"/>
  <c r="M65" i="11"/>
  <c r="L65" i="11"/>
  <c r="C115" i="11" s="1"/>
  <c r="M70" i="11"/>
  <c r="L70" i="11"/>
  <c r="O70" i="11" s="1"/>
  <c r="M73" i="11"/>
  <c r="L73" i="11"/>
  <c r="C123" i="11" s="1"/>
  <c r="D104" i="11"/>
  <c r="C136" i="11"/>
  <c r="L63" i="11"/>
  <c r="O63" i="11" s="1"/>
  <c r="M63" i="11"/>
  <c r="L95" i="11"/>
  <c r="M95" i="11"/>
  <c r="L69" i="11"/>
  <c r="M69" i="11"/>
  <c r="C147" i="11"/>
  <c r="L76" i="11"/>
  <c r="C126" i="11" s="1"/>
  <c r="M76" i="11"/>
  <c r="L74" i="11"/>
  <c r="D124" i="11" s="1"/>
  <c r="M74" i="11"/>
  <c r="M91" i="11"/>
  <c r="L91" i="11"/>
  <c r="C141" i="11" s="1"/>
  <c r="D125" i="11"/>
  <c r="L68" i="11"/>
  <c r="D118" i="11" s="1"/>
  <c r="M68" i="11"/>
  <c r="M84" i="11"/>
  <c r="L84" i="11"/>
  <c r="M71" i="11"/>
  <c r="C105" i="11"/>
  <c r="M57" i="11"/>
  <c r="L57" i="11"/>
  <c r="M78" i="11"/>
  <c r="L78" i="11"/>
  <c r="D128" i="11" s="1"/>
  <c r="L82" i="11"/>
  <c r="C132" i="11" s="1"/>
  <c r="M82" i="11"/>
  <c r="L89" i="11"/>
  <c r="C139" i="11" s="1"/>
  <c r="M89" i="11"/>
  <c r="M58" i="11"/>
  <c r="L58" i="11"/>
  <c r="C108" i="11" s="1"/>
  <c r="L92" i="11"/>
  <c r="O92" i="11" s="1"/>
  <c r="M92" i="11"/>
  <c r="L90" i="11"/>
  <c r="M90" i="11"/>
  <c r="B191" i="11"/>
  <c r="C191" i="11"/>
  <c r="C195" i="11"/>
  <c r="B195" i="11"/>
  <c r="B194" i="11"/>
  <c r="C194" i="11"/>
  <c r="B193" i="11"/>
  <c r="C193" i="11"/>
  <c r="G180" i="11"/>
  <c r="H180" i="11" s="1" a="1"/>
  <c r="H180" i="11" s="1"/>
  <c r="E182" i="11"/>
  <c r="G182" i="11" s="1"/>
  <c r="H182" i="11" s="1" a="1"/>
  <c r="H182" i="11" s="1"/>
  <c r="C125" i="11"/>
  <c r="AB260" i="9"/>
  <c r="AA304" i="9" a="1"/>
  <c r="AA304" i="9" s="1"/>
  <c r="N363" i="9"/>
  <c r="M407" i="9" a="1"/>
  <c r="M407" i="9" s="1"/>
  <c r="U363" i="9"/>
  <c r="T407" i="9" a="1"/>
  <c r="T407" i="9" s="1"/>
  <c r="AA151" i="9" a="1"/>
  <c r="AA151" i="9" s="1"/>
  <c r="AB107" i="9"/>
  <c r="M304" i="9" a="1"/>
  <c r="M304" i="9" s="1"/>
  <c r="N260" i="9"/>
  <c r="AA253" i="9" a="1"/>
  <c r="AA253" i="9" s="1"/>
  <c r="AB209" i="9"/>
  <c r="M355" i="9" a="1"/>
  <c r="M355" i="9" s="1"/>
  <c r="N311" i="9"/>
  <c r="N209" i="9"/>
  <c r="M253" i="9" a="1"/>
  <c r="M253" i="9" s="1"/>
  <c r="T151" i="9" a="1"/>
  <c r="T151" i="9" s="1"/>
  <c r="U107" i="9"/>
  <c r="U311" i="9"/>
  <c r="T355" i="9" a="1"/>
  <c r="T355" i="9" s="1"/>
  <c r="AA407" i="9" a="1"/>
  <c r="AA407" i="9" s="1"/>
  <c r="AB363" i="9"/>
  <c r="T253" i="9" a="1"/>
  <c r="T253" i="9" s="1"/>
  <c r="U209" i="9"/>
  <c r="N158" i="9"/>
  <c r="M202" i="9" a="1"/>
  <c r="M202" i="9" s="1"/>
  <c r="U158" i="9"/>
  <c r="T202" i="9" a="1"/>
  <c r="T202" i="9" s="1"/>
  <c r="N107" i="9"/>
  <c r="M151" i="9" a="1"/>
  <c r="M151" i="9" s="1"/>
  <c r="AB311" i="9"/>
  <c r="AA355" i="9" a="1"/>
  <c r="AA355" i="9" s="1"/>
  <c r="U260" i="9"/>
  <c r="T304" i="9" a="1"/>
  <c r="T304" i="9" s="1"/>
  <c r="AA202" i="9" a="1"/>
  <c r="AA202" i="9" s="1"/>
  <c r="AB158" i="9"/>
  <c r="C104" i="11"/>
  <c r="D136" i="11"/>
  <c r="D105" i="11"/>
  <c r="D147" i="11"/>
  <c r="L87" i="11" l="1"/>
  <c r="O87" i="11" s="1"/>
  <c r="M77" i="11"/>
  <c r="M66" i="11"/>
  <c r="P66" i="11" s="1"/>
  <c r="M94" i="11"/>
  <c r="P94" i="11" s="1"/>
  <c r="M62" i="11"/>
  <c r="P62" i="11" s="1"/>
  <c r="M79" i="11"/>
  <c r="P79" i="11" s="1"/>
  <c r="M61" i="11"/>
  <c r="S61" i="11" s="1"/>
  <c r="T61" i="11" s="1"/>
  <c r="M67" i="11"/>
  <c r="S67" i="11" s="1"/>
  <c r="T67" i="11" s="1"/>
  <c r="M59" i="11"/>
  <c r="S59" i="11" s="1"/>
  <c r="T59" i="11" s="1"/>
  <c r="R69" i="10"/>
  <c r="C85" i="10" s="1"/>
  <c r="P87" i="11"/>
  <c r="S87" i="11"/>
  <c r="T87" i="11" s="1"/>
  <c r="P74" i="11"/>
  <c r="S74" i="11"/>
  <c r="T74" i="11" s="1"/>
  <c r="P92" i="11"/>
  <c r="S92" i="11"/>
  <c r="T92" i="11" s="1"/>
  <c r="P89" i="11"/>
  <c r="S89" i="11"/>
  <c r="T89" i="11" s="1"/>
  <c r="P71" i="11"/>
  <c r="S71" i="11"/>
  <c r="T71" i="11" s="1"/>
  <c r="P84" i="11"/>
  <c r="S84" i="11"/>
  <c r="T84" i="11" s="1"/>
  <c r="P76" i="11"/>
  <c r="S76" i="11"/>
  <c r="T76" i="11" s="1"/>
  <c r="P81" i="11"/>
  <c r="S81" i="11"/>
  <c r="T81" i="11" s="1"/>
  <c r="P90" i="11"/>
  <c r="S90" i="11"/>
  <c r="T90" i="11" s="1"/>
  <c r="P82" i="11"/>
  <c r="S82" i="11"/>
  <c r="T82" i="11" s="1"/>
  <c r="P77" i="11"/>
  <c r="S77" i="11"/>
  <c r="T77" i="11" s="1"/>
  <c r="P58" i="11"/>
  <c r="S58" i="11"/>
  <c r="T58" i="11" s="1"/>
  <c r="P68" i="11"/>
  <c r="S68" i="11"/>
  <c r="T68" i="11" s="1"/>
  <c r="P69" i="11"/>
  <c r="S69" i="11"/>
  <c r="T69" i="11" s="1"/>
  <c r="P63" i="11"/>
  <c r="S63" i="11"/>
  <c r="T63" i="11" s="1"/>
  <c r="P65" i="11"/>
  <c r="S65" i="11"/>
  <c r="T65" i="11" s="1"/>
  <c r="P85" i="11"/>
  <c r="S85" i="11"/>
  <c r="T85" i="11" s="1"/>
  <c r="P78" i="11"/>
  <c r="S78" i="11"/>
  <c r="T78" i="11" s="1"/>
  <c r="P57" i="11"/>
  <c r="S57" i="11"/>
  <c r="T57" i="11" s="1"/>
  <c r="P91" i="11"/>
  <c r="S91" i="11"/>
  <c r="T91" i="11" s="1"/>
  <c r="P95" i="11"/>
  <c r="S95" i="11"/>
  <c r="T95" i="11" s="1"/>
  <c r="P70" i="11"/>
  <c r="S70" i="11"/>
  <c r="T70" i="11" s="1"/>
  <c r="P80" i="11"/>
  <c r="S80" i="11"/>
  <c r="T80" i="11" s="1"/>
  <c r="P83" i="11"/>
  <c r="S83" i="11"/>
  <c r="T83" i="11" s="1"/>
  <c r="P72" i="11"/>
  <c r="S72" i="11"/>
  <c r="T72" i="11" s="1"/>
  <c r="P73" i="11"/>
  <c r="S73" i="11"/>
  <c r="T73" i="11" s="1"/>
  <c r="R98" i="11"/>
  <c r="M60" i="11"/>
  <c r="O72" i="11"/>
  <c r="N72" i="11"/>
  <c r="K98" i="11"/>
  <c r="E72" i="10"/>
  <c r="E69" i="10" s="1"/>
  <c r="C86" i="10" s="1"/>
  <c r="L83" i="11"/>
  <c r="D133" i="11" s="1"/>
  <c r="M96" i="11"/>
  <c r="M93" i="11"/>
  <c r="M56" i="11"/>
  <c r="J98" i="11"/>
  <c r="M88" i="11"/>
  <c r="L85" i="11"/>
  <c r="N85" i="11" s="1"/>
  <c r="L81" i="11"/>
  <c r="O81" i="11" s="1"/>
  <c r="L80" i="11"/>
  <c r="C130" i="11" s="1"/>
  <c r="K72" i="10"/>
  <c r="G98" i="11"/>
  <c r="F98" i="11"/>
  <c r="O59" i="11"/>
  <c r="B147" i="11"/>
  <c r="Q480" i="9"/>
  <c r="Q478" i="9"/>
  <c r="D109" i="11"/>
  <c r="B109" i="11" s="1"/>
  <c r="O89" i="11"/>
  <c r="D137" i="11"/>
  <c r="O96" i="11"/>
  <c r="D120" i="11"/>
  <c r="B125" i="11"/>
  <c r="N57" i="11"/>
  <c r="O95" i="11"/>
  <c r="O61" i="11"/>
  <c r="D115" i="11"/>
  <c r="B115" i="11" s="1"/>
  <c r="D129" i="11"/>
  <c r="D113" i="11"/>
  <c r="O57" i="11"/>
  <c r="D145" i="11"/>
  <c r="N73" i="11"/>
  <c r="O91" i="11"/>
  <c r="C127" i="11"/>
  <c r="D134" i="11"/>
  <c r="C134" i="11"/>
  <c r="D121" i="11"/>
  <c r="O77" i="11"/>
  <c r="D132" i="11"/>
  <c r="B132" i="11" s="1"/>
  <c r="C121" i="11"/>
  <c r="D122" i="11"/>
  <c r="B122" i="11" s="1"/>
  <c r="O84" i="11"/>
  <c r="O65" i="11"/>
  <c r="C113" i="11"/>
  <c r="O58" i="11"/>
  <c r="N69" i="11"/>
  <c r="N66" i="11"/>
  <c r="O68" i="11"/>
  <c r="N58" i="11"/>
  <c r="D117" i="11"/>
  <c r="O82" i="11"/>
  <c r="C118" i="11"/>
  <c r="C117" i="11"/>
  <c r="D144" i="11"/>
  <c r="D142" i="11"/>
  <c r="D111" i="11"/>
  <c r="B111" i="11" s="1"/>
  <c r="C146" i="11"/>
  <c r="N78" i="11"/>
  <c r="N87" i="11"/>
  <c r="N70" i="11"/>
  <c r="C144" i="11"/>
  <c r="N71" i="11"/>
  <c r="N84" i="11"/>
  <c r="N77" i="11"/>
  <c r="N91" i="11"/>
  <c r="D126" i="11"/>
  <c r="B126" i="11" s="1"/>
  <c r="D141" i="11"/>
  <c r="B141" i="11" s="1"/>
  <c r="C106" i="11"/>
  <c r="N90" i="11"/>
  <c r="C119" i="11"/>
  <c r="N89" i="11"/>
  <c r="N74" i="11"/>
  <c r="C116" i="11"/>
  <c r="D143" i="11"/>
  <c r="N95" i="11"/>
  <c r="O73" i="11"/>
  <c r="N68" i="11"/>
  <c r="C143" i="11"/>
  <c r="O93" i="11"/>
  <c r="O56" i="11"/>
  <c r="C129" i="11"/>
  <c r="C142" i="11"/>
  <c r="O76" i="11"/>
  <c r="D139" i="11"/>
  <c r="B139" i="11" s="1"/>
  <c r="C137" i="11"/>
  <c r="O71" i="11"/>
  <c r="B105" i="11"/>
  <c r="D108" i="11"/>
  <c r="B108" i="11" s="1"/>
  <c r="D106" i="11"/>
  <c r="O62" i="11"/>
  <c r="O60" i="11"/>
  <c r="D138" i="11"/>
  <c r="C145" i="11"/>
  <c r="D110" i="11"/>
  <c r="D123" i="11"/>
  <c r="B123" i="11" s="1"/>
  <c r="D119" i="11"/>
  <c r="C124" i="11"/>
  <c r="C120" i="11"/>
  <c r="N65" i="11"/>
  <c r="O90" i="11"/>
  <c r="C112" i="11"/>
  <c r="O66" i="11"/>
  <c r="C128" i="11"/>
  <c r="D116" i="11"/>
  <c r="N82" i="11"/>
  <c r="N76" i="11"/>
  <c r="O69" i="11"/>
  <c r="D140" i="11"/>
  <c r="D112" i="11"/>
  <c r="C107" i="11"/>
  <c r="C138" i="11"/>
  <c r="C140" i="11"/>
  <c r="O78" i="11"/>
  <c r="D107" i="11"/>
  <c r="C110" i="11"/>
  <c r="N92" i="11"/>
  <c r="B136" i="11"/>
  <c r="O74" i="11"/>
  <c r="N63" i="11"/>
  <c r="N94" i="11"/>
  <c r="B190" i="11"/>
  <c r="C190" i="11"/>
  <c r="B104" i="11"/>
  <c r="S94" i="11" l="1"/>
  <c r="T94" i="11" s="1"/>
  <c r="S66" i="11"/>
  <c r="T66" i="11" s="1"/>
  <c r="N79" i="11"/>
  <c r="Q79" i="11" s="1"/>
  <c r="S62" i="11"/>
  <c r="T62" i="11" s="1"/>
  <c r="N62" i="11"/>
  <c r="Q62" i="11" s="1"/>
  <c r="S79" i="11"/>
  <c r="T79" i="11" s="1"/>
  <c r="P67" i="11"/>
  <c r="P61" i="11"/>
  <c r="N59" i="11"/>
  <c r="P59" i="11"/>
  <c r="N67" i="11"/>
  <c r="Q67" i="11" s="1"/>
  <c r="N61" i="11"/>
  <c r="Q61" i="11" s="1"/>
  <c r="P93" i="11"/>
  <c r="S93" i="11"/>
  <c r="T93" i="11" s="1"/>
  <c r="P88" i="11"/>
  <c r="S88" i="11"/>
  <c r="T88" i="11" s="1"/>
  <c r="P96" i="11"/>
  <c r="S96" i="11"/>
  <c r="T96" i="11" s="1"/>
  <c r="P56" i="11"/>
  <c r="S56" i="11"/>
  <c r="T56" i="11" s="1"/>
  <c r="P60" i="11"/>
  <c r="S60" i="11"/>
  <c r="T60" i="11" s="1"/>
  <c r="Q69" i="11"/>
  <c r="Q85" i="11"/>
  <c r="Q58" i="11"/>
  <c r="Q66" i="11"/>
  <c r="Q73" i="11"/>
  <c r="Q57" i="11"/>
  <c r="N60" i="11"/>
  <c r="K100" i="11"/>
  <c r="Q72" i="11"/>
  <c r="S478" i="9" a="1"/>
  <c r="S478" i="9" s="1"/>
  <c r="S480" i="9" a="1"/>
  <c r="S480" i="9" s="1"/>
  <c r="N83" i="11"/>
  <c r="O83" i="11"/>
  <c r="N81" i="11"/>
  <c r="N96" i="11"/>
  <c r="C133" i="11"/>
  <c r="B133" i="11" s="1"/>
  <c r="N93" i="11"/>
  <c r="D135" i="11"/>
  <c r="N56" i="11"/>
  <c r="C135" i="11"/>
  <c r="M98" i="11"/>
  <c r="W61" i="11" s="1"/>
  <c r="Y61" i="11" s="1"/>
  <c r="O85" i="11"/>
  <c r="N88" i="11"/>
  <c r="D131" i="11"/>
  <c r="C131" i="11"/>
  <c r="N80" i="11"/>
  <c r="L98" i="11"/>
  <c r="W60" i="11" s="1"/>
  <c r="Y60" i="11" s="1"/>
  <c r="O80" i="11"/>
  <c r="D130" i="11"/>
  <c r="B130" i="11" s="1"/>
  <c r="L69" i="10"/>
  <c r="B146" i="11"/>
  <c r="B118" i="11"/>
  <c r="B128" i="11"/>
  <c r="B124" i="11"/>
  <c r="B127" i="11"/>
  <c r="B120" i="11"/>
  <c r="R480" i="9"/>
  <c r="R478" i="9"/>
  <c r="B143" i="11"/>
  <c r="B121" i="11"/>
  <c r="B137" i="11"/>
  <c r="B113" i="11"/>
  <c r="B129" i="11"/>
  <c r="B134" i="11"/>
  <c r="B112" i="11"/>
  <c r="B145" i="11"/>
  <c r="B106" i="11"/>
  <c r="B144" i="11"/>
  <c r="B117" i="11"/>
  <c r="B138" i="11"/>
  <c r="B142" i="11"/>
  <c r="B110" i="11"/>
  <c r="B119" i="11"/>
  <c r="Q94" i="11"/>
  <c r="Q92" i="11"/>
  <c r="Q87" i="11"/>
  <c r="Q76" i="11"/>
  <c r="Q74" i="11"/>
  <c r="Q91" i="11"/>
  <c r="Q82" i="11"/>
  <c r="Q68" i="11"/>
  <c r="Q77" i="11"/>
  <c r="Q71" i="11"/>
  <c r="Q95" i="11"/>
  <c r="Q90" i="11"/>
  <c r="B140" i="11"/>
  <c r="B116" i="11"/>
  <c r="Q59" i="11"/>
  <c r="Q65" i="11"/>
  <c r="Q89" i="11"/>
  <c r="Q84" i="11"/>
  <c r="Q70" i="11"/>
  <c r="Q78" i="11"/>
  <c r="Q63" i="11"/>
  <c r="B107" i="11"/>
  <c r="B192" i="11"/>
  <c r="C192" i="11"/>
  <c r="Q93" i="11" l="1"/>
  <c r="Q83" i="11"/>
  <c r="Q60" i="11"/>
  <c r="Q81" i="11"/>
  <c r="Q80" i="11"/>
  <c r="Q88" i="11"/>
  <c r="Q56" i="11"/>
  <c r="V60" i="11"/>
  <c r="V61" i="11"/>
  <c r="W62" i="11"/>
  <c r="Y62" i="11" s="1"/>
  <c r="C84" i="10"/>
  <c r="D84" i="10" s="1"/>
  <c r="Q96" i="11"/>
  <c r="K104" i="11" a="1"/>
  <c r="K104" i="11" s="1"/>
  <c r="L115" i="11" s="1"/>
  <c r="S98" i="11"/>
  <c r="W70" i="11" s="1"/>
  <c r="R141" i="11" a="1"/>
  <c r="R141" i="11" s="1"/>
  <c r="Q141" i="11" s="1"/>
  <c r="B131" i="11"/>
  <c r="X61" i="11"/>
  <c r="B135" i="11"/>
  <c r="R140" i="11" a="1"/>
  <c r="R140" i="11" s="1"/>
  <c r="N98" i="11"/>
  <c r="W59" i="11" s="1"/>
  <c r="Y59" i="11" s="1"/>
  <c r="X54" i="11"/>
  <c r="X60" i="11"/>
  <c r="I104" i="11" a="1"/>
  <c r="I104" i="11" s="1"/>
  <c r="J104" i="11" s="1"/>
  <c r="R147" i="11"/>
  <c r="N147" i="11" s="1"/>
  <c r="Q140" i="11" a="1"/>
  <c r="Q140" i="11" s="1"/>
  <c r="Q142" i="11" a="1"/>
  <c r="Q142" i="11" s="1"/>
  <c r="R142" i="11" s="1"/>
  <c r="V56" i="11" l="1"/>
  <c r="V55" i="11"/>
  <c r="W68" i="11"/>
  <c r="W69" i="11"/>
  <c r="V65" i="11"/>
  <c r="X62" i="11"/>
  <c r="D86" i="10"/>
  <c r="D85" i="10"/>
  <c r="L133" i="11"/>
  <c r="L121" i="11"/>
  <c r="L109" i="11"/>
  <c r="E131" i="11" a="1"/>
  <c r="E131" i="11" s="1"/>
  <c r="F131" i="11" s="1"/>
  <c r="K148" i="11"/>
  <c r="O104" i="11" s="1"/>
  <c r="L107" i="11"/>
  <c r="L125" i="11"/>
  <c r="L113" i="11"/>
  <c r="L129" i="11"/>
  <c r="L111" i="11"/>
  <c r="L143" i="11"/>
  <c r="L105" i="11"/>
  <c r="L130" i="11"/>
  <c r="L140" i="11"/>
  <c r="L118" i="11"/>
  <c r="L145" i="11"/>
  <c r="T98" i="11"/>
  <c r="W71" i="11" s="1"/>
  <c r="E108" i="11" a="1"/>
  <c r="E108" i="11" s="1"/>
  <c r="F108" i="11" s="1"/>
  <c r="E139" i="11" a="1"/>
  <c r="E139" i="11" s="1"/>
  <c r="G139" i="11" s="1"/>
  <c r="L138" i="11"/>
  <c r="L106" i="11"/>
  <c r="L134" i="11"/>
  <c r="E145" i="11" a="1"/>
  <c r="E145" i="11" s="1"/>
  <c r="G145" i="11" s="1"/>
  <c r="L119" i="11"/>
  <c r="L141" i="11"/>
  <c r="L128" i="11"/>
  <c r="L120" i="11"/>
  <c r="L124" i="11"/>
  <c r="L117" i="11"/>
  <c r="L116" i="11"/>
  <c r="E117" i="11" a="1"/>
  <c r="E117" i="11" s="1"/>
  <c r="G117" i="11" s="1"/>
  <c r="L126" i="11"/>
  <c r="L142" i="11"/>
  <c r="L147" i="11"/>
  <c r="L114" i="11"/>
  <c r="L139" i="11"/>
  <c r="J135" i="11"/>
  <c r="L108" i="11"/>
  <c r="L104" i="11"/>
  <c r="L112" i="11"/>
  <c r="L135" i="11"/>
  <c r="L132" i="11"/>
  <c r="L122" i="11"/>
  <c r="L127" i="11"/>
  <c r="L144" i="11"/>
  <c r="L131" i="11"/>
  <c r="L136" i="11"/>
  <c r="L137" i="11"/>
  <c r="L123" i="11"/>
  <c r="L146" i="11"/>
  <c r="L110" i="11"/>
  <c r="E133" i="11" a="1"/>
  <c r="E133" i="11" s="1"/>
  <c r="F133" i="11" s="1"/>
  <c r="V59" i="11"/>
  <c r="P139" i="11" a="1"/>
  <c r="P139" i="11" s="1"/>
  <c r="R139" i="11" s="1"/>
  <c r="S141" i="11" s="1"/>
  <c r="T141" i="11" s="1" a="1"/>
  <c r="T141" i="11" s="1"/>
  <c r="P141" i="11"/>
  <c r="N141" i="11" s="1"/>
  <c r="E110" i="11" a="1"/>
  <c r="E110" i="11" s="1"/>
  <c r="G110" i="11" s="1"/>
  <c r="E132" i="11" a="1"/>
  <c r="E132" i="11" s="1"/>
  <c r="F132" i="11" s="1"/>
  <c r="E124" i="11" a="1"/>
  <c r="E124" i="11" s="1"/>
  <c r="G124" i="11" s="1"/>
  <c r="E142" i="11" a="1"/>
  <c r="E142" i="11" s="1"/>
  <c r="G142" i="11" s="1"/>
  <c r="E121" i="11" a="1"/>
  <c r="E121" i="11" s="1"/>
  <c r="F121" i="11" s="1"/>
  <c r="E125" i="11" a="1"/>
  <c r="E125" i="11" s="1"/>
  <c r="F125" i="11" s="1"/>
  <c r="E104" i="11" a="1"/>
  <c r="E104" i="11" s="1"/>
  <c r="G104" i="11" s="1"/>
  <c r="E128" i="11" a="1"/>
  <c r="E128" i="11" s="1"/>
  <c r="G128" i="11" s="1"/>
  <c r="E140" i="11" a="1"/>
  <c r="E140" i="11" s="1"/>
  <c r="G140" i="11" s="1"/>
  <c r="E147" i="11" a="1"/>
  <c r="E147" i="11" s="1"/>
  <c r="G147" i="11" s="1"/>
  <c r="E129" i="11" a="1"/>
  <c r="E129" i="11" s="1"/>
  <c r="G129" i="11" s="1"/>
  <c r="E123" i="11" a="1"/>
  <c r="E123" i="11" s="1"/>
  <c r="F123" i="11" s="1"/>
  <c r="E107" i="11" a="1"/>
  <c r="E107" i="11" s="1"/>
  <c r="G107" i="11" s="1"/>
  <c r="E127" i="11" a="1"/>
  <c r="E127" i="11" s="1"/>
  <c r="G127" i="11" s="1"/>
  <c r="E136" i="11" a="1"/>
  <c r="E136" i="11" s="1"/>
  <c r="F136" i="11" s="1"/>
  <c r="E130" i="11" a="1"/>
  <c r="E130" i="11" s="1"/>
  <c r="F130" i="11" s="1"/>
  <c r="E138" i="11" a="1"/>
  <c r="E138" i="11" s="1"/>
  <c r="F138" i="11" s="1"/>
  <c r="E113" i="11" a="1"/>
  <c r="E113" i="11" s="1"/>
  <c r="F113" i="11" s="1"/>
  <c r="E126" i="11" a="1"/>
  <c r="E126" i="11" s="1"/>
  <c r="F126" i="11" s="1"/>
  <c r="E137" i="11" a="1"/>
  <c r="E137" i="11" s="1"/>
  <c r="F137" i="11" s="1"/>
  <c r="E112" i="11" a="1"/>
  <c r="E112" i="11" s="1"/>
  <c r="G112" i="11" s="1"/>
  <c r="E120" i="11" a="1"/>
  <c r="E120" i="11" s="1"/>
  <c r="G120" i="11" s="1"/>
  <c r="E122" i="11" a="1"/>
  <c r="E122" i="11" s="1"/>
  <c r="G122" i="11" s="1"/>
  <c r="E106" i="11" a="1"/>
  <c r="E106" i="11" s="1"/>
  <c r="G106" i="11" s="1"/>
  <c r="E109" i="11" a="1"/>
  <c r="E109" i="11" s="1"/>
  <c r="F109" i="11" s="1"/>
  <c r="E105" i="11" a="1"/>
  <c r="E105" i="11" s="1"/>
  <c r="G105" i="11" s="1"/>
  <c r="E135" i="11" a="1"/>
  <c r="E135" i="11" s="1"/>
  <c r="F135" i="11" s="1"/>
  <c r="E143" i="11" a="1"/>
  <c r="E143" i="11" s="1"/>
  <c r="F143" i="11" s="1"/>
  <c r="E118" i="11" a="1"/>
  <c r="E118" i="11" s="1"/>
  <c r="F118" i="11" s="1"/>
  <c r="E141" i="11" a="1"/>
  <c r="E141" i="11" s="1"/>
  <c r="F141" i="11" s="1"/>
  <c r="E119" i="11" a="1"/>
  <c r="E119" i="11" s="1"/>
  <c r="F119" i="11" s="1"/>
  <c r="P140" i="11" a="1"/>
  <c r="P140" i="11" s="1"/>
  <c r="E114" i="11" a="1"/>
  <c r="E114" i="11" s="1"/>
  <c r="G114" i="11" s="1"/>
  <c r="E134" i="11" a="1"/>
  <c r="E134" i="11" s="1"/>
  <c r="G134" i="11" s="1"/>
  <c r="E111" i="11" a="1"/>
  <c r="E111" i="11" s="1"/>
  <c r="G111" i="11" s="1"/>
  <c r="E116" i="11" a="1"/>
  <c r="E116" i="11" s="1"/>
  <c r="F116" i="11" s="1"/>
  <c r="X59" i="11"/>
  <c r="E115" i="11" a="1"/>
  <c r="E115" i="11" s="1"/>
  <c r="G115" i="11" s="1"/>
  <c r="E146" i="11" a="1"/>
  <c r="E146" i="11" s="1"/>
  <c r="F146" i="11" s="1"/>
  <c r="J114" i="11"/>
  <c r="E144" i="11" a="1"/>
  <c r="E144" i="11" s="1"/>
  <c r="F144" i="11" s="1"/>
  <c r="J129" i="11"/>
  <c r="J132" i="11"/>
  <c r="J109" i="11"/>
  <c r="J139" i="11"/>
  <c r="J107" i="11"/>
  <c r="J145" i="11"/>
  <c r="J115" i="11"/>
  <c r="J133" i="11"/>
  <c r="Q182" i="11"/>
  <c r="J134" i="11"/>
  <c r="J112" i="11"/>
  <c r="Q183" i="11"/>
  <c r="J124" i="11"/>
  <c r="J143" i="11"/>
  <c r="I148" i="11"/>
  <c r="O103" i="11" s="1"/>
  <c r="J119" i="11"/>
  <c r="Q179" i="11"/>
  <c r="J136" i="11"/>
  <c r="J120" i="11"/>
  <c r="J128" i="11"/>
  <c r="J125" i="11"/>
  <c r="J106" i="11"/>
  <c r="Q177" i="11"/>
  <c r="J105" i="11"/>
  <c r="Q185" i="11"/>
  <c r="J147" i="11"/>
  <c r="J121" i="11"/>
  <c r="J122" i="11"/>
  <c r="J123" i="11"/>
  <c r="J113" i="11"/>
  <c r="J141" i="11"/>
  <c r="J118" i="11"/>
  <c r="J111" i="11"/>
  <c r="J130" i="11"/>
  <c r="J140" i="11"/>
  <c r="J131" i="11"/>
  <c r="P142" i="11"/>
  <c r="N142" i="11" s="1"/>
  <c r="J116" i="11"/>
  <c r="J137" i="11"/>
  <c r="Q184" i="11"/>
  <c r="J138" i="11"/>
  <c r="J127" i="11"/>
  <c r="J144" i="11"/>
  <c r="J146" i="11"/>
  <c r="J142" i="11"/>
  <c r="Q181" i="11"/>
  <c r="J117" i="11"/>
  <c r="J110" i="11"/>
  <c r="J126" i="11"/>
  <c r="J108" i="11"/>
  <c r="Q178" i="11"/>
  <c r="W56" i="11" l="1"/>
  <c r="F139" i="11"/>
  <c r="G131" i="11"/>
  <c r="F140" i="11"/>
  <c r="O108" i="11"/>
  <c r="F117" i="11"/>
  <c r="F110" i="11"/>
  <c r="G123" i="11"/>
  <c r="F104" i="11"/>
  <c r="G113" i="11"/>
  <c r="W55" i="11"/>
  <c r="F145" i="11"/>
  <c r="G108" i="11"/>
  <c r="G135" i="11"/>
  <c r="F147" i="11"/>
  <c r="G136" i="11"/>
  <c r="F142" i="11"/>
  <c r="F114" i="11"/>
  <c r="F129" i="11"/>
  <c r="G138" i="11"/>
  <c r="G133" i="11"/>
  <c r="F124" i="11"/>
  <c r="G125" i="11"/>
  <c r="F122" i="11"/>
  <c r="L148" i="11"/>
  <c r="O106" i="11" s="1"/>
  <c r="F112" i="11"/>
  <c r="F127" i="11"/>
  <c r="G121" i="11"/>
  <c r="F120" i="11"/>
  <c r="G137" i="11"/>
  <c r="F134" i="11"/>
  <c r="G130" i="11"/>
  <c r="N139" i="11"/>
  <c r="N146" i="11" s="1"/>
  <c r="F105" i="11"/>
  <c r="G143" i="11"/>
  <c r="Q139" i="11"/>
  <c r="F115" i="11"/>
  <c r="O110" i="11"/>
  <c r="G132" i="11"/>
  <c r="G126" i="11"/>
  <c r="F128" i="11"/>
  <c r="G118" i="11"/>
  <c r="F107" i="11"/>
  <c r="G109" i="11"/>
  <c r="F111" i="11"/>
  <c r="G141" i="11"/>
  <c r="G119" i="11"/>
  <c r="G116" i="11"/>
  <c r="F106" i="11"/>
  <c r="G146" i="11"/>
  <c r="G144" i="11"/>
  <c r="J148" i="11"/>
  <c r="O105" i="11" s="1"/>
  <c r="U141" i="11"/>
  <c r="S140" i="11"/>
  <c r="T140" i="11" s="1" a="1"/>
  <c r="T140" i="11" s="1"/>
  <c r="X56" i="11" l="1"/>
  <c r="X55" i="11"/>
  <c r="O107" i="11"/>
  <c r="O109" i="11"/>
  <c r="U140" i="11"/>
  <c r="O111" i="11" l="1"/>
  <c r="N148" i="11" s="1" a="1"/>
  <c r="N148"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ERPSIM DAIRY_STOCK_INFO" type="5" refreshedVersion="6" savePassword="1" saveData="1">
    <dbPr connection="Provider=SQLOLEDB.1;Password=ERPSIM;Persist Security Info=True;User ID=ucctumI19904Z1;Initial Catalog=ERPSIM18A;Data Source=simsql.informatik.tu-muenchen.de,3825;Use Procedure for Prepare=1;Auto Translate=True;Packet Size=4096;Workstation ID=MPC;Use Encryption for Data=False;Tag with column collation when possible=False" command="&quot;ERPSIM18A&quot;.&quot;dbo&quot;.&quot;DAIRY_STOCK_INFO&quot;" commandType="3"/>
  </connection>
  <connection id="2" xr16:uid="{00000000-0015-0000-FFFF-FFFF01000000}" keepAlive="1" name="ERPSIM DAIRY_STOCK_INFO1" type="5" refreshedVersion="6" savePassword="1" saveData="1">
    <dbPr connection="Provider=SQLOLEDB.1;Password=ERPSIM;Persist Security Info=True;User ID=ucctumI19904Z1;Initial Catalog=ERPSIM18A;Data Source=simsql.informatik.tu-muenchen.de,3825;Use Procedure for Prepare=1;Auto Translate=True;Packet Size=4096;Workstation ID=MPC;Use Encryption for Data=False;Tag with column collation when possible=False" command="&quot;ERPSIM18A&quot;.&quot;dbo&quot;.&quot;DAIRY_STOCK_INFO&quot;" commandType="3"/>
  </connection>
  <connection id="3" xr16:uid="{00000000-0015-0000-FFFF-FFFF02000000}" keepAlive="1" name="simsql.informatik.tu-muenchen.de,3825 ERPSIM17A DAIRY_DAILY_STOCK" description="ERPSIM DAIRY_DAILY_STOCK" type="5" refreshedVersion="6" savePassword="1" saveData="1">
    <dbPr connection="Provider=SQLOLEDB.1;Password=ERPSIM;Persist Security Info=True;User ID=ucctumI19904Z1;Initial Catalog=ERPSIM18A;Data Source=simsql.informatik.tu-muenchen.de,3825;Use Procedure for Prepare=1;Auto Translate=True;Packet Size=4096;Workstation ID=MPC;Use Encryption for Data=False;Tag with column collation when possible=False" command="&quot;ERPSIM18A&quot;.&quot;dbo&quot;.&quot;DAIRY_DAILY_STOCK&quot;" commandType="3"/>
  </connection>
  <connection id="4" xr16:uid="{00000000-0015-0000-FFFF-FFFF03000000}" keepAlive="1" name="simsql.informatik.tu-muenchen.de,3825 ERPSIM17A DAIRY_FINANCIALS" description="ERPSIM DAIRY_FINANCIAL" type="5" refreshedVersion="7" savePassword="1" saveData="1">
    <dbPr connection="Provider=SQLOLEDB.1;Password=ERPSIM;Persist Security Info=True;User ID=ucctumI19904Z1;Initial Catalog=ERPSIM18A;Data Source=simsql.informatik.tu-muenchen.de,3825;Use Procedure for Prepare=1;Auto Translate=True;Packet Size=4096;Workstation ID=MPC;Use Encryption for Data=False;Tag with column collation when possible=False" command="&quot;ERPSIM18A&quot;.&quot;dbo&quot;.&quot;DAIRY_FINANCIALS&quot;" commandType="3"/>
  </connection>
  <connection id="5" xr16:uid="{00000000-0015-0000-FFFF-FFFF04000000}" keepAlive="1" name="simsql.informatik.tu-muenchen.de,3825 ERPSIM17A DAIRY_SALES" description="ERPSIM DAIRY_SALES" type="5" refreshedVersion="6" savePassword="1" saveData="1">
    <dbPr connection="Provider=SQLOLEDB.1;Password=ERPSIM;Persist Security Info=True;User ID=ucctumI19904Z1;Initial Catalog=ERPSIM18A;Data Source=simsql.informatik.tu-muenchen.de,3825;Use Procedure for Prepare=1;Auto Translate=True;Packet Size=4096;Workstation ID=MPC;Use Encryption for Data=False;Tag with column collation when possible=False" command="&quot;ERPSIM18A&quot;.&quot;dbo&quot;.&quot;DAIRY_SALES&quot;" commandType="3"/>
  </connection>
  <connection id="6" xr16:uid="{00000000-0015-0000-FFFF-FFFF04000000}" keepAlive="1" name="simsql.informatik.tu-muenchen.de,3825 ERPSIM17A DAIRY_SALES1" description="ERPSIM DAIRY_SALES" type="5" refreshedVersion="6" savePassword="1" saveData="1">
    <dbPr connection="Provider=SQLOLEDB.1;Password=ERPSIM;Persist Security Info=True;User ID=ucctumI19904Z1;Initial Catalog=ERPSIM18A;Data Source=simsql.informatik.tu-muenchen.de,3825;Use Procedure for Prepare=1;Auto Translate=True;Packet Size=4096;Workstation ID=MPC;Use Encryption for Data=False;Tag with column collation when possible=False" command="&quot;ERPSIM18A&quot;.&quot;dbo&quot;.&quot;DAIRY_SALES&quot;" commandTyp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<sst xmlns="http://schemas.openxmlformats.org/spreadsheetml/2006/main" count="2831" uniqueCount="286">
  <si>
    <t>Column Labels</t>
  </si>
  <si>
    <t>Butter</t>
  </si>
  <si>
    <t>Cheese</t>
  </si>
  <si>
    <t>Cream</t>
  </si>
  <si>
    <t>Ice Cream</t>
  </si>
  <si>
    <t>Milk</t>
  </si>
  <si>
    <t>Yoghurt</t>
  </si>
  <si>
    <t>Grand Total</t>
  </si>
  <si>
    <t>Row Labels</t>
  </si>
  <si>
    <t>01/03</t>
  </si>
  <si>
    <t>01/04</t>
  </si>
  <si>
    <t>01/05</t>
  </si>
  <si>
    <t>01/06</t>
  </si>
  <si>
    <t>01/07</t>
  </si>
  <si>
    <t>01/08</t>
  </si>
  <si>
    <t>01/09</t>
  </si>
  <si>
    <t>01/10</t>
  </si>
  <si>
    <t>02/01</t>
  </si>
  <si>
    <t>02/02</t>
  </si>
  <si>
    <t>02/03</t>
  </si>
  <si>
    <t>02/04</t>
  </si>
  <si>
    <t>02/05</t>
  </si>
  <si>
    <t>02/06</t>
  </si>
  <si>
    <t>02/07</t>
  </si>
  <si>
    <t>02/08</t>
  </si>
  <si>
    <t>02/09</t>
  </si>
  <si>
    <t>02/10</t>
  </si>
  <si>
    <t>03/01</t>
  </si>
  <si>
    <t>03/02</t>
  </si>
  <si>
    <t>03/03</t>
  </si>
  <si>
    <t>03/04</t>
  </si>
  <si>
    <t>03/05</t>
  </si>
  <si>
    <t>03/06</t>
  </si>
  <si>
    <t>03/07</t>
  </si>
  <si>
    <t>03/08</t>
  </si>
  <si>
    <t>03/09</t>
  </si>
  <si>
    <t>03/10</t>
  </si>
  <si>
    <t>04/01</t>
  </si>
  <si>
    <t>04/02</t>
  </si>
  <si>
    <t>04/03</t>
  </si>
  <si>
    <t>04/04</t>
  </si>
  <si>
    <t>04/05</t>
  </si>
  <si>
    <t>04/06</t>
  </si>
  <si>
    <t>04/07</t>
  </si>
  <si>
    <t>04/08</t>
  </si>
  <si>
    <t>04/09</t>
  </si>
  <si>
    <t>04/10</t>
  </si>
  <si>
    <t>Sum of STOCK_LEVEL</t>
  </si>
  <si>
    <t>North</t>
  </si>
  <si>
    <t>South</t>
  </si>
  <si>
    <t>West</t>
  </si>
  <si>
    <t>Sales</t>
  </si>
  <si>
    <t>Price</t>
  </si>
  <si>
    <t>Order date</t>
  </si>
  <si>
    <t>01/01</t>
  </si>
  <si>
    <t>01/02</t>
  </si>
  <si>
    <t>01/11</t>
  </si>
  <si>
    <t>02/11</t>
  </si>
  <si>
    <t>03/11</t>
  </si>
  <si>
    <t>04/11</t>
  </si>
  <si>
    <t>Purchase</t>
  </si>
  <si>
    <t>Date</t>
  </si>
  <si>
    <t>Assets</t>
  </si>
  <si>
    <t xml:space="preserve">Liabilities </t>
  </si>
  <si>
    <t>P&amp;L</t>
  </si>
  <si>
    <t>Domestic Receivables</t>
  </si>
  <si>
    <t>Finished Goods</t>
  </si>
  <si>
    <t>Machinery and equipment</t>
  </si>
  <si>
    <t>WeizenBank Cash Account</t>
  </si>
  <si>
    <t>Accounts payable - Domestic</t>
  </si>
  <si>
    <t>Common stock</t>
  </si>
  <si>
    <t>Freight Clearing</t>
  </si>
  <si>
    <t>GR/IR Clearing - External procurement</t>
  </si>
  <si>
    <t>Consumption Trading Goods</t>
  </si>
  <si>
    <t>Sales Revenues - Domestic</t>
  </si>
  <si>
    <t>Transportation Cost</t>
  </si>
  <si>
    <t>Warehousing costs</t>
  </si>
  <si>
    <t>Current Assets</t>
  </si>
  <si>
    <t>Long-term assets</t>
  </si>
  <si>
    <t>Current liabilities</t>
  </si>
  <si>
    <t>Equity</t>
  </si>
  <si>
    <t>Goods Sold</t>
  </si>
  <si>
    <t>Operating expenses</t>
  </si>
  <si>
    <t xml:space="preserve">Sales Revenues </t>
  </si>
  <si>
    <t xml:space="preserve">Cash </t>
  </si>
  <si>
    <t>Inventory</t>
  </si>
  <si>
    <t xml:space="preserve">Receivables Customers </t>
  </si>
  <si>
    <t>Machinery</t>
  </si>
  <si>
    <t>Account Payable</t>
  </si>
  <si>
    <t xml:space="preserve">Common stock </t>
  </si>
  <si>
    <t>Cost of Goods Sold</t>
  </si>
  <si>
    <t>Total</t>
  </si>
  <si>
    <t>Profit</t>
  </si>
  <si>
    <t>Revenue</t>
  </si>
  <si>
    <t>Cost</t>
  </si>
  <si>
    <t>Product</t>
  </si>
  <si>
    <t>Region</t>
  </si>
  <si>
    <t>Sales (Quantity)</t>
  </si>
  <si>
    <t/>
  </si>
  <si>
    <t>Butter Total</t>
  </si>
  <si>
    <t>Cheese Total</t>
  </si>
  <si>
    <t>Cream Total</t>
  </si>
  <si>
    <t>Ice Cream Total</t>
  </si>
  <si>
    <t>Milk Total</t>
  </si>
  <si>
    <t>Yoghurt Total</t>
  </si>
  <si>
    <t>Main Warehouse</t>
  </si>
  <si>
    <t>Stock Level</t>
  </si>
  <si>
    <t>Unit Cost</t>
  </si>
  <si>
    <t>Profit Margin</t>
  </si>
  <si>
    <t>Sum of PROFIT</t>
  </si>
  <si>
    <t>Sum of COST_UNIT</t>
  </si>
  <si>
    <t>Sum of PROFIT_MARGIN</t>
  </si>
  <si>
    <t>Regional Transfer (North)</t>
  </si>
  <si>
    <t>Sum of QTY</t>
  </si>
  <si>
    <t>Day</t>
  </si>
  <si>
    <t>Regional Transfer (South)</t>
  </si>
  <si>
    <t>Regional Transfer (West)</t>
  </si>
  <si>
    <t xml:space="preserve">Stock Level  </t>
  </si>
  <si>
    <t>Purchase (Real)</t>
  </si>
  <si>
    <t>Purchase (Target)</t>
  </si>
  <si>
    <t>Stock Change (t1-t0)</t>
  </si>
  <si>
    <t>Stock Level  (North)</t>
  </si>
  <si>
    <t>Stock Level  (South)</t>
  </si>
  <si>
    <t>Stock Level  (West)</t>
  </si>
  <si>
    <t>Stock Change (t1-t0) (North)</t>
  </si>
  <si>
    <t>Regional Transfer (Real)</t>
  </si>
  <si>
    <t>Regional Transfer (Target)</t>
  </si>
  <si>
    <t>Stock Change (t1-t0) (South)</t>
  </si>
  <si>
    <t>Stock Change (t1-t0) (West)</t>
  </si>
  <si>
    <t>Sum of DAILY_SALES</t>
  </si>
  <si>
    <t>Stock</t>
  </si>
  <si>
    <t>Inventory shortage</t>
  </si>
  <si>
    <t>Round</t>
  </si>
  <si>
    <t>Normal Inventory</t>
  </si>
  <si>
    <t>Quantity</t>
  </si>
  <si>
    <t>Sum of Quantity</t>
  </si>
  <si>
    <t>Real Purchase</t>
  </si>
  <si>
    <t>Target Pruchase Level</t>
  </si>
  <si>
    <t>Sum of Real Purchase</t>
  </si>
  <si>
    <t>Inventory shortage (Help)</t>
  </si>
  <si>
    <t>Normal Inventory (Help)</t>
  </si>
  <si>
    <t>Maximum Revenue</t>
  </si>
  <si>
    <t>Corresponding price</t>
  </si>
  <si>
    <t>Correpsonding sales</t>
  </si>
  <si>
    <t>Nordrhein-Westfalen</t>
  </si>
  <si>
    <t>Rhineland-Palatinate</t>
  </si>
  <si>
    <t>Saarland</t>
  </si>
  <si>
    <t>Baden Wurttemberg</t>
  </si>
  <si>
    <t>Bavaria</t>
  </si>
  <si>
    <t>Hesse</t>
  </si>
  <si>
    <t>Thuringia</t>
  </si>
  <si>
    <t>Berlin</t>
  </si>
  <si>
    <t>Brandenburg</t>
  </si>
  <si>
    <t>Bremen</t>
  </si>
  <si>
    <t>Hamburg</t>
  </si>
  <si>
    <t>Lower Saxony</t>
  </si>
  <si>
    <t>Mecklenburg-Western Pomerania</t>
  </si>
  <si>
    <t>Saxony</t>
  </si>
  <si>
    <t>Saxony-Anhalt</t>
  </si>
  <si>
    <t>Schleswig-Holstein</t>
  </si>
  <si>
    <t>Mean</t>
  </si>
  <si>
    <t>Standard Deviation</t>
  </si>
  <si>
    <t>Best-selling region</t>
  </si>
  <si>
    <t>Transfer In</t>
  </si>
  <si>
    <t>No Inventory</t>
  </si>
  <si>
    <t>Product average</t>
  </si>
  <si>
    <t>Sum of REVENUE</t>
  </si>
  <si>
    <t>Butter Average of PRICE</t>
  </si>
  <si>
    <t>Cheese Average of PRICE</t>
  </si>
  <si>
    <t>Cream Average of PRICE</t>
  </si>
  <si>
    <t>Ice Cream Average of PRICE</t>
  </si>
  <si>
    <t>Milk Average of PRICE</t>
  </si>
  <si>
    <t>Yoghurt Average of PRICE</t>
  </si>
  <si>
    <t>Average of PRICE</t>
  </si>
  <si>
    <t>Inventory level</t>
  </si>
  <si>
    <t>Sum of Target Pruchase Level</t>
  </si>
  <si>
    <t>Percentage</t>
  </si>
  <si>
    <t>Quantity sold</t>
  </si>
  <si>
    <t>Difference</t>
  </si>
  <si>
    <t>Higher/Lower</t>
  </si>
  <si>
    <t>On Target</t>
  </si>
  <si>
    <t>No Inventory (Help)</t>
  </si>
  <si>
    <t>No Inventory (MW)</t>
  </si>
  <si>
    <t>Purchase Manager</t>
  </si>
  <si>
    <t>Logistics Manager</t>
  </si>
  <si>
    <t>Product Average</t>
  </si>
  <si>
    <t>Regional Average</t>
  </si>
  <si>
    <t>Regional Transfer</t>
  </si>
  <si>
    <t>Regional average</t>
  </si>
  <si>
    <t>Daily average</t>
  </si>
  <si>
    <t>Estimated loss breakdown</t>
  </si>
  <si>
    <t>Perventage</t>
  </si>
  <si>
    <t>Role</t>
  </si>
  <si>
    <t>Number of days</t>
  </si>
  <si>
    <t>Inventory status</t>
  </si>
  <si>
    <t>Column1</t>
  </si>
  <si>
    <t>Column2</t>
  </si>
  <si>
    <t>Count of Real Purchase</t>
  </si>
  <si>
    <t xml:space="preserve"> Revenue</t>
  </si>
  <si>
    <t xml:space="preserve"> Sales</t>
  </si>
  <si>
    <t xml:space="preserve"> Price </t>
  </si>
  <si>
    <t>Maximum price</t>
  </si>
  <si>
    <t>Indicator</t>
  </si>
  <si>
    <t>Maximum sales price</t>
  </si>
  <si>
    <t>Average price</t>
  </si>
  <si>
    <t>Optimal price</t>
  </si>
  <si>
    <t>Remark</t>
  </si>
  <si>
    <t>absolute value</t>
  </si>
  <si>
    <t>Minimum price</t>
  </si>
  <si>
    <t>Minimum price -corresponding sales</t>
  </si>
  <si>
    <t>Maximum price - corresponding sales</t>
  </si>
  <si>
    <t>p1</t>
  </si>
  <si>
    <t>q1</t>
  </si>
  <si>
    <t>PED</t>
  </si>
  <si>
    <t>sum of sales</t>
  </si>
  <si>
    <t>sum of price</t>
  </si>
  <si>
    <t>change of sales</t>
  </si>
  <si>
    <t>change of price</t>
  </si>
  <si>
    <t>Cross-region comparison</t>
  </si>
  <si>
    <t>Cross-product comparison</t>
  </si>
  <si>
    <t>Sum of ABS_EUROS</t>
  </si>
  <si>
    <t>Help Column</t>
  </si>
  <si>
    <t xml:space="preserve"> </t>
  </si>
  <si>
    <t>CAGR</t>
  </si>
  <si>
    <t>AGR</t>
  </si>
  <si>
    <t>Round-on-Round Growth Rate</t>
  </si>
  <si>
    <t>Method</t>
  </si>
  <si>
    <t>Predicted Value</t>
  </si>
  <si>
    <t>Input Value</t>
  </si>
  <si>
    <t>RMSE</t>
  </si>
  <si>
    <t>Real Value</t>
  </si>
  <si>
    <t>Squared Error (AGR)</t>
  </si>
  <si>
    <t>Squared Error (CAGR)</t>
  </si>
  <si>
    <t>LF</t>
  </si>
  <si>
    <t>Squared Error(LF)</t>
  </si>
  <si>
    <t>Forecatsed Value</t>
  </si>
  <si>
    <t>Text alert</t>
  </si>
  <si>
    <t>Butter Sum of QTY</t>
  </si>
  <si>
    <t>Cheese Sum of QTY</t>
  </si>
  <si>
    <t>Cream Sum of QTY</t>
  </si>
  <si>
    <t>Ice Cream Sum of QTY</t>
  </si>
  <si>
    <t>Milk Sum of QTY</t>
  </si>
  <si>
    <t>Yoghurt Sum of QTY</t>
  </si>
  <si>
    <t>p0</t>
  </si>
  <si>
    <t>q0</t>
  </si>
  <si>
    <t>Alert</t>
  </si>
  <si>
    <t>Allowed Error</t>
  </si>
  <si>
    <t>Allowed Error(-)</t>
  </si>
  <si>
    <t>Date of purchase</t>
  </si>
  <si>
    <t>Prescriptive Target (%)</t>
  </si>
  <si>
    <t>Past Decision (%)</t>
  </si>
  <si>
    <t>Prescriptive Target (Qty)</t>
  </si>
  <si>
    <t>Past Decision (Qty)</t>
  </si>
  <si>
    <t>Round 5 Forecast</t>
  </si>
  <si>
    <t>Value</t>
  </si>
  <si>
    <t>Abs(difference)</t>
  </si>
  <si>
    <t>Series 3 (Forecasted value)</t>
  </si>
  <si>
    <t>Regional preference</t>
  </si>
  <si>
    <t>Transfer (Dummy)</t>
  </si>
  <si>
    <t>Purchase (Dummy)</t>
  </si>
  <si>
    <t>Abnormal</t>
  </si>
  <si>
    <t>Inventory Diagonostics</t>
  </si>
  <si>
    <t>Normal</t>
  </si>
  <si>
    <t>Logistics Mangager</t>
  </si>
  <si>
    <t>Shortage</t>
  </si>
  <si>
    <t>Round 1</t>
  </si>
  <si>
    <t>Round 2</t>
  </si>
  <si>
    <t>Round 3</t>
  </si>
  <si>
    <t>Round 4</t>
  </si>
  <si>
    <t>Lookup Help Column</t>
  </si>
  <si>
    <t>Section 6: Inventory Diagonostics</t>
  </si>
  <si>
    <t>Section 2: Financial Highlights (Profit)</t>
  </si>
  <si>
    <t>Section 2: Financial Highlights (Revenue)</t>
  </si>
  <si>
    <t>Section 2: Financial Highlights (Costs)</t>
  </si>
  <si>
    <t>Section 2: Financial Highlights (Profit Margin)</t>
  </si>
  <si>
    <t>Best-selling product</t>
  </si>
  <si>
    <t>Section 4: Product Diagonostics (Star Products)</t>
  </si>
  <si>
    <t>Section 5: Pricing Strategy (Demand Plot and Optimal Price Level)</t>
  </si>
  <si>
    <t>Section 5: Pricing Strategy (Price Elasticity of Demand)</t>
  </si>
  <si>
    <t>Section 3: Cross Sector Performance</t>
  </si>
  <si>
    <t>Section 4: Product Diagonostics (Standard Inventory Distribution and Deviance Analysis)</t>
  </si>
  <si>
    <t>Main Workings Explained</t>
  </si>
  <si>
    <t>Section 6: Inventory Diagonostics (Purchase Order)</t>
  </si>
  <si>
    <t>Section 6: Inventory Diagonostics (Regional Transfer)</t>
  </si>
  <si>
    <t>Series 1 (All rounds figure )</t>
  </si>
  <si>
    <t>Series 2 (Specif figure filtered by slicer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</si>
</sst>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quot;£&quot;* #,##0.00_-;\-&quot;£&quot;* #,##0.00_-;_-&quot;£&quot;* &quot;-&quot;??_-;_-@_-"/>
    <numFmt numFmtId="165" formatCode="_-* #,##0.00_-;\-* #,##0.00_-;_-* &quot;-&quot;??_-;_-@_-"/>
    <numFmt numFmtId="166" formatCode="_-* #,##0_-;\-* #,##0_-;_-* &quot;-&quot;??_-;_-@_-"/>
    <numFmt numFmtId="167" formatCode="_([$€-2]\ * #,##0.00_);_([$€-2]\ * \(#,##0.00\);_([$€-2]\ * &quot;-&quot;??_);_(@_)"/>
    <numFmt numFmtId="168" formatCode="_-* #,##0.00000_-;\-* #,##0.00000_-;_-* &quot;-&quot;??_-;_-@_-"/>
    <numFmt numFmtId="169" formatCode="_-* #,##0.000000_-;\-* #,##0.000000_-;_-* &quot;-&quot;??_-;_-@_-"/>
    <numFmt numFmtId="170" formatCode="_(* #,##0_);_(* \(#,##0\);_(* &quot;-&quot;??_);_(@_)"/>
    <numFmt numFmtId="171" formatCode="_-[$€-2]\ * #,##0.00_-;\-[$€-2]\ * #,##0.00_-;_-[$€-2]\ * &quot;-&quot;??_-;_-@_-"/>
  </numFmts>
  <fonts count="18"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theme="0"/>
      <name val="Calibri"/>
      <family val="2"/>
      <scheme val="minor"/>
    </font>
    <font>
      <b/>
      <sz val="11"/>
      <color theme="0"/>
      <name val="Calibri"/>
      <family val="2"/>
      <scheme val="minor"/>
    </font>
    <font>
      <sz val="11"/>
      <name val="Calibri"/>
      <family val="2"/>
      <scheme val="minor"/>
    </font>
    <font>
      <b/>
      <sz val="11"/>
      <name val="Calibri"/>
      <family val="2"/>
      <scheme val="minor"/>
    </font>
    <font>
      <sz val="11"/>
      <color theme="1"/>
      <name val="Arial Black"/>
      <family val="2"/>
    </font>
    <font>
      <sz val="12"/>
      <color theme="1"/>
      <name val="Calibri"/>
      <family val="2"/>
      <scheme val="minor"/>
    </font>
    <font>
      <sz val="11"/>
      <color theme="1" tint="0.249977111117893"/>
      <name val="Arial Black"/>
      <family val="2"/>
    </font>
    <font>
      <sz val="11"/>
      <color rgb="FF000000"/>
      <name val="Calibri"/>
      <family val="2"/>
      <scheme val="minor"/>
    </font>
    <font>
      <sz val="14"/>
      <color theme="1"/>
      <name val="Arial Black"/>
      <family val="2"/>
    </font>
    <font>
      <sz val="11"/>
      <color theme="1" tint="0.249977111117893"/>
      <name val="Calibri"/>
      <family val="2"/>
      <scheme val="minor"/>
    </font>
    <font>
      <sz val="10"/>
      <color theme="1" tint="0.249977111117893"/>
      <name val="Calibri"/>
      <family val="2"/>
      <scheme val="minor"/>
    </font>
    <font>
      <u/>
      <sz val="11"/>
      <color theme="10"/>
      <name val="Calibri"/>
      <family val="2"/>
      <scheme val="minor"/>
    </font>
  </fonts>
  <fills count="8">
    <fill>
      <patternFill patternType="none"/>
    </fill>
    <fill>
      <patternFill patternType="gray125"/>
    </fill>
    <fill>
      <patternFill patternType="solid">
        <fgColor theme="6" tint="0.79998168889431442"/>
        <bgColor theme="6" tint="0.79998168889431442"/>
      </patternFill>
    </fill>
    <fill>
      <patternFill patternType="solid">
        <fgColor theme="6"/>
        <bgColor theme="6"/>
      </patternFill>
    </fill>
    <fill>
      <patternFill patternType="solid">
        <fgColor rgb="FFEEEDDB"/>
        <bgColor indexed="64"/>
      </patternFill>
    </fill>
    <fill>
      <patternFill patternType="solid">
        <fgColor rgb="FFEDEADB"/>
        <bgColor indexed="64"/>
      </patternFill>
    </fill>
    <fill>
      <patternFill patternType="solid">
        <fgColor theme="2" tint="-9.9978637043366805E-2"/>
        <bgColor indexed="64"/>
      </patternFill>
    </fill>
    <fill>
      <patternFill patternType="solid">
        <fgColor theme="6" tint="0.59999389629810485"/>
        <bgColor theme="6" tint="0.59999389629810485"/>
      </patternFill>
    </fill>
  </fills>
  <borders count="28">
    <border>
      <left/>
      <right/>
      <top/>
      <bottom/>
      <diagonal/>
    </border>
    <border>
      <left/>
      <right/>
      <top/>
      <bottom style="thin">
        <color theme="4" tint="0.39997558519241921"/>
      </bottom>
      <diagonal/>
    </border>
    <border>
      <left style="thin">
        <color theme="6" tint="0.3999755851924192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theme="0"/>
      </left>
      <right/>
      <top/>
      <bottom/>
      <diagonal/>
    </border>
    <border>
      <left/>
      <right/>
      <top style="thin">
        <color theme="6" tint="0.79998168889431442"/>
      </top>
      <bottom style="thin">
        <color theme="6" tint="0.79998168889431442"/>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medium">
        <color theme="1" tint="0.249977111117893"/>
      </left>
      <right style="medium">
        <color theme="1" tint="0.249977111117893"/>
      </right>
      <top style="medium">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bottom style="thick">
        <color theme="0"/>
      </bottom>
      <diagonal/>
    </border>
  </borders>
  <cellStyleXfs count="5">
    <xf numFmtId="0" fontId="0" fillId="0" borderId="0"/>
    <xf numFmtId="9"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0" fontId="17" fillId="0" borderId="0" applyNumberFormat="0" applyFill="0" applyBorder="0" applyAlignment="0" applyProtection="0"/>
  </cellStyleXfs>
  <cellXfs count="151">
    <xf numFmtId="0" fontId="0" fillId="0" borderId="0" xfId="0"/>
    <xf numFmtId="0" fontId="0" fillId="0" borderId="0" xfId="0" pivotButton="1"/>
    <xf numFmtId="0" fontId="0" fillId="0" borderId="0" xfId="0" applyAlignment="1">
      <alignment horizontal="left"/>
    </xf>
    <xf numFmtId="0" fontId="4" fillId="0" borderId="0" xfId="0" applyFont="1"/>
    <xf numFmtId="0" fontId="4" fillId="0" borderId="0" xfId="0" applyFont="1" applyAlignment="1">
      <alignment horizontal="left"/>
    </xf>
    <xf numFmtId="0" fontId="0" fillId="0" borderId="0" xfId="0" applyAlignment="1">
      <alignment horizontal="left" indent="1"/>
    </xf>
    <xf numFmtId="9" fontId="0" fillId="0" borderId="0" xfId="1" applyFont="1" applyFill="1"/>
    <xf numFmtId="0" fontId="0" fillId="0" borderId="0" xfId="0" applyAlignment="1">
      <alignment horizontal="left" indent="2"/>
    </xf>
    <xf numFmtId="0" fontId="0" fillId="0" borderId="0" xfId="0" applyAlignment="1">
      <alignment horizontal="left" indent="3"/>
    </xf>
    <xf numFmtId="165" fontId="0" fillId="0" borderId="0" xfId="0" applyNumberFormat="1"/>
    <xf numFmtId="165" fontId="0" fillId="0" borderId="0" xfId="2" applyFont="1" applyFill="1"/>
    <xf numFmtId="166" fontId="0" fillId="0" borderId="0" xfId="0" applyNumberFormat="1"/>
    <xf numFmtId="0" fontId="6" fillId="0" borderId="0" xfId="0" applyFont="1"/>
    <xf numFmtId="165" fontId="0" fillId="0" borderId="0" xfId="2" applyFont="1" applyAlignment="1">
      <alignment horizontal="left"/>
    </xf>
    <xf numFmtId="165" fontId="0" fillId="0" borderId="0" xfId="2" applyFont="1"/>
    <xf numFmtId="167" fontId="0" fillId="0" borderId="0" xfId="2" applyNumberFormat="1" applyFont="1"/>
    <xf numFmtId="167" fontId="0" fillId="0" borderId="0" xfId="2" applyNumberFormat="1" applyFont="1" applyFill="1"/>
    <xf numFmtId="167" fontId="0" fillId="0" borderId="0" xfId="0" applyNumberFormat="1"/>
    <xf numFmtId="166" fontId="0" fillId="0" borderId="0" xfId="2" applyNumberFormat="1" applyFont="1" applyFill="1"/>
    <xf numFmtId="165" fontId="0" fillId="0" borderId="0" xfId="0" applyNumberFormat="1" applyAlignment="1">
      <alignment horizontal="left"/>
    </xf>
    <xf numFmtId="166" fontId="0" fillId="0" borderId="0" xfId="2" applyNumberFormat="1" applyFont="1" applyFill="1" applyBorder="1"/>
    <xf numFmtId="0" fontId="3" fillId="0" borderId="0" xfId="0" applyFont="1"/>
    <xf numFmtId="166" fontId="3" fillId="0" borderId="0" xfId="0" applyNumberFormat="1" applyFont="1"/>
    <xf numFmtId="166" fontId="0" fillId="0" borderId="0" xfId="0" pivotButton="1" applyNumberFormat="1"/>
    <xf numFmtId="166" fontId="0" fillId="0" borderId="0" xfId="0" applyNumberFormat="1" applyAlignment="1">
      <alignment horizontal="left"/>
    </xf>
    <xf numFmtId="166" fontId="4" fillId="0" borderId="1" xfId="0" applyNumberFormat="1" applyFont="1" applyBorder="1"/>
    <xf numFmtId="165" fontId="4" fillId="0" borderId="0" xfId="0" applyNumberFormat="1" applyFont="1"/>
    <xf numFmtId="10" fontId="0" fillId="0" borderId="0" xfId="0" applyNumberFormat="1"/>
    <xf numFmtId="165" fontId="0" fillId="0" borderId="0" xfId="2" applyFont="1" applyFill="1" applyBorder="1" applyAlignment="1">
      <alignment horizontal="left"/>
    </xf>
    <xf numFmtId="0" fontId="0" fillId="4" borderId="0" xfId="0" applyFill="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8" fillId="0" borderId="0" xfId="0" applyFont="1"/>
    <xf numFmtId="2" fontId="0" fillId="0" borderId="0" xfId="0" applyNumberFormat="1"/>
    <xf numFmtId="171" fontId="0" fillId="0" borderId="0" xfId="0" applyNumberFormat="1"/>
    <xf numFmtId="0" fontId="7" fillId="0" borderId="0" xfId="0" applyFont="1"/>
    <xf numFmtId="165" fontId="7" fillId="0" borderId="0" xfId="0" applyNumberFormat="1" applyFont="1"/>
    <xf numFmtId="165" fontId="8" fillId="0" borderId="0" xfId="2" applyFont="1" applyFill="1" applyBorder="1"/>
    <xf numFmtId="165" fontId="9" fillId="0" borderId="0" xfId="0" applyNumberFormat="1" applyFont="1"/>
    <xf numFmtId="0" fontId="0" fillId="4" borderId="0" xfId="0" applyFill="1" applyAlignment="1">
      <alignment horizontal="center" vertical="center"/>
    </xf>
    <xf numFmtId="171" fontId="0" fillId="4" borderId="0" xfId="0" applyNumberFormat="1" applyFill="1" applyAlignment="1">
      <alignment vertical="center"/>
    </xf>
    <xf numFmtId="165" fontId="0" fillId="4" borderId="0" xfId="2" applyFont="1" applyFill="1" applyBorder="1" applyAlignment="1">
      <alignment vertical="center"/>
    </xf>
    <xf numFmtId="9" fontId="0" fillId="0" borderId="0" xfId="0" applyNumberFormat="1"/>
    <xf numFmtId="0" fontId="10" fillId="4" borderId="0" xfId="0" applyFont="1" applyFill="1"/>
    <xf numFmtId="0" fontId="10" fillId="4" borderId="0" xfId="0" applyFont="1" applyFill="1" applyAlignment="1">
      <alignment vertical="center"/>
    </xf>
    <xf numFmtId="171" fontId="10" fillId="4" borderId="0" xfId="3" applyNumberFormat="1" applyFont="1" applyFill="1" applyBorder="1" applyAlignment="1">
      <alignment vertical="center"/>
    </xf>
    <xf numFmtId="49" fontId="10" fillId="4" borderId="0" xfId="3" applyNumberFormat="1" applyFont="1" applyFill="1" applyBorder="1" applyAlignment="1">
      <alignment vertical="center"/>
    </xf>
    <xf numFmtId="171" fontId="0" fillId="0" borderId="0" xfId="2" applyNumberFormat="1" applyFont="1"/>
    <xf numFmtId="9" fontId="0" fillId="0" borderId="0" xfId="1" applyFont="1"/>
    <xf numFmtId="165" fontId="0" fillId="0" borderId="13" xfId="0" applyNumberFormat="1" applyBorder="1" applyAlignment="1">
      <alignment horizontal="left"/>
    </xf>
    <xf numFmtId="1" fontId="0" fillId="0" borderId="0" xfId="0" applyNumberFormat="1"/>
    <xf numFmtId="49" fontId="0" fillId="0" borderId="0" xfId="0" applyNumberFormat="1"/>
    <xf numFmtId="49" fontId="0" fillId="0" borderId="0" xfId="2" applyNumberFormat="1" applyFont="1" applyFill="1" applyBorder="1" applyAlignment="1">
      <alignment horizontal="left"/>
    </xf>
    <xf numFmtId="171" fontId="0" fillId="0" borderId="0" xfId="2" applyNumberFormat="1" applyFont="1" applyFill="1"/>
    <xf numFmtId="171" fontId="0" fillId="0" borderId="0" xfId="1" applyNumberFormat="1" applyFont="1" applyFill="1"/>
    <xf numFmtId="0" fontId="0" fillId="4" borderId="6" xfId="0" applyFill="1" applyBorder="1" applyAlignment="1">
      <alignment horizontal="center" vertical="center"/>
    </xf>
    <xf numFmtId="0" fontId="0" fillId="4" borderId="7" xfId="0" applyFill="1" applyBorder="1" applyAlignment="1">
      <alignment horizontal="center" vertical="center"/>
    </xf>
    <xf numFmtId="1" fontId="0" fillId="0" borderId="0" xfId="2" applyNumberFormat="1" applyFont="1" applyFill="1"/>
    <xf numFmtId="167" fontId="11" fillId="0" borderId="0" xfId="0" applyNumberFormat="1" applyFont="1"/>
    <xf numFmtId="0" fontId="11" fillId="0" borderId="0" xfId="0" applyFont="1"/>
    <xf numFmtId="166" fontId="11" fillId="0" borderId="0" xfId="0" applyNumberFormat="1" applyFont="1"/>
    <xf numFmtId="167" fontId="11" fillId="0" borderId="0" xfId="2" applyNumberFormat="1" applyFont="1"/>
    <xf numFmtId="167" fontId="11" fillId="0" borderId="0" xfId="2" applyNumberFormat="1" applyFont="1" applyFill="1"/>
    <xf numFmtId="171" fontId="11" fillId="0" borderId="0" xfId="0" applyNumberFormat="1" applyFont="1"/>
    <xf numFmtId="1" fontId="4" fillId="0" borderId="0" xfId="0" applyNumberFormat="1" applyFont="1"/>
    <xf numFmtId="1" fontId="4" fillId="0" borderId="0" xfId="2" applyNumberFormat="1" applyFont="1" applyFill="1"/>
    <xf numFmtId="166" fontId="0" fillId="0" borderId="0" xfId="2" applyNumberFormat="1" applyFont="1" applyBorder="1" applyAlignment="1">
      <alignment horizontal="left"/>
    </xf>
    <xf numFmtId="166" fontId="0" fillId="0" borderId="0" xfId="2" applyNumberFormat="1" applyFont="1" applyBorder="1"/>
    <xf numFmtId="165" fontId="0" fillId="0" borderId="0" xfId="2" applyFont="1" applyBorder="1"/>
    <xf numFmtId="49" fontId="0" fillId="4" borderId="0" xfId="0" applyNumberFormat="1" applyFill="1"/>
    <xf numFmtId="0" fontId="0" fillId="4" borderId="0" xfId="0" applyFill="1" applyAlignment="1">
      <alignment horizontal="center"/>
    </xf>
    <xf numFmtId="166" fontId="0" fillId="4" borderId="0" xfId="0" applyNumberFormat="1" applyFill="1"/>
    <xf numFmtId="170" fontId="0" fillId="4" borderId="0" xfId="0" applyNumberFormat="1" applyFill="1"/>
    <xf numFmtId="170" fontId="0" fillId="4" borderId="0" xfId="0" applyNumberFormat="1" applyFill="1" applyAlignment="1">
      <alignment horizontal="left" vertical="top"/>
    </xf>
    <xf numFmtId="171" fontId="8" fillId="0" borderId="0" xfId="0" applyNumberFormat="1" applyFont="1"/>
    <xf numFmtId="0" fontId="13" fillId="0" borderId="0" xfId="0" applyFont="1"/>
    <xf numFmtId="165" fontId="0" fillId="0" borderId="0" xfId="2" applyFont="1" applyFill="1" applyBorder="1"/>
    <xf numFmtId="0" fontId="0" fillId="0" borderId="15" xfId="0" applyBorder="1"/>
    <xf numFmtId="165" fontId="0" fillId="0" borderId="14" xfId="2" applyFont="1" applyFill="1" applyBorder="1"/>
    <xf numFmtId="171" fontId="0" fillId="0" borderId="12" xfId="0" applyNumberFormat="1" applyBorder="1"/>
    <xf numFmtId="9" fontId="14" fillId="4" borderId="0" xfId="0" applyNumberFormat="1" applyFont="1" applyFill="1" applyAlignment="1">
      <alignment horizontal="right"/>
    </xf>
    <xf numFmtId="171" fontId="0" fillId="0" borderId="0" xfId="1" applyNumberFormat="1" applyFont="1"/>
    <xf numFmtId="0" fontId="0" fillId="4" borderId="17" xfId="0" applyFill="1" applyBorder="1"/>
    <xf numFmtId="0" fontId="0" fillId="4" borderId="18" xfId="0" applyFill="1" applyBorder="1"/>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4" borderId="24" xfId="0" applyFill="1" applyBorder="1"/>
    <xf numFmtId="0" fontId="0" fillId="5" borderId="4" xfId="0" applyFill="1" applyBorder="1"/>
    <xf numFmtId="171" fontId="0" fillId="5" borderId="4" xfId="3" applyNumberFormat="1" applyFont="1" applyFill="1" applyBorder="1"/>
    <xf numFmtId="0" fontId="0" fillId="5" borderId="0" xfId="0" applyFill="1" applyAlignment="1">
      <alignment vertical="center"/>
    </xf>
    <xf numFmtId="0" fontId="0" fillId="5" borderId="0" xfId="0" applyFill="1"/>
    <xf numFmtId="171" fontId="0" fillId="5" borderId="0" xfId="3" applyNumberFormat="1" applyFont="1" applyFill="1" applyBorder="1"/>
    <xf numFmtId="0" fontId="10" fillId="5" borderId="0" xfId="0" applyFont="1" applyFill="1"/>
    <xf numFmtId="165" fontId="0" fillId="5" borderId="0" xfId="2" applyFont="1" applyFill="1" applyBorder="1" applyAlignment="1">
      <alignment vertical="center"/>
    </xf>
    <xf numFmtId="171" fontId="16" fillId="5" borderId="0" xfId="2" applyNumberFormat="1" applyFont="1" applyFill="1" applyBorder="1" applyAlignment="1">
      <alignment vertical="center"/>
    </xf>
    <xf numFmtId="171" fontId="0" fillId="5" borderId="0" xfId="0" applyNumberFormat="1" applyFill="1" applyAlignment="1">
      <alignment vertical="center"/>
    </xf>
    <xf numFmtId="1" fontId="0" fillId="5" borderId="0" xfId="0" applyNumberFormat="1" applyFill="1"/>
    <xf numFmtId="0" fontId="0" fillId="5" borderId="0" xfId="0" applyFill="1" applyAlignment="1">
      <alignment horizontal="right"/>
    </xf>
    <xf numFmtId="0" fontId="0" fillId="5" borderId="6" xfId="0" applyFill="1" applyBorder="1"/>
    <xf numFmtId="49" fontId="0" fillId="4" borderId="7" xfId="0" applyNumberFormat="1" applyFill="1" applyBorder="1"/>
    <xf numFmtId="0" fontId="0" fillId="5" borderId="7" xfId="0" applyFill="1" applyBorder="1"/>
    <xf numFmtId="49" fontId="15" fillId="5" borderId="0" xfId="0" applyNumberFormat="1" applyFont="1" applyFill="1" applyAlignment="1">
      <alignment horizontal="left"/>
    </xf>
    <xf numFmtId="49" fontId="15" fillId="5" borderId="7" xfId="0" applyNumberFormat="1" applyFont="1" applyFill="1" applyBorder="1" applyAlignment="1">
      <alignment horizontal="left"/>
    </xf>
    <xf numFmtId="0" fontId="15" fillId="5" borderId="0" xfId="0" applyFont="1" applyFill="1" applyAlignment="1">
      <alignment horizontal="left"/>
    </xf>
    <xf numFmtId="0" fontId="15" fillId="5" borderId="7" xfId="0" applyFont="1" applyFill="1" applyBorder="1" applyAlignment="1">
      <alignment horizontal="left"/>
    </xf>
    <xf numFmtId="0" fontId="12" fillId="0" borderId="0" xfId="0" applyFont="1"/>
    <xf numFmtId="49" fontId="15" fillId="6" borderId="16" xfId="3" applyNumberFormat="1" applyFont="1" applyFill="1" applyBorder="1" applyAlignment="1" applyProtection="1">
      <alignment horizontal="left"/>
      <protection locked="0"/>
    </xf>
    <xf numFmtId="49" fontId="15" fillId="6" borderId="11" xfId="0" applyNumberFormat="1" applyFont="1" applyFill="1" applyBorder="1" applyProtection="1">
      <protection locked="0"/>
    </xf>
    <xf numFmtId="0" fontId="15" fillId="6" borderId="11" xfId="0" applyFont="1" applyFill="1" applyBorder="1" applyAlignment="1" applyProtection="1">
      <alignment horizontal="left"/>
      <protection locked="0"/>
    </xf>
    <xf numFmtId="49" fontId="15" fillId="6" borderId="16" xfId="2" applyNumberFormat="1" applyFont="1" applyFill="1" applyBorder="1" applyAlignment="1" applyProtection="1">
      <alignment horizontal="left" vertical="center"/>
      <protection locked="0"/>
    </xf>
    <xf numFmtId="166" fontId="8" fillId="0" borderId="0" xfId="2" applyNumberFormat="1" applyFont="1" applyFill="1" applyBorder="1" applyAlignment="1">
      <alignment horizontal="left"/>
    </xf>
    <xf numFmtId="166" fontId="8" fillId="0" borderId="0" xfId="2" applyNumberFormat="1" applyFont="1" applyFill="1" applyBorder="1"/>
    <xf numFmtId="0" fontId="9" fillId="0" borderId="0" xfId="0" applyFont="1" applyAlignment="1">
      <alignment horizontal="left"/>
    </xf>
    <xf numFmtId="165" fontId="6" fillId="0" borderId="0" xfId="0" applyNumberFormat="1" applyFont="1"/>
    <xf numFmtId="10" fontId="4" fillId="0" borderId="0" xfId="0" applyNumberFormat="1" applyFont="1"/>
    <xf numFmtId="49" fontId="0" fillId="0" borderId="0" xfId="0" applyNumberFormat="1" applyAlignment="1">
      <alignment horizontal="left"/>
    </xf>
    <xf numFmtId="2" fontId="0" fillId="0" borderId="0" xfId="2" applyNumberFormat="1" applyFont="1" applyFill="1" applyBorder="1"/>
    <xf numFmtId="9" fontId="0" fillId="0" borderId="0" xfId="1" applyFont="1" applyFill="1" applyBorder="1"/>
    <xf numFmtId="166" fontId="8" fillId="0" borderId="0" xfId="2" applyNumberFormat="1" applyFont="1" applyBorder="1" applyAlignment="1">
      <alignment horizontal="left"/>
    </xf>
    <xf numFmtId="166" fontId="8" fillId="0" borderId="0" xfId="2" applyNumberFormat="1" applyFont="1" applyBorder="1"/>
    <xf numFmtId="165" fontId="8" fillId="0" borderId="0" xfId="2" applyFont="1" applyBorder="1"/>
    <xf numFmtId="0" fontId="7" fillId="3" borderId="25" xfId="0" applyFont="1" applyFill="1" applyBorder="1"/>
    <xf numFmtId="165" fontId="9" fillId="7" borderId="26" xfId="0" applyNumberFormat="1" applyFont="1" applyFill="1" applyBorder="1"/>
    <xf numFmtId="165" fontId="9" fillId="2" borderId="26" xfId="0" applyNumberFormat="1" applyFont="1" applyFill="1" applyBorder="1"/>
    <xf numFmtId="165" fontId="2" fillId="0" borderId="0" xfId="0" applyNumberFormat="1" applyFont="1"/>
    <xf numFmtId="10" fontId="2" fillId="0" borderId="0" xfId="0" applyNumberFormat="1" applyFont="1"/>
    <xf numFmtId="0" fontId="17" fillId="0" borderId="0" xfId="4" applyFill="1"/>
    <xf numFmtId="0" fontId="0" fillId="5" borderId="21" xfId="0" applyFill="1" applyBorder="1"/>
    <xf numFmtId="0" fontId="9" fillId="0" borderId="0" xfId="0" applyFont="1"/>
    <xf numFmtId="166" fontId="7" fillId="3" borderId="27" xfId="0" applyNumberFormat="1" applyFont="1" applyFill="1" applyBorder="1"/>
    <xf numFmtId="9" fontId="0" fillId="7" borderId="14" xfId="0" applyNumberFormat="1" applyFill="1" applyBorder="1"/>
    <xf numFmtId="167" fontId="1" fillId="0" borderId="0" xfId="0" applyNumberFormat="1" applyFont="1"/>
    <xf numFmtId="0" fontId="15" fillId="6" borderId="16" xfId="0" applyFont="1" applyFill="1" applyBorder="1" applyAlignment="1" applyProtection="1">
      <alignment horizontal="left" vertical="center"/>
      <protection locked="0"/>
    </xf>
    <xf numFmtId="169" fontId="0" fillId="0" borderId="0" xfId="2" applyNumberFormat="1" applyFont="1" applyFill="1" applyBorder="1"/>
    <xf numFmtId="168" fontId="0" fillId="0" borderId="0" xfId="2" applyNumberFormat="1" applyFont="1" applyFill="1" applyBorder="1"/>
    <xf numFmtId="169" fontId="0" fillId="0" borderId="0" xfId="0" applyNumberFormat="1"/>
    <xf numFmtId="0" fontId="0" fillId="0" borderId="0" xfId="0" applyAlignment="1">
      <alignment horizontal="center"/>
    </xf>
    <xf numFmtId="0" fontId="7" fillId="3" borderId="2" xfId="0" applyFont="1" applyFill="1" applyBorder="1" applyAlignment="1">
      <alignment horizontal="center"/>
    </xf>
    <xf numFmtId="0" fontId="7" fillId="3" borderId="0" xfId="0" applyFont="1" applyFill="1" applyAlignment="1">
      <alignment horizontal="center"/>
    </xf>
    <xf numFmtId="0" fontId="0" fillId="2" borderId="2" xfId="0" applyFill="1" applyBorder="1" applyAlignment="1">
      <alignment horizontal="center"/>
    </xf>
    <xf numFmtId="0" fontId="0" fillId="2" borderId="0" xfId="0" applyFill="1" applyAlignment="1">
      <alignment horizontal="center"/>
    </xf>
    <xf numFmtId="49" fontId="15" fillId="5" borderId="0" xfId="0" applyNumberFormat="1" applyFont="1" applyFill="1" applyAlignment="1">
      <alignment horizontal="center" vertical="top"/>
    </xf>
    <xf numFmtId="171" fontId="16" fillId="5" borderId="0" xfId="2" applyNumberFormat="1" applyFont="1" applyFill="1" applyBorder="1" applyAlignment="1">
      <alignment horizontal="center" vertical="center"/>
    </xf>
  </cellXfs>
  <cellStyles count="5">
    <cellStyle name="Comma" xfId="2" builtinId="3"/>
    <cellStyle name="Currency" xfId="3" builtinId="4"/>
    <cellStyle name="Hyperlink" xfId="4" builtinId="8"/>
    <cellStyle name="Normal" xfId="0" builtinId="0"/>
    <cellStyle name="Per cent" xfId="1" builtinId="5"/>
  </cellStyles>
  <dxfs count="636">
    <dxf>
      <numFmt numFmtId="165" formatCode="_-* #,##0.00_-;\-* #,##0.0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71" formatCode="_-[$€-2]\ * #,##0.00_-;\-[$€-2]\ * #,##0.00_-;_-[$€-2]\ * &quot;-&quot;??_-;_-@_-"/>
    </dxf>
    <dxf>
      <font>
        <b val="0"/>
        <i val="0"/>
        <strike val="0"/>
        <condense val="0"/>
        <extend val="0"/>
        <outline val="0"/>
        <shadow val="0"/>
        <u val="none"/>
        <vertAlign val="baseline"/>
        <sz val="11"/>
        <color theme="1"/>
        <name val="Calibri"/>
        <family val="2"/>
        <scheme val="minor"/>
      </font>
    </dxf>
    <dxf>
      <numFmt numFmtId="171" formatCode="_-[$€-2]\ * #,##0.00_-;\-[$€-2]\ * #,##0.00_-;_-[$€-2]\ * &quot;-&quot;??_-;_-@_-"/>
    </dxf>
    <dxf>
      <numFmt numFmtId="171" formatCode="_-[$€-2]\ * #,##0.00_-;\-[$€-2]\ * #,##0.00_-;_-[$€-2]\ * &quot;-&quot;??_-;_-@_-"/>
      <fill>
        <patternFill patternType="none">
          <fgColor indexed="64"/>
          <bgColor auto="1"/>
        </patternFill>
      </fill>
    </dxf>
    <dxf>
      <numFmt numFmtId="171" formatCode="_-[$€-2]\ * #,##0.00_-;\-[$€-2]\ * #,##0.00_-;_-[$€-2]\ * &quot;-&quot;??_-;_-@_-"/>
      <fill>
        <patternFill patternType="none">
          <fgColor indexed="64"/>
          <bgColor auto="1"/>
        </patternFill>
      </fill>
    </dxf>
    <dxf>
      <numFmt numFmtId="171" formatCode="_-[$€-2]\ * #,##0.00_-;\-[$€-2]\ * #,##0.00_-;_-[$€-2]\ * &quot;-&quot;??_-;_-@_-"/>
      <fill>
        <patternFill patternType="none">
          <fgColor indexed="64"/>
          <bgColor auto="1"/>
        </patternFill>
      </fill>
    </dxf>
    <dxf>
      <numFmt numFmtId="171" formatCode="_-[$€-2]\ * #,##0.00_-;\-[$€-2]\ * #,##0.00_-;_-[$€-2]\ * &quot;-&quot;??_-;_-@_-"/>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71" formatCode="_-[$€-2]\ * #,##0.00_-;\-[$€-2]\ * #,##0.00_-;_-[$€-2]\ * &quot;-&quot;??_-;_-@_-"/>
      <fill>
        <patternFill patternType="none">
          <fgColor indexed="64"/>
          <bgColor auto="1"/>
        </patternFill>
      </fill>
    </dxf>
    <dxf>
      <numFmt numFmtId="171" formatCode="_-[$€-2]\ * #,##0.00_-;\-[$€-2]\ * #,##0.00_-;_-[$€-2]\ * &quot;-&quot;??_-;_-@_-"/>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font>
        <b val="0"/>
        <i val="0"/>
        <strike val="0"/>
        <condense val="0"/>
        <extend val="0"/>
        <outline val="0"/>
        <shadow val="0"/>
        <u val="none"/>
        <vertAlign val="baseline"/>
        <sz val="11"/>
        <color theme="1"/>
        <name val="Calibri"/>
        <family val="2"/>
        <scheme val="minor"/>
      </font>
      <numFmt numFmtId="171" formatCode="_-[$€-2]\ * #,##0.00_-;\-[$€-2]\ * #,##0.00_-;_-[$€-2]\ * &quot;-&quot;??_-;_-@_-"/>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71" formatCode="_-[$€-2]\ * #,##0.00_-;\-[$€-2]\ * #,##0.00_-;_-[$€-2]\ * &quot;-&quot;??_-;_-@_-"/>
      <fill>
        <patternFill patternType="solid">
          <fgColor theme="6" tint="0.59999389629810485"/>
          <bgColor theme="6" tint="0.59999389629810485"/>
        </patternFill>
      </fill>
      <border diagonalUp="0" diagonalDown="0" outline="0">
        <left style="thin">
          <color theme="0"/>
        </left>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numFmt numFmtId="171" formatCode="_-[$€-2]\ * #,##0.00_-;\-[$€-2]\ * #,##0.00_-;_-[$€-2]\ * &quot;-&quot;??_-;_-@_-"/>
      <fill>
        <patternFill patternType="none">
          <fgColor indexed="64"/>
          <bgColor auto="1"/>
        </patternFill>
      </fill>
    </dxf>
    <dxf>
      <numFmt numFmtId="171" formatCode="_-[$€-2]\ * #,##0.00_-;\-[$€-2]\ * #,##0.00_-;_-[$€-2]\ * &quot;-&quot;??_-;_-@_-"/>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71" formatCode="_-[$€-2]\ * #,##0.00_-;\-[$€-2]\ * #,##0.00_-;_-[$€-2]\ * &quot;-&quot;??_-;_-@_-"/>
      <fill>
        <patternFill patternType="none">
          <fgColor indexed="64"/>
          <bgColor indexed="65"/>
        </patternFill>
      </fill>
      <border diagonalUp="0" diagonalDown="0">
        <left style="thin">
          <color theme="0"/>
        </left>
        <right/>
        <top/>
        <bottom/>
        <vertical/>
        <horizontal/>
      </border>
    </dxf>
    <dxf>
      <font>
        <b val="0"/>
        <i val="0"/>
        <strike val="0"/>
        <condense val="0"/>
        <extend val="0"/>
        <outline val="0"/>
        <shadow val="0"/>
        <u val="none"/>
        <vertAlign val="baseline"/>
        <sz val="11"/>
        <color theme="1"/>
        <name val="Calibri"/>
        <family val="2"/>
        <scheme val="minor"/>
      </font>
      <numFmt numFmtId="171" formatCode="_-[$€-2]\ * #,##0.00_-;\-[$€-2]\ * #,##0.00_-;_-[$€-2]\ * &quot;-&quot;??_-;_-@_-"/>
      <fill>
        <patternFill patternType="none">
          <fgColor indexed="64"/>
          <bgColor indexed="65"/>
        </patternFill>
      </fill>
      <border diagonalUp="0" diagonalDown="0" outline="0">
        <left style="thin">
          <color theme="0"/>
        </left>
        <right/>
        <top/>
        <bottom/>
      </border>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0" formatCode="General"/>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171" formatCode="_-[$€-2]\ * #,##0.00_-;\-[$€-2]\ * #,##0.00_-;_-[$€-2]\ * &quot;-&quot;??_-;_-@_-"/>
    </dxf>
    <dxf>
      <numFmt numFmtId="165" formatCode="_-* #,##0.00_-;\-* #,##0.00_-;_-* &quot;-&quot;??_-;_-@_-"/>
    </dxf>
    <dxf>
      <font>
        <b val="0"/>
        <i val="0"/>
        <strike val="0"/>
        <condense val="0"/>
        <extend val="0"/>
        <outline val="0"/>
        <shadow val="0"/>
        <u val="none"/>
        <vertAlign val="baseline"/>
        <sz val="11"/>
        <color theme="1"/>
        <name val="Calibri"/>
        <family val="2"/>
        <scheme val="minor"/>
      </font>
    </dxf>
    <dxf>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00_-;\-* #,##0.00_-;_-* &quot;-&quot;??_-;_-@_-"/>
      <alignment horizontal="left" vertical="bottom" textRotation="0" wrapText="0" indent="0" justifyLastLine="0" shrinkToFit="0" readingOrder="0"/>
      <border diagonalUp="0" diagonalDown="0">
        <left/>
        <right/>
        <top style="thin">
          <color theme="6" tint="0.79998168889431442"/>
        </top>
        <bottom style="thin">
          <color theme="6" tint="0.79998168889431442"/>
        </bottom>
        <vertical/>
        <horizontal/>
      </border>
    </dxf>
    <dxf>
      <numFmt numFmtId="1" formatCode="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dxf>
    <dxf>
      <numFmt numFmtId="1" formatCode="0"/>
      <fill>
        <patternFill patternType="none">
          <fgColor indexed="64"/>
          <bgColor indexed="65"/>
        </patternFill>
      </fill>
    </dxf>
    <dxf>
      <font>
        <sz val="12"/>
        <color rgb="FF3F3F76"/>
      </font>
      <numFmt numFmtId="30" formatCode="@"/>
      <fill>
        <patternFill patternType="none">
          <fgColor indexed="64"/>
          <bgColor indexed="65"/>
        </patternFill>
      </fill>
    </dxf>
    <dxf>
      <numFmt numFmtId="30" formatCode="@"/>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outline="0">
        <left/>
        <right/>
        <top/>
        <bottom/>
      </border>
    </dxf>
    <dxf>
      <fill>
        <patternFill patternType="none">
          <fgColor indexed="64"/>
          <bgColor indexed="65"/>
        </patternFill>
      </fill>
    </dxf>
    <dxf>
      <fill>
        <patternFill patternType="none">
          <fgColor indexed="64"/>
          <bgColor indexed="65"/>
        </patternFill>
      </fill>
      <border diagonalUp="0" diagonalDown="0" outline="0">
        <left/>
        <right/>
        <top/>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outline="0">
        <left/>
        <right/>
        <top/>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name val="Calibri"/>
        <family val="2"/>
        <scheme val="minor"/>
      </font>
      <numFmt numFmtId="171" formatCode="_-[$€-2]\ * #,##0.00_-;\-[$€-2]\ * #,##0.00_-;_-[$€-2]\ * &quot;-&quot;??_-;_-@_-"/>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Calibri"/>
        <family val="2"/>
        <scheme val="minor"/>
      </font>
      <numFmt numFmtId="171" formatCode="_-[$€-2]\ * #,##0.00_-;\-[$€-2]\ * #,##0.00_-;_-[$€-2]\ * &quot;-&quot;??_-;_-@_-"/>
      <fill>
        <patternFill patternType="none">
          <fgColor indexed="64"/>
          <bgColor indexed="65"/>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numFmt numFmtId="165" formatCode="_-* #,##0.00_-;\-* #,##0.00_-;_-* &quot;-&quot;??_-;_-@_-"/>
      <fill>
        <patternFill patternType="none">
          <fgColor indexed="64"/>
          <bgColor indexed="65"/>
        </patternFill>
      </fill>
    </dxf>
    <dxf>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theme="1"/>
        <name val="Calibri"/>
        <family val="2"/>
        <scheme val="minor"/>
      </font>
      <numFmt numFmtId="171" formatCode="_-[$€-2]\ * #,##0.00_-;\-[$€-2]\ * #,##0.00_-;_-[$€-2]\ * &quot;-&quot;??_-;_-@_-"/>
    </dxf>
    <dxf>
      <fill>
        <patternFill patternType="none">
          <fgColor indexed="64"/>
          <bgColor indexed="65"/>
        </patternFill>
      </fill>
    </dxf>
    <dxf>
      <numFmt numFmtId="14" formatCode="0.00%"/>
      <fill>
        <patternFill patternType="none">
          <fgColor indexed="64"/>
          <bgColor indexed="65"/>
        </patternFill>
      </fill>
    </dxf>
    <dxf>
      <numFmt numFmtId="14" formatCode="0.00%"/>
      <fill>
        <patternFill patternType="none">
          <fgColor indexed="64"/>
          <bgColor indexed="65"/>
        </patternFill>
      </fill>
    </dxf>
    <dxf>
      <numFmt numFmtId="14" formatCode="0.00%"/>
      <fill>
        <patternFill patternType="none">
          <fgColor indexed="64"/>
          <bgColor indexed="65"/>
        </patternFill>
      </fill>
    </dxf>
    <dxf>
      <numFmt numFmtId="14" formatCode="0.00%"/>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00_-;\-* #,##0.00_-;_-* &quot;-&quot;??_-;_-@_-"/>
      <alignment horizontal="left" vertical="bottom" textRotation="0" wrapText="0" indent="0" justifyLastLine="0" shrinkToFit="0" readingOrder="0"/>
      <border diagonalUp="0" diagonalDown="0">
        <left/>
        <right/>
        <top style="thin">
          <color theme="6" tint="0.79998168889431442"/>
        </top>
        <bottom style="thin">
          <color theme="6" tint="0.79998168889431442"/>
        </bottom>
        <vertical/>
        <horizontal/>
      </border>
    </dxf>
    <dxf>
      <numFmt numFmtId="165" formatCode="_-* #,##0.00_-;\-* #,##0.00_-;_-* &quot;-&quot;??_-;_-@_-"/>
      <fill>
        <patternFill patternType="none">
          <fgColor indexed="64"/>
          <bgColor indexed="65"/>
        </patternFill>
      </fill>
    </dxf>
    <dxf>
      <numFmt numFmtId="2" formatCode="0.00"/>
    </dxf>
    <dxf>
      <font>
        <strike val="0"/>
        <outline val="0"/>
        <shadow val="0"/>
        <u val="none"/>
        <vertAlign val="baseline"/>
        <sz val="12"/>
        <name val="Calibri"/>
        <family val="2"/>
        <scheme val="minor"/>
      </font>
      <numFmt numFmtId="171" formatCode="_-[$€-2]\ * #,##0.00_-;\-[$€-2]\ * #,##0.00_-;_-[$€-2]\ * &quot;-&quot;??_-;_-@_-"/>
    </dxf>
    <dxf>
      <numFmt numFmtId="165" formatCode="_-* #,##0.00_-;\-* #,##0.00_-;_-* &quot;-&quot;??_-;_-@_-"/>
    </dxf>
    <dxf>
      <numFmt numFmtId="165" formatCode="_-* #,##0.00_-;\-* #,##0.00_-;_-* &quot;-&quot;??_-;_-@_-"/>
    </dxf>
    <dxf>
      <numFmt numFmtId="171" formatCode="_-[$€-2]\ * #,##0.00_-;\-[$€-2]\ * #,##0.00_-;_-[$€-2]\ *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00_-;\-* #,##0.0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_-* #,##0_-;\-* #,##0_-;_-* &quot;-&quot;??_-;_-@_-"/>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numFmt numFmtId="167" formatCode="_([$€-2]\ * #,##0.00_);_([$€-2]\ * \(#,##0.00\);_([$€-2]\ * &quot;-&quot;??_);_(@_)"/>
    </dxf>
    <dxf>
      <font>
        <strike val="0"/>
        <outline val="0"/>
        <shadow val="0"/>
        <u val="none"/>
        <vertAlign val="baseline"/>
        <sz val="12"/>
        <name val="Calibri"/>
        <family val="2"/>
        <scheme val="minor"/>
      </font>
      <numFmt numFmtId="167" formatCode="_([$€-2]\ * #,##0.00_);_([$€-2]\ * \(#,##0.00\);_([$€-2]\ * &quot;-&quot;??_);_(@_)"/>
    </dxf>
    <dxf>
      <numFmt numFmtId="167" formatCode="_([$€-2]\ * #,##0.00_);_([$€-2]\ * \(#,##0.00\);_([$€-2]\ * &quot;-&quot;??_);_(@_)"/>
      <fill>
        <patternFill patternType="none">
          <fgColor indexed="64"/>
          <bgColor indexed="65"/>
        </patternFill>
      </fill>
    </dxf>
    <dxf>
      <numFmt numFmtId="167" formatCode="_([$€-2]\ * #,##0.00_);_([$€-2]\ * \(#,##0.00\);_([$€-2]\ * &quot;-&quot;??_);_(@_)"/>
      <fill>
        <patternFill patternType="none">
          <fgColor indexed="64"/>
          <bgColor indexed="65"/>
        </patternFill>
      </fill>
    </dxf>
    <dxf>
      <numFmt numFmtId="165" formatCode="_-* #,##0.00_-;\-* #,##0.00_-;_-* &quot;-&quot;??_-;_-@_-"/>
    </dxf>
    <dxf>
      <alignment horizontal="left" vertical="bottom" textRotation="0" wrapText="0" indent="0" justifyLastLine="0" shrinkToFit="0" readingOrder="0"/>
    </dxf>
    <dxf>
      <alignment horizontal="left" vertical="bottom" textRotation="0" wrapText="0" indent="0" justifyLastLine="0" shrinkToFit="0" readingOrder="0"/>
    </dxf>
    <dxf>
      <numFmt numFmtId="166" formatCode="_-* #,##0_-;\-* #,##0_-;_-* &quot;-&quot;??_-;_-@_-"/>
      <fill>
        <patternFill patternType="none">
          <fgColor indexed="64"/>
          <bgColor indexed="65"/>
        </patternFill>
      </fill>
      <alignment horizontal="left" vertical="bottom" textRotation="0" wrapText="0" indent="0" justifyLastLine="0" shrinkToFit="0" readingOrder="0"/>
    </dxf>
    <dxf>
      <font>
        <sz val="12"/>
      </font>
    </dxf>
    <dxf>
      <font>
        <sz val="12"/>
      </font>
    </dxf>
    <dxf>
      <numFmt numFmtId="0" formatCode="General"/>
    </dxf>
    <dxf>
      <numFmt numFmtId="0" formatCode="General"/>
    </dxf>
    <dxf>
      <numFmt numFmtId="0" formatCode="General"/>
    </dxf>
    <dxf>
      <numFmt numFmtId="14" formatCode="0.00%"/>
    </dxf>
    <dxf>
      <numFmt numFmtId="165" formatCode="_-* #,##0.00_-;\-* #,##0.00_-;_-* &quot;-&quot;??_-;_-@_-"/>
    </dxf>
    <dxf>
      <fill>
        <patternFill patternType="none">
          <bgColor auto="1"/>
        </patternFill>
      </fill>
    </dxf>
    <dxf>
      <fill>
        <patternFill patternType="none">
          <bgColor auto="1"/>
        </patternFill>
      </fill>
    </dxf>
    <dxf>
      <fill>
        <patternFill patternType="none">
          <bgColor auto="1"/>
        </patternFill>
      </fill>
    </dxf>
    <dxf>
      <font>
        <sz val="12"/>
      </font>
    </dxf>
    <dxf>
      <numFmt numFmtId="165" formatCode="_-* #,##0.00_-;\-* #,##0.00_-;_-* &quot;-&quot;??_-;_-@_-"/>
    </dxf>
    <dxf>
      <fill>
        <patternFill patternType="none">
          <bgColor auto="1"/>
        </patternFill>
      </fill>
    </dxf>
    <dxf>
      <fill>
        <patternFill patternType="none">
          <bgColor auto="1"/>
        </patternFill>
      </fill>
    </dxf>
    <dxf>
      <fill>
        <patternFill patternType="none">
          <bgColor auto="1"/>
        </patternFill>
      </fill>
    </dxf>
    <dxf>
      <font>
        <sz val="12"/>
      </font>
    </dxf>
    <dxf>
      <font>
        <sz val="12"/>
      </font>
    </dxf>
    <dxf>
      <numFmt numFmtId="14" formatCode="0.00%"/>
    </dxf>
    <dxf>
      <numFmt numFmtId="14" formatCode="0.00%"/>
    </dxf>
    <dxf>
      <numFmt numFmtId="14" formatCode="0.00%"/>
    </dxf>
    <dxf>
      <numFmt numFmtId="14" formatCode="0.00%"/>
    </dxf>
    <dxf>
      <numFmt numFmtId="165" formatCode="_-* #,##0.00_-;\-* #,##0.00_-;_-* &quot;-&quot;??_-;_-@_-"/>
    </dxf>
    <dxf>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5" formatCode="_-* #,##0.00_-;\-* #,##0.00_-;_-* &quot;-&quot;??_-;_-@_-"/>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5" formatCode="_-* #,##0.00_-;\-* #,##0.00_-;_-* &quot;-&quot;??_-;_-@_-"/>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_-* #,##0_-;\-* #,##0_-;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 #,##0_-;_-* &quot;-&quot;??_-;_-@_-"/>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numFmt numFmtId="166" formatCode="_-* #,##0_-;\-* #,##0_-;_-* &quot;-&quot;??_-;_-@_-"/>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_-* #,##0_-;\-* #,##0_-;_-* &quot;-&quot;??_-;_-@_-"/>
    </dxf>
    <dxf>
      <font>
        <b val="0"/>
        <i val="0"/>
        <strike val="0"/>
        <condense val="0"/>
        <extend val="0"/>
        <outline val="0"/>
        <shadow val="0"/>
        <u val="none"/>
        <vertAlign val="baseline"/>
        <sz val="11"/>
        <color auto="1"/>
        <name val="Calibri"/>
        <family val="2"/>
        <scheme val="minor"/>
      </font>
      <numFmt numFmtId="165" formatCode="_-* #,##0.00_-;\-* #,##0.00_-;_-* &quot;-&quot;??_-;_-@_-"/>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5" formatCode="_-* #,##0.00_-;\-* #,##0.00_-;_-* &quot;-&quot;??_-;_-@_-"/>
      <fill>
        <patternFill patternType="none">
          <fgColor indexed="64"/>
          <bgColor indexed="65"/>
        </patternFill>
      </fill>
    </dxf>
    <dxf>
      <font>
        <b/>
        <i val="0"/>
        <strike val="0"/>
        <condense val="0"/>
        <extend val="0"/>
        <outline val="0"/>
        <shadow val="0"/>
        <u val="none"/>
        <vertAlign val="baseline"/>
        <sz val="11"/>
        <color auto="1"/>
        <name val="Calibri"/>
        <family val="2"/>
        <scheme val="minor"/>
      </font>
      <numFmt numFmtId="165" formatCode="_-* #,##0.00_-;\-* #,##0.00_-;_-* &quot;-&quot;??_-;_-@_-"/>
      <fill>
        <patternFill patternType="none">
          <fgColor indexed="64"/>
          <bgColor indexed="65"/>
        </patternFill>
      </fill>
    </dxf>
    <dxf>
      <font>
        <b val="0"/>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_-* #,##0.00_-;\-* #,##0.0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5" formatCode="_-* #,##0.00_-;\-* #,##0.00_-;_-* &quot;-&quot;??_-;_-@_-"/>
    </dxf>
    <dxf>
      <fill>
        <patternFill patternType="none">
          <bgColor auto="1"/>
        </patternFill>
      </fill>
    </dxf>
    <dxf>
      <font>
        <sz val="11"/>
        <color theme="1" tint="0.24994659260841701"/>
      </font>
      <border>
        <bottom style="thin">
          <color theme="0" tint="-0.34998626667073579"/>
        </bottom>
        <vertical/>
        <horizontal/>
      </border>
    </dxf>
    <dxf>
      <font>
        <color theme="1"/>
      </font>
      <fill>
        <patternFill>
          <bgColor rgb="FFEDEADB"/>
        </patternFill>
      </fill>
      <border diagonalUp="0" diagonalDown="0">
        <left/>
        <right/>
        <top/>
        <bottom/>
        <vertical/>
        <horizontal/>
      </border>
    </dxf>
    <dxf>
      <fill>
        <patternFill patternType="solid">
          <bgColor theme="2"/>
        </patternFill>
      </fill>
    </dxf>
    <dxf>
      <fill>
        <patternFill>
          <bgColor theme="2"/>
        </patternFill>
      </fill>
    </dxf>
  </dxfs>
  <tableStyles count="2" defaultTableStyle="TableStyleMedium9" defaultPivotStyle="PivotStyleLight16">
    <tableStyle name="Slicer Style 1" pivot="0" table="0" count="2" xr9:uid="{11DD2EDE-BAE0-45AA-B4B1-6D65881B9B14}">
      <tableStyleElement type="wholeTable" dxfId="635"/>
      <tableStyleElement type="headerRow" dxfId="634"/>
    </tableStyle>
    <tableStyle name="SlicerStyleOther1 2" pivot="0" table="0" count="9" xr9:uid="{9095F28A-4150-423F-85CE-8FBB0F101562}">
      <tableStyleElement type="wholeTable" dxfId="633"/>
      <tableStyleElement type="headerRow" dxfId="632"/>
    </tableStyle>
  </tableStyles>
  <colors>
    <mruColors>
      <color rgb="FF5CA47C"/>
      <color rgb="FF72C0C3"/>
      <color rgb="FFEDEADB"/>
      <color rgb="FF3D8A56"/>
      <color rgb="FFEEEDDB"/>
      <color rgb="FF33608B"/>
      <color rgb="FFFBFBF7"/>
      <color rgb="FF203D58"/>
    </mruColors>
  </colors>
  <extLst>
    <ext xmlns:x14="http://schemas.microsoft.com/office/spreadsheetml/2009/9/main" uri="{46F421CA-312F-682f-3DD2-61675219B42D}">
      <x14:dxfs count="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rgb="FFEDEADB"/>
          </font>
          <fill>
            <patternFill patternType="solid">
              <fgColor theme="0" tint="-0.249977111117893"/>
              <bgColor rgb="FF3D8A56"/>
            </patternFill>
          </fill>
          <border>
            <left style="thin">
              <color rgb="FF999999"/>
            </left>
            <right style="thin">
              <color rgb="FF999999"/>
            </right>
            <top style="thin">
              <color rgb="FF999999"/>
            </top>
            <bottom style="thin">
              <color rgb="FF999999"/>
            </bottom>
            <vertical/>
            <horizontal/>
          </border>
        </dxf>
        <dxf>
          <font>
            <b/>
            <i val="0"/>
            <color rgb="FFEDEADB"/>
          </font>
          <fill>
            <patternFill patternType="solid">
              <fgColor theme="0"/>
              <bgColor theme="8"/>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Other1 2">
          <x14:slicerStyleElements>
            <x14:slicerStyleElement type="unselectedItemWith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image" Target="../media/image1.emf"/><Relationship Id="rId2" Type="http://schemas.microsoft.com/office/2011/relationships/chartColorStyle" Target="colors7.xml"/><Relationship Id="rId1" Type="http://schemas.microsoft.com/office/2011/relationships/chartStyle" Target="style7.xml"/><Relationship Id="rId4" Type="http://schemas.openxmlformats.org/officeDocument/2006/relationships/image" Target="../media/image2.emf"/></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13.xml"/><Relationship Id="rId1" Type="http://schemas.microsoft.com/office/2011/relationships/chartStyle" Target="style13.xml"/><Relationship Id="rId4" Type="http://schemas.openxmlformats.org/officeDocument/2006/relationships/image" Target="../media/image4.png"/></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barChart>
        <c:barDir val="col"/>
        <c:grouping val="clustered"/>
        <c:varyColors val="0"/>
        <c:ser>
          <c:idx val="0"/>
          <c:order val="0"/>
          <c:tx>
            <c:strRef>
              <c:f>Current_Stock!$C$43</c:f>
              <c:strCache>
                <c:ptCount val="1"/>
                <c:pt idx="0">
                  <c:v>Standard Deviation</c:v>
                </c:pt>
              </c:strCache>
            </c:strRef>
          </c:tx>
          <c:spPr>
            <a:solidFill>
              <a:schemeClr val="accent3">
                <a:shade val="76000"/>
              </a:schemeClr>
            </a:solidFill>
            <a:ln>
              <a:noFill/>
            </a:ln>
            <a:effectLst/>
          </c:spPr>
          <c:invertIfNegative val="0"/>
          <c:cat>
            <c:strRef>
              <c:f>Current_Stock!$B$44:$B$49</c:f>
              <c:strCache>
                <c:ptCount val="6"/>
                <c:pt idx="0">
                  <c:v> Milk </c:v>
                </c:pt>
                <c:pt idx="1">
                  <c:v> Yoghurt </c:v>
                </c:pt>
                <c:pt idx="2">
                  <c:v> Cheese </c:v>
                </c:pt>
                <c:pt idx="3">
                  <c:v> Ice Cream </c:v>
                </c:pt>
                <c:pt idx="4">
                  <c:v> Butter </c:v>
                </c:pt>
                <c:pt idx="5">
                  <c:v> Cream </c:v>
                </c:pt>
              </c:strCache>
            </c:strRef>
          </c:cat>
          <c:val>
            <c:numRef>
              <c:f>Current_Stock!$C$44:$C$49</c:f>
              <c:numCache>
                <c:formatCode>_-* #,##0.00_-;\-* #,##0.00_-;_-* "-"??_-;_-@_-</c:formatCode>
                <c:ptCount val="6"/>
                <c:pt idx="0">
                  <c:v>20.731334296863533</c:v>
                </c:pt>
                <c:pt idx="1">
                  <c:v>10.797505380826603</c:v>
                </c:pt>
                <c:pt idx="2">
                  <c:v>8.7630705781994749</c:v>
                </c:pt>
                <c:pt idx="3">
                  <c:v>5.9618069107901777</c:v>
                </c:pt>
                <c:pt idx="4">
                  <c:v>4.4792492082253803</c:v>
                </c:pt>
                <c:pt idx="5">
                  <c:v>0.88496556457134268</c:v>
                </c:pt>
              </c:numCache>
            </c:numRef>
          </c:val>
          <c:extLst>
            <c:ext xmlns:c16="http://schemas.microsoft.com/office/drawing/2014/chart" uri="{C3380CC4-5D6E-409C-BE32-E72D297353CC}">
              <c16:uniqueId val="{00000000-6688-1E4E-BAE1-75D99D68AEEF}"/>
            </c:ext>
          </c:extLst>
        </c:ser>
        <c:ser>
          <c:idx val="1"/>
          <c:order val="1"/>
          <c:tx>
            <c:strRef>
              <c:f>Current_Stock!$D$43</c:f>
              <c:strCache>
                <c:ptCount val="1"/>
                <c:pt idx="0">
                  <c:v>Mean</c:v>
                </c:pt>
              </c:strCache>
            </c:strRef>
          </c:tx>
          <c:spPr>
            <a:solidFill>
              <a:schemeClr val="accent3">
                <a:tint val="77000"/>
              </a:schemeClr>
            </a:solidFill>
            <a:ln>
              <a:noFill/>
            </a:ln>
            <a:effectLst/>
          </c:spPr>
          <c:invertIfNegative val="0"/>
          <c:cat>
            <c:strRef>
              <c:f>Current_Stock!$B$44:$B$49</c:f>
              <c:strCache>
                <c:ptCount val="6"/>
                <c:pt idx="0">
                  <c:v> Milk </c:v>
                </c:pt>
                <c:pt idx="1">
                  <c:v> Yoghurt </c:v>
                </c:pt>
                <c:pt idx="2">
                  <c:v> Cheese </c:v>
                </c:pt>
                <c:pt idx="3">
                  <c:v> Ice Cream </c:v>
                </c:pt>
                <c:pt idx="4">
                  <c:v> Butter </c:v>
                </c:pt>
                <c:pt idx="5">
                  <c:v> Cream </c:v>
                </c:pt>
              </c:strCache>
            </c:strRef>
          </c:cat>
          <c:val>
            <c:numRef>
              <c:f>Current_Stock!$D$44:$D$49</c:f>
              <c:numCache>
                <c:formatCode>_-* #,##0.00_-;\-* #,##0.00_-;_-* "-"??_-;_-@_-</c:formatCode>
                <c:ptCount val="6"/>
                <c:pt idx="0">
                  <c:v>25.648098633392753</c:v>
                </c:pt>
                <c:pt idx="1">
                  <c:v>25.914285714285715</c:v>
                </c:pt>
                <c:pt idx="2">
                  <c:v>9.3887218045112792</c:v>
                </c:pt>
                <c:pt idx="3">
                  <c:v>12.253788593347167</c:v>
                </c:pt>
                <c:pt idx="4">
                  <c:v>12.448120300751881</c:v>
                </c:pt>
                <c:pt idx="5">
                  <c:v>7.333333333333333</c:v>
                </c:pt>
              </c:numCache>
            </c:numRef>
          </c:val>
          <c:extLst>
            <c:ext xmlns:c16="http://schemas.microsoft.com/office/drawing/2014/chart" uri="{C3380CC4-5D6E-409C-BE32-E72D297353CC}">
              <c16:uniqueId val="{00000002-6688-1E4E-BAE1-75D99D68AEEF}"/>
            </c:ext>
          </c:extLst>
        </c:ser>
        <c:dLbls>
          <c:showLegendKey val="0"/>
          <c:showVal val="0"/>
          <c:showCatName val="0"/>
          <c:showSerName val="0"/>
          <c:showPercent val="0"/>
          <c:showBubbleSize val="0"/>
        </c:dLbls>
        <c:gapWidth val="219"/>
        <c:overlap val="-27"/>
        <c:axId val="628308191"/>
        <c:axId val="628360143"/>
      </c:barChart>
      <c:catAx>
        <c:axId val="62830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360143"/>
        <c:crosses val="autoZero"/>
        <c:auto val="1"/>
        <c:lblAlgn val="ctr"/>
        <c:lblOffset val="100"/>
        <c:noMultiLvlLbl val="0"/>
      </c:catAx>
      <c:valAx>
        <c:axId val="628360143"/>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30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rgbClr val="72C0C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Historical_Stock!$S$415:$S$418</c:f>
              <c:numCache>
                <c:formatCode>General</c:formatCode>
                <c:ptCount val="4"/>
                <c:pt idx="0">
                  <c:v>1</c:v>
                </c:pt>
                <c:pt idx="1">
                  <c:v>1</c:v>
                </c:pt>
                <c:pt idx="2">
                  <c:v>3</c:v>
                </c:pt>
                <c:pt idx="3">
                  <c:v>1</c:v>
                </c:pt>
              </c:numCache>
            </c:numRef>
          </c:val>
          <c:smooth val="1"/>
          <c:extLst>
            <c:ext xmlns:c16="http://schemas.microsoft.com/office/drawing/2014/chart" uri="{C3380CC4-5D6E-409C-BE32-E72D297353CC}">
              <c16:uniqueId val="{00000000-2B77-144B-BB10-930D7F8C3A57}"/>
            </c:ext>
          </c:extLst>
        </c:ser>
        <c:dLbls>
          <c:dLblPos val="ctr"/>
          <c:showLegendKey val="0"/>
          <c:showVal val="1"/>
          <c:showCatName val="0"/>
          <c:showSerName val="0"/>
          <c:showPercent val="0"/>
          <c:showBubbleSize val="0"/>
        </c:dLbls>
        <c:smooth val="0"/>
        <c:axId val="1757271039"/>
        <c:axId val="1756847567"/>
      </c:lineChart>
      <c:catAx>
        <c:axId val="1757271039"/>
        <c:scaling>
          <c:orientation val="minMax"/>
        </c:scaling>
        <c:delete val="1"/>
        <c:axPos val="b"/>
        <c:majorTickMark val="none"/>
        <c:minorTickMark val="none"/>
        <c:tickLblPos val="nextTo"/>
        <c:crossAx val="1756847567"/>
        <c:crosses val="autoZero"/>
        <c:auto val="1"/>
        <c:lblAlgn val="ctr"/>
        <c:lblOffset val="100"/>
        <c:noMultiLvlLbl val="0"/>
      </c:catAx>
      <c:valAx>
        <c:axId val="175684756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57271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rgbClr val="72C0C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Historical_Stock!$Q$481:$Q$484</c:f>
              <c:numCache>
                <c:formatCode>General</c:formatCode>
                <c:ptCount val="4"/>
                <c:pt idx="0">
                  <c:v>3</c:v>
                </c:pt>
                <c:pt idx="1">
                  <c:v>3</c:v>
                </c:pt>
                <c:pt idx="2">
                  <c:v>2</c:v>
                </c:pt>
                <c:pt idx="3">
                  <c:v>1</c:v>
                </c:pt>
              </c:numCache>
            </c:numRef>
          </c:val>
          <c:smooth val="1"/>
          <c:extLst>
            <c:ext xmlns:c16="http://schemas.microsoft.com/office/drawing/2014/chart" uri="{C3380CC4-5D6E-409C-BE32-E72D297353CC}">
              <c16:uniqueId val="{00000000-7858-3F4A-901C-9B51F61287B0}"/>
            </c:ext>
          </c:extLst>
        </c:ser>
        <c:dLbls>
          <c:dLblPos val="ctr"/>
          <c:showLegendKey val="0"/>
          <c:showVal val="1"/>
          <c:showCatName val="0"/>
          <c:showSerName val="0"/>
          <c:showPercent val="0"/>
          <c:showBubbleSize val="0"/>
        </c:dLbls>
        <c:smooth val="0"/>
        <c:axId val="1757271039"/>
        <c:axId val="1756847567"/>
      </c:lineChart>
      <c:catAx>
        <c:axId val="1757271039"/>
        <c:scaling>
          <c:orientation val="minMax"/>
        </c:scaling>
        <c:delete val="1"/>
        <c:axPos val="b"/>
        <c:majorTickMark val="none"/>
        <c:minorTickMark val="none"/>
        <c:tickLblPos val="nextTo"/>
        <c:crossAx val="1756847567"/>
        <c:crosses val="autoZero"/>
        <c:auto val="1"/>
        <c:lblAlgn val="ctr"/>
        <c:lblOffset val="100"/>
        <c:noMultiLvlLbl val="0"/>
      </c:catAx>
      <c:valAx>
        <c:axId val="175684756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57271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43193019216135"/>
          <c:y val="0.15597245490397629"/>
          <c:w val="0.87312645143440981"/>
          <c:h val="0.76082512796966151"/>
        </c:manualLayout>
      </c:layout>
      <c:scatterChart>
        <c:scatterStyle val="lineMarker"/>
        <c:varyColors val="0"/>
        <c:ser>
          <c:idx val="0"/>
          <c:order val="0"/>
          <c:tx>
            <c:v>Data points</c:v>
          </c:tx>
          <c:spPr>
            <a:ln w="25400" cap="rnd">
              <a:noFill/>
              <a:round/>
            </a:ln>
            <a:effectLst/>
          </c:spPr>
          <c:marker>
            <c:symbol val="square"/>
            <c:size val="5"/>
            <c:spPr>
              <a:solidFill>
                <a:srgbClr val="EEEDDB"/>
              </a:solidFill>
              <a:ln w="15875">
                <a:solidFill>
                  <a:srgbClr val="5CA47C"/>
                </a:solidFill>
                <a:round/>
              </a:ln>
              <a:effectLst/>
            </c:spPr>
          </c:marker>
          <c:trendline>
            <c:spPr>
              <a:ln w="19050" cap="rnd">
                <a:solidFill>
                  <a:schemeClr val="tx1">
                    <a:lumMod val="85000"/>
                    <a:lumOff val="15000"/>
                  </a:schemeClr>
                </a:solidFill>
                <a:prstDash val="dash"/>
              </a:ln>
              <a:effectLst/>
            </c:spPr>
            <c:trendlineType val="linear"/>
            <c:dispRSqr val="0"/>
            <c:dispEq val="1"/>
            <c:trendlineLbl>
              <c:layout>
                <c:manualLayout>
                  <c:x val="3.3479263423619593E-2"/>
                  <c:y val="-0.1636536003040564"/>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trendlineLbl>
          </c:trendline>
          <c:xVal>
            <c:numRef>
              <c:f>Sales!$D$104:$D$147</c:f>
              <c:numCache>
                <c:formatCode>_-* #,##0.00_-;\-* #,##0.00_-;_-* "-"??_-;_-@_-</c:formatCode>
                <c:ptCount val="44"/>
                <c:pt idx="0">
                  <c:v>#N/A</c:v>
                </c:pt>
                <c:pt idx="1">
                  <c:v>#N/A</c:v>
                </c:pt>
                <c:pt idx="2">
                  <c:v>10</c:v>
                </c:pt>
                <c:pt idx="3">
                  <c:v>58</c:v>
                </c:pt>
                <c:pt idx="4">
                  <c:v>#N/A</c:v>
                </c:pt>
                <c:pt idx="5">
                  <c:v>#N/A</c:v>
                </c:pt>
                <c:pt idx="6">
                  <c:v>59</c:v>
                </c:pt>
                <c:pt idx="7">
                  <c:v>#N/A</c:v>
                </c:pt>
                <c:pt idx="8">
                  <c:v>24</c:v>
                </c:pt>
                <c:pt idx="9">
                  <c:v>24</c:v>
                </c:pt>
                <c:pt idx="10">
                  <c:v>#N/A</c:v>
                </c:pt>
                <c:pt idx="11">
                  <c:v>11</c:v>
                </c:pt>
                <c:pt idx="12">
                  <c:v>24</c:v>
                </c:pt>
                <c:pt idx="13">
                  <c:v>#N/A</c:v>
                </c:pt>
                <c:pt idx="14">
                  <c:v>#N/A</c:v>
                </c:pt>
                <c:pt idx="15">
                  <c:v>40</c:v>
                </c:pt>
                <c:pt idx="16">
                  <c:v>#N/A</c:v>
                </c:pt>
                <c:pt idx="17">
                  <c:v>#N/A</c:v>
                </c:pt>
                <c:pt idx="18">
                  <c:v>#N/A</c:v>
                </c:pt>
                <c:pt idx="19">
                  <c:v>35</c:v>
                </c:pt>
                <c:pt idx="20">
                  <c:v>#N/A</c:v>
                </c:pt>
                <c:pt idx="21">
                  <c:v>#N/A</c:v>
                </c:pt>
                <c:pt idx="22">
                  <c:v>50</c:v>
                </c:pt>
                <c:pt idx="23">
                  <c:v>#N/A</c:v>
                </c:pt>
                <c:pt idx="24">
                  <c:v>#N/A</c:v>
                </c:pt>
                <c:pt idx="25">
                  <c:v>33</c:v>
                </c:pt>
                <c:pt idx="26">
                  <c:v>57</c:v>
                </c:pt>
                <c:pt idx="27">
                  <c:v>#N/A</c:v>
                </c:pt>
                <c:pt idx="28">
                  <c:v>23</c:v>
                </c:pt>
                <c:pt idx="29">
                  <c:v>#N/A</c:v>
                </c:pt>
                <c:pt idx="30">
                  <c:v>#N/A</c:v>
                </c:pt>
                <c:pt idx="31">
                  <c:v>28</c:v>
                </c:pt>
                <c:pt idx="32">
                  <c:v>#N/A</c:v>
                </c:pt>
                <c:pt idx="33">
                  <c:v>#N/A</c:v>
                </c:pt>
                <c:pt idx="34">
                  <c:v>#N/A</c:v>
                </c:pt>
                <c:pt idx="35">
                  <c:v>#N/A</c:v>
                </c:pt>
                <c:pt idx="36">
                  <c:v>#N/A</c:v>
                </c:pt>
                <c:pt idx="37">
                  <c:v>#N/A</c:v>
                </c:pt>
                <c:pt idx="38">
                  <c:v>#N/A</c:v>
                </c:pt>
                <c:pt idx="39">
                  <c:v>#N/A</c:v>
                </c:pt>
                <c:pt idx="40">
                  <c:v>27</c:v>
                </c:pt>
                <c:pt idx="41">
                  <c:v>#N/A</c:v>
                </c:pt>
                <c:pt idx="42">
                  <c:v>27</c:v>
                </c:pt>
                <c:pt idx="43">
                  <c:v>#N/A</c:v>
                </c:pt>
              </c:numCache>
            </c:numRef>
          </c:xVal>
          <c:yVal>
            <c:numRef>
              <c:f>Sales!$C$104:$C$147</c:f>
              <c:numCache>
                <c:formatCode>_-[$€-2]\ * #,##0.00_-;\-[$€-2]\ * #,##0.00_-;_-[$€-2]\ * "-"??_-;_-@_-</c:formatCode>
                <c:ptCount val="44"/>
                <c:pt idx="0">
                  <c:v>#N/A</c:v>
                </c:pt>
                <c:pt idx="1">
                  <c:v>#N/A</c:v>
                </c:pt>
                <c:pt idx="2">
                  <c:v>65.87</c:v>
                </c:pt>
                <c:pt idx="3">
                  <c:v>65.87</c:v>
                </c:pt>
                <c:pt idx="4">
                  <c:v>#N/A</c:v>
                </c:pt>
                <c:pt idx="5">
                  <c:v>#N/A</c:v>
                </c:pt>
                <c:pt idx="6">
                  <c:v>65.87</c:v>
                </c:pt>
                <c:pt idx="7">
                  <c:v>#N/A</c:v>
                </c:pt>
                <c:pt idx="8">
                  <c:v>65.87</c:v>
                </c:pt>
                <c:pt idx="9">
                  <c:v>65.87</c:v>
                </c:pt>
                <c:pt idx="10">
                  <c:v>#N/A</c:v>
                </c:pt>
                <c:pt idx="11">
                  <c:v>67</c:v>
                </c:pt>
                <c:pt idx="12">
                  <c:v>67</c:v>
                </c:pt>
                <c:pt idx="13">
                  <c:v>#N/A</c:v>
                </c:pt>
                <c:pt idx="14">
                  <c:v>#N/A</c:v>
                </c:pt>
                <c:pt idx="15">
                  <c:v>68</c:v>
                </c:pt>
                <c:pt idx="16">
                  <c:v>#N/A</c:v>
                </c:pt>
                <c:pt idx="17">
                  <c:v>#N/A</c:v>
                </c:pt>
                <c:pt idx="18">
                  <c:v>#N/A</c:v>
                </c:pt>
                <c:pt idx="19">
                  <c:v>68</c:v>
                </c:pt>
                <c:pt idx="20">
                  <c:v>#N/A</c:v>
                </c:pt>
                <c:pt idx="21">
                  <c:v>#N/A</c:v>
                </c:pt>
                <c:pt idx="22">
                  <c:v>69</c:v>
                </c:pt>
                <c:pt idx="23">
                  <c:v>#N/A</c:v>
                </c:pt>
                <c:pt idx="24">
                  <c:v>#N/A</c:v>
                </c:pt>
                <c:pt idx="25">
                  <c:v>70</c:v>
                </c:pt>
                <c:pt idx="26">
                  <c:v>70</c:v>
                </c:pt>
                <c:pt idx="27">
                  <c:v>#N/A</c:v>
                </c:pt>
                <c:pt idx="28">
                  <c:v>70</c:v>
                </c:pt>
                <c:pt idx="29">
                  <c:v>#N/A</c:v>
                </c:pt>
                <c:pt idx="30">
                  <c:v>#N/A</c:v>
                </c:pt>
                <c:pt idx="31">
                  <c:v>70</c:v>
                </c:pt>
                <c:pt idx="32">
                  <c:v>#N/A</c:v>
                </c:pt>
                <c:pt idx="33">
                  <c:v>#N/A</c:v>
                </c:pt>
                <c:pt idx="34">
                  <c:v>#N/A</c:v>
                </c:pt>
                <c:pt idx="35">
                  <c:v>#N/A</c:v>
                </c:pt>
                <c:pt idx="36">
                  <c:v>#N/A</c:v>
                </c:pt>
                <c:pt idx="37">
                  <c:v>#N/A</c:v>
                </c:pt>
                <c:pt idx="38">
                  <c:v>#N/A</c:v>
                </c:pt>
                <c:pt idx="39">
                  <c:v>#N/A</c:v>
                </c:pt>
                <c:pt idx="40">
                  <c:v>73</c:v>
                </c:pt>
                <c:pt idx="41">
                  <c:v>#N/A</c:v>
                </c:pt>
                <c:pt idx="42">
                  <c:v>74</c:v>
                </c:pt>
                <c:pt idx="43">
                  <c:v>#N/A</c:v>
                </c:pt>
              </c:numCache>
            </c:numRef>
          </c:yVal>
          <c:smooth val="0"/>
          <c:extLst>
            <c:ext xmlns:c16="http://schemas.microsoft.com/office/drawing/2014/chart" uri="{C3380CC4-5D6E-409C-BE32-E72D297353CC}">
              <c16:uniqueId val="{00000002-31DF-4538-B8DA-0AB10C177601}"/>
            </c:ext>
          </c:extLst>
        </c:ser>
        <c:ser>
          <c:idx val="1"/>
          <c:order val="1"/>
          <c:tx>
            <c:v>Optimal Price Level</c:v>
          </c:tx>
          <c:spPr>
            <a:ln w="25400" cap="rnd">
              <a:noFill/>
              <a:round/>
            </a:ln>
            <a:effectLst/>
          </c:spPr>
          <c:marker>
            <c:symbol val="diamond"/>
            <c:size val="11"/>
            <c:spPr>
              <a:solidFill>
                <a:srgbClr val="EEEDDB"/>
              </a:solidFill>
              <a:ln w="15875">
                <a:solidFill>
                  <a:schemeClr val="accent2"/>
                </a:solidFill>
                <a:round/>
              </a:ln>
              <a:effectLst/>
            </c:spPr>
          </c:marker>
          <c:dPt>
            <c:idx val="18"/>
            <c:marker>
              <c:symbol val="diamond"/>
              <c:size val="11"/>
              <c:spPr>
                <a:solidFill>
                  <a:srgbClr val="EEEDDB"/>
                </a:solidFill>
                <a:ln w="15875">
                  <a:solidFill>
                    <a:schemeClr val="accent2"/>
                  </a:solidFill>
                  <a:round/>
                </a:ln>
                <a:effectLst/>
              </c:spPr>
            </c:marker>
            <c:bubble3D val="0"/>
            <c:extLst>
              <c:ext xmlns:c16="http://schemas.microsoft.com/office/drawing/2014/chart" uri="{C3380CC4-5D6E-409C-BE32-E72D297353CC}">
                <c16:uniqueId val="{00000005-913F-4FB8-8461-FA7DBE4E08A3}"/>
              </c:ext>
            </c:extLst>
          </c:dPt>
          <c:dPt>
            <c:idx val="26"/>
            <c:marker>
              <c:symbol val="diamond"/>
              <c:size val="11"/>
              <c:spPr>
                <a:solidFill>
                  <a:srgbClr val="EEEDDB"/>
                </a:solidFill>
                <a:ln w="15875">
                  <a:solidFill>
                    <a:schemeClr val="accent2"/>
                  </a:solidFill>
                  <a:round/>
                </a:ln>
                <a:effectLst/>
              </c:spPr>
            </c:marker>
            <c:bubble3D val="0"/>
            <c:extLst>
              <c:ext xmlns:c16="http://schemas.microsoft.com/office/drawing/2014/chart" uri="{C3380CC4-5D6E-409C-BE32-E72D297353CC}">
                <c16:uniqueId val="{00000005-31DF-4538-B8DA-0AB10C177601}"/>
              </c:ext>
            </c:extLst>
          </c:dPt>
          <c:dPt>
            <c:idx val="33"/>
            <c:marker>
              <c:symbol val="diamond"/>
              <c:size val="11"/>
              <c:spPr>
                <a:solidFill>
                  <a:srgbClr val="EEEDDB"/>
                </a:solidFill>
                <a:ln w="15875">
                  <a:solidFill>
                    <a:schemeClr val="accent2"/>
                  </a:solidFill>
                  <a:round/>
                </a:ln>
                <a:effectLst/>
              </c:spPr>
            </c:marker>
            <c:bubble3D val="0"/>
            <c:extLst>
              <c:ext xmlns:c16="http://schemas.microsoft.com/office/drawing/2014/chart" uri="{C3380CC4-5D6E-409C-BE32-E72D297353CC}">
                <c16:uniqueId val="{00000007-31DF-4538-B8DA-0AB10C177601}"/>
              </c:ext>
            </c:extLst>
          </c:dPt>
          <c:dPt>
            <c:idx val="39"/>
            <c:marker>
              <c:symbol val="diamond"/>
              <c:size val="11"/>
              <c:spPr>
                <a:solidFill>
                  <a:srgbClr val="EEEDDB"/>
                </a:solidFill>
                <a:ln w="15875">
                  <a:solidFill>
                    <a:schemeClr val="accent2"/>
                  </a:solidFill>
                  <a:round/>
                </a:ln>
                <a:effectLst/>
              </c:spPr>
            </c:marker>
            <c:bubble3D val="0"/>
            <c:extLst>
              <c:ext xmlns:c16="http://schemas.microsoft.com/office/drawing/2014/chart" uri="{C3380CC4-5D6E-409C-BE32-E72D297353CC}">
                <c16:uniqueId val="{00000008-31DF-4538-B8DA-0AB10C177601}"/>
              </c:ext>
            </c:extLst>
          </c:dPt>
          <c:xVal>
            <c:numRef>
              <c:f>Sales!$D$104:$D$147</c:f>
              <c:numCache>
                <c:formatCode>_-* #,##0.00_-;\-* #,##0.00_-;_-* "-"??_-;_-@_-</c:formatCode>
                <c:ptCount val="44"/>
                <c:pt idx="0">
                  <c:v>#N/A</c:v>
                </c:pt>
                <c:pt idx="1">
                  <c:v>#N/A</c:v>
                </c:pt>
                <c:pt idx="2">
                  <c:v>10</c:v>
                </c:pt>
                <c:pt idx="3">
                  <c:v>58</c:v>
                </c:pt>
                <c:pt idx="4">
                  <c:v>#N/A</c:v>
                </c:pt>
                <c:pt idx="5">
                  <c:v>#N/A</c:v>
                </c:pt>
                <c:pt idx="6">
                  <c:v>59</c:v>
                </c:pt>
                <c:pt idx="7">
                  <c:v>#N/A</c:v>
                </c:pt>
                <c:pt idx="8">
                  <c:v>24</c:v>
                </c:pt>
                <c:pt idx="9">
                  <c:v>24</c:v>
                </c:pt>
                <c:pt idx="10">
                  <c:v>#N/A</c:v>
                </c:pt>
                <c:pt idx="11">
                  <c:v>11</c:v>
                </c:pt>
                <c:pt idx="12">
                  <c:v>24</c:v>
                </c:pt>
                <c:pt idx="13">
                  <c:v>#N/A</c:v>
                </c:pt>
                <c:pt idx="14">
                  <c:v>#N/A</c:v>
                </c:pt>
                <c:pt idx="15">
                  <c:v>40</c:v>
                </c:pt>
                <c:pt idx="16">
                  <c:v>#N/A</c:v>
                </c:pt>
                <c:pt idx="17">
                  <c:v>#N/A</c:v>
                </c:pt>
                <c:pt idx="18">
                  <c:v>#N/A</c:v>
                </c:pt>
                <c:pt idx="19">
                  <c:v>35</c:v>
                </c:pt>
                <c:pt idx="20">
                  <c:v>#N/A</c:v>
                </c:pt>
                <c:pt idx="21">
                  <c:v>#N/A</c:v>
                </c:pt>
                <c:pt idx="22">
                  <c:v>50</c:v>
                </c:pt>
                <c:pt idx="23">
                  <c:v>#N/A</c:v>
                </c:pt>
                <c:pt idx="24">
                  <c:v>#N/A</c:v>
                </c:pt>
                <c:pt idx="25">
                  <c:v>33</c:v>
                </c:pt>
                <c:pt idx="26">
                  <c:v>57</c:v>
                </c:pt>
                <c:pt idx="27">
                  <c:v>#N/A</c:v>
                </c:pt>
                <c:pt idx="28">
                  <c:v>23</c:v>
                </c:pt>
                <c:pt idx="29">
                  <c:v>#N/A</c:v>
                </c:pt>
                <c:pt idx="30">
                  <c:v>#N/A</c:v>
                </c:pt>
                <c:pt idx="31">
                  <c:v>28</c:v>
                </c:pt>
                <c:pt idx="32">
                  <c:v>#N/A</c:v>
                </c:pt>
                <c:pt idx="33">
                  <c:v>#N/A</c:v>
                </c:pt>
                <c:pt idx="34">
                  <c:v>#N/A</c:v>
                </c:pt>
                <c:pt idx="35">
                  <c:v>#N/A</c:v>
                </c:pt>
                <c:pt idx="36">
                  <c:v>#N/A</c:v>
                </c:pt>
                <c:pt idx="37">
                  <c:v>#N/A</c:v>
                </c:pt>
                <c:pt idx="38">
                  <c:v>#N/A</c:v>
                </c:pt>
                <c:pt idx="39">
                  <c:v>#N/A</c:v>
                </c:pt>
                <c:pt idx="40">
                  <c:v>27</c:v>
                </c:pt>
                <c:pt idx="41">
                  <c:v>#N/A</c:v>
                </c:pt>
                <c:pt idx="42">
                  <c:v>27</c:v>
                </c:pt>
                <c:pt idx="43">
                  <c:v>#N/A</c:v>
                </c:pt>
              </c:numCache>
            </c:numRef>
          </c:xVal>
          <c:yVal>
            <c:numRef>
              <c:f>Sales!$F$104:$F$147</c:f>
              <c:numCache>
                <c:formatCode>_-[$€-2]\ * #,##0.00_-;\-[$€-2]\ * #,##0.00_-;_-[$€-2]\ * "-"??_-;_-@_-</c:formatCode>
                <c:ptCount val="4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70</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numCache>
            </c:numRef>
          </c:yVal>
          <c:smooth val="0"/>
          <c:extLst>
            <c:ext xmlns:c16="http://schemas.microsoft.com/office/drawing/2014/chart" uri="{C3380CC4-5D6E-409C-BE32-E72D297353CC}">
              <c16:uniqueId val="{00000003-31DF-4538-B8DA-0AB10C177601}"/>
            </c:ext>
          </c:extLst>
        </c:ser>
        <c:dLbls>
          <c:showLegendKey val="0"/>
          <c:showVal val="0"/>
          <c:showCatName val="0"/>
          <c:showSerName val="0"/>
          <c:showPercent val="0"/>
          <c:showBubbleSize val="0"/>
        </c:dLbls>
        <c:axId val="170099456"/>
        <c:axId val="170099872"/>
      </c:scatterChart>
      <c:valAx>
        <c:axId val="170099456"/>
        <c:scaling>
          <c:orientation val="minMax"/>
        </c:scaling>
        <c:delete val="1"/>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r>
                  <a:rPr lang="en-GB" sz="1050"/>
                  <a:t>Sales</a:t>
                </a:r>
              </a:p>
            </c:rich>
          </c:tx>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title>
        <c:numFmt formatCode="_-* #,##0.00_-;\-* #,##0.00_-;_-* &quot;-&quot;??_-;_-@_-" sourceLinked="1"/>
        <c:majorTickMark val="none"/>
        <c:minorTickMark val="none"/>
        <c:tickLblPos val="nextTo"/>
        <c:crossAx val="170099872"/>
        <c:crosses val="autoZero"/>
        <c:crossBetween val="midCat"/>
      </c:valAx>
      <c:valAx>
        <c:axId val="170099872"/>
        <c:scaling>
          <c:orientation val="minMax"/>
        </c:scaling>
        <c:delete val="1"/>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r>
                  <a:rPr lang="en-GB" sz="1050"/>
                  <a:t>Price</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title>
        <c:numFmt formatCode="_-[$€-2]\ * #,##0.00_-;\-[$€-2]\ * #,##0.00_-;_-[$€-2]\ * &quot;-&quot;??_-;_-@_-" sourceLinked="1"/>
        <c:majorTickMark val="none"/>
        <c:minorTickMark val="none"/>
        <c:tickLblPos val="nextTo"/>
        <c:crossAx val="170099456"/>
        <c:crosses val="autoZero"/>
        <c:crossBetween val="midCat"/>
      </c:valAx>
      <c:spPr>
        <a:noFill/>
        <a:ln w="25400">
          <a:noFill/>
        </a:ln>
        <a:effectLst/>
      </c:spPr>
    </c:plotArea>
    <c:plotVisOnly val="1"/>
    <c:dispBlanksAs val="gap"/>
    <c:showDLblsOverMax val="0"/>
  </c:chart>
  <c:spPr>
    <a:solidFill>
      <a:srgbClr val="EEEDDB"/>
    </a:solidFill>
    <a:ln w="9525" cap="flat" cmpd="sng" algn="ctr">
      <a:noFill/>
      <a:round/>
    </a:ln>
    <a:effectLst/>
  </c:spPr>
  <c:txPr>
    <a:bodyPr/>
    <a:lstStyle/>
    <a:p>
      <a:pPr>
        <a:defRPr>
          <a:solidFill>
            <a:schemeClr val="tx1">
              <a:lumMod val="75000"/>
              <a:lumOff val="25000"/>
            </a:schemeClr>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72C0C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Sales!$B$180:$B$185</c:f>
              <c:strCache>
                <c:ptCount val="6"/>
                <c:pt idx="0">
                  <c:v> Butter </c:v>
                </c:pt>
                <c:pt idx="1">
                  <c:v> Cheese </c:v>
                </c:pt>
                <c:pt idx="2">
                  <c:v> Cream </c:v>
                </c:pt>
                <c:pt idx="3">
                  <c:v> Ice Cream </c:v>
                </c:pt>
                <c:pt idx="4">
                  <c:v> Milk </c:v>
                </c:pt>
                <c:pt idx="5">
                  <c:v> Yoghurt </c:v>
                </c:pt>
              </c:strCache>
            </c:strRef>
          </c:cat>
          <c:val>
            <c:numRef>
              <c:f>Sales!$E$180:$E$185</c:f>
              <c:numCache>
                <c:formatCode>_-* #,##0_-;\-* #,##0_-;_-* "-"??_-;_-@_-</c:formatCode>
                <c:ptCount val="6"/>
                <c:pt idx="0">
                  <c:v>735.47445279719238</c:v>
                </c:pt>
                <c:pt idx="1">
                  <c:v>642.38964809123695</c:v>
                </c:pt>
                <c:pt idx="2">
                  <c:v>494.99369322763124</c:v>
                </c:pt>
                <c:pt idx="3">
                  <c:v>537.93388642495256</c:v>
                </c:pt>
                <c:pt idx="4">
                  <c:v>699.49554124894826</c:v>
                </c:pt>
                <c:pt idx="5">
                  <c:v>889.71277821003798</c:v>
                </c:pt>
              </c:numCache>
            </c:numRef>
          </c:val>
          <c:extLst>
            <c:ext xmlns:c16="http://schemas.microsoft.com/office/drawing/2014/chart" uri="{C3380CC4-5D6E-409C-BE32-E72D297353CC}">
              <c16:uniqueId val="{00000000-A313-41D9-885B-1D4C2CACB184}"/>
            </c:ext>
          </c:extLst>
        </c:ser>
        <c:dLbls>
          <c:dLblPos val="ctr"/>
          <c:showLegendKey val="0"/>
          <c:showVal val="1"/>
          <c:showCatName val="0"/>
          <c:showSerName val="0"/>
          <c:showPercent val="0"/>
          <c:showBubbleSize val="0"/>
        </c:dLbls>
        <c:gapWidth val="69"/>
        <c:overlap val="-27"/>
        <c:axId val="102042784"/>
        <c:axId val="102046528"/>
      </c:barChart>
      <c:catAx>
        <c:axId val="10204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2046528"/>
        <c:crosses val="autoZero"/>
        <c:auto val="1"/>
        <c:lblAlgn val="ctr"/>
        <c:lblOffset val="100"/>
        <c:noMultiLvlLbl val="0"/>
      </c:catAx>
      <c:valAx>
        <c:axId val="102046528"/>
        <c:scaling>
          <c:orientation val="minMax"/>
        </c:scaling>
        <c:delete val="1"/>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crossAx val="10204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lumMod val="75000"/>
              <a:lumOff val="25000"/>
            </a:schemeClr>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822993968378436E-2"/>
          <c:y val="8.7523526771300288E-3"/>
          <c:w val="0.9463540120632431"/>
          <c:h val="0.88123292094217354"/>
        </c:manualLayout>
      </c:layout>
      <c:barChart>
        <c:barDir val="col"/>
        <c:grouping val="stacked"/>
        <c:varyColors val="0"/>
        <c:ser>
          <c:idx val="2"/>
          <c:order val="2"/>
          <c:tx>
            <c:v>Inventory shortage</c:v>
          </c:tx>
          <c:spPr>
            <a:solidFill>
              <a:schemeClr val="accent2">
                <a:lumMod val="40000"/>
                <a:lumOff val="60000"/>
              </a:schemeClr>
            </a:solidFill>
            <a:ln>
              <a:noFill/>
            </a:ln>
            <a:effectLst/>
          </c:spPr>
          <c:invertIfNegative val="0"/>
          <c:cat>
            <c:strRef>
              <c:f>Sales!$C$54:$C$97</c:f>
              <c:strCache>
                <c:ptCount val="40"/>
                <c:pt idx="0">
                  <c:v> 01/01 </c:v>
                </c:pt>
                <c:pt idx="1">
                  <c:v> 01/02 </c:v>
                </c:pt>
                <c:pt idx="2">
                  <c:v> 01/03 </c:v>
                </c:pt>
                <c:pt idx="3">
                  <c:v> 01/04 </c:v>
                </c:pt>
                <c:pt idx="4">
                  <c:v> 01/05 </c:v>
                </c:pt>
                <c:pt idx="5">
                  <c:v> 01/06 </c:v>
                </c:pt>
                <c:pt idx="6">
                  <c:v> 01/07 </c:v>
                </c:pt>
                <c:pt idx="7">
                  <c:v> 01/08 </c:v>
                </c:pt>
                <c:pt idx="8">
                  <c:v> 01/09 </c:v>
                </c:pt>
                <c:pt idx="9">
                  <c:v> 01/10 </c:v>
                </c:pt>
                <c:pt idx="10">
                  <c:v> 02/01 </c:v>
                </c:pt>
                <c:pt idx="11">
                  <c:v> 02/02 </c:v>
                </c:pt>
                <c:pt idx="12">
                  <c:v> 02/03 </c:v>
                </c:pt>
                <c:pt idx="13">
                  <c:v> 02/04 </c:v>
                </c:pt>
                <c:pt idx="14">
                  <c:v> 02/05 </c:v>
                </c:pt>
                <c:pt idx="15">
                  <c:v> 02/06 </c:v>
                </c:pt>
                <c:pt idx="16">
                  <c:v> 02/07 </c:v>
                </c:pt>
                <c:pt idx="17">
                  <c:v> 02/08 </c:v>
                </c:pt>
                <c:pt idx="18">
                  <c:v> 02/09 </c:v>
                </c:pt>
                <c:pt idx="19">
                  <c:v> 02/10 </c:v>
                </c:pt>
                <c:pt idx="20">
                  <c:v> 03/01 </c:v>
                </c:pt>
                <c:pt idx="21">
                  <c:v> 03/02 </c:v>
                </c:pt>
                <c:pt idx="22">
                  <c:v> 03/03 </c:v>
                </c:pt>
                <c:pt idx="23">
                  <c:v> 03/04 </c:v>
                </c:pt>
                <c:pt idx="24">
                  <c:v> 03/05 </c:v>
                </c:pt>
                <c:pt idx="25">
                  <c:v> 03/06 </c:v>
                </c:pt>
                <c:pt idx="26">
                  <c:v> 03/07 </c:v>
                </c:pt>
                <c:pt idx="27">
                  <c:v> 03/08 </c:v>
                </c:pt>
                <c:pt idx="28">
                  <c:v> 03/09 </c:v>
                </c:pt>
                <c:pt idx="29">
                  <c:v> 03/10 </c:v>
                </c:pt>
                <c:pt idx="30">
                  <c:v> 04/01 </c:v>
                </c:pt>
                <c:pt idx="31">
                  <c:v> 04/02 </c:v>
                </c:pt>
                <c:pt idx="32">
                  <c:v> 04/03 </c:v>
                </c:pt>
                <c:pt idx="33">
                  <c:v> 04/04 </c:v>
                </c:pt>
                <c:pt idx="34">
                  <c:v> 04/05 </c:v>
                </c:pt>
                <c:pt idx="35">
                  <c:v> 04/06 </c:v>
                </c:pt>
                <c:pt idx="36">
                  <c:v> 04/07 </c:v>
                </c:pt>
                <c:pt idx="37">
                  <c:v> 04/08 </c:v>
                </c:pt>
                <c:pt idx="38">
                  <c:v> 04/09 </c:v>
                </c:pt>
                <c:pt idx="39">
                  <c:v> 04/10 </c:v>
                </c:pt>
              </c:strCache>
            </c:strRef>
          </c:cat>
          <c:val>
            <c:numRef>
              <c:f>Sales!$L$54:$L$97</c:f>
              <c:numCache>
                <c:formatCode>_-* #,##0_-;\-* #,##0_-;_-* "-"??_-;_-@_-</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3B63-4244-AC03-6505D44895BF}"/>
            </c:ext>
          </c:extLst>
        </c:ser>
        <c:ser>
          <c:idx val="3"/>
          <c:order val="3"/>
          <c:spPr>
            <a:solidFill>
              <a:srgbClr val="5CA47C"/>
            </a:solidFill>
            <a:ln>
              <a:noFill/>
            </a:ln>
            <a:effectLst/>
          </c:spPr>
          <c:invertIfNegative val="0"/>
          <c:cat>
            <c:strRef>
              <c:f>Sales!$C$54:$C$97</c:f>
              <c:strCache>
                <c:ptCount val="40"/>
                <c:pt idx="0">
                  <c:v> 01/01 </c:v>
                </c:pt>
                <c:pt idx="1">
                  <c:v> 01/02 </c:v>
                </c:pt>
                <c:pt idx="2">
                  <c:v> 01/03 </c:v>
                </c:pt>
                <c:pt idx="3">
                  <c:v> 01/04 </c:v>
                </c:pt>
                <c:pt idx="4">
                  <c:v> 01/05 </c:v>
                </c:pt>
                <c:pt idx="5">
                  <c:v> 01/06 </c:v>
                </c:pt>
                <c:pt idx="6">
                  <c:v> 01/07 </c:v>
                </c:pt>
                <c:pt idx="7">
                  <c:v> 01/08 </c:v>
                </c:pt>
                <c:pt idx="8">
                  <c:v> 01/09 </c:v>
                </c:pt>
                <c:pt idx="9">
                  <c:v> 01/10 </c:v>
                </c:pt>
                <c:pt idx="10">
                  <c:v> 02/01 </c:v>
                </c:pt>
                <c:pt idx="11">
                  <c:v> 02/02 </c:v>
                </c:pt>
                <c:pt idx="12">
                  <c:v> 02/03 </c:v>
                </c:pt>
                <c:pt idx="13">
                  <c:v> 02/04 </c:v>
                </c:pt>
                <c:pt idx="14">
                  <c:v> 02/05 </c:v>
                </c:pt>
                <c:pt idx="15">
                  <c:v> 02/06 </c:v>
                </c:pt>
                <c:pt idx="16">
                  <c:v> 02/07 </c:v>
                </c:pt>
                <c:pt idx="17">
                  <c:v> 02/08 </c:v>
                </c:pt>
                <c:pt idx="18">
                  <c:v> 02/09 </c:v>
                </c:pt>
                <c:pt idx="19">
                  <c:v> 02/10 </c:v>
                </c:pt>
                <c:pt idx="20">
                  <c:v> 03/01 </c:v>
                </c:pt>
                <c:pt idx="21">
                  <c:v> 03/02 </c:v>
                </c:pt>
                <c:pt idx="22">
                  <c:v> 03/03 </c:v>
                </c:pt>
                <c:pt idx="23">
                  <c:v> 03/04 </c:v>
                </c:pt>
                <c:pt idx="24">
                  <c:v> 03/05 </c:v>
                </c:pt>
                <c:pt idx="25">
                  <c:v> 03/06 </c:v>
                </c:pt>
                <c:pt idx="26">
                  <c:v> 03/07 </c:v>
                </c:pt>
                <c:pt idx="27">
                  <c:v> 03/08 </c:v>
                </c:pt>
                <c:pt idx="28">
                  <c:v> 03/09 </c:v>
                </c:pt>
                <c:pt idx="29">
                  <c:v> 03/10 </c:v>
                </c:pt>
                <c:pt idx="30">
                  <c:v> 04/01 </c:v>
                </c:pt>
                <c:pt idx="31">
                  <c:v> 04/02 </c:v>
                </c:pt>
                <c:pt idx="32">
                  <c:v> 04/03 </c:v>
                </c:pt>
                <c:pt idx="33">
                  <c:v> 04/04 </c:v>
                </c:pt>
                <c:pt idx="34">
                  <c:v> 04/05 </c:v>
                </c:pt>
                <c:pt idx="35">
                  <c:v> 04/06 </c:v>
                </c:pt>
                <c:pt idx="36">
                  <c:v> 04/07 </c:v>
                </c:pt>
                <c:pt idx="37">
                  <c:v> 04/08 </c:v>
                </c:pt>
                <c:pt idx="38">
                  <c:v> 04/09 </c:v>
                </c:pt>
                <c:pt idx="39">
                  <c:v> 04/10 </c:v>
                </c:pt>
              </c:strCache>
            </c:strRef>
          </c:cat>
          <c:val>
            <c:numRef>
              <c:f>Sales!$N$54:$N$97</c:f>
              <c:numCache>
                <c:formatCode>_-* #,##0_-;\-* #,##0_-;_-* "-"??_-;_-@_-</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extLst>
            <c:ext xmlns:c16="http://schemas.microsoft.com/office/drawing/2014/chart" uri="{C3380CC4-5D6E-409C-BE32-E72D297353CC}">
              <c16:uniqueId val="{00000001-3B63-4244-AC03-6505D44895BF}"/>
            </c:ext>
          </c:extLst>
        </c:ser>
        <c:ser>
          <c:idx val="4"/>
          <c:order val="4"/>
          <c:spPr>
            <a:solidFill>
              <a:schemeClr val="accent2">
                <a:lumMod val="40000"/>
                <a:lumOff val="60000"/>
              </a:schemeClr>
            </a:solidFill>
            <a:ln>
              <a:noFill/>
            </a:ln>
            <a:effectLst/>
          </c:spPr>
          <c:invertIfNegative val="0"/>
          <c:cat>
            <c:strRef>
              <c:f>Sales!$C$54:$C$97</c:f>
              <c:strCache>
                <c:ptCount val="40"/>
                <c:pt idx="0">
                  <c:v> 01/01 </c:v>
                </c:pt>
                <c:pt idx="1">
                  <c:v> 01/02 </c:v>
                </c:pt>
                <c:pt idx="2">
                  <c:v> 01/03 </c:v>
                </c:pt>
                <c:pt idx="3">
                  <c:v> 01/04 </c:v>
                </c:pt>
                <c:pt idx="4">
                  <c:v> 01/05 </c:v>
                </c:pt>
                <c:pt idx="5">
                  <c:v> 01/06 </c:v>
                </c:pt>
                <c:pt idx="6">
                  <c:v> 01/07 </c:v>
                </c:pt>
                <c:pt idx="7">
                  <c:v> 01/08 </c:v>
                </c:pt>
                <c:pt idx="8">
                  <c:v> 01/09 </c:v>
                </c:pt>
                <c:pt idx="9">
                  <c:v> 01/10 </c:v>
                </c:pt>
                <c:pt idx="10">
                  <c:v> 02/01 </c:v>
                </c:pt>
                <c:pt idx="11">
                  <c:v> 02/02 </c:v>
                </c:pt>
                <c:pt idx="12">
                  <c:v> 02/03 </c:v>
                </c:pt>
                <c:pt idx="13">
                  <c:v> 02/04 </c:v>
                </c:pt>
                <c:pt idx="14">
                  <c:v> 02/05 </c:v>
                </c:pt>
                <c:pt idx="15">
                  <c:v> 02/06 </c:v>
                </c:pt>
                <c:pt idx="16">
                  <c:v> 02/07 </c:v>
                </c:pt>
                <c:pt idx="17">
                  <c:v> 02/08 </c:v>
                </c:pt>
                <c:pt idx="18">
                  <c:v> 02/09 </c:v>
                </c:pt>
                <c:pt idx="19">
                  <c:v> 02/10 </c:v>
                </c:pt>
                <c:pt idx="20">
                  <c:v> 03/01 </c:v>
                </c:pt>
                <c:pt idx="21">
                  <c:v> 03/02 </c:v>
                </c:pt>
                <c:pt idx="22">
                  <c:v> 03/03 </c:v>
                </c:pt>
                <c:pt idx="23">
                  <c:v> 03/04 </c:v>
                </c:pt>
                <c:pt idx="24">
                  <c:v> 03/05 </c:v>
                </c:pt>
                <c:pt idx="25">
                  <c:v> 03/06 </c:v>
                </c:pt>
                <c:pt idx="26">
                  <c:v> 03/07 </c:v>
                </c:pt>
                <c:pt idx="27">
                  <c:v> 03/08 </c:v>
                </c:pt>
                <c:pt idx="28">
                  <c:v> 03/09 </c:v>
                </c:pt>
                <c:pt idx="29">
                  <c:v> 03/10 </c:v>
                </c:pt>
                <c:pt idx="30">
                  <c:v> 04/01 </c:v>
                </c:pt>
                <c:pt idx="31">
                  <c:v> 04/02 </c:v>
                </c:pt>
                <c:pt idx="32">
                  <c:v> 04/03 </c:v>
                </c:pt>
                <c:pt idx="33">
                  <c:v> 04/04 </c:v>
                </c:pt>
                <c:pt idx="34">
                  <c:v> 04/05 </c:v>
                </c:pt>
                <c:pt idx="35">
                  <c:v> 04/06 </c:v>
                </c:pt>
                <c:pt idx="36">
                  <c:v> 04/07 </c:v>
                </c:pt>
                <c:pt idx="37">
                  <c:v> 04/08 </c:v>
                </c:pt>
                <c:pt idx="38">
                  <c:v> 04/09 </c:v>
                </c:pt>
                <c:pt idx="39">
                  <c:v> 04/10 </c:v>
                </c:pt>
              </c:strCache>
            </c:strRef>
          </c:cat>
          <c:val>
            <c:numRef>
              <c:f>Sales!$O$54:$O$97</c:f>
              <c:numCache>
                <c:formatCode>_-* #,##0_-;\-* #,##0_-;_-* "-"??_-;_-@_-</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2-3B63-4244-AC03-6505D44895BF}"/>
            </c:ext>
          </c:extLst>
        </c:ser>
        <c:ser>
          <c:idx val="5"/>
          <c:order val="5"/>
          <c:spPr>
            <a:solidFill>
              <a:srgbClr val="5CA47C"/>
            </a:solidFill>
            <a:ln>
              <a:noFill/>
            </a:ln>
            <a:effectLst/>
          </c:spPr>
          <c:invertIfNegative val="0"/>
          <c:cat>
            <c:strRef>
              <c:f>Sales!$C$54:$C$97</c:f>
              <c:strCache>
                <c:ptCount val="40"/>
                <c:pt idx="0">
                  <c:v> 01/01 </c:v>
                </c:pt>
                <c:pt idx="1">
                  <c:v> 01/02 </c:v>
                </c:pt>
                <c:pt idx="2">
                  <c:v> 01/03 </c:v>
                </c:pt>
                <c:pt idx="3">
                  <c:v> 01/04 </c:v>
                </c:pt>
                <c:pt idx="4">
                  <c:v> 01/05 </c:v>
                </c:pt>
                <c:pt idx="5">
                  <c:v> 01/06 </c:v>
                </c:pt>
                <c:pt idx="6">
                  <c:v> 01/07 </c:v>
                </c:pt>
                <c:pt idx="7">
                  <c:v> 01/08 </c:v>
                </c:pt>
                <c:pt idx="8">
                  <c:v> 01/09 </c:v>
                </c:pt>
                <c:pt idx="9">
                  <c:v> 01/10 </c:v>
                </c:pt>
                <c:pt idx="10">
                  <c:v> 02/01 </c:v>
                </c:pt>
                <c:pt idx="11">
                  <c:v> 02/02 </c:v>
                </c:pt>
                <c:pt idx="12">
                  <c:v> 02/03 </c:v>
                </c:pt>
                <c:pt idx="13">
                  <c:v> 02/04 </c:v>
                </c:pt>
                <c:pt idx="14">
                  <c:v> 02/05 </c:v>
                </c:pt>
                <c:pt idx="15">
                  <c:v> 02/06 </c:v>
                </c:pt>
                <c:pt idx="16">
                  <c:v> 02/07 </c:v>
                </c:pt>
                <c:pt idx="17">
                  <c:v> 02/08 </c:v>
                </c:pt>
                <c:pt idx="18">
                  <c:v> 02/09 </c:v>
                </c:pt>
                <c:pt idx="19">
                  <c:v> 02/10 </c:v>
                </c:pt>
                <c:pt idx="20">
                  <c:v> 03/01 </c:v>
                </c:pt>
                <c:pt idx="21">
                  <c:v> 03/02 </c:v>
                </c:pt>
                <c:pt idx="22">
                  <c:v> 03/03 </c:v>
                </c:pt>
                <c:pt idx="23">
                  <c:v> 03/04 </c:v>
                </c:pt>
                <c:pt idx="24">
                  <c:v> 03/05 </c:v>
                </c:pt>
                <c:pt idx="25">
                  <c:v> 03/06 </c:v>
                </c:pt>
                <c:pt idx="26">
                  <c:v> 03/07 </c:v>
                </c:pt>
                <c:pt idx="27">
                  <c:v> 03/08 </c:v>
                </c:pt>
                <c:pt idx="28">
                  <c:v> 03/09 </c:v>
                </c:pt>
                <c:pt idx="29">
                  <c:v> 03/10 </c:v>
                </c:pt>
                <c:pt idx="30">
                  <c:v> 04/01 </c:v>
                </c:pt>
                <c:pt idx="31">
                  <c:v> 04/02 </c:v>
                </c:pt>
                <c:pt idx="32">
                  <c:v> 04/03 </c:v>
                </c:pt>
                <c:pt idx="33">
                  <c:v> 04/04 </c:v>
                </c:pt>
                <c:pt idx="34">
                  <c:v> 04/05 </c:v>
                </c:pt>
                <c:pt idx="35">
                  <c:v> 04/06 </c:v>
                </c:pt>
                <c:pt idx="36">
                  <c:v> 04/07 </c:v>
                </c:pt>
                <c:pt idx="37">
                  <c:v> 04/08 </c:v>
                </c:pt>
                <c:pt idx="38">
                  <c:v> 04/09 </c:v>
                </c:pt>
                <c:pt idx="39">
                  <c:v> 04/10 </c:v>
                </c:pt>
              </c:strCache>
            </c:strRef>
          </c:cat>
          <c:val>
            <c:numRef>
              <c:f>Sales!$Q$54:$Q$97</c:f>
              <c:numCache>
                <c:formatCode>_-* #,##0_-;\-* #,##0_-;_-* "-"??_-;_-@_-</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extLst>
            <c:ext xmlns:c16="http://schemas.microsoft.com/office/drawing/2014/chart" uri="{C3380CC4-5D6E-409C-BE32-E72D297353CC}">
              <c16:uniqueId val="{00000003-3B63-4244-AC03-6505D44895BF}"/>
            </c:ext>
          </c:extLst>
        </c:ser>
        <c:ser>
          <c:idx val="6"/>
          <c:order val="6"/>
          <c:spPr>
            <a:solidFill>
              <a:schemeClr val="accent2">
                <a:lumMod val="60000"/>
                <a:lumOff val="40000"/>
              </a:schemeClr>
            </a:solidFill>
            <a:ln>
              <a:noFill/>
            </a:ln>
            <a:effectLst/>
          </c:spPr>
          <c:invertIfNegative val="0"/>
          <c:val>
            <c:numRef>
              <c:f>Sales!$P$54:$P$97</c:f>
              <c:numCache>
                <c:formatCode>_-* #,##0_-;\-* #,##0_-;_-* "-"??_-;_-@_-</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7-3B63-4244-AC03-6505D44895BF}"/>
            </c:ext>
          </c:extLst>
        </c:ser>
        <c:ser>
          <c:idx val="7"/>
          <c:order val="7"/>
          <c:spPr>
            <a:solidFill>
              <a:schemeClr val="accent2">
                <a:lumMod val="60000"/>
                <a:lumOff val="40000"/>
              </a:schemeClr>
            </a:solidFill>
            <a:ln>
              <a:noFill/>
            </a:ln>
            <a:effectLst/>
          </c:spPr>
          <c:invertIfNegative val="0"/>
          <c:val>
            <c:numRef>
              <c:f>Sales!$M$54:$M$97</c:f>
              <c:numCache>
                <c:formatCode>_-* #,##0_-;\-* #,##0_-;_-* "-"??_-;_-@_-</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4-3B63-4244-AC03-6505D44895BF}"/>
            </c:ext>
          </c:extLst>
        </c:ser>
        <c:dLbls>
          <c:showLegendKey val="0"/>
          <c:showVal val="0"/>
          <c:showCatName val="0"/>
          <c:showSerName val="0"/>
          <c:showPercent val="0"/>
          <c:showBubbleSize val="0"/>
        </c:dLbls>
        <c:gapWidth val="0"/>
        <c:overlap val="100"/>
        <c:axId val="920022192"/>
        <c:axId val="920023440"/>
      </c:barChart>
      <c:barChart>
        <c:barDir val="col"/>
        <c:grouping val="stacked"/>
        <c:varyColors val="0"/>
        <c:ser>
          <c:idx val="1"/>
          <c:order val="0"/>
          <c:spPr>
            <a:blipFill>
              <a:blip xmlns:r="http://schemas.openxmlformats.org/officeDocument/2006/relationships" r:embed="rId3"/>
              <a:stretch>
                <a:fillRect/>
              </a:stretch>
            </a:blipFill>
            <a:ln>
              <a:noFill/>
            </a:ln>
            <a:effectLst/>
          </c:spPr>
          <c:invertIfNegative val="0"/>
          <c:cat>
            <c:strRef>
              <c:f>Sales!$C$54:$C$97</c:f>
              <c:strCache>
                <c:ptCount val="40"/>
                <c:pt idx="0">
                  <c:v> 01/01 </c:v>
                </c:pt>
                <c:pt idx="1">
                  <c:v> 01/02 </c:v>
                </c:pt>
                <c:pt idx="2">
                  <c:v> 01/03 </c:v>
                </c:pt>
                <c:pt idx="3">
                  <c:v> 01/04 </c:v>
                </c:pt>
                <c:pt idx="4">
                  <c:v> 01/05 </c:v>
                </c:pt>
                <c:pt idx="5">
                  <c:v> 01/06 </c:v>
                </c:pt>
                <c:pt idx="6">
                  <c:v> 01/07 </c:v>
                </c:pt>
                <c:pt idx="7">
                  <c:v> 01/08 </c:v>
                </c:pt>
                <c:pt idx="8">
                  <c:v> 01/09 </c:v>
                </c:pt>
                <c:pt idx="9">
                  <c:v> 01/10 </c:v>
                </c:pt>
                <c:pt idx="10">
                  <c:v> 02/01 </c:v>
                </c:pt>
                <c:pt idx="11">
                  <c:v> 02/02 </c:v>
                </c:pt>
                <c:pt idx="12">
                  <c:v> 02/03 </c:v>
                </c:pt>
                <c:pt idx="13">
                  <c:v> 02/04 </c:v>
                </c:pt>
                <c:pt idx="14">
                  <c:v> 02/05 </c:v>
                </c:pt>
                <c:pt idx="15">
                  <c:v> 02/06 </c:v>
                </c:pt>
                <c:pt idx="16">
                  <c:v> 02/07 </c:v>
                </c:pt>
                <c:pt idx="17">
                  <c:v> 02/08 </c:v>
                </c:pt>
                <c:pt idx="18">
                  <c:v> 02/09 </c:v>
                </c:pt>
                <c:pt idx="19">
                  <c:v> 02/10 </c:v>
                </c:pt>
                <c:pt idx="20">
                  <c:v> 03/01 </c:v>
                </c:pt>
                <c:pt idx="21">
                  <c:v> 03/02 </c:v>
                </c:pt>
                <c:pt idx="22">
                  <c:v> 03/03 </c:v>
                </c:pt>
                <c:pt idx="23">
                  <c:v> 03/04 </c:v>
                </c:pt>
                <c:pt idx="24">
                  <c:v> 03/05 </c:v>
                </c:pt>
                <c:pt idx="25">
                  <c:v> 03/06 </c:v>
                </c:pt>
                <c:pt idx="26">
                  <c:v> 03/07 </c:v>
                </c:pt>
                <c:pt idx="27">
                  <c:v> 03/08 </c:v>
                </c:pt>
                <c:pt idx="28">
                  <c:v> 03/09 </c:v>
                </c:pt>
                <c:pt idx="29">
                  <c:v> 03/10 </c:v>
                </c:pt>
                <c:pt idx="30">
                  <c:v> 04/01 </c:v>
                </c:pt>
                <c:pt idx="31">
                  <c:v> 04/02 </c:v>
                </c:pt>
                <c:pt idx="32">
                  <c:v> 04/03 </c:v>
                </c:pt>
                <c:pt idx="33">
                  <c:v> 04/04 </c:v>
                </c:pt>
                <c:pt idx="34">
                  <c:v> 04/05 </c:v>
                </c:pt>
                <c:pt idx="35">
                  <c:v> 04/06 </c:v>
                </c:pt>
                <c:pt idx="36">
                  <c:v> 04/07 </c:v>
                </c:pt>
                <c:pt idx="37">
                  <c:v> 04/08 </c:v>
                </c:pt>
                <c:pt idx="38">
                  <c:v> 04/09 </c:v>
                </c:pt>
                <c:pt idx="39">
                  <c:v> 04/10 </c:v>
                </c:pt>
              </c:strCache>
            </c:strRef>
          </c:cat>
          <c:val>
            <c:numRef>
              <c:f>Sales!$K$54:$K$97</c:f>
              <c:numCache>
                <c:formatCode>_-* #,##0_-;\-* #,##0_-;_-* "-"??_-;_-@_-</c:formatCode>
                <c:ptCount val="40"/>
                <c:pt idx="0">
                  <c:v>-1</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-1</c:v>
                </c:pt>
                <c:pt idx="21">
                  <c:v>0</c:v>
                </c:pt>
                <c:pt idx="22">
                  <c:v>0</c:v>
                </c:pt>
                <c:pt idx="23">
                  <c:v>0</c:v>
                </c:pt>
                <c:pt idx="24">
                  <c:v>0</c:v>
                </c:pt>
                <c:pt idx="25">
                  <c:v>-1</c:v>
                </c:pt>
                <c:pt idx="26">
                  <c:v>0</c:v>
                </c:pt>
                <c:pt idx="27">
                  <c:v>0</c:v>
                </c:pt>
                <c:pt idx="28">
                  <c:v>0</c:v>
                </c:pt>
                <c:pt idx="29">
                  <c:v>-1</c:v>
                </c:pt>
                <c:pt idx="30">
                  <c:v>0</c:v>
                </c:pt>
                <c:pt idx="31">
                  <c:v>0</c:v>
                </c:pt>
                <c:pt idx="32">
                  <c:v>0</c:v>
                </c:pt>
                <c:pt idx="33">
                  <c:v>0</c:v>
                </c:pt>
                <c:pt idx="34">
                  <c:v>0</c:v>
                </c:pt>
                <c:pt idx="35">
                  <c:v>0</c:v>
                </c:pt>
                <c:pt idx="36">
                  <c:v>0</c:v>
                </c:pt>
                <c:pt idx="37">
                  <c:v>-1</c:v>
                </c:pt>
                <c:pt idx="38">
                  <c:v>0</c:v>
                </c:pt>
                <c:pt idx="39">
                  <c:v>0</c:v>
                </c:pt>
              </c:numCache>
            </c:numRef>
          </c:val>
          <c:extLst>
            <c:ext xmlns:c16="http://schemas.microsoft.com/office/drawing/2014/chart" uri="{C3380CC4-5D6E-409C-BE32-E72D297353CC}">
              <c16:uniqueId val="{00000005-3B63-4244-AC03-6505D44895BF}"/>
            </c:ext>
          </c:extLst>
        </c:ser>
        <c:ser>
          <c:idx val="0"/>
          <c:order val="1"/>
          <c:spPr>
            <a:blipFill>
              <a:blip xmlns:r="http://schemas.openxmlformats.org/officeDocument/2006/relationships" r:embed="rId4"/>
              <a:stretch>
                <a:fillRect/>
              </a:stretch>
            </a:blipFill>
            <a:ln>
              <a:noFill/>
            </a:ln>
            <a:effectLst/>
          </c:spPr>
          <c:invertIfNegative val="0"/>
          <c:cat>
            <c:strRef>
              <c:f>Sales!$C$54:$C$97</c:f>
              <c:strCache>
                <c:ptCount val="40"/>
                <c:pt idx="0">
                  <c:v> 01/01 </c:v>
                </c:pt>
                <c:pt idx="1">
                  <c:v> 01/02 </c:v>
                </c:pt>
                <c:pt idx="2">
                  <c:v> 01/03 </c:v>
                </c:pt>
                <c:pt idx="3">
                  <c:v> 01/04 </c:v>
                </c:pt>
                <c:pt idx="4">
                  <c:v> 01/05 </c:v>
                </c:pt>
                <c:pt idx="5">
                  <c:v> 01/06 </c:v>
                </c:pt>
                <c:pt idx="6">
                  <c:v> 01/07 </c:v>
                </c:pt>
                <c:pt idx="7">
                  <c:v> 01/08 </c:v>
                </c:pt>
                <c:pt idx="8">
                  <c:v> 01/09 </c:v>
                </c:pt>
                <c:pt idx="9">
                  <c:v> 01/10 </c:v>
                </c:pt>
                <c:pt idx="10">
                  <c:v> 02/01 </c:v>
                </c:pt>
                <c:pt idx="11">
                  <c:v> 02/02 </c:v>
                </c:pt>
                <c:pt idx="12">
                  <c:v> 02/03 </c:v>
                </c:pt>
                <c:pt idx="13">
                  <c:v> 02/04 </c:v>
                </c:pt>
                <c:pt idx="14">
                  <c:v> 02/05 </c:v>
                </c:pt>
                <c:pt idx="15">
                  <c:v> 02/06 </c:v>
                </c:pt>
                <c:pt idx="16">
                  <c:v> 02/07 </c:v>
                </c:pt>
                <c:pt idx="17">
                  <c:v> 02/08 </c:v>
                </c:pt>
                <c:pt idx="18">
                  <c:v> 02/09 </c:v>
                </c:pt>
                <c:pt idx="19">
                  <c:v> 02/10 </c:v>
                </c:pt>
                <c:pt idx="20">
                  <c:v> 03/01 </c:v>
                </c:pt>
                <c:pt idx="21">
                  <c:v> 03/02 </c:v>
                </c:pt>
                <c:pt idx="22">
                  <c:v> 03/03 </c:v>
                </c:pt>
                <c:pt idx="23">
                  <c:v> 03/04 </c:v>
                </c:pt>
                <c:pt idx="24">
                  <c:v> 03/05 </c:v>
                </c:pt>
                <c:pt idx="25">
                  <c:v> 03/06 </c:v>
                </c:pt>
                <c:pt idx="26">
                  <c:v> 03/07 </c:v>
                </c:pt>
                <c:pt idx="27">
                  <c:v> 03/08 </c:v>
                </c:pt>
                <c:pt idx="28">
                  <c:v> 03/09 </c:v>
                </c:pt>
                <c:pt idx="29">
                  <c:v> 03/10 </c:v>
                </c:pt>
                <c:pt idx="30">
                  <c:v> 04/01 </c:v>
                </c:pt>
                <c:pt idx="31">
                  <c:v> 04/02 </c:v>
                </c:pt>
                <c:pt idx="32">
                  <c:v> 04/03 </c:v>
                </c:pt>
                <c:pt idx="33">
                  <c:v> 04/04 </c:v>
                </c:pt>
                <c:pt idx="34">
                  <c:v> 04/05 </c:v>
                </c:pt>
                <c:pt idx="35">
                  <c:v> 04/06 </c:v>
                </c:pt>
                <c:pt idx="36">
                  <c:v> 04/07 </c:v>
                </c:pt>
                <c:pt idx="37">
                  <c:v> 04/08 </c:v>
                </c:pt>
                <c:pt idx="38">
                  <c:v> 04/09 </c:v>
                </c:pt>
                <c:pt idx="39">
                  <c:v> 04/10 </c:v>
                </c:pt>
              </c:strCache>
            </c:strRef>
          </c:cat>
          <c:val>
            <c:numRef>
              <c:f>Sales!$J$54:$J$97</c:f>
              <c:numCache>
                <c:formatCode>_-* #,##0_-;\-* #,##0_-;_-* "-"??_-;_-@_-</c:formatCode>
                <c:ptCount val="40"/>
                <c:pt idx="0">
                  <c:v>0</c:v>
                </c:pt>
                <c:pt idx="1">
                  <c:v>1</c:v>
                </c:pt>
                <c:pt idx="2">
                  <c:v>0</c:v>
                </c:pt>
                <c:pt idx="3">
                  <c:v>0</c:v>
                </c:pt>
                <c:pt idx="4">
                  <c:v>1</c:v>
                </c:pt>
                <c:pt idx="5">
                  <c:v>0</c:v>
                </c:pt>
                <c:pt idx="6">
                  <c:v>0</c:v>
                </c:pt>
                <c:pt idx="7">
                  <c:v>1</c:v>
                </c:pt>
                <c:pt idx="8">
                  <c:v>0</c:v>
                </c:pt>
                <c:pt idx="9">
                  <c:v>0</c:v>
                </c:pt>
                <c:pt idx="10">
                  <c:v>0</c:v>
                </c:pt>
                <c:pt idx="11">
                  <c:v>0</c:v>
                </c:pt>
                <c:pt idx="12">
                  <c:v>0</c:v>
                </c:pt>
                <c:pt idx="13">
                  <c:v>1</c:v>
                </c:pt>
                <c:pt idx="14">
                  <c:v>0</c:v>
                </c:pt>
                <c:pt idx="15">
                  <c:v>0</c:v>
                </c:pt>
                <c:pt idx="16">
                  <c:v>1</c:v>
                </c:pt>
                <c:pt idx="17">
                  <c:v>0</c:v>
                </c:pt>
                <c:pt idx="18">
                  <c:v>0</c:v>
                </c:pt>
                <c:pt idx="19">
                  <c:v>1</c:v>
                </c:pt>
                <c:pt idx="20">
                  <c:v>0</c:v>
                </c:pt>
                <c:pt idx="21">
                  <c:v>0</c:v>
                </c:pt>
                <c:pt idx="22">
                  <c:v>1</c:v>
                </c:pt>
                <c:pt idx="23">
                  <c:v>0</c:v>
                </c:pt>
                <c:pt idx="24">
                  <c:v>0</c:v>
                </c:pt>
                <c:pt idx="25">
                  <c:v>0</c:v>
                </c:pt>
                <c:pt idx="26">
                  <c:v>0</c:v>
                </c:pt>
                <c:pt idx="27">
                  <c:v>0</c:v>
                </c:pt>
                <c:pt idx="28">
                  <c:v>1</c:v>
                </c:pt>
                <c:pt idx="29">
                  <c:v>0</c:v>
                </c:pt>
                <c:pt idx="30">
                  <c:v>0</c:v>
                </c:pt>
                <c:pt idx="31">
                  <c:v>1</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6-3B63-4244-AC03-6505D44895BF}"/>
            </c:ext>
          </c:extLst>
        </c:ser>
        <c:dLbls>
          <c:showLegendKey val="0"/>
          <c:showVal val="0"/>
          <c:showCatName val="0"/>
          <c:showSerName val="0"/>
          <c:showPercent val="0"/>
          <c:showBubbleSize val="0"/>
        </c:dLbls>
        <c:gapWidth val="0"/>
        <c:overlap val="100"/>
        <c:axId val="1731232736"/>
        <c:axId val="1731232320"/>
      </c:barChart>
      <c:catAx>
        <c:axId val="920022192"/>
        <c:scaling>
          <c:orientation val="minMax"/>
        </c:scaling>
        <c:delete val="1"/>
        <c:axPos val="b"/>
        <c:numFmt formatCode="General" sourceLinked="1"/>
        <c:majorTickMark val="out"/>
        <c:minorTickMark val="none"/>
        <c:tickLblPos val="nextTo"/>
        <c:crossAx val="920023440"/>
        <c:crosses val="autoZero"/>
        <c:auto val="1"/>
        <c:lblAlgn val="ctr"/>
        <c:lblOffset val="100"/>
        <c:noMultiLvlLbl val="0"/>
      </c:catAx>
      <c:valAx>
        <c:axId val="920023440"/>
        <c:scaling>
          <c:orientation val="minMax"/>
          <c:max val="1.1000000000000001"/>
          <c:min val="-1.1000000000000001"/>
        </c:scaling>
        <c:delete val="1"/>
        <c:axPos val="l"/>
        <c:majorGridlines>
          <c:spPr>
            <a:ln w="9525" cap="flat" cmpd="sng" algn="ctr">
              <a:solidFill>
                <a:schemeClr val="tx1">
                  <a:lumMod val="15000"/>
                  <a:lumOff val="85000"/>
                </a:schemeClr>
              </a:solidFill>
              <a:round/>
            </a:ln>
            <a:effectLst/>
          </c:spPr>
        </c:majorGridlines>
        <c:numFmt formatCode="_-* #,##0_-;\-* #,##0_-;_-* &quot;-&quot;??_-;_-@_-" sourceLinked="1"/>
        <c:majorTickMark val="out"/>
        <c:minorTickMark val="none"/>
        <c:tickLblPos val="nextTo"/>
        <c:crossAx val="920022192"/>
        <c:crosses val="autoZero"/>
        <c:crossBetween val="between"/>
      </c:valAx>
      <c:valAx>
        <c:axId val="1731232320"/>
        <c:scaling>
          <c:orientation val="minMax"/>
          <c:max val="1"/>
          <c:min val="-1"/>
        </c:scaling>
        <c:delete val="1"/>
        <c:axPos val="r"/>
        <c:numFmt formatCode="_-* #,##0_-;\-* #,##0_-;_-* &quot;-&quot;??_-;_-@_-" sourceLinked="1"/>
        <c:majorTickMark val="out"/>
        <c:minorTickMark val="none"/>
        <c:tickLblPos val="nextTo"/>
        <c:crossAx val="1731232736"/>
        <c:crosses val="max"/>
        <c:crossBetween val="between"/>
      </c:valAx>
      <c:catAx>
        <c:axId val="1731232736"/>
        <c:scaling>
          <c:orientation val="minMax"/>
        </c:scaling>
        <c:delete val="1"/>
        <c:axPos val="b"/>
        <c:numFmt formatCode="General" sourceLinked="1"/>
        <c:majorTickMark val="out"/>
        <c:minorTickMark val="none"/>
        <c:tickLblPos val="nextTo"/>
        <c:crossAx val="17312323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Sales!$O$129</c:f>
              <c:strCache>
                <c:ptCount val="1"/>
                <c:pt idx="0">
                  <c:v>PED</c:v>
                </c:pt>
              </c:strCache>
            </c:strRef>
          </c:tx>
          <c:spPr>
            <a:solidFill>
              <a:srgbClr val="5CA4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Sales!$N$130:$N$135</c:f>
              <c:strCache>
                <c:ptCount val="6"/>
                <c:pt idx="0">
                  <c:v> Yoghurt </c:v>
                </c:pt>
                <c:pt idx="1">
                  <c:v> Cheese </c:v>
                </c:pt>
                <c:pt idx="2">
                  <c:v> Milk </c:v>
                </c:pt>
                <c:pt idx="3">
                  <c:v> Ice Cream </c:v>
                </c:pt>
                <c:pt idx="4">
                  <c:v> Butter </c:v>
                </c:pt>
                <c:pt idx="5">
                  <c:v> Cream </c:v>
                </c:pt>
              </c:strCache>
            </c:strRef>
          </c:cat>
          <c:val>
            <c:numRef>
              <c:f>Sales!$O$130:$O$135</c:f>
              <c:numCache>
                <c:formatCode>_-* #,##0.00_-;\-* #,##0.00_-;_-* "-"??_-;_-@_-</c:formatCode>
                <c:ptCount val="6"/>
                <c:pt idx="0">
                  <c:v>0.55509181969949872</c:v>
                </c:pt>
                <c:pt idx="1">
                  <c:v>1.886859462201929</c:v>
                </c:pt>
                <c:pt idx="2">
                  <c:v>7.583417593528817E-2</c:v>
                </c:pt>
                <c:pt idx="3">
                  <c:v>1.3919820114158321</c:v>
                </c:pt>
                <c:pt idx="4">
                  <c:v>#N/A</c:v>
                </c:pt>
                <c:pt idx="5">
                  <c:v>1.5300829581811488</c:v>
                </c:pt>
              </c:numCache>
            </c:numRef>
          </c:val>
          <c:extLst>
            <c:ext xmlns:c16="http://schemas.microsoft.com/office/drawing/2014/chart" uri="{C3380CC4-5D6E-409C-BE32-E72D297353CC}">
              <c16:uniqueId val="{00000000-AB92-4E5F-AC4D-B4C42B8D3E26}"/>
            </c:ext>
          </c:extLst>
        </c:ser>
        <c:ser>
          <c:idx val="1"/>
          <c:order val="1"/>
          <c:tx>
            <c:strRef>
              <c:f>Sales!$P$129</c:f>
              <c:strCache>
                <c:ptCount val="1"/>
                <c:pt idx="0">
                  <c:v>Cross-product comparison</c:v>
                </c:pt>
              </c:strCache>
            </c:strRef>
          </c:tx>
          <c:spPr>
            <a:solidFill>
              <a:srgbClr val="72C0C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Sales!$N$130:$N$135</c:f>
              <c:strCache>
                <c:ptCount val="6"/>
                <c:pt idx="0">
                  <c:v> Yoghurt </c:v>
                </c:pt>
                <c:pt idx="1">
                  <c:v> Cheese </c:v>
                </c:pt>
                <c:pt idx="2">
                  <c:v> Milk </c:v>
                </c:pt>
                <c:pt idx="3">
                  <c:v> Ice Cream </c:v>
                </c:pt>
                <c:pt idx="4">
                  <c:v> Butter </c:v>
                </c:pt>
                <c:pt idx="5">
                  <c:v> Cream </c:v>
                </c:pt>
              </c:strCache>
            </c:strRef>
          </c:cat>
          <c:val>
            <c:numRef>
              <c:f>Sales!$P$130:$P$135</c:f>
              <c:numCache>
                <c:formatCode>_-* #,##0.00_-;\-* #,##0.00_-;_-* "-"??_-;_-@_-</c:formatCode>
                <c:ptCount val="6"/>
                <c:pt idx="0">
                  <c:v>#N/A</c:v>
                </c:pt>
                <c:pt idx="1">
                  <c:v>#N/A</c:v>
                </c:pt>
                <c:pt idx="2">
                  <c:v>#N/A</c:v>
                </c:pt>
                <c:pt idx="3">
                  <c:v>#N/A</c:v>
                </c:pt>
                <c:pt idx="4">
                  <c:v>2.2198944570090875</c:v>
                </c:pt>
                <c:pt idx="5">
                  <c:v>#N/A</c:v>
                </c:pt>
              </c:numCache>
            </c:numRef>
          </c:val>
          <c:extLst>
            <c:ext xmlns:c16="http://schemas.microsoft.com/office/drawing/2014/chart" uri="{C3380CC4-5D6E-409C-BE32-E72D297353CC}">
              <c16:uniqueId val="{00000001-AB92-4E5F-AC4D-B4C42B8D3E26}"/>
            </c:ext>
          </c:extLst>
        </c:ser>
        <c:dLbls>
          <c:dLblPos val="outEnd"/>
          <c:showLegendKey val="0"/>
          <c:showVal val="1"/>
          <c:showCatName val="0"/>
          <c:showSerName val="0"/>
          <c:showPercent val="0"/>
          <c:showBubbleSize val="0"/>
        </c:dLbls>
        <c:gapWidth val="77"/>
        <c:overlap val="100"/>
        <c:axId val="1632349135"/>
        <c:axId val="1632348719"/>
      </c:barChart>
      <c:lineChart>
        <c:grouping val="standard"/>
        <c:varyColors val="0"/>
        <c:ser>
          <c:idx val="2"/>
          <c:order val="2"/>
          <c:tx>
            <c:strRef>
              <c:f>Sales!$Q$129</c:f>
              <c:strCache>
                <c:ptCount val="1"/>
                <c:pt idx="0">
                  <c:v>Regional Average</c:v>
                </c:pt>
              </c:strCache>
            </c:strRef>
          </c:tx>
          <c:spPr>
            <a:ln w="19050" cap="rnd">
              <a:solidFill>
                <a:schemeClr val="tx1">
                  <a:lumMod val="75000"/>
                  <a:lumOff val="25000"/>
                </a:schemeClr>
              </a:solidFill>
              <a:prstDash val="dash"/>
              <a:round/>
            </a:ln>
            <a:effectLst/>
          </c:spPr>
          <c:marker>
            <c:symbol val="none"/>
          </c:marker>
          <c:dLbls>
            <c:delete val="1"/>
          </c:dLbls>
          <c:cat>
            <c:strRef>
              <c:f>Sales!$N$130:$N$135</c:f>
              <c:strCache>
                <c:ptCount val="6"/>
                <c:pt idx="0">
                  <c:v> Yoghurt </c:v>
                </c:pt>
                <c:pt idx="1">
                  <c:v> Cheese </c:v>
                </c:pt>
                <c:pt idx="2">
                  <c:v> Milk </c:v>
                </c:pt>
                <c:pt idx="3">
                  <c:v> Ice Cream </c:v>
                </c:pt>
                <c:pt idx="4">
                  <c:v> Butter </c:v>
                </c:pt>
                <c:pt idx="5">
                  <c:v> Cream </c:v>
                </c:pt>
              </c:strCache>
            </c:strRef>
          </c:cat>
          <c:val>
            <c:numRef>
              <c:f>Sales!$Q$130:$Q$135</c:f>
              <c:numCache>
                <c:formatCode>_-* #,##0.00_-;\-* #,##0.00_-;_-* "-"??_-;_-@_-</c:formatCode>
                <c:ptCount val="6"/>
                <c:pt idx="0">
                  <c:v>1.2766241474071307</c:v>
                </c:pt>
                <c:pt idx="1">
                  <c:v>1.2766241474071307</c:v>
                </c:pt>
                <c:pt idx="2">
                  <c:v>1.2766241474071307</c:v>
                </c:pt>
                <c:pt idx="3">
                  <c:v>1.2766241474071307</c:v>
                </c:pt>
                <c:pt idx="4">
                  <c:v>1.2766241474071307</c:v>
                </c:pt>
                <c:pt idx="5">
                  <c:v>1.2766241474071307</c:v>
                </c:pt>
              </c:numCache>
            </c:numRef>
          </c:val>
          <c:smooth val="0"/>
          <c:extLst>
            <c:ext xmlns:c16="http://schemas.microsoft.com/office/drawing/2014/chart" uri="{C3380CC4-5D6E-409C-BE32-E72D297353CC}">
              <c16:uniqueId val="{00000002-AB92-4E5F-AC4D-B4C42B8D3E26}"/>
            </c:ext>
          </c:extLst>
        </c:ser>
        <c:dLbls>
          <c:showLegendKey val="0"/>
          <c:showVal val="1"/>
          <c:showCatName val="0"/>
          <c:showSerName val="0"/>
          <c:showPercent val="0"/>
          <c:showBubbleSize val="0"/>
        </c:dLbls>
        <c:marker val="1"/>
        <c:smooth val="0"/>
        <c:axId val="1632349135"/>
        <c:axId val="1632348719"/>
      </c:lineChart>
      <c:catAx>
        <c:axId val="163234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32348719"/>
        <c:crosses val="autoZero"/>
        <c:auto val="1"/>
        <c:lblAlgn val="ctr"/>
        <c:lblOffset val="100"/>
        <c:noMultiLvlLbl val="0"/>
      </c:catAx>
      <c:valAx>
        <c:axId val="1632348719"/>
        <c:scaling>
          <c:orientation val="minMax"/>
        </c:scaling>
        <c:delete val="1"/>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crossAx val="163234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Sales!$O$123</c:f>
              <c:strCache>
                <c:ptCount val="1"/>
                <c:pt idx="0">
                  <c:v>PED</c:v>
                </c:pt>
              </c:strCache>
            </c:strRef>
          </c:tx>
          <c:spPr>
            <a:solidFill>
              <a:srgbClr val="5CA47C"/>
            </a:solidFill>
            <a:ln>
              <a:noFill/>
            </a:ln>
            <a:effectLst/>
          </c:spPr>
          <c:invertIfNegative val="0"/>
          <c:dLbls>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Sales!$N$124:$N$126</c:f>
              <c:strCache>
                <c:ptCount val="3"/>
                <c:pt idx="0">
                  <c:v> North </c:v>
                </c:pt>
                <c:pt idx="1">
                  <c:v> South </c:v>
                </c:pt>
                <c:pt idx="2">
                  <c:v> West </c:v>
                </c:pt>
              </c:strCache>
            </c:strRef>
          </c:cat>
          <c:val>
            <c:numRef>
              <c:f>Sales!$O$124:$O$126</c:f>
              <c:numCache>
                <c:formatCode>_-* #,##0.00_-;\-* #,##0.00_-;_-* "-"??_-;_-@_-</c:formatCode>
                <c:ptCount val="3"/>
                <c:pt idx="0">
                  <c:v>1.5671035450016944</c:v>
                </c:pt>
                <c:pt idx="1">
                  <c:v>#N/A</c:v>
                </c:pt>
                <c:pt idx="2">
                  <c:v>0</c:v>
                </c:pt>
              </c:numCache>
            </c:numRef>
          </c:val>
          <c:extLst>
            <c:ext xmlns:c16="http://schemas.microsoft.com/office/drawing/2014/chart" uri="{C3380CC4-5D6E-409C-BE32-E72D297353CC}">
              <c16:uniqueId val="{00000000-61A6-422A-92EA-706FDAE06DD7}"/>
            </c:ext>
          </c:extLst>
        </c:ser>
        <c:ser>
          <c:idx val="1"/>
          <c:order val="1"/>
          <c:tx>
            <c:strRef>
              <c:f>Sales!$P$123</c:f>
              <c:strCache>
                <c:ptCount val="1"/>
                <c:pt idx="0">
                  <c:v>Cross-region comparison</c:v>
                </c:pt>
              </c:strCache>
            </c:strRef>
          </c:tx>
          <c:spPr>
            <a:solidFill>
              <a:srgbClr val="72C0C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Sales!$N$124:$N$126</c:f>
              <c:strCache>
                <c:ptCount val="3"/>
                <c:pt idx="0">
                  <c:v> North </c:v>
                </c:pt>
                <c:pt idx="1">
                  <c:v> South </c:v>
                </c:pt>
                <c:pt idx="2">
                  <c:v> West </c:v>
                </c:pt>
              </c:strCache>
            </c:strRef>
          </c:cat>
          <c:val>
            <c:numRef>
              <c:f>Sales!$P$124:$P$126</c:f>
              <c:numCache>
                <c:formatCode>_-* #,##0.00_-;\-* #,##0.00_-;_-* "-"??_-;_-@_-</c:formatCode>
                <c:ptCount val="3"/>
                <c:pt idx="0">
                  <c:v>#N/A</c:v>
                </c:pt>
                <c:pt idx="1">
                  <c:v>2.2198944570090875</c:v>
                </c:pt>
                <c:pt idx="2">
                  <c:v>#N/A</c:v>
                </c:pt>
              </c:numCache>
            </c:numRef>
          </c:val>
          <c:extLst>
            <c:ext xmlns:c16="http://schemas.microsoft.com/office/drawing/2014/chart" uri="{C3380CC4-5D6E-409C-BE32-E72D297353CC}">
              <c16:uniqueId val="{00000001-61A6-422A-92EA-706FDAE06DD7}"/>
            </c:ext>
          </c:extLst>
        </c:ser>
        <c:dLbls>
          <c:dLblPos val="outEnd"/>
          <c:showLegendKey val="0"/>
          <c:showVal val="1"/>
          <c:showCatName val="0"/>
          <c:showSerName val="0"/>
          <c:showPercent val="0"/>
          <c:showBubbleSize val="0"/>
        </c:dLbls>
        <c:gapWidth val="40"/>
        <c:overlap val="100"/>
        <c:axId val="1824582735"/>
        <c:axId val="1824584399"/>
      </c:barChart>
      <c:lineChart>
        <c:grouping val="standard"/>
        <c:varyColors val="0"/>
        <c:ser>
          <c:idx val="2"/>
          <c:order val="2"/>
          <c:tx>
            <c:strRef>
              <c:f>Sales!$Q$123</c:f>
              <c:strCache>
                <c:ptCount val="1"/>
                <c:pt idx="0">
                  <c:v>Product Average</c:v>
                </c:pt>
              </c:strCache>
            </c:strRef>
          </c:tx>
          <c:spPr>
            <a:ln w="19050" cap="rnd">
              <a:solidFill>
                <a:schemeClr val="tx1">
                  <a:lumMod val="75000"/>
                  <a:lumOff val="25000"/>
                </a:schemeClr>
              </a:solidFill>
              <a:prstDash val="dash"/>
              <a:round/>
            </a:ln>
            <a:effectLst/>
          </c:spPr>
          <c:marker>
            <c:symbol val="none"/>
          </c:marker>
          <c:dLbls>
            <c:delete val="1"/>
          </c:dLbls>
          <c:cat>
            <c:strRef>
              <c:f>Sales!$N$124:$N$126</c:f>
              <c:strCache>
                <c:ptCount val="3"/>
                <c:pt idx="0">
                  <c:v> North </c:v>
                </c:pt>
                <c:pt idx="1">
                  <c:v> South </c:v>
                </c:pt>
                <c:pt idx="2">
                  <c:v> West </c:v>
                </c:pt>
              </c:strCache>
            </c:strRef>
          </c:cat>
          <c:val>
            <c:numRef>
              <c:f>Sales!$Q$124:$Q$126</c:f>
              <c:numCache>
                <c:formatCode>_-* #,##0.00_-;\-* #,##0.00_-;_-* "-"??_-;_-@_-</c:formatCode>
                <c:ptCount val="3"/>
                <c:pt idx="0">
                  <c:v>1.2623326673369273</c:v>
                </c:pt>
                <c:pt idx="1">
                  <c:v>1.2623326673369273</c:v>
                </c:pt>
                <c:pt idx="2">
                  <c:v>1.2623326673369273</c:v>
                </c:pt>
              </c:numCache>
            </c:numRef>
          </c:val>
          <c:smooth val="0"/>
          <c:extLst>
            <c:ext xmlns:c16="http://schemas.microsoft.com/office/drawing/2014/chart" uri="{C3380CC4-5D6E-409C-BE32-E72D297353CC}">
              <c16:uniqueId val="{00000002-61A6-422A-92EA-706FDAE06DD7}"/>
            </c:ext>
          </c:extLst>
        </c:ser>
        <c:dLbls>
          <c:showLegendKey val="0"/>
          <c:showVal val="1"/>
          <c:showCatName val="0"/>
          <c:showSerName val="0"/>
          <c:showPercent val="0"/>
          <c:showBubbleSize val="0"/>
        </c:dLbls>
        <c:marker val="1"/>
        <c:smooth val="0"/>
        <c:axId val="1824582735"/>
        <c:axId val="1824584399"/>
      </c:lineChart>
      <c:catAx>
        <c:axId val="182458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4584399"/>
        <c:crosses val="autoZero"/>
        <c:auto val="1"/>
        <c:lblAlgn val="ctr"/>
        <c:lblOffset val="100"/>
        <c:noMultiLvlLbl val="0"/>
      </c:catAx>
      <c:valAx>
        <c:axId val="1824584399"/>
        <c:scaling>
          <c:orientation val="minMax"/>
        </c:scaling>
        <c:delete val="1"/>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crossAx val="182458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spPr>
            <a:ln w="28575" cap="rnd">
              <a:solidFill>
                <a:srgbClr val="72C0C3"/>
              </a:solidFill>
              <a:round/>
            </a:ln>
            <a:effectLst/>
          </c:spPr>
          <c:marker>
            <c:symbol val="none"/>
          </c:marker>
          <c:val>
            <c:numRef>
              <c:f>Financials!$I$65:$I$69</c:f>
              <c:numCache>
                <c:formatCode>_-[$€-2]\ * #,##0.00_-;\-[$€-2]\ * #,##0.00_-;_-[$€-2]\ * "-"??_-;_-@_-</c:formatCode>
                <c:ptCount val="5"/>
                <c:pt idx="0">
                  <c:v>137628.88000000003</c:v>
                </c:pt>
                <c:pt idx="1">
                  <c:v>120890</c:v>
                </c:pt>
                <c:pt idx="2">
                  <c:v>116976</c:v>
                </c:pt>
                <c:pt idx="3">
                  <c:v>70678</c:v>
                </c:pt>
                <c:pt idx="4">
                  <c:v>#N/A</c:v>
                </c:pt>
              </c:numCache>
            </c:numRef>
          </c:val>
          <c:smooth val="0"/>
          <c:extLst>
            <c:ext xmlns:c16="http://schemas.microsoft.com/office/drawing/2014/chart" uri="{C3380CC4-5D6E-409C-BE32-E72D297353CC}">
              <c16:uniqueId val="{00000000-ACF7-45AA-8284-7C2C563C82FE}"/>
            </c:ext>
          </c:extLst>
        </c:ser>
        <c:ser>
          <c:idx val="0"/>
          <c:order val="1"/>
          <c:spPr>
            <a:ln w="28575" cap="rnd">
              <a:solidFill>
                <a:srgbClr val="72C0C3"/>
              </a:solidFill>
              <a:prstDash val="dash"/>
              <a:round/>
            </a:ln>
            <a:effectLst/>
          </c:spPr>
          <c:marker>
            <c:symbol val="none"/>
          </c:marker>
          <c:val>
            <c:numRef>
              <c:f>Financials!$L$65:$L$69</c:f>
              <c:numCache>
                <c:formatCode>General</c:formatCode>
                <c:ptCount val="5"/>
                <c:pt idx="0">
                  <c:v>#N/A</c:v>
                </c:pt>
                <c:pt idx="1">
                  <c:v>#N/A</c:v>
                </c:pt>
                <c:pt idx="2">
                  <c:v>#N/A</c:v>
                </c:pt>
                <c:pt idx="3" formatCode="_-[$€-2]\ * #,##0.00_-;\-[$€-2]\ * #,##0.00_-;_-[$€-2]\ * &quot;-&quot;??_-;_-@_-">
                  <c:v>70678</c:v>
                </c:pt>
                <c:pt idx="4" formatCode="_-[$€-2]\ * #,##0.00_-;\-[$€-2]\ * #,##0.00_-;_-[$€-2]\ * &quot;-&quot;??_-;_-@_-">
                  <c:v>60351.559999999969</c:v>
                </c:pt>
              </c:numCache>
            </c:numRef>
          </c:val>
          <c:smooth val="0"/>
          <c:extLst>
            <c:ext xmlns:c16="http://schemas.microsoft.com/office/drawing/2014/chart" uri="{C3380CC4-5D6E-409C-BE32-E72D297353CC}">
              <c16:uniqueId val="{00000003-ACF7-45AA-8284-7C2C563C82FE}"/>
            </c:ext>
          </c:extLst>
        </c:ser>
        <c:ser>
          <c:idx val="2"/>
          <c:order val="2"/>
          <c:spPr>
            <a:ln w="28575" cap="rnd">
              <a:solidFill>
                <a:schemeClr val="accent3"/>
              </a:solidFill>
              <a:round/>
            </a:ln>
            <a:effectLst/>
          </c:spPr>
          <c:marker>
            <c:symbol val="circle"/>
            <c:size val="16"/>
            <c:spPr>
              <a:solidFill>
                <a:srgbClr val="5CA47C"/>
              </a:solidFill>
              <a:ln w="9525">
                <a:noFill/>
              </a:ln>
              <a:effectLst/>
            </c:spPr>
          </c:marker>
          <c:val>
            <c:numRef>
              <c:f>Financials!$J$65:$J$69</c:f>
              <c:numCache>
                <c:formatCode>_-[$€-2]\ * #,##0.00_-;\-[$€-2]\ * #,##0.00_-;_-[$€-2]\ * "-"??_-;_-@_-</c:formatCode>
                <c:ptCount val="5"/>
                <c:pt idx="0">
                  <c:v>#N/A</c:v>
                </c:pt>
                <c:pt idx="1">
                  <c:v>#N/A</c:v>
                </c:pt>
                <c:pt idx="2">
                  <c:v>#N/A</c:v>
                </c:pt>
                <c:pt idx="3">
                  <c:v>#N/A</c:v>
                </c:pt>
                <c:pt idx="4">
                  <c:v>#N/A</c:v>
                </c:pt>
              </c:numCache>
            </c:numRef>
          </c:val>
          <c:smooth val="0"/>
          <c:extLst>
            <c:ext xmlns:c16="http://schemas.microsoft.com/office/drawing/2014/chart" uri="{C3380CC4-5D6E-409C-BE32-E72D297353CC}">
              <c16:uniqueId val="{00000001-ACF7-45AA-8284-7C2C563C82FE}"/>
            </c:ext>
          </c:extLst>
        </c:ser>
        <c:dLbls>
          <c:showLegendKey val="0"/>
          <c:showVal val="0"/>
          <c:showCatName val="0"/>
          <c:showSerName val="0"/>
          <c:showPercent val="0"/>
          <c:showBubbleSize val="0"/>
        </c:dLbls>
        <c:smooth val="0"/>
        <c:axId val="1679652543"/>
        <c:axId val="1679652127"/>
      </c:lineChart>
      <c:catAx>
        <c:axId val="1679652543"/>
        <c:scaling>
          <c:orientation val="minMax"/>
        </c:scaling>
        <c:delete val="1"/>
        <c:axPos val="b"/>
        <c:majorTickMark val="none"/>
        <c:minorTickMark val="none"/>
        <c:tickLblPos val="nextTo"/>
        <c:crossAx val="1679652127"/>
        <c:crosses val="autoZero"/>
        <c:auto val="1"/>
        <c:lblAlgn val="ctr"/>
        <c:lblOffset val="100"/>
        <c:noMultiLvlLbl val="0"/>
      </c:catAx>
      <c:valAx>
        <c:axId val="1679652127"/>
        <c:scaling>
          <c:orientation val="minMax"/>
        </c:scaling>
        <c:delete val="1"/>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crossAx val="167965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spPr>
            <a:ln w="28575" cap="rnd">
              <a:solidFill>
                <a:srgbClr val="72C0C3"/>
              </a:solidFill>
              <a:round/>
            </a:ln>
            <a:effectLst/>
          </c:spPr>
          <c:marker>
            <c:symbol val="none"/>
          </c:marker>
          <c:val>
            <c:numRef>
              <c:f>Financials!$O$65:$O$69</c:f>
              <c:numCache>
                <c:formatCode>_-[$€-2]\ * #,##0.00_-;\-[$€-2]\ * #,##0.00_-;_-[$€-2]\ * "-"??_-;_-@_-</c:formatCode>
                <c:ptCount val="5"/>
                <c:pt idx="0">
                  <c:v>126692.29999999999</c:v>
                </c:pt>
                <c:pt idx="1">
                  <c:v>107260.12999999999</c:v>
                </c:pt>
                <c:pt idx="2">
                  <c:v>98653.37000000001</c:v>
                </c:pt>
                <c:pt idx="3">
                  <c:v>58254.029999999984</c:v>
                </c:pt>
                <c:pt idx="4">
                  <c:v>#N/A</c:v>
                </c:pt>
              </c:numCache>
            </c:numRef>
          </c:val>
          <c:smooth val="0"/>
          <c:extLst>
            <c:ext xmlns:c16="http://schemas.microsoft.com/office/drawing/2014/chart" uri="{C3380CC4-5D6E-409C-BE32-E72D297353CC}">
              <c16:uniqueId val="{00000000-9C8D-4EA7-B860-6DD18CD65BDB}"/>
            </c:ext>
          </c:extLst>
        </c:ser>
        <c:ser>
          <c:idx val="0"/>
          <c:order val="1"/>
          <c:spPr>
            <a:ln w="28575" cap="rnd">
              <a:solidFill>
                <a:srgbClr val="72C0C3"/>
              </a:solidFill>
              <a:prstDash val="dash"/>
              <a:round/>
            </a:ln>
            <a:effectLst/>
          </c:spPr>
          <c:marker>
            <c:symbol val="none"/>
          </c:marker>
          <c:val>
            <c:numRef>
              <c:f>Financials!$R$65:$R$69</c:f>
              <c:numCache>
                <c:formatCode>General</c:formatCode>
                <c:ptCount val="5"/>
                <c:pt idx="0">
                  <c:v>#N/A</c:v>
                </c:pt>
                <c:pt idx="1">
                  <c:v>#N/A</c:v>
                </c:pt>
                <c:pt idx="2">
                  <c:v>#N/A</c:v>
                </c:pt>
                <c:pt idx="3" formatCode="_-[$€-2]\ * #,##0.00_-;\-[$€-2]\ * #,##0.00_-;_-[$€-2]\ * &quot;-&quot;??_-;_-@_-">
                  <c:v>58254.029999999984</c:v>
                </c:pt>
                <c:pt idx="4" formatCode="_-[$€-2]\ * #,##0.00_-;\-[$€-2]\ * #,##0.00_-;_-[$€-2]\ * &quot;-&quot;??_-;_-@_-">
                  <c:v>44234.564999999973</c:v>
                </c:pt>
              </c:numCache>
            </c:numRef>
          </c:val>
          <c:smooth val="0"/>
          <c:extLst>
            <c:ext xmlns:c16="http://schemas.microsoft.com/office/drawing/2014/chart" uri="{C3380CC4-5D6E-409C-BE32-E72D297353CC}">
              <c16:uniqueId val="{00000003-9C8D-4EA7-B860-6DD18CD65BDB}"/>
            </c:ext>
          </c:extLst>
        </c:ser>
        <c:ser>
          <c:idx val="2"/>
          <c:order val="2"/>
          <c:spPr>
            <a:ln w="28575" cap="rnd">
              <a:solidFill>
                <a:schemeClr val="accent3"/>
              </a:solidFill>
              <a:round/>
            </a:ln>
            <a:effectLst/>
          </c:spPr>
          <c:marker>
            <c:symbol val="circle"/>
            <c:size val="16"/>
            <c:spPr>
              <a:solidFill>
                <a:srgbClr val="5CA47C"/>
              </a:solidFill>
              <a:ln w="9525">
                <a:noFill/>
              </a:ln>
              <a:effectLst/>
            </c:spPr>
          </c:marker>
          <c:val>
            <c:numRef>
              <c:f>Financials!$P$65:$P$69</c:f>
              <c:numCache>
                <c:formatCode>_-[$€-2]\ * #,##0.00_-;\-[$€-2]\ * #,##0.00_-;_-[$€-2]\ * "-"??_-;_-@_-</c:formatCode>
                <c:ptCount val="5"/>
                <c:pt idx="0">
                  <c:v>#N/A</c:v>
                </c:pt>
                <c:pt idx="1">
                  <c:v>#N/A</c:v>
                </c:pt>
                <c:pt idx="2">
                  <c:v>#N/A</c:v>
                </c:pt>
                <c:pt idx="3">
                  <c:v>#N/A</c:v>
                </c:pt>
                <c:pt idx="4">
                  <c:v>#N/A</c:v>
                </c:pt>
              </c:numCache>
            </c:numRef>
          </c:val>
          <c:smooth val="0"/>
          <c:extLst>
            <c:ext xmlns:c16="http://schemas.microsoft.com/office/drawing/2014/chart" uri="{C3380CC4-5D6E-409C-BE32-E72D297353CC}">
              <c16:uniqueId val="{00000001-9C8D-4EA7-B860-6DD18CD65BDB}"/>
            </c:ext>
          </c:extLst>
        </c:ser>
        <c:dLbls>
          <c:showLegendKey val="0"/>
          <c:showVal val="0"/>
          <c:showCatName val="0"/>
          <c:showSerName val="0"/>
          <c:showPercent val="0"/>
          <c:showBubbleSize val="0"/>
        </c:dLbls>
        <c:smooth val="0"/>
        <c:axId val="1679652543"/>
        <c:axId val="1679652127"/>
      </c:lineChart>
      <c:catAx>
        <c:axId val="1679652543"/>
        <c:scaling>
          <c:orientation val="minMax"/>
        </c:scaling>
        <c:delete val="1"/>
        <c:axPos val="b"/>
        <c:majorTickMark val="none"/>
        <c:minorTickMark val="none"/>
        <c:tickLblPos val="nextTo"/>
        <c:crossAx val="1679652127"/>
        <c:crosses val="autoZero"/>
        <c:auto val="1"/>
        <c:lblAlgn val="ctr"/>
        <c:lblOffset val="100"/>
        <c:noMultiLvlLbl val="0"/>
      </c:catAx>
      <c:valAx>
        <c:axId val="1679652127"/>
        <c:scaling>
          <c:orientation val="minMax"/>
        </c:scaling>
        <c:delete val="1"/>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crossAx val="167965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spPr>
            <a:ln w="28575" cap="rnd">
              <a:solidFill>
                <a:srgbClr val="72C0C3"/>
              </a:solidFill>
              <a:round/>
            </a:ln>
            <a:effectLst/>
          </c:spPr>
          <c:marker>
            <c:symbol val="none"/>
          </c:marker>
          <c:val>
            <c:numRef>
              <c:f>Financials!$C$65:$C$69</c:f>
              <c:numCache>
                <c:formatCode>_-[$€-2]\ * #,##0.00_-;\-[$€-2]\ * #,##0.00_-;_-[$€-2]\ * "-"??_-;_-@_-</c:formatCode>
                <c:ptCount val="5"/>
                <c:pt idx="0">
                  <c:v>10936.580000000049</c:v>
                </c:pt>
                <c:pt idx="1">
                  <c:v>13629.87000000001</c:v>
                </c:pt>
                <c:pt idx="2">
                  <c:v>18322.62999999999</c:v>
                </c:pt>
                <c:pt idx="3">
                  <c:v>12423.970000000016</c:v>
                </c:pt>
                <c:pt idx="4">
                  <c:v>#N/A</c:v>
                </c:pt>
              </c:numCache>
            </c:numRef>
          </c:val>
          <c:smooth val="0"/>
          <c:extLst>
            <c:ext xmlns:c16="http://schemas.microsoft.com/office/drawing/2014/chart" uri="{C3380CC4-5D6E-409C-BE32-E72D297353CC}">
              <c16:uniqueId val="{00000000-B46D-49F9-AC5C-98AE6EFE9894}"/>
            </c:ext>
          </c:extLst>
        </c:ser>
        <c:ser>
          <c:idx val="0"/>
          <c:order val="1"/>
          <c:spPr>
            <a:ln w="28575" cap="rnd">
              <a:solidFill>
                <a:srgbClr val="72C0C3"/>
              </a:solidFill>
              <a:prstDash val="dash"/>
              <a:round/>
            </a:ln>
            <a:effectLst/>
          </c:spPr>
          <c:marker>
            <c:symbol val="none"/>
          </c:marker>
          <c:val>
            <c:numRef>
              <c:f>Financials!$E$65:$E$69</c:f>
              <c:numCache>
                <c:formatCode>General</c:formatCode>
                <c:ptCount val="5"/>
                <c:pt idx="0">
                  <c:v>#N/A</c:v>
                </c:pt>
                <c:pt idx="1">
                  <c:v>#N/A</c:v>
                </c:pt>
                <c:pt idx="2">
                  <c:v>#N/A</c:v>
                </c:pt>
                <c:pt idx="3" formatCode="_-[$€-2]\ * #,##0.00_-;\-[$€-2]\ * #,##0.00_-;_-[$€-2]\ * &quot;-&quot;??_-;_-@_-">
                  <c:v>12423.970000000016</c:v>
                </c:pt>
                <c:pt idx="4" formatCode="_-[$€-2]\ * #,##0.00_-;\-[$€-2]\ * #,##0.00_-;_-[$€-2]\ * &quot;-&quot;??_-;_-@_-">
                  <c:v>16116.994999999986</c:v>
                </c:pt>
              </c:numCache>
            </c:numRef>
          </c:val>
          <c:smooth val="0"/>
          <c:extLst>
            <c:ext xmlns:c16="http://schemas.microsoft.com/office/drawing/2014/chart" uri="{C3380CC4-5D6E-409C-BE32-E72D297353CC}">
              <c16:uniqueId val="{00000003-2436-404C-A70B-B98AAE4689A5}"/>
            </c:ext>
          </c:extLst>
        </c:ser>
        <c:ser>
          <c:idx val="2"/>
          <c:order val="2"/>
          <c:spPr>
            <a:ln w="28575" cap="rnd">
              <a:solidFill>
                <a:schemeClr val="accent3"/>
              </a:solidFill>
              <a:round/>
            </a:ln>
            <a:effectLst/>
          </c:spPr>
          <c:marker>
            <c:symbol val="circle"/>
            <c:size val="16"/>
            <c:spPr>
              <a:solidFill>
                <a:srgbClr val="5CA47C"/>
              </a:solidFill>
              <a:ln w="9525">
                <a:noFill/>
              </a:ln>
              <a:effectLst/>
            </c:spPr>
          </c:marker>
          <c:val>
            <c:numRef>
              <c:f>Financials!$D$65:$D$69</c:f>
              <c:numCache>
                <c:formatCode>_-[$€-2]\ * #,##0.00_-;\-[$€-2]\ * #,##0.00_-;_-[$€-2]\ * "-"??_-;_-@_-</c:formatCode>
                <c:ptCount val="5"/>
                <c:pt idx="0">
                  <c:v>#N/A</c:v>
                </c:pt>
                <c:pt idx="1">
                  <c:v>#N/A</c:v>
                </c:pt>
                <c:pt idx="2">
                  <c:v>#N/A</c:v>
                </c:pt>
                <c:pt idx="3">
                  <c:v>#N/A</c:v>
                </c:pt>
                <c:pt idx="4">
                  <c:v>#N/A</c:v>
                </c:pt>
              </c:numCache>
            </c:numRef>
          </c:val>
          <c:smooth val="0"/>
          <c:extLst>
            <c:ext xmlns:c16="http://schemas.microsoft.com/office/drawing/2014/chart" uri="{C3380CC4-5D6E-409C-BE32-E72D297353CC}">
              <c16:uniqueId val="{00000002-B46D-49F9-AC5C-98AE6EFE9894}"/>
            </c:ext>
          </c:extLst>
        </c:ser>
        <c:dLbls>
          <c:showLegendKey val="0"/>
          <c:showVal val="0"/>
          <c:showCatName val="0"/>
          <c:showSerName val="0"/>
          <c:showPercent val="0"/>
          <c:showBubbleSize val="0"/>
        </c:dLbls>
        <c:smooth val="0"/>
        <c:axId val="1679652543"/>
        <c:axId val="1679652127"/>
      </c:lineChart>
      <c:catAx>
        <c:axId val="1679652543"/>
        <c:scaling>
          <c:orientation val="minMax"/>
        </c:scaling>
        <c:delete val="1"/>
        <c:axPos val="b"/>
        <c:majorTickMark val="none"/>
        <c:minorTickMark val="none"/>
        <c:tickLblPos val="nextTo"/>
        <c:crossAx val="1679652127"/>
        <c:crosses val="autoZero"/>
        <c:auto val="1"/>
        <c:lblAlgn val="ctr"/>
        <c:lblOffset val="100"/>
        <c:noMultiLvlLbl val="0"/>
      </c:catAx>
      <c:valAx>
        <c:axId val="1679652127"/>
        <c:scaling>
          <c:orientation val="minMax"/>
        </c:scaling>
        <c:delete val="1"/>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crossAx val="167965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2"/>
          <c:order val="0"/>
          <c:dPt>
            <c:idx val="0"/>
            <c:bubble3D val="0"/>
            <c:spPr>
              <a:solidFill>
                <a:schemeClr val="accent1"/>
              </a:solidFill>
              <a:ln>
                <a:noFill/>
              </a:ln>
              <a:effectLst/>
            </c:spPr>
            <c:extLst>
              <c:ext xmlns:c16="http://schemas.microsoft.com/office/drawing/2014/chart" uri="{C3380CC4-5D6E-409C-BE32-E72D297353CC}">
                <c16:uniqueId val="{00000001-3621-BB49-A30A-1CFE7251E8B8}"/>
              </c:ext>
            </c:extLst>
          </c:dPt>
          <c:val>
            <c:numLit>
              <c:formatCode>General</c:formatCode>
              <c:ptCount val="1"/>
              <c:pt idx="0">
                <c:v>1</c:v>
              </c:pt>
            </c:numLit>
          </c:val>
          <c:extLst>
            <c:ext xmlns:c16="http://schemas.microsoft.com/office/drawing/2014/chart" uri="{C3380CC4-5D6E-409C-BE32-E72D297353CC}">
              <c16:uniqueId val="{00000001-2FEB-4E3E-92DF-5427D841FE64}"/>
            </c:ext>
          </c:extLst>
        </c:ser>
        <c:dLbls>
          <c:showLegendKey val="0"/>
          <c:showVal val="0"/>
          <c:showCatName val="0"/>
          <c:showSerName val="0"/>
          <c:showPercent val="0"/>
          <c:showBubbleSize val="0"/>
          <c:showLeaderLines val="1"/>
        </c:dLbls>
        <c:firstSliceAng val="0"/>
      </c:pieChart>
      <c:barChart>
        <c:barDir val="col"/>
        <c:grouping val="clustered"/>
        <c:varyColors val="0"/>
        <c:ser>
          <c:idx val="0"/>
          <c:order val="1"/>
          <c:spPr>
            <a:blipFill>
              <a:blip xmlns:r="http://schemas.openxmlformats.org/officeDocument/2006/relationships" r:embed="rId3"/>
              <a:stretch>
                <a:fillRect/>
              </a:stretch>
            </a:blipFill>
            <a:ln>
              <a:noFill/>
            </a:ln>
            <a:effectLst/>
          </c:spPr>
          <c:invertIfNegative val="0"/>
          <c:val>
            <c:numRef>
              <c:f>Financials!$D$88</c:f>
              <c:numCache>
                <c:formatCode>0%</c:formatCode>
                <c:ptCount val="1"/>
                <c:pt idx="0">
                  <c:v>1</c:v>
                </c:pt>
              </c:numCache>
            </c:numRef>
          </c:val>
          <c:extLst>
            <c:ext xmlns:c16="http://schemas.microsoft.com/office/drawing/2014/chart" uri="{C3380CC4-5D6E-409C-BE32-E72D297353CC}">
              <c16:uniqueId val="{00000000-87A2-4F01-9C70-484F7B166E08}"/>
            </c:ext>
          </c:extLst>
        </c:ser>
        <c:ser>
          <c:idx val="1"/>
          <c:order val="2"/>
          <c:spPr>
            <a:blipFill>
              <a:blip xmlns:r="http://schemas.openxmlformats.org/officeDocument/2006/relationships" r:embed="rId4"/>
              <a:stretch>
                <a:fillRect/>
              </a:stretch>
            </a:blipFill>
            <a:ln>
              <a:noFill/>
            </a:ln>
            <a:effectLst/>
          </c:spPr>
          <c:invertIfNegative val="0"/>
          <c:pictureOptions>
            <c:pictureFormat val="stackScale"/>
          </c:pictureOptions>
          <c:val>
            <c:numRef>
              <c:f>Financials!$D$89</c:f>
              <c:numCache>
                <c:formatCode>0%</c:formatCode>
                <c:ptCount val="1"/>
                <c:pt idx="0">
                  <c:v>0.87602776305005348</c:v>
                </c:pt>
              </c:numCache>
            </c:numRef>
          </c:val>
          <c:extLst>
            <c:ext xmlns:c16="http://schemas.microsoft.com/office/drawing/2014/chart" uri="{C3380CC4-5D6E-409C-BE32-E72D297353CC}">
              <c16:uniqueId val="{00000001-87A2-4F01-9C70-484F7B166E08}"/>
            </c:ext>
          </c:extLst>
        </c:ser>
        <c:dLbls>
          <c:showLegendKey val="0"/>
          <c:showVal val="0"/>
          <c:showCatName val="0"/>
          <c:showSerName val="0"/>
          <c:showPercent val="0"/>
          <c:showBubbleSize val="0"/>
        </c:dLbls>
        <c:gapWidth val="0"/>
        <c:overlap val="100"/>
        <c:axId val="2076437039"/>
        <c:axId val="2076439951"/>
      </c:barChart>
      <c:catAx>
        <c:axId val="2076437039"/>
        <c:scaling>
          <c:orientation val="minMax"/>
        </c:scaling>
        <c:delete val="1"/>
        <c:axPos val="b"/>
        <c:majorTickMark val="none"/>
        <c:minorTickMark val="none"/>
        <c:tickLblPos val="nextTo"/>
        <c:crossAx val="2076439951"/>
        <c:crosses val="autoZero"/>
        <c:auto val="1"/>
        <c:lblAlgn val="ctr"/>
        <c:lblOffset val="100"/>
        <c:noMultiLvlLbl val="0"/>
      </c:catAx>
      <c:valAx>
        <c:axId val="2076439951"/>
        <c:scaling>
          <c:orientation val="minMax"/>
          <c:max val="1"/>
          <c:min val="0"/>
        </c:scaling>
        <c:delete val="1"/>
        <c:axPos val="l"/>
        <c:numFmt formatCode="0%" sourceLinked="1"/>
        <c:majorTickMark val="out"/>
        <c:minorTickMark val="none"/>
        <c:tickLblPos val="nextTo"/>
        <c:crossAx val="207643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Sales!$B$189</c:f>
              <c:strCache>
                <c:ptCount val="1"/>
                <c:pt idx="0">
                  <c:v>Higher/Lower</c:v>
                </c:pt>
              </c:strCache>
            </c:strRef>
          </c:tx>
          <c:spPr>
            <a:solidFill>
              <a:srgbClr val="72C0C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Sales!$B$180:$B$185</c:f>
              <c:strCache>
                <c:ptCount val="6"/>
                <c:pt idx="0">
                  <c:v> Butter </c:v>
                </c:pt>
                <c:pt idx="1">
                  <c:v> Cheese </c:v>
                </c:pt>
                <c:pt idx="2">
                  <c:v> Cream </c:v>
                </c:pt>
                <c:pt idx="3">
                  <c:v> Ice Cream </c:v>
                </c:pt>
                <c:pt idx="4">
                  <c:v> Milk </c:v>
                </c:pt>
                <c:pt idx="5">
                  <c:v> Yoghurt </c:v>
                </c:pt>
              </c:strCache>
            </c:strRef>
          </c:cat>
          <c:val>
            <c:numRef>
              <c:f>Sales!$B$190:$B$195</c:f>
              <c:numCache>
                <c:formatCode>0</c:formatCode>
                <c:ptCount val="6"/>
                <c:pt idx="0">
                  <c:v>#N/A</c:v>
                </c:pt>
                <c:pt idx="1">
                  <c:v>#N/A</c:v>
                </c:pt>
                <c:pt idx="2">
                  <c:v>-157.00630677236876</c:v>
                </c:pt>
                <c:pt idx="3">
                  <c:v>#N/A</c:v>
                </c:pt>
                <c:pt idx="4">
                  <c:v>-345.50445875105174</c:v>
                </c:pt>
                <c:pt idx="5">
                  <c:v>-260.28722178996202</c:v>
                </c:pt>
              </c:numCache>
            </c:numRef>
          </c:val>
          <c:extLst>
            <c:ext xmlns:c16="http://schemas.microsoft.com/office/drawing/2014/chart" uri="{C3380CC4-5D6E-409C-BE32-E72D297353CC}">
              <c16:uniqueId val="{00000000-7381-4DF0-B795-5DF94950D8C6}"/>
            </c:ext>
          </c:extLst>
        </c:ser>
        <c:ser>
          <c:idx val="1"/>
          <c:order val="1"/>
          <c:tx>
            <c:strRef>
              <c:f>Sales!$C$189</c:f>
              <c:strCache>
                <c:ptCount val="1"/>
                <c:pt idx="0">
                  <c:v>On Target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Sales!$B$180:$B$185</c:f>
              <c:strCache>
                <c:ptCount val="6"/>
                <c:pt idx="0">
                  <c:v> Butter </c:v>
                </c:pt>
                <c:pt idx="1">
                  <c:v> Cheese </c:v>
                </c:pt>
                <c:pt idx="2">
                  <c:v> Cream </c:v>
                </c:pt>
                <c:pt idx="3">
                  <c:v> Ice Cream </c:v>
                </c:pt>
                <c:pt idx="4">
                  <c:v> Milk </c:v>
                </c:pt>
                <c:pt idx="5">
                  <c:v> Yoghurt </c:v>
                </c:pt>
              </c:strCache>
            </c:strRef>
          </c:cat>
          <c:val>
            <c:numRef>
              <c:f>Sales!$C$190:$C$195</c:f>
              <c:numCache>
                <c:formatCode>0</c:formatCode>
                <c:ptCount val="6"/>
                <c:pt idx="0">
                  <c:v>78.474452797192384</c:v>
                </c:pt>
                <c:pt idx="1">
                  <c:v>42.38964809123695</c:v>
                </c:pt>
                <c:pt idx="2">
                  <c:v>#N/A</c:v>
                </c:pt>
                <c:pt idx="3">
                  <c:v>-62.066113575047439</c:v>
                </c:pt>
                <c:pt idx="4">
                  <c:v>#N/A</c:v>
                </c:pt>
                <c:pt idx="5">
                  <c:v>#N/A</c:v>
                </c:pt>
              </c:numCache>
            </c:numRef>
          </c:val>
          <c:extLst>
            <c:ext xmlns:c16="http://schemas.microsoft.com/office/drawing/2014/chart" uri="{C3380CC4-5D6E-409C-BE32-E72D297353CC}">
              <c16:uniqueId val="{00000001-7381-4DF0-B795-5DF94950D8C6}"/>
            </c:ext>
          </c:extLst>
        </c:ser>
        <c:dLbls>
          <c:showLegendKey val="0"/>
          <c:showVal val="0"/>
          <c:showCatName val="0"/>
          <c:showSerName val="0"/>
          <c:showPercent val="0"/>
          <c:showBubbleSize val="0"/>
        </c:dLbls>
        <c:gapWidth val="69"/>
        <c:overlap val="100"/>
        <c:axId val="124027520"/>
        <c:axId val="124027936"/>
      </c:barChart>
      <c:lineChart>
        <c:grouping val="standard"/>
        <c:varyColors val="0"/>
        <c:ser>
          <c:idx val="2"/>
          <c:order val="2"/>
          <c:tx>
            <c:strRef>
              <c:f>Sales!$D$189</c:f>
              <c:strCache>
                <c:ptCount val="1"/>
                <c:pt idx="0">
                  <c:v>Allowed Error</c:v>
                </c:pt>
              </c:strCache>
            </c:strRef>
          </c:tx>
          <c:spPr>
            <a:ln w="19050" cap="rnd">
              <a:solidFill>
                <a:schemeClr val="tx1">
                  <a:lumMod val="75000"/>
                  <a:lumOff val="25000"/>
                </a:schemeClr>
              </a:solidFill>
              <a:prstDash val="dash"/>
              <a:round/>
            </a:ln>
            <a:effectLst/>
          </c:spPr>
          <c:marker>
            <c:symbol val="none"/>
          </c:marker>
          <c:cat>
            <c:strRef>
              <c:f>Sales!$B$180:$B$185</c:f>
              <c:strCache>
                <c:ptCount val="6"/>
                <c:pt idx="0">
                  <c:v> Butter </c:v>
                </c:pt>
                <c:pt idx="1">
                  <c:v> Cheese </c:v>
                </c:pt>
                <c:pt idx="2">
                  <c:v> Cream </c:v>
                </c:pt>
                <c:pt idx="3">
                  <c:v> Ice Cream </c:v>
                </c:pt>
                <c:pt idx="4">
                  <c:v> Milk </c:v>
                </c:pt>
                <c:pt idx="5">
                  <c:v> Yoghurt </c:v>
                </c:pt>
              </c:strCache>
            </c:strRef>
          </c:cat>
          <c:val>
            <c:numRef>
              <c:f>Sales!$D$190:$D$195</c:f>
              <c:numCache>
                <c:formatCode>General</c:formatCode>
                <c:ptCount val="6"/>
                <c:pt idx="0">
                  <c:v>100</c:v>
                </c:pt>
                <c:pt idx="1">
                  <c:v>100</c:v>
                </c:pt>
                <c:pt idx="2">
                  <c:v>100</c:v>
                </c:pt>
                <c:pt idx="3">
                  <c:v>100</c:v>
                </c:pt>
                <c:pt idx="4">
                  <c:v>100</c:v>
                </c:pt>
                <c:pt idx="5">
                  <c:v>100</c:v>
                </c:pt>
              </c:numCache>
            </c:numRef>
          </c:val>
          <c:smooth val="0"/>
          <c:extLst>
            <c:ext xmlns:c16="http://schemas.microsoft.com/office/drawing/2014/chart" uri="{C3380CC4-5D6E-409C-BE32-E72D297353CC}">
              <c16:uniqueId val="{00000002-7381-4DF0-B795-5DF94950D8C6}"/>
            </c:ext>
          </c:extLst>
        </c:ser>
        <c:ser>
          <c:idx val="3"/>
          <c:order val="3"/>
          <c:tx>
            <c:strRef>
              <c:f>Sales!$E$189</c:f>
              <c:strCache>
                <c:ptCount val="1"/>
                <c:pt idx="0">
                  <c:v>Allowed Error(-)</c:v>
                </c:pt>
              </c:strCache>
            </c:strRef>
          </c:tx>
          <c:spPr>
            <a:ln w="19050" cap="rnd">
              <a:solidFill>
                <a:schemeClr val="tx1">
                  <a:lumMod val="75000"/>
                  <a:lumOff val="25000"/>
                </a:schemeClr>
              </a:solidFill>
              <a:prstDash val="dash"/>
              <a:round/>
            </a:ln>
            <a:effectLst/>
          </c:spPr>
          <c:marker>
            <c:symbol val="none"/>
          </c:marker>
          <c:cat>
            <c:strRef>
              <c:f>Sales!$B$180:$B$185</c:f>
              <c:strCache>
                <c:ptCount val="6"/>
                <c:pt idx="0">
                  <c:v> Butter </c:v>
                </c:pt>
                <c:pt idx="1">
                  <c:v> Cheese </c:v>
                </c:pt>
                <c:pt idx="2">
                  <c:v> Cream </c:v>
                </c:pt>
                <c:pt idx="3">
                  <c:v> Ice Cream </c:v>
                </c:pt>
                <c:pt idx="4">
                  <c:v> Milk </c:v>
                </c:pt>
                <c:pt idx="5">
                  <c:v> Yoghurt </c:v>
                </c:pt>
              </c:strCache>
            </c:strRef>
          </c:cat>
          <c:val>
            <c:numRef>
              <c:f>Sales!$E$190:$E$195</c:f>
              <c:numCache>
                <c:formatCode>General</c:formatCode>
                <c:ptCount val="6"/>
                <c:pt idx="0">
                  <c:v>-100</c:v>
                </c:pt>
                <c:pt idx="1">
                  <c:v>-100</c:v>
                </c:pt>
                <c:pt idx="2">
                  <c:v>-100</c:v>
                </c:pt>
                <c:pt idx="3">
                  <c:v>-100</c:v>
                </c:pt>
                <c:pt idx="4">
                  <c:v>-100</c:v>
                </c:pt>
                <c:pt idx="5">
                  <c:v>-100</c:v>
                </c:pt>
              </c:numCache>
            </c:numRef>
          </c:val>
          <c:smooth val="0"/>
          <c:extLst>
            <c:ext xmlns:c16="http://schemas.microsoft.com/office/drawing/2014/chart" uri="{C3380CC4-5D6E-409C-BE32-E72D297353CC}">
              <c16:uniqueId val="{00000003-7381-4DF0-B795-5DF94950D8C6}"/>
            </c:ext>
          </c:extLst>
        </c:ser>
        <c:dLbls>
          <c:showLegendKey val="0"/>
          <c:showVal val="0"/>
          <c:showCatName val="0"/>
          <c:showSerName val="0"/>
          <c:showPercent val="0"/>
          <c:showBubbleSize val="0"/>
        </c:dLbls>
        <c:marker val="1"/>
        <c:smooth val="0"/>
        <c:axId val="124027520"/>
        <c:axId val="124027936"/>
      </c:lineChart>
      <c:catAx>
        <c:axId val="124027520"/>
        <c:scaling>
          <c:orientation val="minMax"/>
        </c:scaling>
        <c:delete val="1"/>
        <c:axPos val="b"/>
        <c:numFmt formatCode="General" sourceLinked="1"/>
        <c:majorTickMark val="none"/>
        <c:minorTickMark val="none"/>
        <c:tickLblPos val="nextTo"/>
        <c:crossAx val="124027936"/>
        <c:crosses val="autoZero"/>
        <c:auto val="1"/>
        <c:lblAlgn val="ctr"/>
        <c:lblOffset val="100"/>
        <c:noMultiLvlLbl val="0"/>
      </c:catAx>
      <c:valAx>
        <c:axId val="1240279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402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622463981182004E-2"/>
          <c:y val="5.113756920896604E-2"/>
          <c:w val="0.92042771733803797"/>
          <c:h val="0.92336737567073812"/>
        </c:manualLayout>
      </c:layout>
      <c:ofPieChart>
        <c:ofPieType val="pie"/>
        <c:varyColors val="1"/>
        <c:ser>
          <c:idx val="0"/>
          <c:order val="0"/>
          <c:tx>
            <c:strRef>
              <c:f>Sales!$W$67</c:f>
              <c:strCache>
                <c:ptCount val="1"/>
                <c:pt idx="0">
                  <c:v>Percentage</c:v>
                </c:pt>
              </c:strCache>
            </c:strRef>
          </c:tx>
          <c:dPt>
            <c:idx val="0"/>
            <c:bubble3D val="0"/>
            <c:spPr>
              <a:solidFill>
                <a:srgbClr val="5CA47C"/>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C49-344B-9A41-A63A111F7090}"/>
              </c:ext>
            </c:extLst>
          </c:dPt>
          <c:dPt>
            <c:idx val="1"/>
            <c:bubble3D val="0"/>
            <c:spPr>
              <a:solidFill>
                <a:schemeClr val="accent2">
                  <a:lumMod val="40000"/>
                  <a:lumOff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C49-344B-9A41-A63A111F7090}"/>
              </c:ext>
            </c:extLst>
          </c:dPt>
          <c:dPt>
            <c:idx val="2"/>
            <c:bubble3D val="0"/>
            <c:spPr>
              <a:solidFill>
                <a:schemeClr val="accent5">
                  <a:lumMod val="7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C49-344B-9A41-A63A111F7090}"/>
              </c:ext>
            </c:extLst>
          </c:dPt>
          <c:dPt>
            <c:idx val="3"/>
            <c:bubble3D val="0"/>
            <c:spPr>
              <a:solidFill>
                <a:schemeClr val="accent5">
                  <a:lumMod val="60000"/>
                  <a:lumOff val="4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AC49-344B-9A41-A63A111F7090}"/>
              </c:ext>
            </c:extLst>
          </c:dPt>
          <c:dPt>
            <c:idx val="4"/>
            <c:bubble3D val="0"/>
            <c:spPr>
              <a:solidFill>
                <a:schemeClr val="accent2">
                  <a:lumMod val="60000"/>
                  <a:lumOff val="4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AC49-344B-9A41-A63A111F7090}"/>
              </c:ext>
            </c:extLst>
          </c:dPt>
          <c:dLbls>
            <c:dLbl>
              <c:idx val="1"/>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49-344B-9A41-A63A111F7090}"/>
                </c:ext>
              </c:extLst>
            </c:dLbl>
            <c:numFmt formatCode="[&lt;0.01]&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EDEADB"/>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Sales!$V$68:$V$71</c:f>
              <c:strCache>
                <c:ptCount val="4"/>
                <c:pt idx="0">
                  <c:v>Normal</c:v>
                </c:pt>
                <c:pt idx="1">
                  <c:v>Shortage</c:v>
                </c:pt>
                <c:pt idx="2">
                  <c:v>Purchase Manager</c:v>
                </c:pt>
                <c:pt idx="3">
                  <c:v>Logistics Mangager</c:v>
                </c:pt>
              </c:strCache>
            </c:strRef>
          </c:cat>
          <c:val>
            <c:numRef>
              <c:f>Sales!$W$68:$W$71</c:f>
              <c:numCache>
                <c:formatCode>0%</c:formatCode>
                <c:ptCount val="4"/>
                <c:pt idx="0">
                  <c:v>0</c:v>
                </c:pt>
                <c:pt idx="1">
                  <c:v>0</c:v>
                </c:pt>
                <c:pt idx="2">
                  <c:v>0</c:v>
                </c:pt>
                <c:pt idx="3">
                  <c:v>0</c:v>
                </c:pt>
              </c:numCache>
            </c:numRef>
          </c:val>
          <c:extLst>
            <c:ext xmlns:c16="http://schemas.microsoft.com/office/drawing/2014/chart" uri="{C3380CC4-5D6E-409C-BE32-E72D297353CC}">
              <c16:uniqueId val="{0000000A-AC49-344B-9A41-A63A111F7090}"/>
            </c:ext>
          </c:extLst>
        </c:ser>
        <c:dLbls>
          <c:dLblPos val="inEnd"/>
          <c:showLegendKey val="0"/>
          <c:showVal val="0"/>
          <c:showCatName val="0"/>
          <c:showSerName val="0"/>
          <c:showPercent val="1"/>
          <c:showBubbleSize val="0"/>
          <c:showLeaderLines val="1"/>
        </c:dLbls>
        <c:gapWidth val="100"/>
        <c:secondPieSize val="75"/>
        <c:serLines>
          <c:spPr>
            <a:ln w="9525" cap="flat" cmpd="sng" algn="ctr">
              <a:solidFill>
                <a:schemeClr val="dk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Current_Stock!$F$20:$F$25</c:f>
              <c:strCache>
                <c:ptCount val="6"/>
                <c:pt idx="0">
                  <c:v> Butter </c:v>
                </c:pt>
                <c:pt idx="1">
                  <c:v> Cheese </c:v>
                </c:pt>
                <c:pt idx="2">
                  <c:v> Cream </c:v>
                </c:pt>
                <c:pt idx="3">
                  <c:v> Ice Cream </c:v>
                </c:pt>
                <c:pt idx="4">
                  <c:v> Milk </c:v>
                </c:pt>
                <c:pt idx="5">
                  <c:v> Yoghurt </c:v>
                </c:pt>
              </c:strCache>
            </c:strRef>
          </c:cat>
          <c:val>
            <c:numRef>
              <c:f>Current_Stock!$G$20:$G$25</c:f>
              <c:numCache>
                <c:formatCode>_-* #,##0.00_-;\-* #,##0.00_-;_-* "-"??_-;_-@_-</c:formatCode>
                <c:ptCount val="6"/>
                <c:pt idx="0">
                  <c:v>13.947368421052632</c:v>
                </c:pt>
                <c:pt idx="1">
                  <c:v>2.763157894736842</c:v>
                </c:pt>
                <c:pt idx="2">
                  <c:v>7.6315789473684212</c:v>
                </c:pt>
                <c:pt idx="3">
                  <c:v>10.111111111111111</c:v>
                </c:pt>
                <c:pt idx="4">
                  <c:v>15.272727272727273</c:v>
                </c:pt>
                <c:pt idx="5">
                  <c:v>32</c:v>
                </c:pt>
              </c:numCache>
            </c:numRef>
          </c:val>
          <c:extLst>
            <c:ext xmlns:c16="http://schemas.microsoft.com/office/drawing/2014/chart" uri="{C3380CC4-5D6E-409C-BE32-E72D297353CC}">
              <c16:uniqueId val="{00000000-E9BE-4E40-90B6-9EFB75074C01}"/>
            </c:ext>
          </c:extLst>
        </c:ser>
        <c:ser>
          <c:idx val="1"/>
          <c:order val="1"/>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Current_Stock!$F$20:$F$25</c:f>
              <c:strCache>
                <c:ptCount val="6"/>
                <c:pt idx="0">
                  <c:v> Butter </c:v>
                </c:pt>
                <c:pt idx="1">
                  <c:v> Cheese </c:v>
                </c:pt>
                <c:pt idx="2">
                  <c:v> Cream </c:v>
                </c:pt>
                <c:pt idx="3">
                  <c:v> Ice Cream </c:v>
                </c:pt>
                <c:pt idx="4">
                  <c:v> Milk </c:v>
                </c:pt>
                <c:pt idx="5">
                  <c:v> Yoghurt </c:v>
                </c:pt>
              </c:strCache>
            </c:strRef>
          </c:cat>
          <c:val>
            <c:numRef>
              <c:f>Current_Stock!$H$20:$H$25</c:f>
              <c:numCache>
                <c:formatCode>_-* #,##0.00_-;\-* #,##0.00_-;_-* "-"??_-;_-@_-</c:formatCode>
                <c:ptCount val="6"/>
                <c:pt idx="0">
                  <c:v>#N/A</c:v>
                </c:pt>
                <c:pt idx="1">
                  <c:v>#N/A</c:v>
                </c:pt>
                <c:pt idx="2">
                  <c:v>#N/A</c:v>
                </c:pt>
                <c:pt idx="3">
                  <c:v>#N/A</c:v>
                </c:pt>
                <c:pt idx="4">
                  <c:v>#N/A</c:v>
                </c:pt>
                <c:pt idx="5">
                  <c:v>32</c:v>
                </c:pt>
              </c:numCache>
            </c:numRef>
          </c:val>
          <c:extLst>
            <c:ext xmlns:c16="http://schemas.microsoft.com/office/drawing/2014/chart" uri="{C3380CC4-5D6E-409C-BE32-E72D297353CC}">
              <c16:uniqueId val="{00000001-E9BE-4E40-90B6-9EFB75074C01}"/>
            </c:ext>
          </c:extLst>
        </c:ser>
        <c:dLbls>
          <c:dLblPos val="outEnd"/>
          <c:showLegendKey val="0"/>
          <c:showVal val="1"/>
          <c:showCatName val="0"/>
          <c:showSerName val="0"/>
          <c:showPercent val="0"/>
          <c:showBubbleSize val="0"/>
        </c:dLbls>
        <c:gapWidth val="52"/>
        <c:overlap val="100"/>
        <c:axId val="595021087"/>
        <c:axId val="842947231"/>
      </c:barChart>
      <c:catAx>
        <c:axId val="59502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947231"/>
        <c:crosses val="autoZero"/>
        <c:auto val="1"/>
        <c:lblAlgn val="ctr"/>
        <c:lblOffset val="100"/>
        <c:noMultiLvlLbl val="0"/>
      </c:catAx>
      <c:valAx>
        <c:axId val="842947231"/>
        <c:scaling>
          <c:orientation val="minMax"/>
        </c:scaling>
        <c:delete val="1"/>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crossAx val="59502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nf>_xlchart.v5.3</cx:nf>
      </cx:strDim>
      <cx:numDim type="colorVal">
        <cx:f>_xlchart.v5.1</cx:f>
        <cx:nf>_xlchart.v5.2</cx:nf>
      </cx:numDim>
    </cx:data>
  </cx:chartData>
  <cx:chart>
    <cx:plotArea>
      <cx:plotAreaRegion>
        <cx:series layoutId="regionMap" uniqueId="{FB9B13AD-7960-4357-A4D3-D2BB4B479F4F}">
          <cx:dataId val="0"/>
          <cx:layoutPr>
            <cx:geography cultureLanguage="en-US" cultureRegion="GB" attribution="Powered by Bing">
              <cx:geoCache provider="{E9337A44-BEBE-4D9F-B70C-5C5E7DAFC167}">
                <cx:binary>1HvXct3IsuWvKPQ8YJcH6sTpGzEFsz2dvF4QFMUu2AJQBf9t921+bJIyfUQ2W+qO6ZkYKRSU9oZL
1EqzcmXx37fzv26ruxv7bK4r4/51O//6POv79l+//OJus7v6xp3V+a1tXPNbf3bb1L80v/2W3979
8tHeTLnRvxCE2S+32Y3t7+bn//VvuJu+a47N7U2fN+ZquLPL9Z0bqt5959iTh57dNoPp7y/XcKdf
n2/ubH1jlufP7kyf98vLpb379fmDc54/++Xxnf7w1GcVGNYPH+Fajs+QpCRAviSECvjf82dVY/SX
wxid0QARSQJJGBeI86+PPr+p4fK/YM8na24+frR3zj378u83Fz4w/pvvc9eEn989bO4NjeJPb/bL
w7X9r38/+gLe9dE33yz/44X50SEwt85NlLve5rc9/vX5i9usunNTrr1tU7n+Ljdfl+MzEg/O/7tI
sDPscxb4HAcUI878B0jIswC+JEwyxCTyCYHDn53gMxJ/z7SnQXnqHg9eCVZg+/xPffL/T8hu5uZx
wDx4p78LEwQMJ5Rx4vPADyQSD2DC9IyygAk4hDjg6UM8PYDph+b8CTRfrntgOsBx/pPBcbq7Las7
82Gw2ntzByFkzbPLpr6zNya/+bpU/0Aw0TOfIH4fMvdYQNb6NqmRM+ZjjjDliCESUPL1wZ9D6bGN
f83Ap3H73r0eYXl6/ZNheWymO/vsxQ89+m9WJHLmCw4FhyIhGBLkIXjyDAsuA6hHBGOJ4YSH4P1V
o56G6+HVjwA63/1kAL3MBgv05B8NLHQmEfUlpZRJAdThEV+A7EgYVCckAT+GpXyIzl+y6Glovrn0
ES4vf7aapOxdffdPUgd6hlHAgTwwhO6LEn6Q74IzP+A+Fxj+MEh78hGJ+7E5TyPy9bpHcGzVTxYm
5439aDMgc58q0m83UJ++eu0/UIkwFBspJFDnT3QAQ7H5phb5Z1wQCsD4hAWccvwonYFtffbsOsvN
3Sfr2uym+n48P43Vn93nEXbnb34y7BQQh4+f+cQ/iBk5Q1RyTARlxPcpYw8wA47HgYkLzmgQfDrh
66M/84e/aNPTQD24+BE66meLLHVnq3+0RyJnkL+gvjCfYsY4fZjoABjgcxT7CPjdPTmAw9+S7x+b
8yeYfHmNx3BAS/pzta+fqJr3Pw0kkf7r0vwDKQ7CBQMekgjAhgEreBgu+MxHSODAh3iRAorU10d/
6Vz/qlVPg/OZf/7+Uo8wimLvxcufDKYtKCV3X9foH4AHnQkEigKoO76QEDMPK5CEXAf1hwgfBTJg
9L5Z+jZofmjN07B8uewRHNufL2RubAUl5uua/J/DwSRIaowhSFKgIviw+A+iRZwBRATaH444QiwI
6NdHf42WHxv0NCIvbr5e+QiUF8efLEDUDZT8Z28G2/d39Yc7q78u0T+ATnDGGRR/GhD5GZ4H6ECw
MB+0A0hmoMH5nD7qbz5Z5r35X//9l0x7Gqen7vEIMfWz0bTtTX0v+fwIp/+L0q26GW/s95nz39Mp
WHAmQVvCWPgCEfCEh3GMgfdjiTBBQvqIYPZICPwL9vyZe3x5kcc+8e4ni+JPTc19bvUub+4HEuam
/werHqRZiek9d6dQ/TjmD3Va/4wxiYnEiAFpIX/Qaf+ucU9j9fRdHgF3ffn/Grg/D7PfR0XRTX8T
f5oxfTMk+f7RT0sAc69Hl34hE0+m5s88Y/fx1+cYBCXIpb/Pru5v8pCGPMwg31xzd+N6uAFMqggH
UCWjnEEz/fzZBPryr8+DMwoZG4gnhUYb0A7giLnvqmH4Rc+AjzLI9pJ8Ij/ATF0zfDlEQWUUAQy9
fPAS6Mu/vt9lUy26Mb8vxpfPz8xQXza56R3c+Pmz9vNZ93b6CMiXFDyAyQ2Dsg+PhOO3N9egzcHJ
+H/0lC45lPs6zGv7IiiaUyNFmI/49M2KPPEYjJ56js8J1C544Cem/e1zSjvpmvukDpt2eGO7Eyou
LaOK8no3dORNP11T4odDRxvoNH/H4okn0/s3+MMb+oEQwC9hAMKBYz54si7x/VLX4WJprGu8qbzs
N4aLQnl0Oa6oLlQz1cd2XXas7TNV9P6pzJs3q+b7ng27wJiTmYq9J2Zl1/YKpyIP07x6sbrueH+g
KtyixhY+2FC2c2KneVDMURWUfE/a7nIOyrekLDfaX3rlZbvvv+DTSythEIohlXAk7pf+Gwhb4ffL
tOA6HHh/MYzjeVpkIamKm8JvI5i1jgV9LUp0qrryR6j6f1hb/77jhTQGM1jExSPv8dZ60pDq6nC0
XR3OUnzgYtpKPYajWZqooe56XadTHhRX82QrleoMlmUhOzTwDSP1ZdsLombcVko277+/LtAmPLYO
Q5AwyKEBCoCtkkfWDa3PjGnmNsRThcMOtUdbSB2nnnnhuM6idpnLsNc3SNhc2WoUoWVzGbUjV0sn
hTLDpFIhlx13+HYdl2mrsRlU7qNLTufzojZYZbiIZzp7UdZ5OFyK1FN+sJ4yXWyR1PQV5e05Gzy5
pdpMcd0a1VRym8eOrG+L0rqI+DqLl3Q019SMxxXzRsmcB+HCvCLCutKbbERvZy+Yt3ZI43lxU6Sn
8lzrUu8s5nPSkJwqnVUhbcekZcc6sF7ksvzDuFQ4qWoyhKTDYwiTi2KrZ4zDMSvp3rVBocZuQSFM
dPutV+hFud7Fgo/7bNBz7EEu2+O039JMHyipxYYQb7dMWacGydqoI3rfEHLU2TCFTRBwNaX+kmhv
uliyhR0Hf6yjcrxJ0VCHUza9QE1Q7mV9NQ7dBy3ybOt7IuxT7w0e/GFfBR1RhGVkPxHiFLao3nnj
3F/lubcTGU/3dNJRzSt6bIuAHF1wEfjLDtC4zSwLlzSrVUNLL6mamDVVsFmno9+3H0dZ4sSDMhyX
QV2rYqqrw0zwoeSzWqbJPy/9lISMcxfyaik6RaprYki1741WjZeZI7LOXoge3FwLUl7kFaxoy5hi
2KRJ2npj3Eh/ichCi4S7pbnWrwaczYecqc7rvV1XLHFe2PTESQOWwMsJXdg4qJebmgJuqWbjeZcW
yuEsZigGVwsOrOtJQlGnFRbNsB0K9557lp+A3s+qklInIxuaA4SfaukSCgar1EAq2rZannwvv/Hy
5nbsg0NVjb+JMrjgyOWhnlMTMj84+Skvlej5lBhNrxs6zZHJqjFcc7Yq6pzclL3XqHGdatWXpgtn
b2qUKM20W7N5VqS1h8Y6WMLGrGE5bNOelckQ6CTLx0hONbgMxDpLeZewwC4RXOnCtR+7ZKzTd1nr
DyqjFl34TSgD20YDrfCbaVmgCPhZvweneU1o74XrmA+hWVNFaEv3TZO5A51HcOk27/fl5N7TCcnX
BdkUooEMPna/+SU/2pzXV9n4rmy68hJ1+fsVfLDIhAjNNLqwE/NubafxTWeHLuw0W1TbOal8OlwH
bVMmtF1OZp3bHWpEplIJhaussjGUOanjjM8uxght89HkSqBRqJpWV8Q3KMwCb5vSwSXUM2Pct/Nr
yNrXQyvibul1lJWNjhZ4tVkOapJYhFrCKxuSmIGH4Jtp3OU9TwL8qmGojj6lxC+k6Usx/Fz9b5t2
sbnOvmzs+f3jf71savj7aSvKf7683xf0n0+nrxuKvnvW5q657/vd45Purfn9XmDMF+vuadODD3/g
cF9ZzCOW9nl/0p8c/GsULgC9FQa339SPP5C4pzaY/IcD/n6DL4wOnwGX4DBJZBgIGPKhsnymdP5Z
wKVPpC9E8FVC+UrpOGzPCHwpQWwEYz5J999QOhgoS59Lft+PAQv7+r4PQAUK+wTjAYL6uPBBPSbA
Lek9vSPAbh4yAh2s9VB5TRMuS39snddGLewm2vK0PgztqzYdbsmcf8isfdNk623brRfYbyJL7/Aq
cjXMtgp9VsV9t9ZhpW2jFpqAv6GYp8xX05LrqJdOJD3iL0smL7C07ghTcS8iJdURgnK76XOPRh6L
an+Vce2N43btO1+RMrsWLjOhN0KyXJFWqCle5LXvJ6sg695l9KWwaRV5adluzOgFURugJs7lybW+
3fYFlAxm643Mp0w1hXwL6+qiiqensfWv2xas4pA5s7olYVVmUd+Z93mRNwrYwBDRYarC0TGhPFlA
rauqPJq0ZqEr1+qEbOclbqDKa4c6kcG0bGcfymLAu2nXB4NUS/pi5h9Tf0w6OBwxPJa7SYglcVOQ
K4B+Vnrt+72eeRYiWrSxxCs8h/B9yfOPM86vmC5eX+doDcLSeL/ZAX1g+QH12CqvwHWkWZ4rZG2f
QDqeYoLLIVybfr4pLI5hY8m5rSV+SbWfxcj1YtuXQs3O2WvetwlusvfTsI67oTYiTq2xig7HUgqz
b6oxB37N8207e/3WX5lWIh+8/WinNEGSXadr/toAOd4EZNaHiR+p84YDnaa3M5FO5YV3286Qvr4J
sye8lT/lrIIJgZEElReGwQ+dtfasZ9e1bKDryA8YT2VUugGF5egpGBh/KGbvjfU6p/o0NDS7KvX4
3nK7dZnbeRX4QL6w9bT2BjZQ0O3gAb9Gs862dTO+zzt5Y/zcHgOiwwIZFnXQBIQr6sO1bL2Qk2ln
x32pUSiAKylUpaega19oEwzvNOveFcG4n1AF/Kx4v7Ac3CQQB8x5UqXljZv5CLlcXzQYv2ClVxxX
0W67Mdcq6Bp5XozZktRIFmHp6V7hvq2uv792GPrQ9lFvQxlFMOOAvQ0C1vDh2o3TTNNhyICYjCSa
jB23pd9cdWzESY2DWfUNSwJqp0vgwdsp5Ws4IM9XGfdedraAiLqqreMqs2RRUdukdZKn2fojhO8R
fGilgPZESPJp9MUfI2zTspEdIk3oRGV3qcd0nAfjPfc8n9ZexKTw+1h22aKyrElw2r2yFIAV3rTz
u3SLxr5RuslLVTu8dZ67ysQn1lN10YiYVevi9woa7DTmzIUsa0REJbRaQSdctIoKmtuBD1FXoy4U
gl41ROdJZadgU7ngTVfw/OQmcxAemuKK5jxqDRmTIGNtOE3ZENZiuW5s9bqm5agK1LYx7HTYt012
i9IUKzN7i8J5c+7TbBuYYThg9y6YUrqfVzLFSK+Q5Mp83vwA/D8Gzn37DnteQEsi0Pc9Bj8nZPTq
rA1twFfV9LyJAq9ZNxMChlhj4JGyVc7UjSqLHqtxvMkEMyEOuiJMccF+1Gj/EWZQE0HlQMH9NqhP
suK3fejQTSO23dKEEzTZOu+GaDArTbiXBH49JlgLoJL+GK3dnKmZ+VoBWy9CTVp+zIwk4YgX6M7y
9LTEbjZzPNHuFtK10axWBorDRju0x9ViYoHsdhpJr5CH0hDUFReKalDA7bwQhq8krJfCns8s8cup
Pcdrk4dVcKzk6iXfB+F+b+sj34Y5CYPeU8JwhMFWl4cRWInG9/pugJd2pFPOffCRdmoNVqhSrlX3
2QpJWPQ5LcNF5weRGhnO8+uuSTfz2F7nzSwUbGYqQ9vyF009mGjlbaKzw6ArG/J8asJqyQol6/lW
iqw9MIPDRjj3A/jwvbs8jFIQgEB5hN0FDNiJfEwaBjO06+o1IbPorYBSnbK2iTnPu9Av1yKmxQvh
QW3EqJOqd+a2Xz3vR0b8USaCHCFghE6FD+0lerSc6yKwLrK8DbsK11uL9KDWiVyk0/xhdaNRekgn
aFv6ebsWKMq4prAD63ty0b0a93gZYEoPyjmIKZBQg0dRVXLclKUEQP0yKJWcMAvLXNPobWE7Egoz
5ZGbi52eaR1aD3pCHkx95Nu83DfrqiC/Qqk0ekpw8L6Sva9ElyG1IhAOxizbOFlWESpYCU7wgZiW
qq6pXQjdxx7oRqFof4QQ80PtzYXCuj/ypihDYnwv6oM6YSILW2Q1eBjylZvZO+rszgBHEZNfKlN0
SJE1y5Wuu1NO9HENpgsE5qhlbUj4/bW6p7yPVwuDgAn1B8NoStwP0R+6fz+T1enBdWE+kdfNWOwN
3CMOFnYggy1Cm9mPRT5EOc9cBBzw0oJOdmJrOW1KaH4UNL1BiHJXKaqz+qL0UQi5nrbzSw9V87bq
qiAphQfS1pBvc126I/InFvq+N5zbZvqw8OXNipopaa3N4wGAVaZxN15jaBhQb0OYG5KsBFJrRJAp
YuYpHNrpVC9GHyoQZDjL533Z5Sda9G/XDMrgOqEgXOeShMbKCBd2OJdp99pvbLnTQ7ds5pkWoclq
Gpa2OdWmv/Qq4GHZyObQW/CtwXMi0pKHgXWvcodaVfXBiZXrRsRjhS59A9fnuNgsI5ojMTU0YhaW
oWWQHwtGXnQVGVWTtQ2sDHmZrWmR+MgkPFgcSIgsD0cGrerELod0rbdiTIEH0wVISremm7ZsufJd
VSs2zCihfp4Y8GdVgtB2IFMadku3WbrA33htI5Icl3liS+84pc6qDIKrWI2IKo+w8CJf31Mni8jg
oFeSgZsTn7yS5cLiaghIONsuDbO+3Ml19hPd683cTge9sl7VwLg3wuUfuR0vxww0ODL4RQJba7Vq
Cyjy3gr5vp0+WpNXKoBivBvGZlPhjITAE98IDoW1q+7mDOcRSylIJsikYbnOr9bJH9XaoXeuXF5h
UJTmtTZKGHnZ2T4K6h50jSIdVIrq68CdT4wHMSLzq2H1wnHxs6Rq8491MFzbvtuQZfyN1yQBiVb1
FXpX19WlcEOphvGVn3MCigdIdmtjirDv3BZPng6Jnx6h0ctUYOnBonxUtCrmje1AiZnbUeGMQXqf
w7Y0fdgKHcugB/iEJmE3LVlYualU/tq/8OUGxLYgmqbCRK44T0HziyeTh4JPMllZqeNs+s0W420H
UtouZ/M21RPbylFmCXQZHyupBehmqvHz9Jj65Jxa1m4Dyda4HiUQACqbBAZRsbb+GrdpDY5XW3mg
nXflSHFXeLS5mIL21VSLIpIlM9FY4jbOmqILV5eV4OfLsqmoF7pZ+0klS5d4fn9o2rFNoAfNQ9QF
g+rW6toY0NuCdetXY53UtvkoMl1FIm/v2rRDh8qvGsW9wNuns6dKWzXRPKM+1pnOVVczUMtgWqbo
nL9pCxdsuylaUr85bxZ5o2cpT6tEMp7SYlGG5CQJyuFmhsIODNB4oR6wO6/SRJRdeo6L4NjWJAs9
lxZXBusPQ3vLPZyDLFkcU56jQ4CW09Bl4Oh64AnL7tp+s/bQc6V2AhlO2+pgMtvH2bpatbBmjjJv
AGpZiWsX5BK6p3XZD6jftmmbn+ZueAtskG7LvNyAVpTvhrW8HCeuE2NMuVkDiqI5vc/KIEFte9MP
kZjdFhpK71hlqnTweFrIqMiyNPar6kM6FGK3QEcHBEK329rzdeRYjaKxv/Tb1Z7fDyrSurPH3vF1
4xB+R7qUnVOxsnNIogRk6S3MUiqlCWNvrCiTydsvfNSH0evbuPcDP1nwUMRTxrtT2bj3oh6Ka+dX
9JSC7rYZ69VGU6nraAoyvkcaK152QAJGejXjxkuGGRIG4bZTfFk+UtGcZtqBg4ITxZk/X8zVuB5E
fTGuVXr0gqXdtksgtvdFZGMmU+/qpUojZ0uipgr0vxo3VcjZW1Onc+xGHUSuzvgxld6HHIlm33tT
nBu+A07NL2nfXYwd5FDejijUDhKA53X4xYjbLpEt3vZZi5W35O689/TGMLpsDW/Bbe6boTEol5Pn
sa0rNzjHeehxAJzNreJ8WpOgr+vN1HS5mhouL2pTq5pnVrE88/eLb69y6Ff2jWRyh/v6pYMdM4m3
goZAV7vpRGAOfll326XPbklauYtAIBxbRg6yKFMVpGXxGq+lak3fnho9T1GKDqkzVTTAL2Hts6A6
daDoHiqSnjrZFbsCfAxYhp8mdnw1G8ei0UoJ2kNdxT7r+1DYOdgP1r62pu5BlfYvSFZ0F1M7XcOl
dUi9dI4akXoJiNBHPVR8r0G0RrDKym8DkyCa2V1bEZaMpZ/4UxeZppjuxdudIHCmR+q7oS7LcOzz
jfGHPMkzWYbDsn5c6x4iJKi9TTdWBHj7FHnDkiX11I7bOgDiTVq/35RtJ0PfCBrmkN4KNdFFv61E
e2hkvsFiCo6Lh/2d3w6ZQj2S+//8aIw1kcYptI8QoidoMoAAdNDswNRLHPsl7Ic+TcoemooelfTc
J1THHV+KaF6gXAc1ylWd5mw/Sz2DwtuiTR6wIRyIe7V08+uqMlE2kfVkhtxXDUi9m96rmiu/q4B6
+ybbwPbCly3IfXvrN0U0NqPZugHSIS10sUkL+m6dAr1DMF6Iib/c1p6oNulYvV11Lg5TIZIB9mMc
DZ03S7E2R0TayFsEjZplNXva5rvOEBMOBX6zTu+5619XJmMhC5qXc+nlihrSqkZcL00Rwigu4kP9
Mhs9q/BEqmjW7q2jnUjKOgjzdOlCB1KSP2uueFaUqqph8jn379LZaeWotODVc6XIzG3YgPEwA9HR
LPs8bDJShoi1V6mF986FEgt0ipo3p2CUoNOXl+6Dk8M15PNctSzQUYVh8uSMhVamH1/mqWjVwu2U
eEuU46yL8dSXsRDZoW/7UBrhVA2NVFSg0kV9WWdJM3FgfP5dPV95KdkLLaIeN2Jrxn6FHg5tmnF+
2XE2b/wRun3b8O6aeUEsWw+09HV5LS15VxXtyfrBoXXBqry5eaUdtWHaiFfYW17rdXqZodluh8Hb
Me2puaDAdKh3jqiHlBOgRGhawfDKahnDnJQnwphqa70UGlT4RZNwGhq6MQvvdnUPBs41O7J+aWKQ
MtuoGnV7PvtpHUnObFTka35eAyNzKwXFLoVancZNwMYQj+BlgYjGVI/xhHwaVjWMN0CFSgeJdoN+
UXCRxpPwbCxl9S7w3b5sLd2QgoLyZYqDWzQ4WF1MYW3ohc6a/djl8QxdgS9zCRNnaFo0trAG7g5G
mrdF7aEIgTPeT6FSVeaQ/VnfXJSlT6KR8JulciCLOh2ztVXwM/V2aBXFzun5DgUf7qXP6zleHXAD
k5Vol7Zm6y+vQStMw2rkTVzCeCym6B26Z8mXveHuXKymjILWfih64m281c1hFwTDMZsqEXGOVmja
hp0v59dUdmZbVq6MMaleAdXxJu+y8BamjFnWeJyHfFPP4EXUtDPIqJW+HAb82nO83Qc9tJ6LP5hY
u6zb1yAjT7iEpDyROwZNbpwJig6gYwPxSBuYq7H6fPRm4NcrTqaysDsylzC68QTeNHrIj59+EM8c
xgyEmmIoC5hwpS5ZxuItrqCTMdD7hH3RFpBLED6YtgsRKvrQy4AMr3gNMRrvrAWKvk75RcHLdldx
frHSLuYB8Q5QpwLlqiqNLUKLIuDcV0tgNhRNJ09M84aKKS6wM6fSZ68rb9yY8iVYBuPfBrYXBJbv
tGjSfTeCutXDrw7GNm8b2GIgz1c01nHeDmVUTfUUyX7sQ2vJGM66rhOSDj10nnoOaYPTDdPpJW9Z
HVcTzzbaEhNXHPq3j2karK89fz6kaIZtEqx66Wd3GZnHDRu5idtuvpwXmLu5YWTRKvNi47cw73Qz
KZRu5/OUcvveTNu6Ta9c1+o3OAvmaCD5W9u15bas5b6rB2iNoO06MF7OYZZpVcDGgagnkKNEYRRq
YReBl3tdKDW+ypb3sisVG+e4I3iIXQ0LIcexV/mALxpoDY6TYJdd5r+i0EMqP+r7qCw9AUMGdz2x
Ntt01oszCW3B0Jev07F4VxYE9hskaIXxLQiAH9bRHb0Z1ypnE4ym15eLKNU8sI9TK3mS4SUyrjqk
BKlKyDZedDpGeZ22irJzaeu3HQq2JfVaxbqujkDa4AoB6++wBQEB1Fk19i1T49BroEkQAa4zZdj1
9IIIw5KmoIGSuN6bNtj2pMiijKiStSL0OT+OKYykneVYsW0quj2bijIZgc6QfnxnsyJTI+O9Krn4
tJ6KkKw79MRS1Y9+iHFTb1I7bCs5Vyecl9FSVWsk2WUrghtmIZ12bcETudgAdjqAhEmDLoKhygLd
X8qiT8xWVu7oXFBsJ+IHm9YjV8UIzBL17DZf0rfwSyhAIzrkbQU3Ub2OL9ZZ8sj739ydSXPcOruk
fxE6OIDTlkPNKpVm2RuGLcsgCAIECYIg+es763R/t2/crzd32b05ccKW7BIH4M3MJ+GFqYPnz2e1
8LcsdroAVxDtAojvWgY3N+gEG3RMz8PdFR/HUshCLWo4zdcOhf88sdC+tk1JYWsPaw8S6XFL2MV1
67Uh6c2bwCdFAwxGKqJ3pElIC6hqdySmDk7KCFnVLb8mX/vlmg3v/to82ET+SKVdd2odPnAxzJ4o
CIR66E4mUf5xGuMSxi6/iBAD+Sp0VvlgCzzVXWQmxrOf3XhL7aWj7GcUtOa6ZdsvwvTZqtCVvM/S
vI1rukfKcd3GxN+nEwTibCLARdbC/xm7w2p9ni+CxcXcv0s6pzvlkrbIyHiMQ41XOIMVr4Ch5Gum
QIGEzXwIjS7NlkT7qGmmEskNMIOZ7wkX82Mk7IalG3uKhSFWsNC+2aGnF47VM/RY/GBt90Y6wBtY
GuERrI2/N0HHQQ+ov8mQ8iNyuqrX6XalgKDWSLDzCNSgDcboNOim6GW6nDcb7JOGm9s4rbghy1Lv
kpGepylbypWU3jrjUfD6g7couVsyd8YW+k1bTW9jIo4B09MxHhuRiz6BodXR5FUmtN+vyBeXUCRX
ntTAqcZmp5CrXKmS731MGDa7W9+P8yXufLcza/fbtzStpjHrILI5xI+f0nxaudtR651J1uDW9eTg
xXw5eukEd3gNino6c9ZOsBVCuxuH6TVCfBXphJ8pyIi8DsY9ob3eIb2fcuNku5/GTufcW7IdPhfL
lxVwztgl9/cw60tqVVuybf6tB7vgrW6iR+NMDEcOmwkurV/FKJSHS/grkKo5SYHZIh0TjHBNQI/G
+heQSvQI8YWRTPG9RqJZWLnKywDjRTfjR9smqrynJeexjh+GcaNloBgQozWbdt2k+spi1oAk1V9d
2w+PI43y1Cd/6hZjTmcdHrCo37VrOtxCwFH5VhOXJx0xt4YRaNNpu3hSfC1p/W6mzTtiTTEHGtFf
eAL9UrQhLVc1AOiAvKm0sfUDZoBooU8BhqBDRrzxNIg5gh+H0VCFnTpjueLFZJL1d9yP7alppxWG
e1t6rHaHHrGsySJ1yASoIYwq6XMzxTZPGifBD22sgCaE2aLT6JbdU8vAx1ze2MMSNrDr2mB+MAoa
f7NJkWEQ2vEFnIoIh9ypenn0bFPIcXifEadCsbVTOZJ2qST1vwkLG5hu/VpEC2wI26pbx+up4DF/
UCo0T+ksXWUhZ8tOyFNDdPy2dUHZtvqil1g/bWnrFSHUpdyMOcY2wasiO1qJoSmSGabdSsSY19PM
Syxsp5X3zbOE+tt5spcFHO7cppMpVzMu5Ti308U2Y3xUzTtAmlc3wK2a8YNP3F1l2iFvBwy0Zv1Y
ATGC2QVQKMZ2/bB28G3uDFGDp/3OFJFXeieM/DtrpO7UEUZhzJOrrXf+FOV8iy0G1qZ7XD3Yph4P
x0dnR3VZYLzVUd0hP3mm/2BO4Z14Mq4Ni7VJQEFN2FyHEHnv3J0F0RJfDmbK3umpGBjV6i59YNJ9
YzG9jmQ3NPAY/Q7QCgAsfJCjwRW+w1lynsMLzCNcoIac+MpOSZ1OgHFSeZz/IbvujJeWKoCIWO3J
AgBLAYKxIWEY0offqXxKg02caDq9BBYTgcd+ITeS5XKnykjtHuc7Z6buxBlhYM8UILRBkmONObZc
7nyaD1At+IdYw+rnAWFrgSedpgkz1trb0wjMrb7zbv6dfIOpCxFyp+FcAy6uuRNyZgzaQ524Gbbs
Aq14J+nGhsOxl6T07WUUdkcYsqk7ezfcKTzGQP6QWVzdndAbgOq5O7OXpcHnUo+wRu88X3on++Y5
6PNtmS7Lnfrz7/xfODhTjsH22VQKeGAHzzG484LhnRwMgBBud5aQASrUkfewtpzhcoE3zLjBx/E4
JvEW2jaL/ta+h/mIwQRu53g7aeafGgVDlg7+ugvS9RHuIy+ACPY7p8P+FHB8ow8B+xSqYvSUe2qU
8KqGwv7xuPw7KXFf1vuSTet4nhR1eeRGqLlLtyUv6cjiHAvSjyhsfvwTLvy3WKX/txCjCOTPfwpQ
/h0x+r+1Ce8UNrLS//W9/5suQmce812ImAdwdgIf6V90EUjyCI3tFL+T4QvA+PxnYBytLQSvge+B
AvHup7v8iy7CwQhoBSOlQUTp49CK/w5blPx7QHaHofw7me4n8C3+a5oPctH0JEDMu00LXpaQPo1j
t+TZZPaKJ6V1B7w/20s3HDfZ8Y9tDmHpjAaR3gjRPrnhOKzra2bhSofeoW3bnVghBuDi5zTqx6Kp
37a1/zsPkSgRa8g7mfu6yXh4CrPlwWJV87c6zb3Wfa5JqvJODRGYJXHDjr7iIZ+aLSozT908M/xd
e6yHU3DBeP4KhvaCVkwRzP0N3bc8kXh4GyLmgmzRLSA95mA/TXOdTa96ZMdkiaJCYgeATftjat6k
pB+enpecyrnJx3a8IbVuSz6umKiCwxyLk/a2DpEB9MToPALHXi6waeF6ppg2w5ZP5eZ7bQEPsMt5
TdqKplCUwPM5pgn9IjLPFLCRbkZEYdEgWqui2Dz5AbLAxX5g1nrpGyHzAWsuQmP8ISytw2JyfVrA
CS0m70fWJtDgcVpGTDy3aheo/odHgCqtDex1w+IM0eqXCOJr3DUw09ybUzNACEd2W7b8TJP5ibv5
YGnwDaMS7o7Tt7knD4SxsTJINWi9nNEXKCMBWw7M5I3LlQMA1SSXSQQoqbafU6b8KgwbaHp5HfVy
srPYmXrDuAGjy4UUfBQ+t7emLTZIDeGVHrcFM2jARg4VZbKCDFuZgFrA2REWG5T6gdA3LYy+SHZf
smHzYOOJ2gpjQGlC9hiEY1R6uLUFzI7C6ebRMCF2WaZMoYibchgT76E0f4nEUNgOpwBzPoy1pJxD
5Lp3blZGl8EzUdEH03YKerHmE1P7UbDC8nTn4hE5EsjOIlXxUQzhgYNPSYX3Ess696IXJdpq5vO7
oSQsIlbpFQqvFlkRy+HkeSAv4rbZCtQrjywYMBi2XVrSB18DvYYijc0bNbySC40rbidd9COCq4UD
TVWu+eItHgZm17dhAD1DEg7nYzSVAEMAjblgegT9gXTp2I/2GzPpc59EF3zTMfEAufeze1jD3hWc
uRcAutdgwNzhe4+m0TfPdgcOaVGt4fCzT8OvTWcPU2cSCLkpLbmINSwseUkW+ka8+ItP6c7Eah+z
+cVX5vfaxtiOPPaT6/HVGQMTWUz5EG4dAo311HiIdOlAt4KHl4RekQXvZZOUIo52td9cW+H9Xb22
z4coSfI0+QH98kqJwjAAexpd+txy6KkwepY1hq1xVW/t5OW2dwe+Id4lijYAh/BCYZiGqqoWGl2y
3n5GTpU+ftbaZLpgqSxqJz5qFbe7Me1EHrUAzWJWuk7pKogI/K2Q/wmIwLgzB3AnogcSlBushXx2
3kkqF+U0JPw8rg1ey+HsVqixfsBCRjrxiqe6yuCAtxphCyonFjSZSg8yZK/1Ags0U3kzR/4RzDt0
hY8M04s+KUyKQvbBsE8mLCFDy7EsxRPY9Bfd+lfcNrEfkjpG2tsCNOqDnKnlww+aX8IDMpI2dm/8
DlAS0OLNG34gWKmWbIOMyV4zTL8VNRjrxq2HLeR/xL1m54aM715zvxVTdrHj/AJmCIbqCgUiTfLa
d1GFE0O+MoYFylZeNKT5AO2fxOzqp6rHvB3FZYtwvpXjKWJ9EQ2xukTT8jVH8Ya1fQFBKsly0+n4
6mHsPPvOpudsG67Ii6HqRC0ehtA7enHnFZmAOH6OmX5nDe1LxFdnJHInf6yS1gy5TvGxYuBE1DRZ
Pq9LkpMp+1Y6OEb0j50V2cmmwUAu5JjzbvuWkYgqBxgc815uY3lUGKVonR1DV6P4AdcVwCxg8xq9
HmpdlerBz30tSJku7ReNHJjO7AK7mCFMKOfskC7szR9Aa2x2raIAiA5l+iTb/q1fO5ZTcefMWpfs
2vhpnse/Nlm2wkXqDW5s3gM5K1nv3tgYj3kqf/DMxsc0Mn+HjUBSjafEG125UY1kHCgmGhAfgo7w
5XxRqaiFKJ3qP3TcfkX8QmXzHDr6EI9YliMWVzhiqTujvtTl0j0B/6iPMB1AfinFinjuOTAA9RSa
AbfLgj5CGrDcA4DDmI0XohUYAx5E5zlDCgoatVx5iijJpz2yb4jgNNv+Or9v861DcOmNip4ijd3Y
bMNPL5rwCqzzWIIcfBJK40UVMim2Dq0qcCIVZNGbTBpxcY0H1DcIbKljAKec0M80mD5km0ZVbJ8G
Eye5kJvdR+q9Ge6EazQ3KARgPVao4iCmh+eW3tahflszC/ex7Q2qBOYwLJO/X7FO5ilgpsJTmang
fqZ5Y/S5DXXphjU9moFWAzzhJUu7gq8YNdosLTrc9PPaNP45mzeok9Y/+kH9tc76Ksi0pyvPdmjJ
hwXqCOODTOVBiWSvfYWzF/3O29Hu6mXgE4PWgyZszrFuQEu17seQ6K6Ik3XFUrp89a6mIJSb/tgi
BIbVhDwhdi2uhPMAB9D+0GdbkFOttpLPM1Ip92NZmrQicHVzhqilrJvA7EwW/LZrFpRWYu0PE1El
2TmOxwCvvRxeXNDXeYb0C8I8PvEeEQdE0wv1kVrQKdywLsJ1Ju2jQmBbD9MH8rRf/jQhBmOJ2XH9
wcjyBm/tzJA7lVzp0r+vqKH17is5QlEKVCXdcSHBkIrB7FLZTlUwSngeWFmxoe02f9xHc4bsNATe
xNn6GQzDJYjYK27Or8GDJGNZWErdfgyb92hZdtNsvS15amJAlpSea82WfezJEXAPhitbtzA+MOUE
LVz7adn6axbLb5pYPKMDswUXvdylyxvtcfND5QBTY3/m7VwFG2BlL61fh4R+Q+IUeAVQNnPNTw+N
idylGfZR8pZCdedr4K7YamYwU/oxlf01rbtX97cbYPDeKY01hl1lMBOMMnppltaeCIwfss5VjOzt
SWQv82LyNpwwZGz+76XpYdWH+jaoDf+DIg4MkD9LgherDkzl9X/aaStDIx8GqcEPAD0I6K8+k+iD
8Xt0W6s9iyNW1j27pbWVubdQJBg5GUJgIizI+943pWeWp1DEUxVOoiuESMMiXPrf6H/Gt1bM71s8
lSvFyuliTKsIO72cdX9q7I1lHbU2t15ziPkqCj7J943Fz3RawlKt4gCn8YHFKMjQI5uRiVE0xaD0
g6PskxDgZjjuE7jUcBu+md/ts9X9VmrpzhJSJOdxAARrAepA6isAESy8fredqJaHFsBmrsWvDkOq
iviUa+4Pl8jxv6QRI7Cp9JlnU1QOnmO5/dl34QfhFkUoxp6jrX2o0zY8du3UYa3GmF5rUQJ6fUuH
FOYQ72+WmpMBeltExH0w2/5BjAu/SQGyH+bs1nnIRhO/R65Qj2UXREcv1G+IpO4gY/1Uoxtx5zCL
rtO45xbLfQcoL5+RT//zRY1DUYfPWEJCOe2Grm4P0/ikwO1tKvspIxB6DClk7g2+ygfPy9cZzSyO
iSVZu9IlcBc9lb7Ien2IuykqmFRsN4YgYBc7NpUb/Cd0CPaDTm/OBhvQreyPFaKMIUAYZc+shWmr
wrIdRx/JwXx1s8RAPePG9+qDc0QwmAF/+g7s9oJ5OmjgeWEPe9zuP+KQ0e94gOxyaMgNEwQ8DxBD
3WnEKSVRgcJYv2cDMAchayw8XL6KrhsqYS+03fciQMQ+mJ/Yumie4UW0La1PnQN4gILBABQ+eJ0x
OSB54ccacG46mEcXY+fz7xBXszV1nkyqrcYM5JlJbj1JumOdsYNoExQ7dOKXyLpLxrarF2voxN4z
R2Vvkl//iQ7DBonKAtO69NcBjC0zU5UE9ZAPFNbX5E8QcOY7bc7IWbPTEjzKFRZamyIQEwH/TUyM
utooQhhyBYBqXfCFTeXcTBBVjEJAev4O9s9bCmAB+g6wJU/BkQ3rDtIFplfYFCJRCP4W2u0GvZ4C
y25TPbGLasNnf/L+gMvNirDJnrJs+05Hy4tUS4PQtNh8bUs5gPkV43ZJ2HCN9TiDpqoSkiGuhW+D
YDa+TkjacnUXSBY8yKA/tWPvMQle4NYGCBk9kzOGxzeLqywCdmW7eaq6XoNoC47r/GNZg58WrIAo
QjWFuZJjOQ5gKQiuC39jzii42kgOR1jZkW3RvQ3PKN68rttwxN5+Q5kUXyGjo3NRSYflF7vJbHy2
q73GCL6NaA60wWtD2SMeu4PfnebOoBerIde/YZVWw9BfWIzF2fuA+4408sVK8xtFyIU+4k95CRJ+
8kg+3NlvRrawhOm2Qb72F7N0X2RAZklafhU1tY86qj+bRKlqtfyOTqPI5AR9M+2MkHsdLnG4DnnG
EixARBziZerfTA9eoRWUIPn0q+ZO6Ua+/RV1huygYg5r28eXWtpT43q6V+ggADpcZpz/avDjttmR
yXqfgpXfwTr/PSgf17tGlDWBI0EUTeJdPVt/j6x51KpQHbbSJXDfkKByj3YHKYCMREWjAEtobrCs
pwfjILwC7X8gF8PkA9o1Er65dD2Kr1agEwjELcY0WXAS92VLPLKH5zGejAgq55Q4MHjmp37FTIOG
frwzfXKzJOSV050rsbnMpxTLdn+neMzcuecF3VXGu/mKHbMnfXZpUwGKBW1m5ie/FtPiA/ZfrQhu
0bJhpON3lSYBuYxgMS7r2FZbWl+niQR7EJWPA0PSZ2qsAlwweKPY9PFcrXUJNPvB3CHYDRR1YbqM
5tLzae4P9VgRhfx0VXMJL7EvdMiutlZd4Yg7aY5fRqoV70GM4TFMg64Ks/q9VSR3Asse+McbpPZW
RBE5zJo9K56xMoPPEAXqh0TFGw/Msha1ou2RgCooexUReAnJw7x0cgeWLbvwbvlcssAB05wOIO3Y
CeP1WAZkCvY192G4wsmlxitwPilklzr3g0aXGa73BwHcOYroT9NIjAatnk90deckNjF4HTZVM842
OCmK8IE6c+o09jsHT+fUBPO1B3+WTzKa86SXbRkmJirHjNES7EydT4QvRdtXtQlI1ZO03dsV02RN
xe92iN8TiYkzkuiXgvheC8O1ucIRzhtrogeqkj3Ocdw3q5KPZgNGwL16hvblPxHJlUYk8/scgGth
rMvnHgWQZSECc04v9pJoXJ/EgPMLNzzSjw30Bo4gUK7U2oV31At7AARN537MvvqidoU9o15hbwRV
zBmqI4wg5G+C/WTTPyMD+dOsNoK9Rc//3DPsXRlW1/m5mT/8LTvpZu5yBXQvp6p7XRZkEhmiHJvx
ggpRnyX1zoN8Y3NsS3giz0r79Ky3KLzWkwPLzeD6bMDoONgOWrPLEIY2j0wEHyl8gSkxP7YL5HqH
6dd18qvt5uY21/VnTLXbo9TmXhZMvhBvEz8vqUcPSUu6fIk5mkBUeVXHlydD33ikPjf72oSsvvj4
WedGITZjn9rDgIn3NcBKaR+tb5cCx3bA1MNSX+8b6T0ASH0Gm3/nXjyXWzKo09wgyLIpdWWy6JNT
EUMYpfMME1yZoLyfufGvZ4Or6jZ2MH1zYcKha+zhOloECYdwjqp6QNVsS/wTi6YEEa5KC8nGqPK0
95zGX9LYl3QaxH6txYY6ZjsfoDpUuc4YGZf2pTXZhq2W7DVfwt1KEJkL7bw8RfG4iZBC+8BidhG9
hzrH7I4J8mzt9+RCJOZA4uM/mimNpiHi0AGCyoT1U0+7rzQT075WcwiCcQOsEK0Y/4cfTdfsBrku
eaOM2fvIGOcEq043dwccSWSKaQQo77YXx5Dxw/kLLh64/yb7DoOk6hqASUKSYDcy8K5sRssUVFMD
0GgXQfUkMBvzpkMrAFbzDRstqtv3zbmuX+iaHhL4wCXyfpSz1AWEJbDxEC0o4bevDBz5MsOlwlkT
YbR1hanX6dpPQGRdsmI0C+OD7LO6gJ1QRuv2PdJhn4FeetGxequjdEd9I/cJ1dkJBycUwQq0gzcG
rLvpATCOdCw8M9wvtXG7ejXB7W9nGX+dOg5nztkdG3F+Ssrsb1Q2Vdk6UldP22OIgSQFoVQyb3sd
J0/lKDR05dStfgWJX85qLpznTvjFZhdsmCKDEMaLtnjfEtHg+1pmyzSYt9xpOKc1pUiCJ2fzkWM8
W2r70zk35gI5KbS3dxmnMIIdfBwEpIkZ7n10ER/rDlalQZyYT5Yi8mLeZYDFbdAxig3a9zCK749l
HskNKIoPM5VzMH80AkJIDwHOJcjbpb/NtMGwsMlH2LWf44QRhi0dO2U9huvea3ECBvc3wA/gf9YJ
NitvFrShBoYd3kN3C/pOSMxTAOGSI84iSIqEB6B4hwjjw7LtQ4bSmDZPyEh+hVhDy/tNh7N7kWP3
Nrqw32XgT9y2fNeSv7Zr/YDRS2OGBBkTy3XngqMOkLXBNB8g5ObeAERx5Lix9YDputga9tXeaeOE
0RVcPqz2GjHAXrj504bJawyiAx2DAHAtJBDRCTwZVyLWtIVgY+Hj1fa1925Mhz0ci4sXYbtIOP1u
vSw6LWv7AZAEgwJ8aEJmrwLRh8ZFeFfVLkdCUDap9yjp9BKuWwwHCUl7sDmwQSIiOG/E+ymG/ksp
7+9k1u+p2+Jj0EDfcueKNVY/RiaSYlz2fUvPOL3H7gmJwPlGr9OKJc1+iiQqsuVF2+VXvbh07zpc
1rn/MSakKaIRoWUydSQHYoLS5RbfZrl41UCg31o0P/okfuPgOCMfPhZbkE7whfyZRXpOXfuaoG+D
AkSE2jfxP7PW/7TT8IZCRYrSDm556o4Nl89Cpdc2I7B/8Vyz2twQULwql/4SnLz0pP4wUSjLdNhG
sMkg5hRWK99Orw6tHBGwbD+IRWMFhq+dLqjy4C/aNahllDWLYflzdwJY+rWSIC0nSLfIf0UQk2JE
2d70hHln45iOoxQeutZRYcY7GOn5rJiX8JoN9acP5n20y0FpGu0zB6nYNu3X2nTl6i+XsAchL1LY
TwtFwYbGvOqCtJhi+cM1aGc0E55uGYYatMeMaSSbOvSycMmSZYbhHPYlh1cE1Al50pA9gCZ5TI3X
H721rgLwigV2RxwD4yVf9dpfWgLPMdPZfhYyyBGD/aYRyn3zauaC98lvCraRb9Y7LD1e7jFlW8Xa
+iVB67xaWoxwks9/DDjGuXcfa4+HPvSST4HpBYD08qcPW+zsDl6f3xZWdWhc1PMA6IRyNGSGQ5Kg
0jeq6UgcdmRfoIIGJ3vMwWXyfF1guA8N+R1qVufo7Gl4g5gjUjQwijXhF9mvDIV30Oyqh3ScBcFc
Ap9cd9lFpHqt4okewzZXQIMLxOm6RNvzfYI72sT9wVCKtMZHyARgDVU7VaNfj9EWy+MY6wAWv7hI
dFxymrnP5gEP6mNt0+sm6r2rs3YXE1gjzs5o1GwCHbP10fT+n9Ch60sXfuEaA/E6ulNyn6HhO/3x
R7An1nsVdj2DX/s9K68vSbI9zwtiBpzCPZUy2pqTh9VOg1w64dSEAidayZ23SC/n5RbEr9T1LyRJ
YXmu9sOf/RWdmi0GxYt2OblDosKpfTaD+WpmH27omEB4oo6UoDzMl6jLIzgWWOi8N0QRBQgmVAFw
slDgAAMH2H9aLDxYUvBNpMkx0GCXLIlef5HVPSUJrWbmxdhSR6yijJ79mBxCr7sEDkcckJQdcC/H
SjvUCQ795NWPg/PaPYp1cE26yF0R8cxzdwxniEQ93WpA06VU+sPV+JzGEpiqOHoMQ6wZ8FRi+0H/
CZKDR2farqjg9fhr1w1Lwwalnyi3PkysyTt/+xz0hqwrXEEKvMQ+rBrbMYzEoX3pMri8/3/TAVgS
A4oy639UUf+NDvgvpy7+wwX867v+gwvAmd5hhhOLPfiC+Fdc/sUF4LzHBHk8yAD0wf0QBez/wwUA
GYhD9LFj/ANK9/D/X1QATf4HTgnF7hpG/5xB+N/jAkL671xADPQgw8dK0BNNafxfqqAtrKwpGxuA
kDQcD2sKLmDBER4pR1doaxlc7abGRttgWuPBw0wApAKJeZ53FBUGUHVDUE4UCavE4I/RrYyJEeDX
cGDXrJsUfkF9QSYXF40vtx1XHc4OgwaNYlCrLp0V+uXj07aBCoQRvQPrnD3gbIYjVE23QyT7HWlM
WT6vSEwoxlxxFtn0rIIofTYUu1capDksxblUx74lJ+Hz6GjqxoIxDGB2d0DHtvl9JLKCtzudbRQg
6PdMsye+yEPSAvrn5uzbzzmu8Yl7GlR8zmDa6i0sBiyBjk5b3jVo5GfuTaEOhB2z+TYaJ6sYh2xv
mwFTsmSoJmL/xo5QOK3qEYELNdmKRgA5O00uanhLa2NennSAnl7v9D3v4wi8DeDilPmlB47iGAYK
9rNFtNShPechkZtQ30VVLkaTqxaHhjoYBwoq0bj4M+AdwRRKgQwllfRbdezu1IVgy5lu/m0hVL+o
ontwYdg+IS1BOTkMUecNzEfozVA+a4wgGkhYs8id7fmtb5MADde+z3GWAyYoSjhiSn2aewkVbJ9M
7HCAlk/RjB1rC3XhQ8wFnq1Ui0M/mNa28jN5sMmE6lG2fLRyhbW+zNjgbV0S1SLMRhQUJr/GFbpk
Qeq6CADIK9KcFDt03i1RuDOnLRPDOQjIdelgojF44XGYYo9BjlpBfn8Jt1zqqV8e4WWvD2nvFwgo
fxswXSXxoUe6LskT2yJHREiruw36XvDStkQXE44MrQOQwmSrSy1ttQR1czQLf7QpludU8KFMKJ1L
E2ikbqPBeRH2uI0e3Qkg4NgbmjPnAoWe8VM04bIzBJZvPMjHRU8yD6UWezz/tmxTqDIbnEaAXEjx
kG9l4XfWpc9yBQrbCXW253QSPRyU9QnArP/AMvwBk1qeApwIkbN5+N2ABouW2p027zuOVvyzYgFy
AxyOI3ZswSMOrPFjYAqq3tZNQWFWBnj2jg7uswB1t3T/k6MzWW7cVsPoE7EKBOetSI2WPMhT2xuW
7XaTIAnO89PnKIvcSiU33W6JBPB/w0EfCbod4HpwWbUFnYrTycGhyZXYpJVTq3Rue8hPkvHZB7zJ
INRAiZW+iyZHTGVn8mmfFOds5Jh2aw//m7VDQAjWmDhklj96aaAGIjDVppZ7ZxhOteQt53I7QbWO
idegTbiP+5UDQwnGrGlze9v3mgjA8DS16q7rWE8CIIjbYesgVxyart839DL2tZcjRa5E2lJN1vOo
Jeg6I6/d/TDrY5vPeCWS6VLNqHCinqqoSBHZkgnDfqSTHHY4oqs5/dUeFvxwq3BWW7OrSWmv3nYk
qLObZfpWDDG7JhFY8A2OPsGBIkcvHOzYjAJANnVD2I7GtoVvQLxbPFuloCGekeFbTVlFOgWZZGiq
SvZP3AcNB6C/rNwk/Hzx0rAihYXj3+am3D34tAgNZcbhWPDNxFX7jFyT7TM2+aO/fghzdqmmld8I
o5Gsga04gT1Huifl0sZL6NsdQ/fovqTlkt6BBqGkaxINavGc4+VoVWnMoZQaJTWozcyEsZtEV4SS
TPdWkaNC7IvTKDb7v4G17mqtqaaW5LDc8rEN8tsI+yKro0qTD23RJy9Hr+IxMzZ+KUTUGkDlGNZS
ZZMOqb1umwXUDclQoRnYxVvMgTZLa+tPa/E3Bg+uDsYzjXB1qKqem/BYKSpezzXpj/mMnWfMAIM4
LzlbtdRfS41GrOoJ56J3qdJBcUqn9TNN/1GFa7DK1BLiOd+cjlE9Lp3xqNvb2VA0ZdgEt8l1Nj78
oDn4FQF2l/k7zAo2EBmI5dzig9VyzU79IEDr4KSxL6hrZ4pzXOIquq3zp88W74Hvl3VwnQmsVuiB
Tv5HTKW5wyDmHkb3qS6qIrJSJD+jooUykyAdfB8O1SjeV7nAyDLpdNvjGsaOMW6K4mq4abzPUob3
1cifRY+D4Ivik9MpakwyvjTpQ/oS29mv9vzuae6ccx9DSHKUufPGRm7lgNdZtSuPU0ETILkllKlV
0iDkKhEOpRyxi4pSmLtiMSYzrFS/lyuN4+J9dG6xu72+Rb7swj5OqdcdaQnwbtQdB/N0JiDkd2Hr
5M9zVdBcaSjEZzEith6Sn5S+7cYY9bCvPPiFJZGVbowc96yH1dikUqJ345Ey0jwIp3yw3VySsi/+
2kFtPQ1KHCa092hZ1Fd9ezSaQW7Y0WmSY55+pAnZW4u6dUAid8iydmc5yT1b5bHFea97tHVnSv6k
ZptFBYjDLUmhB8cuL9qFbhV4/pc3mk40DHkbNWS4i7Zzz50j7lmm9LWb4k0j+bluir8pWzrlxnuK
rwyc91g3seL/RgcUW7tnhD/ks0n/u11hiE63GcCILAu0S61oDlejzaxJ0dMFsEtmWu9c7I2IqtI5
H+Jqf5tLorXykD7ET9lqhiFKEWTgb9OdZ23o47/3S4O54fPPWSu+zEo8SDOYt+nY7cGgUDApv0p7
GY99ZQxh0azlxqTSWPdRRrwp77ppG5tDu9NwoSiNKOx14e1Mb+5uTcKUx3yRe7vBULNd+bMM1Agn
ZPRQL553kC7LXTnKVwcV5GDzKiGzV0iYt2dULPJQDdWXNP4V/YhsiTCyKRYUw8kg4UYJr9uO0r/2
IrusZsy+inNoz2tK3JyfshggNRoDeipcTyUtmFtlsS3HjGNEMyLEMNjbLlMFR8GorzTphpL/tsKg
rK3plBSG3lmu7d29TABZv9uxei7HoiUBMPhRQaUaf4fYBKjSuvhTWuZznqPbVjieyY7jSLJah3Z0
j5R6fpUtD05hfCXd6ywo76fWYakXlrfFNyONTKOLhKAlqzbF90el4qhPkWgZ3HGuPZfWYcIyL/I7
JFARjhlIPWMmCujFV/NW+rMp2SxuT3aFJ3gpg/RRNvlLmfH8YxyPJH6mfd/5AYPv/BCAigwHUy4H
eVMdUzP56S3XjKxMH7ACH8oCS33x4zPntE/AkdbW7eqLlSDktxRNgqQ4JliA1JU5m7ZOEs4j32nX
TzuhXM6djLrN+j7Yy2GqSYaac/9vsNfvICPL0nHadCZyu9NXTO17P+dTTqyu37KNudvBgidGfZ4Q
Ubqda++BugoYnCl9bpEp/FsEJhMxkzSRUKMJrHewLC8oqaiTs3VXW2TuFuHup3WbecWHxh64FVpp
8E/ZxZrlXgtvuHhd/OHcXolCmvcspuUe7Wjd1E4iT7nsH8dBJ9uuda9lkPjX3K9ebSWbI/UpcLbi
ccpINA2OH7UtfXxRr5yTNk3LQXuq1YFFFhsmt5arKZNxtyhBPrZ61H4XHDP8XqwCcLPM2ni06T4z
Sa4sVv9szCXejNEdksKR4WBnATwE4yPPZ/FQmQd30KiY8A7ObuvSt2Ux0T7Ceib0v4GgHBYVb0d6
qJr7rCuoAzvoqR7kxWdqn3tEp137iIMtN70yku1i9ruJv2bR6sgz1hdSMt+zaTwAFdy4Zkt5biCx
2BCKnTTnO5Z5s+v/YRK7IvvtWK1Fd1/mDmMN50E52PuiRaGX4pyb04Gp5JHs8aZuXpyMAZ7mHJIP
5X4RQ09Z7kB4fXo3oPFsfAHUGjb5mzV6TwuRQnMs6VaQ3SN8xQneMq6LSi/wnDY+snu0uPUaVuZ6
Xzsy2AfliGmb50dyl0+cdNRTw7lqEKV56uL+naEkH8GtGoxSG1gcHDim+DRawXo3avOEqse8FlBi
p9W0n9Lus82grCDfeLucZI/JKWZyTrfaydYqXE20JjNeOgqmcQd/Uce+RFFaKUTyk+KMJceAd3qU
aTQNuQh9+jBQRqp31cY7d5HXVJp4+ntRqsfCluamXpAQ8ffTCmhcZyZR7vt5aJvYOKVpRgMmFnv0
R6xrIFEDMazRSV+nMZKuohGa1HE0NF4VGvavyJ1vQaxwk4oYhFZmzWFlkA0PyguTTwmqLmhuwNQn
TdIvgymzXW2/o1v/XuTxK28GDpQrPpTnf9uDQ65B/rH5ZGmaR6k2CI3H2aubxPeT0autUI8dR//c
IrBF+WPau0uYJO/MlkvbfA7r8qHq+ok2DBoN7Usfbf6U+2QiGIzUMQeSvKr1DV/3nfABMApPkpQm
mG03xJpt6+S1jXmBztIgTxGdEwzAtI9DLZiJcc47dssHpTw2P2iSO7dW7X5tchOZEc63lsOGg4I4
GTKWG8M0e0y0ty4Ja2enVmL3wyhecHhPlTmhJyU4iUKm/0rQBhF0u7dFBmSnqepxTcq1tvR+MRO9
8VOS4Ux3J/Zc3PdO3suSeDxNQjcqOfS51RqKMQjCoC6+ms74oEOQbXWPaG9YW23x7LDOxZX9ngfp
j2fwubJf3y9ew8F3KNBl4XtAWEFjI9FdzHgAoCa77QK+QlvPcJG6AyP4s5VntNg0+l6KbjugbuMy
4P2KgmALFGOa1Z1AI1fXpeu/1Hhh63ZH/Bc7jpNjXc2fMjMdgH0AeNIqOJWtcb4F7Vcj/TQMqCKp
RAEfLTDjU94jZkL/qmz32qAdszttnfoA6N/fMnXy4eXTwUvuYiKRuHvQFpaejCYAtrAo1dXPKxM8
jPe8FDYpCtWMSLpA9JpOERZlkcEZRCPO5/TdvmVSNQHG3U2K2cKwazdOsV78wSaus5CeZdUUTEoA
JlcP5KjyQV1oDRSd/GAVj0+5K6cDDHwvhG9EElqCSgPXQNrKYaYtypilKO7Y6Y3x0R4PqZMSI9Nq
vYsBfBPuskbyPt249Sy2x5RSVWjI8diN9gln3ds5hfpsZP+LiHljTpMwnGwe0/S9nVtOcYQMN9yo
gCVLwi5yCu+3gmVjXFcubNjXMfEpGhU4uI6gdatIHNPb7IOaZO/kVZu5GJ7yajzBlRz2TV8dadtF
uQMBwnZNErgNoUVoohbZBwolBkbxYVirf4XZ0o9x3SjxGReWLvW2c2p/2BltrNXkcy7it8an8OgN
7DTTLQmUFhfb5EFxiSVFnOEOPWHaWxx32Pll750wHHeenoIjGNtLPnQ/82SFMAlcpgg0fmuQLs55
90hHg5CNZ+5ivpyNMuS7yicB8SuzomEykOX/+m0DF2Ky011Hf51pI+uPrTawjr307NbNH2MGfyZs
VUe+k1z9xvZfmrokQEi5UbffC/GNTalAksSZ0tuuK6Ng9NjcZkrvQysRjgGf3zSksp8uqdboGSSy
Ng4qy9T6DKjjuVAZEHPj2pUialjZSSHY6BK3sTNo/wYJYh9t10+KJHvYMh3zrvuXOj6aP1nFzZAl
T02WvBWzD4bKvi1mMxuV9qivdfPwacQDC5F5XNxlvwLoZwV5S9f+MlTF3h+9Owoe35xpyN/U+Vtd
Up3XBd/OwFdope++WaO1OM15+lyMjPHXKat9alTbus0Jx7pmxyEbxPDMIuUFFfwuzz9mfv2NZnBM
eqJftqeh7lQLm6iBu0D7Kd+2jR+HlsMHEuMVK6fZ8N36nPdYFBdJeDqucNzquGDQA0HM6ZSUZ5G/
dqveWjmTsFOXx6W5zQ4tEqlUIH+BQ4VqWk+z65BHnIC/5Gsndw0zRyC8fWmyYAFgA4RARIKXERff
bCNtof4VjqEPYrHIZnIiHWOqDmvCs587UBnWYd4Iy0DkN1HwzeSkYBZsk3HAAhcc+OZxfZu89F/v
2u/oI/vekZ/kbrj6InDBsY68PqNphNzIEbCf6L9FMu59F+HOm5YpnBo8MMpFm06mP9Vg/7KmYkst
fGleNsoHwcRaLCLAxifuppu3YaqeyvKoYx4PGKTE8VY8bF06VwkZtkgp6ZbxuG9S+6rK+Be3pKI5
VnobR5K1NMj+pbI/lYvPQSfhlCPQLQoL57Yl14cQ6UEg6VG7bt9HAyna6DwMtnm4TmaT7gOzeaH7
UZ4Y9WBoQdtra4dPOoZKvNjD3ahohiNh56FZWEgQynhwZwCMHiISBJ5tFmOiDGVNZNtYic5zgJkW
L+BR48Hsp+5YcdXBZuoIZtyMHSO4El6NgKleDd+rj7P6aMuU4EgJS7oHWzfrmAViwiAyF3rmxnuQ
v7vNy7AIfr/VfvJMvLYUD6pyqqOe5vd4Bfwft0t1rBojamfrqGhvc/VA+4eZMsMhTknNNO1rAz8C
CgSn9bS/UB//tjqigWDRtmsvplBMWbvJOqAqpMfbXTlXh8Lj0paOUJuDkdpY/WvDNFY7RKTyoQWF
tsooUcsOS1fdSc/ykA52hVu6O4PG68YQEmndL+po9S298cqYYrmzHNntOF67tKv7YCArXfeHjqcw
EkNJe95o/ZAbSbYVkIctUt1e5oQQOwujvvEmksckzvviqfZ7h2g5Vnbf22EReHTJenvYxhO5DpnS
1HENb6NGR937on/OMAEMUFOUcImLjiblmGZxQumTee7T/KguIK/OKel4x2LAnyWBRRerjoA4qvwD
mNicaMZsHxerOBcFp0Njoa2Pw/iuwsxERlbOVB3BmPblnUbOb8ytETNcLqS+UIUutq1/dPzLY0UT
zEiAhw604nRJxI8q0L+ycXmXdPsSU7QzV7S4lpTKoYaSSXbFPsZjEtxxLFj3rebZIGdiv1oexcOC
xHkai02DZHauFCx1f3xiKY93VAge0vEWGMxKYH563NQJWYBRA7ghYtGhEzEEqO6oSIUL2ACYjNQ9
FO9vOLqESEv1nPea+zfU8kNM66elFBkBjK0PcqrvgLO4YbVvKnrYieF/L7Hj7bT6ayfrbzqSTL0p
gGqKOhArO7cp1W7qd4nbgLnAhNgZFoLUKuogSubbVpOOYOTM/HuECkG6PGn27soDBT/zxQRvGqzO
JyYHWzzH0Kgz5695GVijgd1VgaBZGPfiwWjEuIO9BoB6JprsUpuI2lreZaQtR+LZR0wYvOf6YW2c
jlALv4AdZNfJisW9SimcrOMUH/Juvle+7HeZd4tPjKSWnVdowDENT/xl/1KPvmLc6iFo2SUZevua
lDdOTJ41+1bmL6ulUEl1VxwVEBeR2v5jIZedV8GVRcd/1WhsZQl1oC9Vt9XQD561Yzw6szef2jF5
nzTqEgIREb6rP7WfDVwcznnSwgdxdkujb27EQVHzGKh554F/cMv2AljgLLR9kt14v67BnVGUxzwf
n6RJPGsZX5u4PA3Q9pamutOsRBXTci55PBBYh16H2ON7n4oYWiinGaDElxTplFEuxFs6+4nxVnFp
jO05W9l1l07Xj1p6LxjAdwaHoCIzL3VnPPhF/JdNLN80nvmQN/WjsWmD7KLiK+lAJMljwvGtmfHa
KzBP/XivJvcFtfODqOd7stV8n2nFZofDhGsEaDJKGvAJbnUequFeC5qgVrb1q3Lf+E5ktYA/aZK0
+W6xuLWFChQZGcgGYp/1FxMHi/zioXHFfuH7yeZwwodsaq40KdrLkHCrCb/oYJJ8xp0nIc2/dUsd
8mjvJJ217gXPftt5kAPw4ArRfRNhebh9yHnjXKlznPvqt+9VJFqwlj4Ua2t4Ehnv9YDGochmkgD7
0KoFV2GfhJ5fXYvxdg7A57VHEjT3y8JP3rAtZAvP5bBFk9vBqjovZXbNYY6rUmIALnxJwWXCWgO9
jaC0PmTGn5pl9tYElXF5Kzu9jIOCnjQ82ynKN99I5yaHOo+3ff1Lk/gOX+McLN130Q9bLm3ascbv
FGklv/QvFeGCxajOOQg29c9fQMla8n2SXGLD9p3V/j0mySB5wYjczYdlFnuXp88XPD3JHBHIPEyK
88BKxc6/RaAhOmUEH1vwN0K++7ERJUN+P3by07AvuTu9LgPlTc6tzNDTxrf51BouZPIbkD83UVvY
F7Lh23JVd3rl8QVGK/mTD0X3lPTxp3IhXfCJonNyA5e5L5sWYWvcJUvwJpzxlRTOQ1KkcBqbC6fr
Z7Sh2/olR7EXc/pQtcMfHLCzpLknJW9Ea753BFU5QT3Qx21iExj0cM8pQyf0HuaGH3l4GjDk9KTY
x/r5DHrtCauNLO7IuJMU3JaDifGHpRPwndw31vSdG1/ki+hxj95f3ch3q7OPLfggSBREkPvyrUna
7zLzT2nnhblLU4lT53lcnSukHx6G8s4HzT33OXhgb+cSoIyD6s5NO36i+sVtvtt5euVbfEzYyImK
avNxsM0QWFc0j2AVJ+hlvA89p4rsaiPP0Vk7Ew7aZFm1rznlQcq6Biyton3uDOJWtvforxw0IEpn
bFZZgDJhE1GbWTBaOz2Y7nzXG39bZr5aMU+ZiuadqEBHGre8P6mxxTIfBo8fsiKx4vHJ3rx1L6ke
kUBhJ9nEaYNDxZ/KZhUNuvHgcKXZnI/3pTnuBgTW21+YdefVco7WGr/NE3Bers9y0gdTkpZZ1BFI
3r22+m+LaHmw2Bz2pigdB7Bw5ZuxLl80oICsFHyCQfmw1FY0VeVjvA5Qq1B5eZj8lJ2wyqfXnkaQ
CWIP9y/fZEFqRIXy7xWJ76TmDXW6b+Lw75WhXv532trp0sXl47SwGAYIQU12lXNznMYMsH2+E5Kl
DEgiUqomqN8Ew6HjC8rr/EUW9SlOH3NBYNYdbw/6bddPg+FZT0C8rPaYsKapuTohcm3Y4HaG4x9S
t3CPVTBuU7FCzx3UVgakHnqvePfs+mkBm3fH6P8n6OipUQWlh1LPr07AiTTr0L8xDNSSPug+hgaV
12c1XSyTmR2wcMpGQIjM8zWMEq88SN+hfTvW1KGTQN63gHQKx4Xxh70cWXmPrTwILlNaE/NeDDF3
7c3tXVKrj6qVfWQrXYZW624s2f4j0tvyq68t6BSYZjb0URKCsEHr+UkX058KgsGmSZwipC38wbl5
OXVr9lYnOEukDYBm5+ymxFiXnKu4XG/dlZh+J3Op7xE7yI/whyMePrDm2v2PWTlv3iCDU5WCAPZi
EXoVSMMs4Yg09aj0k1jMc7NwZJTMQiEuO8FVnufS9L5LrYPQL5LsaJsGCWYg38nKDRBXs1o/xsY1
7oIq/9tUFunWlm6C1059COQc0zsJPpx+PYxc1fV/xQ8yvHO5ena6MEUxeMDC+aZlx6GQkPJeejms
+7IEMZYm97Pg4i4Lt/O2L4ANcO8Y7um9Bft6QUjjPZcpc7ah/wp4wwcdXLAKT1kSqCfcQd6rtIbf
MFx8LysOFfffbGyClI/kh3tXjiccf0KFzza1vl3iDDW1nyAqXfWcVm314CbddaoGHQ3Wr7e66X1R
/styk1+/w17t2+zXiKnG91qMkW0n6lnYglhbkaVHNyXSRj4mmftmy4f7Okr9YN0uW+x6hyN3br5n
a57u24x+XTmBxRPcbhGuawMoDbDCo+8/EH2q7ijkP+pV02+Im4pODE5yuwKpC8gZj8V+Nvi27KTA
6kIRAJHqiUekv/3ceh6Mu2y95y6uUtTmXePIv5PMltOMw54Ebk6ru3tk3s22WZczdeDn74GiW5dO
SqgeatpSRB6PSx000SxwFBBmgsw9UNBxz4720VYJ3icJCTvfcN89KKJblCPKvV3+pTUJDzEX2WFt
jG/PRO//Z6+3NVJDGFcxFw/JyRehfVvKOy97d9bmRFvrYM/a33ouCkmq1nq32srbe6hElsWrMC9G
eSO7n8zStMGxo5NDuD+40/SRg6jeTKtZ8Cj3tKIaCocB9C6C4SNl0mXCEz8oc162ppcHu3rUGEbZ
dagXZxOP7lOAextVoMQOeFdUm+f7pp7whIb8wbEqec6c9dkd+oWjj59yL2DwXE5cEdSBkd5MCkqU
jYgRVLrnTJ7txOJmB09nNidqTh5TDH0sThBrmoVjOpfJtRCTuNyHBmG5K2vONF3dnX3SCpFHM42s
4gfryrNYOWa7xspVAC5A6ywWz6opq7Ocd8POXBz3EgSPWcwg2mPttVCT9bj04VDRYezaGlNF528c
V6mA6v7RVchVal4AMhgcU8F/i3l+WnQJT87LntfYteGw85/J3uvuROYfeDAQ6QMohIi/5oZs3WOT
7cvin6+d5sC9iMN+AGCFBCUVAUvs8SYQJECXP9kAIkthIaKnH4c2kxw5qB0RQIYuSHYl2HZ8mptO
z2fmaxoJE69y1Z0DMZsRdVwjnG25q8Y2I15qcQsCFeg6V6FpcHohKg5pxbEIvKbUD2o2t36g7bkS
bOqZBnC1PY7UtKzovM6e+ARkUUSl7dJOdrlRcqaHLM1lAjLic+hdM2PH01WHVt3uanVysiDnD5lg
0t8M9hwWVVtdeyN7pMYrokJ36j4pXmwv62HMOwG4KCPZzea4B+DDXV8xegJiEqp73L/UBQ+iIYj5
Y3Y+WILJGjbO27D2CvgpwVC7Z4d1lPOLYPrDl68pW/j2vpvEBTx3c8i1+Svh0u+xLX8I+nLhHlGC
NRXGyUSDtIE7gMABNpvZSXCLN/P+GfI+ydddtQqaC9L87VhrQ0Qg60A/E/WeeFs5YARM4xM4zz5M
UXfHYDrHFWtvo7xs6xT1BPKT7rIZM9QWXEgSLtDN+DMVaDtg2E2Lyyu6vH3rsfBDsoZgZJfOOjZB
O4Wd+K2akmjtrRThTVyYxgsX1QVymhfXfyzPEFxyYfvsa+SM8uVUrgxZQTkskU/pmaAk7ljjpBbL
Fv+TEJisxvEiC2ynQq3rrmjEm8t5SEuYtKPbpZt63DvJZOyRRAjdcC+RnNZb/oqrnGpEks6tfoKa
5yLu+82iicrxHnaTyQKbgg7s5v6+I+gG5cEe2XGIWrXaNx6LC/N8FY5Q2qLCjfcN13AdK7Tv1aFJ
XAYfQAv57ex7HDG1dbWFdicnTNHYAJhs/tEpQBc7VQd/YogeEsa3ijcwsen165EDw8oNlvT6VbgQ
4Ka7zQZr5nOB6YFqpRp/x5ROIM0sgAilWbyjiPlNB5iHp2zg/9jWI+CP+hin9m8OyVLMn7E/E5om
CNpa8XoLD75Uev3xm/PqpGDb1/KwTB+3Qk0Sr3hOVR5JwAf7BLJ3qLqxiob6p6rmli+hp/OC2ey3
88pVnUiaHEgIkKmkf4+dJ9Mgm1SbRgsM9ShivD/pxr+eg/js4jX3ndrwtVPjJVrIuOL+c7zmdfLk
v3iU7Zb7G7jo4CCYtJmbi8Pgg8XGhFIEwdAf7SI7M5wTw+Fas01dlfG2hrYBFzT75xqkr8nNDCdU
AI6l/NcTNFEuUkGA8PJDt/RXMQ3D2eekEdrsMdGU1dxLTFLPiymI9pi0DeI8mGgoubHXhpLkVagG
uRVifLVc/qZYXoaYrkQTOC9DptotIfk28jQg6tSsonjo6MzE83ttALfjXiQOnU0Di9vjuzPXYt/b
PP+jRx+UCk2xi0sjjhitAy6ACIOUEGX6qHLvxYFhglzo8Q/GNFOnWhOWt0DFWv9PFEbOWrL2V5BJ
eCfBRGBztN4WF2lvtZbPFaLlDnBQSpuh+s3KF+GjFHDXypm0M6EVsm60o7g5yqCfEQv31bNofBqr
OrfTIO7RzDv6Br0Tmq31Ecw+93LyI3WMPWtR8ZIpEIKNyQ2IGZRzE2g5d3VOh7hsjvXCzCvyH3e0
/vmIvgjmage76uZdficLGPdOkHCdqVaPTOhgW6NJuVMkp3ar+uBlWhkAdXOnuJKPICSipoU2YQ88
br1pqqeJQYrA6QzQmqlpt5Db5MCpj/34PDrySXe897gZ4Fec/28MualQwGdLT59iU+4R+UKqX581
rZnMb1RU3wSwir19I0VwH5SMZLlRjWwjI27ywvo3WsUBrn1DBJmrAKyM9xUiAJcTr80uHWERPjXz
yOfRA90pDKIDLJ0H/LOwHNzugtujUsEkkLLrGsmHIHXTE26lKnpTvFrGrNV9MSw0bGyQLdIeuT7a
B/d98CVtByLwZBVHzPc7B6rzPhfzl/DXf02Ntls7e+0zb3jLzE0RliCyAtyQ3yFDzzLf85nKuer/
VAsLgG8mU+hC+D+OOlVhh5y9w61tkvjFzXjG4YECFhc18mU/wZ6Cz2ySY9z09KHGzn1D+TQuqtRP
eGyb2liWczB2QLG5pUZ/D/SFuGPFIcf4jHVd3FU6v3KCY1vo2u9usUGnJvlDI5nYCm6O3s1Dffa1
rrcDOBRgELeyRS0vRZ48VmK4NhSjcINHimkhD3Q7iWOV7OuMx84I8jKSy4KH0DNJpBtL0ee8XTCW
mnx3liE/vEGoHXDLl8QkXjjMpEcD4uRq6N6nKn3mRQK11ftv/ZQs2FWzBxcc1Eir4jyC98kdLzcE
gVrBl+XfPOEtu94qeZmDjRNMyW7p3B8pIjez6IQ5E0TufM25EHR6Xbk6LIQDQeyypJvlzTPpP7vE
J62nu5kpgHwT/ABh3XLAMsOWd9STgCpxBC4EyZsWZG5xB4Rr6jGiuHn2dHrf21SjNJ9chSjuqXzr
e3ixmBmxgAfm2D3U4jTkqNHt5wWSRULzkzkS1JEfWSvLKQvvJfCpXWn2OxeUiMcB4zBqYthiy0Pl
nuGGsqlkNFZQaHeTR9zPgTjKKQsyrVix3cyg4AZpbFO7L7606+Rb2WuP/vTw126scS+76UsnsxFa
LyU92Y3myHMZlEtOeZcC5SjHvNmXNbyLpOo4FNd5GLgtGeUm/ZvkJHgSrlA2ofmuaf3WmPJ3IKXH
tXh7Lrb2Q5nEiL3d/NqB9+dynP7oDR1XLjVNcbB5eJuVwh31prxZpt1crBiJvvmxrluivh5haOOd
e3ruuLvzzlb+Q1ekzp6jXmK7RNwq85KXOuVpb48MG+JcS5dE8XBH/MuOKpwgDCiXYiJvJ3vaBUXn
zXHG++xGLzct8y3oFwvAYX65PevJvhlBZNxOULOnyhsZOpJZpyLiOivD2fTYMwLiPOEL0YS7k7FF
hJTiIa3TP6nhdYc52z4Ncqy3aKnEEjQKqhWkW5urMQjkKKJhw6GJcu5sYzQUDrehzdiPFIK50zY7
yLiHtDTMd35Jijhp8xfobo/cjJVssYq5qdGaQtPK/qyFx8Ou4DS69VfX09Za+zlhzmTpun1V4gah
qZS3u11ReJrsPCaItKIbqveEmPkz1YALCvZ3CzuIrA/xBHztkQC1f48fhdo9Lv+qESEGUTf0AXXu
R4+YaEc80fTd8lpx59+UjU/JTUSXDWOfMFiR9OS8FB0RJso8bFfQI9Mudh/rNvviqEXkGwLxP7Pv
8u91KPapFTyM1pMyqDubxrKP54wSBjSS2+4YQJnqrF5GOXeD1cl/3J3Hju3Itl1/Rbht8YIMumDj
dba3udOeNB0iXdF7Bt3XvxHnPUACBAhQV40qoMzJ3CYYsWKtOcd0W6YCHw2OdaLCX+CTYS2gbBoZ
Z1eFb19NiwGAgtpXmp9dIuJzbkH3bY35NUde0WRGuHaasiGQx7hPsPRHcA6xI2yyMPmnYUiZ6Smg
LbN7JiB0xigw944nq4c53kgreXWqdr7afsGAP3Osc+VM/Ch/QVNrUfBbWg7VwL+lBuSeX4/MoeVI
RV6SaEbcHs9LSHnW85RKPW31UlAXaPcVVS63ZPVA7N/74lT3+NDoGdEGTNpmZUK7blF1rSh2xUPs
J/G6Z5pS37pCvjneUtxhCiXgwu4Yd0/NLjWGtyG1PvrQtLk/aNWl15mbeanfF0Ahm6Vztonlb1Ml
bGZuwWpKi1MRdgmZBaAIx9j6qRuGxmVufbTRL9rShv04stc+XN0dWHBiVBgN+mF18mgXbhLJRJuR
2XjnU19XHY2YDr975nHvy+loBbI5RllDNgT1UYz44onsUF6vpBDyyeJI2Ps2JJa9EGZztByUTNI3
oRnGEw+FqGFM5wDOiNbI79AO3HmFE2+8luxAE5hKM0WKceISbVOXmTu1jbteXPjHoRdwbTTuJxur
g+tZNCXJBeP04DSLlb0FR8ZFpywRxnDVcubl6Cq5I6sLdUqVbfMS8YvhC0G+3gJauD+JNL5J1KOo
r/50cfsMpUjbpltN8/F/BkK2VG7PCGAGDKgOKTMTOjrhCsifyX4gHZeGl7XGEABeIviCD/IoSVOZ
xfAmbH/ry3lh3hwcCKXACr2tB/O3NXnskYEkJtcin5mTSX8fs+qlQS628RvGJCjUK3gwcE8J3b5a
cfa69LjMULAdLDU8hYV/37filXYNvegIMkaCuEmELlLzFCrm/DSq9DmrE6LZ2ZbLkNZKH820phn2
VU1wxoTHjSdK7Qcis76Zbz1bqCitvL6gMmwZHVdsSkxPy7Zx9n35NMtWPClyqNac1e0D23dFNdJA
7rbEg8c4if0ppDZ22ydvZ4lUg5Tuow4tIaJdW1w9bPxj/z64Rzeo320SdXn3fgHxNDukCMTWiU7o
soR3sVx/udjN/IDwlztCZx1b68W14SOIVG6pVuE7APhdy2Yk6Cih4eT3494ZcY0n7RED30saOq8+
9+QtMiT87O1l8pvncV6ms+U/xxVc27h13mHZooFfVXacvqkca7S7/EO0G1LGlBIvEuHew0HCFxzt
7dmf9kCA7mLKC7pG4yP4gg9MZKciiJoXidgbxagX0SUqQc5wFaui+gkD9rPpGdZ/dcPHDCYRJMXM
K+4qRdpxMXBnD3kx5qA+5EQlJCsRbBUzZY+LdxTT60YpAqRxX2gbT7LgFghazBaBY95ycm3wtM8F
fD/H+ZiJnzwDkHgjBGVGt259dba1MZoKlkrynbkF48PYSR+M3NwkQUgLgb7w1pQxgFBa1GvQufUF
qtSrGhdaWS4nDK2h9LFPEIX3Zr1HuB9gMDbLu7HbKaM7mQOBWIbBK45bTPJwSJjz20AuAM1ZjTOu
oK6+uE5LAxJuDi0oa1zhYUHoSZR1VSanxqYVzRgDeS06IxWLj7aDIzKYQ4eqMrHOlh64wFF372pp
7MKEXv4ykB6Zpndx1oVnL8n+pN10Sots5H5He6rqGP4myXMuwVKw+X2ZcbmbIBNmc0FQ7QEHknEI
csY2yp2qm2xOcxzE69HjytIAX0LOOsJlrxAcEW9nrUuH6ANv+qfLnWvKgHc7uNmqDQk+CMP8YQQn
v+b63OOZl79WVF9Qo9noXvMjncfPCgkyGK2p21Z6ffh9/Sl669sPxfjR4bkMVL9LrJoHtADVMCkf
ym0d/SOz8ilfmnPbxvDJUCHhfAv+BHHyFbrY7WyLujWYAJeUZqrDbBgR9AnsohZyYECeFwNgGhOy
HWDgW6egH7eTgejfw1I2K8rmYUgJ6ZDmtdNh0L2HTnNquZVAZjhWHHgXiu6n0UlQOMWfQVS42NUL
dDu0MTBl7v1m+UxyZM+E0Tz2nsUsCL/1acyWgtyu6WpWzdmkRx1Tz3U6OOT/c9u0gz8Zkvn/xTbd
fpY/v+WXaqN//Y9fFNL9/F/W6f/+k/9tnXb+7eOCxiRN6IV2SP8vpLr1b+FJMMKeb1suf+O3lVXb
x//xL9f+t+v6WEewj5m+/N/N0671b5t/H4CasX38PkL+v0DVbcv6P8KXdY2IHE9oM7a0HZ2z+/2J
Ui3q/uNf1v9sPGA5jSRPijr4yEF3amNQBfhz6xQ7iM1FaOi5e00qfWvnKNi18ph7FuMj5qNkJJGB
iRQsRfu3zGJEVoJNutQXSZT/Roi+CAU0yqtLQdqWiurzLNpjhknq1PBIn/TcysrLh4zqBBwfPY1k
tg7xxFhbKHhGQbadUxtRfQmXtOuKaMfOB5ydMsNP8h/Af8gbUdllMfxBL+Pe13TxT+j5OwON2p1p
lYfFzDEKE4/BYEC9mRnoL6eRpzGukXeHXO1U+YNvfOWnY00vijft2NhF/WU4YxDEN2N7z92Ek5Ic
iiS8VxG3/dkWMzAQyMeRdzDj4SOtIQUZbvSpZ5x/G04ZkXiF427EwAgSzs1bJSzgCYh8V3ON83UU
4wMxaSARu+zmC6UIrbCeJ8R60QKcwglVuoHsAtEX3NhKLtFONUVyzBOToBCypcYi+DYi/BWJPZV4
oOlgGf7BKaNx1ZsmJWpF/Ouiaqw92XKCI4+hUoL7mRTuMB9umsXsF0q05fMa6jRcNpFzrdFmIuYm
qMzRjbuaM6eTcm/FTBysFhS5Vd46ujpj28X3aY8eOq2so1n6dwIf4b6FkrjiujCv+RkMyNFf+DMj
czqoD2kFzakCDuiNlNeLH28aPt1dNDLqKOc7AedkV1M5o0caiI4LYWTCz4tJsp4QgojxyV3sZW3g
HmKGPZwbXjWpSIT50IQguucTWxCbp16Pc7UhRwYsSECXeeZKnMGbosltbxnXH8agIAuFXbjDnkE3
BuV3BpoUDX7esEcXn2mva7GJ20ueMz2bM/+RSA2YG5qJZTTZJS+ti5F73wp/a6eZ+maDBUEACl1l
Q3zCt0p4Okt5QFlx6uofOOqbyiFBPO/cP9LHb8bIcF7HM4miKkeKWhP7nGE3zjILeV9IRWZJgjwA
8+L57do9JSuBXWH74DnUwngXdtxmSQXzgY5Ai/YU+u6u+pz71MIfhPmBceiL8gbj5PqgPFvn6FlI
rumJQrUq7OtskMfooqFFvbfHQPssku8usx6tsaLtQy+EdglC+Wqy9/gMf0mGTdeGN771hBPyrvJt
lzfOzivTz8ei0GvKtx9rEpq8kHfOUPRtMNXLMjKBGv+wEqsiOM4W13rfIP0sT7Yc9uVW1d4xUSHy
INTVIHn8VjqHnG+KW5OBjqjzV7GcAdIH5ob790dhMxmZ8fHAEe2/ohHjOgABXP4//oB4uO3huy98
BaiaLl4M8q+kucn4393GefInS83PKCC/wDWs3zEzmTKNYkL8Gf3TGzXdjBR0ghOUB1moZpPOM1FT
U/U2W+mvCfu59WF6wyk19ipv/0EV7A35Y2PSDJxSiLUSEV5gIneSHODMUbjF4JOjXVi+K798cFCP
eENKSniD0STLW55JJ9wO1ssi5cZrbAXHOYdijPeW0T3GHgGsQSFSE8WYX6xW/JrM6d+yhR7Ttgsd
Lg2G85TMmixNrNTgqj8qzd+abOSp6oznOiNwuuFBWE+12KLcRds/luvY86O9m77boGF3hB99+BMK
uoQJeVRNf0xZ03URrUnUdoNZE+lalwJSLF2Q6Fj0daEM43vwmUbVgpRKO/l2y/vfKmKkkdKI712g
CcpOX2nrzvdqm7cDkX69RdUTcycdgua15barUcPM50CrUwh9l6Lgxpuig6lHg2ZP5/5TJ/UbQhDU
l6m6j0iImNF07rNmeJqa0drQDBk2OM4Z4huESLrdgznVu7lIqdQMep6yUr9h4DPFpWl27KS9J6GP
LACgA7q7+R4sTGFz/yJ5MdcpKZAIp/67skXNZHU+mdLdW9OPrBz3jB/9i1aV2pdB1WzMxb6LCltu
x8FHrNvRRhva4lHMbb/u5+/AcW3cF5pThHx9gsVMu6Df+TGhyGRJOmvwaUDK9PBvUgbJ4+b0ZcWh
9sbMn6PpebSIBoMOS7Abco7FVNTVIQjwdqTdcD8PD5VJLLQd+jBt4+bb6ps/Zv6VUO6ubQ9dc2bO
mF1p3M4WDqaigsZAkjOmB0z2ChS39noh2U64SoX5HsAws6XG3s+wo1api2ARq6W3DWiXo7H5Mqw+
O3X0w+9LrzTvSVJ5qCzrj+T4vcz5WD5N7vKsCjfHLGU68D3GEwMC42gFS3uIx/RGfEuHZwAvd5Ri
CCoKWj0tw0jSN24qHp8y2EB2uRjvZtw/VHm8X1wilOwls7dFjJbZjRvq1/YCKH7E3Ba8y9CLNyaT
RQITWzLVrBh8LFLgBI5J0ZDsKQqiLZyA7qXL9XSSrsLDNDT7yGRaOjHPvU0OUoDEYoyGit6JZm6E
ddP9qfhiZS26y5LOiLHr7KGroh3WxjPIG+ccB13LJTeV63Z5BReb7Mx4jvjKGQOHHgr+cFp+fbpR
U2qgYskuQw+hMJN0kGVin0w3xf7t+1dSyo01sNhgm7nuYz6lAbNYjLSKo2aYo/a4+B1DAuh2jEgk
zFYXXa10ptvkzx+5sq6ToIGt0uW1G4PmIhFor0eGl30ivghZ39RtKA6eNMCKosVHeU3Oaxt9umbH
kwECAY1D9KiwD7TkWbPwAUeUl2YhJ5kNND472fcwsMELgYBMcrkyQ/Ebf5JFjPMU7anlPEpjeEF+
ffUqho1DfAhV9ijsp5lGM4toCYcdSyDe4n+4eEHMPDo0qOWCfV97t7QY3pqJhpuMk4aUUocoFOQG
/TIcwHb9Bi2XxGjmXo4qoWzGh95ur0tB+QeMO59bVH7QTnL0RUPrE4nAMiBbjHMTqB2pxw+hKN6V
5KQFBDvaeJhMw7oi9n0Pgu5az18j0Ocxru41lr9T8aGY6AdMVn2eMufShS5/obwt0sfKjW7gqu6g
094SOyWpGDGd1h4nXXVa6M5bTvuWJFwZA7Vr0upUqAqZKUe40wkMc0awwY9PKZAt3zh3DjnJrPdh
17BxucBHqkHi8c3qmJFnukqrPsCpnVmbPpl5HmMfKEGiJ401hpmYqIJ1krvhHroB8rORXTCNCfJx
UG9EaUHmC/Fh7qvJXS5dAlbSxbFQxGDcSWFdNgyj4Ntg6jHH7AaNjEv4PN8YZIEEwvpKYHq0qZtJ
7qlJcC9JnyCwvO6OlhU/EmKPARaF1GVM7v2sJLth+WuZwKNhwGfIjHWR5DvTGjdWN9xa4x0oTk3/
j45B1wV/aGh1h2EYn+plvjVgNkNUq6Iu3yl7gJk5OHMaxaeLqW83ZO2TAk+HIUfz8Gm/IGly4vRZ
ClrYjWKlFkzskXqOYnhB177TCsZqnD9lXt0LR8vUVuDpCE3NYEhUezcp73L1hpiUWRak4BUu2y/D
hc47FVf1h3QRLjgGdxl4df3NNdJjEVTWNuiz8yDLdtPnRYYjUX4NxYCfYcJlireGb2uZLqY+6pyK
cZ6Y1TFyMSpWzhNY1fm6CExubmVsBZpO8ILqm1qTsSb+wYDyhHYM3ddEr5K8J2WSZWVHqFNj2mdo
OZ5x2dLndt2rV2SXjHaWMw5Pppz+gfbbngpMx1WKhWtyAKnUFUjrKsUqX296QIXXyDc2cxvFd4gN
QhjUYBp7mBuqnjbsJRVU1PQ91myrgTr2MBrFK/BrB8RaTPQ52J0YWNHZbqwaEr3zZVNAdfS1rJcU
IlWYxup9HnwMGuFdy5onnYIvhkoJCbt9LR3rYXTVQ+GZN6A+NzgCr+CHD6MD6ilBLN5K8V62u0zx
CyXWSOIJ6Oj7dbINcrqzfvoIxm6v/Oc+Yi/CvkEj8d7AGK9UTC3sEhdBkkhTjHfGEh+wxOxiJDGr
YqhO0rTPc1BsCvXmMX/IfBtBNnmraHp1kdvSRUx6lK6De/EctLU0jPG/PzQO9r+aKNHFv3exqbj9
bo7KDeT4m37+IyNcxfxKTcsUxKbrEX1tD6jMs11oE2+S6k5NLO/CBjAKOov7pKxOigB7RrQ71GAS
p+HA+gW5iK3IPfmQODQjoCvpd0O3fk2q4s9gs7OBbvbMfivt+NaYRMxXLPIZOrehDtKMbqjvTmW4
Duxxp8XiGoAeeZiWUL/puNvZ5Pxwlj2mfCrbdtWiI1qAOqZzfLDpRYuGWGkXHFB/4bFHyPCe9T0m
Ze/E1G+EbUr+ML03pOZsbhT++4HBdeDhO0J9L6CPOTX/Tam7pIbG3r6VDFxr70mLvU3o5BwVGzbb
rdZzY9s9sRPy2BSbsIBtPZKraG0qhRsCl40JZD40LYjj+RrQKNn1aJALxLdLqCfGO8GVNCFZYORb
EdH0ov+KJvexpLiyGYUX0tzzqyhJnJPeRhgoPZtGeQ++dEVewUGLVWXE3L8Af04CG3LZNyp3S492
HVoEdoZCJruD5Pkk7XJvDpxVRsSgkHcSA36MUedzho1o+RqD2VMU3/4C6ukUV/jOo3zYhW36qFXr
C7z3nK7+CPuCPnDyU41Q0yG0gpVxmu9hvNB6WDM4h1no78ZMx1VVp9jd9VCt/saMFpwaKKsFv9x7
Y3CwGm2ArXm21cr6GpNn67erMsJpPDIbwyuRGaihm188/CsbQ3oDI610oBbrBvWxnwwEaGjfEpyR
cFRzgUOE98BQbT8zZ0QqyQInO9PBBJCw+AWOA0TnlcW2EVMeD+otTICrZMzpONlDe9mbWXAYK6S4
LKIs1Xv66D56TX3JbGDAWXDMSu9iRsnN5DsC2HdokPVrbXmVovTHRFJ1dHjQmFfj8JIif504NxzA
HTNTNBLY1mGOKTsiPK5yGTMkDboVHg0j6B4scB0l6loDzNQMcKChmdTUeILIVKvGGH1oSI7AnWuc
sWx0yvoqRo1XkljC0y2kDkaFMadudebB3pFTcCIJaU++2DWJ1Fb7Cl4crusgZct1PWbfyxed/mI1
pNl2zN1jwFEVc5yoFKGfGx0q5R7pmmL5p24owrVHrLUYGN5G7VrGNM4HJP6Y+0fLPiMUPYO+3sBg
XpusQ3B8BeM2zfEF3WlzJWWfRUclyK7t2/BQAlxlmuCm1wjtv2exJyV83Dmym5npebLXxYqK6MwP
KBvYkyx8BBZOH3eiZQuJP7NYmeX0aWH+Hqb01Ibj1n9IWPCuS6X6ouTR4bsbsQ3NPs8cNgDV9E+R
LO5FQgBn/zbw+OnnW5U3HVEwktaVGS5/yt3KRT2Q7Lgv+AgRgx3jZcSthG0RC5DT7wuWCWyD9NEe
61PMNv6ewaILl7fQdX+FWZ9mUwKq8T5CfzjMwFzBBkW1e8psFk3mnoRfX8zRg0s03nV0nbRzyBkg
i+GvrUueW5YAdKTjLPx7xLmI1IlWhGMYRwhb1fDS9fY5a1A0VWyJ9HcKcYmjlnW28sS94W8t0ix8
uihLrZ8OHjFmJfpLBRa7Dh5TLrDaVNZYnB18uizXrdkxxcc21Eg4DkQSyPxbCeTWQXDVppGG99Ep
rE68MI+12OBtw992wT27JjOP5sdKdO6mw1WlF4Teb4vQ20E13JkRBSfNLoes9RZYVS/PYzLsErv4
o9gLZi6+om2uDaYvPDs7rSUWxXCIxuxZN4I8NASCdOwM/sLf9LsaBDvP4swkX8E+Tiz4CfmX3kpB
se71Nqr3s4TvFXXjTR8CasJR1TXHsOULpZg1in3KNqbfpqC3NcYKXTjXavNZ7+GJ3wO44fPKyZPL
9OSVZtsYr0smdZFxdVkkvJOmb44zgZcOMXR0K3f6cWFUD79kOLAzS0xb+odkNTt2ji2M3SCJvWcv
o6m4GFudZVgN5m7kSfJU+WdOnd9pQhZUBmfolo9Rs9BaK6PXOZoSRO8rMPIwdHSeuD4ZUcDdF2WI
rYhocEaI+1qVO8NEQ6QEf6Q6J1lLXC3bGp8alMzN0r8kqkVMRa1fuJQcVFhhj3OJ7zHscYH1zpl2
/S4JUbOi/HFisfYQVUSUuLoHZLZcRuh9ZsKg3AeCEbunKOA5YTfO8nKfwDT8+/ugNRGRcWDh7kwH
M3OWYSDkdMKoA+7udcSPqZ1eFupVw3fRj1cnAuXvSLQ567IAIeinmCE8j8wIq4vejbN52OGA/8OU
6lYhO52NfdTxlDsLdYWBGQo7vR64qaeZtAEI8T2E+RFbmnPGULJDU/ikPZL6cQpxWeJ9+BqZMlUg
NESePurjOvFA50QfVSevLcASvAjsMHxSlvFeuJg48WfNHU9hOJ08QYYjIg+VRD+yl78Sgd/4t1y1
TyJzP/SbD+E1OCbbPCZIEVRcItAvAWwc2v0zQNm9IkddmkzBENCHqIIkZFIloRFmbXBxBLokvr1i
NG+hX7zDGrhkv8g/D6ALtmYZXnVqX4aRkg1l65jOmdykna4quk7sK5CIXSivM9fSrtqFo3t1gxzR
3ybBiRjK6gTT+klMOGD8+DaiR+lGde5MPkr9AM4JYgfJfwg5DCw0prG1iQAM/l1SCCEqPBvGCAsO
G1bk/4yKcKP6g03xnhrpKWqs7yp6rKufHlpfE1UXx/CvCYX+GiX/iELZAUgEOnTJ3voMfYo3iNeG
gTjDEkCQ9H04UYiYi5JVw/uZB3UEzwmWDxVzV74nOLW06Ut5ngabXx1k2gXHfpiru3kSv7g8nsPF
vKVfQ9YT+cGegrOsE4RwyFPSpMx/qTU5J4fBcLelQRotmohDEUv63zyOkuJr4mpFEPRUR1ur5uaA
WZatsdyrXt1pb1zh4QnLCYEPrHLvZvmjG7U3ori8c7egr6NgGDO2e9HOC/mS1OkJUk6QJpvBUDfI
D8z4H/6e4y6XPYMNwHD8JzQxF9Gg1aUkJGOyoveODrXyKI+jmat+l3+TMLwnLZqTAbceH6O8lnwV
MSJc1IanxJ/KFTpI078W6ftCj7+esHdV8cEc5cGlgZAi42OjfnRGOJA5DWdkHNqDGnblH727hjaQ
scn/wbxyHscTd3dsMsuwQ1X/3TWsjhKXtk3gtXDQq2QKBZUam13jEjPYCfuUxNEe4MuMsqa3TzKC
58dtpcDDOTvCXJWZvo4EVx2HlfgQRW3v3kRTlxX5t9kPKPmHi0irs/I5J1mYuqiaLPfDy7BfLpY2
u/kvIe3upQrfDEE/oYpcLRy8HxK/I4q0eKx70CBlqt3oYfDA5mgwqKnekLFtYcAghLxZFbsnOSR/
mIKhzfXGPTluyLGT6KboLBAsVG2pNTGp8moZVZP6NPzz9wfNBje0FsiFQGIhurrZ5oSvLYrcgMlk
hDOG01ZYzkvaclWvfOMKxQpiKwU9B5Un1bxbXBAVXm7szcm8jW52DpsWNOOW6QEAvvRGg+5SkJta
pT14//BaWv1BENK5LyYD6C6CRlzse5Hj/e6qF0+UxI8XRbLxiNkdFlTXCbbdgVPXqD1kEU1LX7ye
OdLsV5po0JQdPkeRNRs7J6KpEeKQjvmx8k4DPmKZc1PD7rXzsK9SL2JTWTc/fDaIf48Fzc+eSA6C
7Y5NbO7Bxu4NHXeAzUkXlKUv18CW/5GCK3K+FNE+14xBWugYEWxr2TZNIdk6Zbmu8GFs4il755V8
8UELa9lRtfnbpfoukI/Xi2hBLXbjJdbq0cIJq52fcr4L33wew8E9oJvZ5f38bqTKZd+Nj8lII1FR
iKHRm45Z0ZFmOambor1UFOE59XkWYhx0g4RH5EUBFUzqQqA136cA1SkauGLd1mz3dotgJ0vPiT0f
Ta/31hgU14VVcYIiuImDZFOqabgQhLgu6DcPS4uksgA1UPaSm8mStkfeqE075BqgGN70wqOWDsOD
5fT10QmWS4rg4NbpDpLZxzoQotzSajnESdWh1gmPoiQ8Jc4GFDIQIgdjQSY0cTBNhvvPXI/zqQ4m
8u688DpL5i5EeZb4sE4preEt8iEyx/zyN/bQVvuKXrvr1B91Xb0CXH1LYyR7XrDQEjN7mmrK24wm
Mzm6vS8+f7BgWS1pR/JjT6OHTC3iGmfxMQ3vbWodie6C91L3cB/nBPA3pw5s5FBno9GjFGT/iaeK
2LR5at5GD5v54iPXd6cVNr07A0UkljIy19oJVw5KDi+Cw0coW44rC9cBs9+WJitD1Q0FJvRNIX5x
SD1Ine1mAoErCHsDdBBdLOLfaoYUuc6DS308AKVAldkQFmcSwbzzIrCXuU6S08UqwXIZAXNjRNJc
y+5PjU2Lr+uwOgiCR0xUSankXo5e6CuBkLQBxIl5VdxKSZqdH4Oy++0sMu5qnXbn6dy7VifgmToL
j3g/hvyo8NY1cVgAle4KdV/r/Dx8XTX6ovmuauuNJwg06sIIPXqVYAfNimODbNbOO/xefap3kRAj
UcKBSvdlY5bqFi7VNtWJfv4SYOZyn4nhwg8QTD2WRjQDtWrupIJO1RENWGaE0IAgNmmZ1Ua9jSTi
uSwJ4ZxQl+VpVvOIZt7a7sEp0plCZoCtI0EZg8C8PdYB1ZROKhyJLLR0duFMiKGp0wxVP33MCQrt
yPvT6rzDQScfWh5IiLaFHUEoopEgR7ejR7JlOeqI3lLBD2E/mGeIU/QmglLq5QHtToxc1o8gSZO9
OKvKXefEMS7EMkYjWuCccdzGiN3HiejGmgjHBSTnCgMj/n7LAEkjvI+lh8MZPXi0GA9zFtGuIoM5
0tmQkX71yqsp5/C1TjpBMtNZkoxv8ecQL9kRM/n3f7Ls+qUQ7lHyaHg6kTLjkrqmr3dv9TCKHBN6
tmNHP8GiaCnr61fZnsakug901mUnXd163WD4Z2Ku8zDF5GPLkPF18EzjAdET7Br7tf+oTVrrHmzd
DXTTx9Y2kJ/bxq81tQ3Jz9hfYpolgfUxjBPGQrPkjq2Wk7UQFNj70Y2BobmJCThTBjK7hRKC4Oj+
yzCx3hL+iS0HhzRpoMom4mwe7aMjSzCOCuWnfYwKYuxNdJfVnB0cKeyNScgo6JE/rk4d7YkfFRjx
EOKRSGpkP7FE+Bs14BEmhyIMRCpMYWD7BI7ct3n7hY4Tke1MYk9LDNLWbIeHMR5Rc7ZYoR1sANBp
l8k5+zoxNSA6FVZLtNG4A4JKSFXFELKNMvEZ9g68agyTBLAmBLF27rdirEqPGd1NLH/8iMwAi7pC
S41zgOr4suavxEZ7qbDPy/HJy9och8jAVQvCms6DbdDr5R12K63RT7ue75zunfMtnfTZJ1DWWuqb
rRNmPZ+LIHIZ7eJ8iYh2lyY9TCcy3kVHPm1FZ7n2nV8i+J7JUetWTayoAjKJqIBsrErZrKgXDxHI
Dj8i4v6hQSaQZr9uWRPJGfHO1WJDf1LIKAbauwCbtb0LpOzg8NF0OmcXEMd8T1fxvqY8zQnjNSQj
X53OC6/5E0TUU2gyNerNN+nU+cYZSPSdifaFq7RjPa9R4CfILHXUsl90u2ZEte1hIXecPe0/YKBR
Ze5qmisxIcKI1OPNQKywnhek9WsaUSFNGec6rOjPoOlfmVUi5r/FOp8YvTZCV4vMYrYMBniRQQ+O
PGPJkTDohGPMsc2Tq1OPveCMWX7LP0fbXucit4xKg5ikZKPVmck6PXmc4BTGcnyPh2GPaGHZlDpr
ufqbuow+dC10EnOgM5kTwplLndJc6rzmieBmIa2Z2GmVr4tlfvcyYgAiNzmDCDa3C8HPdg6Lgh4z
NbBxKIiGzomIZqrTXhllkMWr86NN0e3ZQe5MgqU9nTAtCSeYYjKns5r0aXrX1DaCy+rfZOra/cUf
T3PQk0dkwZveaM5RSmaLSegtYacEsk0KT3TNPGGfEn/dpuRgTxxaa0ZyLxMR2YqBE0MSrk1pR++e
FG2kjoxTzD+pzteuO0xszAdyxln8wP41Nhw4C2RyhzqdO6qdkoyDNrsoMb2QY6WpxkQJBQ3YkYQm
ftSKBwBBGm9P9ndLCDgrBNWyzgWfdUI4kmcsr4SGF6IiM01irfUGenDMBiHxEjJe6rTxVEIQGMrm
0jWSRFESyZGfIOL2KfKGLn+Ye5juEAAjBJ90gl2dap6P4BfhJUQ67xwZ/NZtUxsboACYYzwA+LIJ
SJeW/1PpxHTibrap5lVCcXr1dar6TLy6h3l4I9DdNozVzGX4J2lsktjN98gK2tU4zi/0c8HToxof
3PKF372sFXHuifcACh7Mt855LxETc5pVL6UT1SdHuE/jQiq8yW7fNeHzYtH03iw6O94OMCIyAsiC
iHku0JDMQmlhOjSpw6E/8trrTWCwVgSx9KgrjhW6Gs7eI4I5MsOHfe6SY49b8tfLmFfmMYzkfiDt
vq9/Us88Rir4HeeJizFBdvgjF/pl7Jy2XzVwGDh/7ZO7OGcjwl2jG1wPMkNLKsuY+XNFymxlZlfM
5tM9XN070i7lOVtUxAYa+yeVx8T/LdI/pXnyw829Xfl+8tlOeBsKr1ArC6FQacqPHnLDppSy21J+
PWcwuNpFveVpeQps2lWCi3iZXwlwiYgN7sW2MnLAJa547bMUahxC6w5fsuCh2OQht83CLtv1ouh5
F/GLip2d35S7ZXC7VVv/cWf7roz89/LXu6FZrLgUOW+G0f/qhlrrEB+QsqEC0IivpQF/x/bxgFrg
U9fWNN27S2egO7E/hir4ScryvrTDx2X4HKZTDQeWbeuR+h9a78MwUo8IJnxzzMW4ibipOCRDltGb
B+gtgX3OeYJhc+qPmCRQUM2kbHrsOGVe/oT44wVOYDLEByYWDbcKlJUR+U1jau960PlEPsQvU3/z
iBRUwWucgLazl4tcBNJiN2ZcAP8QQiAephWVM2Dd6bvOuR06HTGcPcFcoCupNYfGWgkJKz+g5d+o
HvM/Wz2pADx7zdZruyMu5wwWuXtLwgvBvuZqbHBD5aQe6/3wEQP6cpcfid8OTrGvWx9WuKO3vkKf
BHpnDOtr4NE1T+TVrpic1EW+dqv22M32ue+pxAOrZejBF1iH6kqaQYpsqNjnyQN+GjSADvu2a8Y3
Il3uMpJAqcyaFUIt4lfI1Or66t7nUbKuNtPQXnTflk8LlhJjzYTxaQ6wF9BzNUcOMiR9B0yZnyXK
k4puLA4LOkL/SdmZLUeuZNn1V9rqWWjB4YADkEn9EPNIBsck+QJjZjIxz47x67WQVSq7t6tVJb3Q
jPeSyYgA4H78nL3XNrMRkQ9kUC1xv1Xy90fGHUz6YkGyDVRkImZo3e2EWzw29J+xYkyfDI+P0Dua
TUpQe2Ml+tj61tmyjwlsTSs096Np3pu+/eh74FWyVlnMSjOCdq0mXnsx20KIb2aN1YtAxSzAzohg
I66bZ+qDYTUa3ZOPM3XjhtOdH7Mbm5k5n7uJz7EFsCP8Xw0fA7TOqt5hLkFliQfH7xAjWaXz3JTO
djK5R7P5bqzE+b8NHmSYrMup/cGndiaTadhL+OLI48BdHb+2tr1pe4ZvIicFupzuMY9Cb//iNI7i
JdVALEeIxfkbDqP1mIt9Mw0VdgBBiqHoGCLYILaDH+gT7oEZmMC3VbYbYorvLJSfqaVuReTNd6o+
Cl3uSLacNw4HnMwvv/xejNt48J+tws2uRP+G9GdpOyUJZ8EhL79CpGb7riMqNBHLVbDwy/h+sx5s
Gm7RYMqNV5lgsx2SyEhN8HT8UkD8ONAQBWgls1cFDn+F6GyTzSNncp/CuKyZFjIkv3fooO68zP8Z
duOXh97lEPdTTUG9qZYxTB3o5Ky7TzORb11tPKCjyHde5dzhhj8MuFYkoUBz+J719h28jFvayVNW
Syh9oBljgmktmgJzswGly32Q09Wc7P3oT6+hQFnTmf3N78SbGDNczYzVQBKoE81Cp2yvwAOuljK/
TX54MSihne/FQoPzoXrL8Gsa72eqLc6CZHpH6cpISTdArxkrpg+l4KgWSmz1dO4SHiKjCk9REDJd
Qp/mwz0NsQEj4UVfMYXb2IgOoynvjMp+4qa7RsvRECHRLfwaRuvbPG9EE55L6ymMEBFGSKTK8Nql
P1oGF3ZGfG82/2Ke9brsxNT0aBb4bIFCgcy7TMx6zHcD2YqlokNSC9RfClMIrZANGwgtjOApmeKA
+SC45BBRQELmV07Qdpi0D1mzj8fkBSUbkFxuJIK0/RU9N+MrNsS5wHSxBk9B3w0LIJEx6wHkbJui
swWrfRgs8ZBIS8KmKF0mdd593+Y48bvhuXMjAz+nhx7Yy+L72SMjkrkhMsnszUJVPCY9Se5o0jaY
aVR2mEaej4ZI8fs8o6ziLsT4F6E2Xnf2BwU6fJF45zejuG9YU92OqapOx49ZDhk+5WgHtgOx22B/
gxnAL9ICjXvxi+Nrt5XN9DRWxJ6w+ujyAb/ISjmsa46eKPv8b8iP9TYygLr0AEOQOXvpPumjY8Ng
rU638Ac2Q6AOgFvxFr2YwIMXmemTrhkUJT/SdpXjvpULbzyLumt0EcSLrdm+9RpdB8ZbEig8DqmI
BMljMPKYhjX4dsvj/bbXKZQvsLvROWUGlJ+CvAry4cYtDKK31KaEl04OVQE1jqsekw6PftPOxKza
XILOHkY858uQ1Bvux/KldMQtE0t/wG/tlaUJlR8rYPDML56NApcuVTzHtQBWV8IXMp6vVkUHScc/
01ydEfB+K0Lc3XY5RdvB0g/ARLccUjzeoj4U+NxW2XFshntEcGwZcwTeQNIUzmcYkuKZP0+2lV0+
Sis/OoIXx6dgbYmJ74jHXYrx5b1AooJ379rZtspo10j6/ShhFU8AkBPdhm+NwHzqm2hrs7jf093n
/iBks93Wdv+mcv+kDPMSaWTHjpe+jLK8UxG3adAZ28Aw7sOkea0sYwLUyjIJJf/D7iUJUJB+aNf3
nHdYLSZ5zVBOkPjN0ginKvW5Kzr14WgWuxSQESe48j1S45MhSFxpGnkUQftjChQRmjLcyZgHNc0H
sbUlHbw5sWDro7Cd3EFvuZoWmMoNXMeHtsV1HWTGfROqj7Zjfu9XE7Nn0FediRe7qosvz0KgM6k9
wmFKWvjuFdsRckcHFq9/hlJ1BN5NpjilK3FSLVaxhlUbRk9qH4LxUaKyYk6x3FhT/yk66tUqArHV
yc+2xzNYuhSJy99ZLqJVEaZA1gs7UxS9cls6VfmR0Ge/RRYgyzA9jJN698px06fjRYXhUoyEP2Cf
0UxQn8VYA8+bKQvHD2SYP/1RRaukHj7SGWVN+D20fTqfv+nQPzDRTKvReeAcfjHtmim/fApL7sJK
itvyj3K23GWWvFvW4glJfuBimJDliPQGP4kOX/TYHBwRxhu/fOrhJDmm8eVj6thQR6LRbSm5uHv7
QWRwY1t6dFBhacp180X0MJdJlCW6JUd8rqaL5HfL5eb+y+Jg+u8/xv8RfpW3MmNMVbT/8T/5/kdZ
TU0cRvo/ffsf+6/y7jP/an//1t9/6q//yN+/5Zf+9o8ucZJ/+mYJi9DTQ/fVTI9fbZfp33+OP7/8
5P/r//yboep5qr7+118+f0JYZcvjBPZD/9FrZUkp8TP93z1al3L4av7t6XMsi+m/+MW/WbTEvyvT
NKVPQ0gIpfy/W7TUvyvLx2zl/dWfxen7jxYtD7yN47me5TuATuy//J98Syxa/Cdhei5flTKF+v+x
aDkuBqy/XqjFTuaawrR4SeQBCE/4vBTJ//+DQcsI6t7yMzrXsa+LnTsjAldTduhjc535OgAs4Rbr
OetJDMyGYE8kIDERsjLXYojQs4uu3TudfY3HwLt4SVZCuCwfmiokiFZnNE8ZNBOCQENIvXeF7zJC
YKxfveL1Hgp33PbjRIHg1OJkasYo1rwscK5uzpgi+BIx0pvpq+/MigIFEpuHyMj09ApTsbkpKvxj
9QwnEGrp99Sxql0XYeGxMrqbs2ugVNFpdDLcyT1NaN0pBKpMvxGe0RzM0Dm1ZKDRHuZ4VQY2CQIa
kdsf7oe/3fD/VnT5rYwLjaPtv/p4XdN3GcSY0kHdb/35422HAmiYwO5k6u6rcvv7XsQdQoqFHfTe
tFD6oSDfy+xHFAsMUPnwY0EjId4g470AthH5uHZ4Yd6haxj323UZXlzoeQZglClClOCKOt6Cg11M
qlZ+mV14b65DD6hk59AaTSlKZjQFOf6cMazpS4xxhsddxzsQ/0CKCiKDVHm18b+fbR8ugZFZeFOX
S1IWiFhHaDXKIaE+BDunhE0GsBJ3RWWUG93HmkmNfULxOdHkQneOA+FktuMv1YJzpLqgToihQ5dR
15z++Udr/+Odu8RfmS4SWyU89/dH/4c7V3OMm1QHNqg0iGyI/JkzGW2/cmxhovUF3KyyRCtRXcMm
fJmkvv1uUDnDLM6S+JPI+gYzHDoAxYuwMacL2pa6hK6QVs0aU2F7JmTi1zgwATSiZguYBhlziNCn
GMgEoUk9nDTu5dNYkqNtx+kRK5A8tsyBO6SCTLh/VTU0njal49w7S+8Im38vpXtXdFW5DS1toj93
YFom/VsDYSIye2Lr8/D4zz8oa/FY/vkRl3TSTCFc1gw8FGTl/vERzxn9zaJFDJwv/Cc5c1Fqchfa
gKljYrFLk22cQYU72yPbbclTv6EX8zEoG1aDmRCh0u7arqn3MR6mFZHlXWC158Yv1Dkemv0/f7WS
le0fX60rpO0z6YIvuThK/3BZ2z4nCstMiWqxfg0zO5WJ9GdtJw0yCtEdIS6pk91H14Es4fUcwt1A
ooyTcq5BAdSZOqlevNEJMyjGSOsweqALc0vokszzxyCrp5207fE0mHFOyDrsFLud6gvmqmpr6IpJ
B63dLeLH1n6NKrgH4eCpDYdJoOoo27mq/+L9/oNDFpm7rVzEbqZrO5hv//x+vWloCWkxMaW4Ezj4
0Cf6Qg7jhkdxvsy1g8UqY4wG5MC61NuSUfmpTrKr7C2SeA1G2gYSZDig34beWSMwxJWzvL/ZrHkP
YeRuMIyG5zazWA3jytxUYJDO8hp6vryZOjtVoDSCDvN9xAJgTKX+FxcUy/A/XFCcxFxNwXZno2r5
8xuszIwZ8kTUCGHOksQ+UR/wqGu843cq64OTgZ1swAYGGR+VhSEjdAAN79ic8pMsvTu7qj0yg8Ho
OLL/HEWd7+zZW2trnE+MCEfk9SDES+GdQkWEnJcpGMApLQL/ipx8vvvn10uwXf+n+9M24U0om+hk
UqsXx/Uf70/LZbglHIJDQ+chjMl/7pX7oxbuSbDQcooj/KtDNYYPBfDl3HwfXQTro3vyciwXhrGm
AQphvKqd7ZIAn5ucL4zg8i9e5PKZ/vmRt7mbPMdhz/EUlcSfX6SbC/oGCuxgndfTvhoYz3ALOqso
By2HLJ9wT+sVLTvmmxRFedqoS+U2FNLSbtG/P+W0jJJQz8iXMQWCpP/nr4/GwD8sSsKHBaRsC76q
ZFFaloE/POZm78adzOxk7Qlu7GhmrBANmBBzMN0+taibxG8YUK70b/0V2PaaiE8fC8iSGDZV0GJ5
iu9k6kPFcZDPjOkcUyvLa72o6Opcv8Jf7C6dZ36YZbgk8jKtqzXajTAnkIsW+ETwmDVsQ2aFsVnt
chxCQnzHGkgj1DfEyjgQ6FScpCaGcUoQiUgrIh6COXE6lAfTwqhtKyBibc8Wu4h6m4hj9iwurUlB
YcWF3AaR8wMfCgoYrOqKig53qTKZ89woxsbDIGNYTl2ydz37ddaQh2h4Xnle9nmT5xiQm+bC/OLV
QVG4CoKNh5TA6kwIzxyXx4kmtQ3DYUNh663QtxCZ4OdALwH9ykF+WElHrooVRbvYNXiZQw8ycMTx
oILFOhdd+rqUZ98SzGZRtuImVowmDfirmsQIhsOsukVgX6OFRWoDdnTou/IgL8hGWEIDpvao6MKd
0p9J495zgLjHLR3uWQmgJAfXHJJQIG6J7zMwybvvssekxFJ+Gm3I1d1dhYP60A+QDjtnYPbJpUnc
bi8jMkcnfByoecyrjyuatGcSpGbGviX8zC3WzaqI0EgI3lUWoD5wMWefXa9naEajLJTAyiolvrsM
BdKxP6Vm/1ESAkBUXKy2HHbhsbRmQr9UEkqTCmwjduufurn58DmsMQpd17EKyf8qQeTOCVzLwBwY
/+UBcsp6O8NcXGNlZYoDkb3B6tSAzrqEfqlvnWtxlpoIrZxglJVEYF717AOPKl4IY8w43OYVGugY
4ZvhO7ss9Is7G01IlBuHpPTcQ1URZabJxt5nYNzX3aIUYBrsYwkGfk4ekNk8gu1FRWs3I/pKomCV
jn4ySjW3gWbYYHhwJwPYRKF/6xeOakdKQ2CzORpD5G+MnOkXJeO4qxga261z8or5C9fKFbK5uJ5p
zk2tdYtn7gPRYnT3GkI6p7YEfSIWDip5aih/oCTZlX9yBK1xcO27WhUvAVv0U2sTXTLNX5q/hUc+
gKUr1UGjW1hVet5rnMZ3Nk6hNVACeinei+0gK3Lpo8sIRibsvD0V1yVEmeCRz7uxDeSeSURHZjwY
GgxC2yIZyHtOsioJV8LtoWITZTGC3SoKFjQjMbZmAHK26jC+JcpjAmt8mSwkAMUvZbvQYof5qWtg
lpiAWnD9ZQdmD4iiB0ambYslC/9+AhLBz+t3x5jR/UpvFbSCzYtBOIGW5Q8tg4eG4WVvR9VOy7ha
hxYth5D8rnUIam7ibcycRAxHHNGSWKiLScVyAG5XaptiEl7NBhhUrgPjE8yDvUHvQPRPY89wv25z
zqt9g2RzhAKWdmO6z7CWpPVPr7UeiwUVwCQEUcWAg65HDxhE2XBy8bN3cdsdoO7CqUoGH+8A7VkA
RIe5s+4IU/klfeuN0Hjw5gpyWRZGexlDrM8D7FDRjO3UqAuCJQiSdQtCUIvJx/NiXhOUgPu47KCh
B3St17Xb3fc+TLcMNTDql7chKsqdJalIAP5czO45cYo3bb9UyfzQuxS6A0XkRiU4kzkngzbk0HYW
SxsQdM74pIxh2Ltt9F6kKroNoH0tFyy80ZfY2qL+vpVPqnXyu0aCbnSC8DJ5c8GrU82eFYTstukb
vG/7rpkCRMlu9Tjgj2P3fela+Ju07s5Y4FBUkWs/aue3+y8ZWLI58NFhibyTiL7Jpn8caXEyYkdj
0w5YSDGIUEJB1u0676eOrH3GfbkjG26JZ/EtLP3V84CeeRDFj3zAIcr01BvqfV0NchfGBZQFxrOr
6H6UM9InEFzk3UzAx7w+3fsTm3JC2Njej9jTEo6COnX711YjK5zjD6JmUbbOzMpj+jL3MGD2TuHu
6eQ412Zo6UNW7Z0VErCk8ojc7JzhfFqrV8MmRohc+gPJR4zwpGdQ124xUY1rr6PPjF3B3iTt5GxU
mScb9hawdyXhVzHZD2MS61OOJXA72kO7jPoAxOJSCskl3wL0xR0yDec5qfoT7Dv49K7707Wi9aS8
jG5yhzpiOLdxUe9bu0WMIHZ5w1CuY46zN+0Kh7ruwhMzzAP6hoFwZlyTkeNfBjJkd9HoXqvCMRC+
e7DYCjs5Rh5edUaxEt9F8Y6IfUPIU7ihDH9UjnEIemwi3Wzdfl+zlHOu7QevyoPCwuGwhZMUKYID
AYePxnDi2aIgkuEdFq5yPU38ZyB92Nhw9WKuwK8YhM4KuJtap8JNwPhZ1zKfApzDOdkVC8rAXIoK
NTK5m3JgJdqwUKGE9zH4mcLT+aXmZLeeqakYpFKQxKl1y+QPkaDKCsvgs0hnZ9V7+YMtJ940CVoR
XtNhmSCS0/04FOxN3kCnFRUpn3nNU2n58Rbs/U112L2KaYAN8DvQaSjSAyqxLQGa7anvPGNfU5li
EGVH0PyiTp3Hyq6ig4aBcVG1y03Mvx4I+a0Z0DnaSYBgrt3BXiivrZE5ayTMoDFcJ99Dj/nKM0Qs
NejHsCaYAIItcA+XS8QQy+4SDJMToIh60N/dgmFkCag7dBr/aCd6k9Zef0sA7qK46u09PtmTUqO6
BLRU7aw18E2Nn34miLtnei5D36AMhWpaIwh/cepFshnn+zoEozz4Ll50q6e+s1+sseTD7RizAl8s
tqKI3hGf9/eun9y5koWozcsfhlteqom2r0E+7gYyGcpL2JVufNJT96RH+9541nn7HbnxkykOdfwW
ziQLhTUaR2JIkIARNkUb7Fh1JyKrD6YZ3yN2O3pdfEBJesz1cBcY+jF8LP350+4JcRfqGOJM4xpW
NxW1R7PLnsvGOWsr3SMcAW2/yEOLPn7DafZNoRv1FgFpvEhJQ68g3JOFyTBtugMpXEYqmhmtC0CN
4FovktR5EadOqFS7Ra46LMJVzpKwPpCysmHCYNT+kV2k3Y8qPdBlzrfzXIEmtZZQ+VHd0768RCS1
Hv3BJ3UGB18QIaGtbA5INOSRIRK2ushsp0VwOyzS2wINroMWt1xEuc0iz3VQrxXodTt0u2IR8CYo
eeXUP1sEXZN5GqTwa+Z3EU8cy/MxACPzng3QAYQ9P/kGsrhSjRsahmodF+op7dynmabCyhjZoheJ
w5IRyDGADrSXDkSNzK9ji0JswuiPY5IAnK5LXisME0aeUPVSI62aHo95mr1mQSgvkl4EO4LaxKTU
rxPMDv037Tbye5FBU8vTTV7Ow7dYdedqRiobsbblZlXt85mhkDH8TAekCkAhVjCdPpGtMVfMO7Rf
PhWTHhF/zMOBZ28zDtkpSTUEQ8P67CTJcXzI434qU5jVWfsJGvc2mnlGOeyegErDhgYlAANp3sgW
qoJQpdzNilZKXjcU80V1KqNWnxWC43M00A/ldmEwUuP19rRApySjs9NVKVMKvsCBIpNkQnCbLmyQ
yEm/DITyBOJqYwO4lXXzyGi6gZbQ2LuGGb3o7JYBz/zmNIT2MaTf1omVrsYgJOrJmh8yvBMH5RD4
izthm4XUo8XMcIzW78ZEIWvl9mPpdg8JUTzb0IjQRZmvSkZAM/J3n1kNkZXuU3BRA68HFiQ7np4a
nNOg54s034k4/wVriju+WCJMzWJ4YE5szYP3IGOUUmOFSarwGjCyLd5y6U33dB+nHVZDvfiZT+jl
ZjJgKqoaYUKt8J1fhJdgXM2x8jVquFPudCuXrINe1gOZQtMPaxQTWmGml72jVj6LuyHbFCJwrdae
R6cvmj7qiYdLO2G0MYziSWpJOHlQXCKfz6WyzXzji5cm1s4uHfJgi1dzXQJF9icIEZy48cr7KEgx
/KdQcppJg8qhuLPoguKLf7XRRm4N2bXkjBkH6S6xLTJ7cE18SkkPR5oq68Dt2W6BMZBalLGHd3Ii
mKqR0YopFaL2arpiFsIUKbvHEmEzEYYLnCGq6zUhfP03qAto6htSsonjXZvLvVXHH1lZp7e4fwey
kj8YWl5Kq/iVqnI69v5+tqPglcfyQ1bs9PbYY81L7ebc+SF0DAbgmCnR5rqlsTbM7hVNjj6NpHpC
UcIZFHhM8j2Yk7Ix7yGq8f4t913Cg90x02rXjtdMGydw6p0dSTrrfXj2MRf30BMMbWMcFAee0JkI
WUJBsxH2aBDPiBcnaxMZzUc4jN8HK8nXfomhT/h7Y0bJNQP6DjP1yy1Nwj26ow4s/+J60XPmBl8t
0c4bFoyzXZIf55fq3JkwXEUbcAyYjHd/XmaWTsjSktK+Rk4weYxM26XEoY5eI32e9xSFnyjf8pVG
lF8xeuFMgRfdQQhH4FG7cYDg9MN0NiVun1HIcTMsR2J/yynHfXTya0X82XoOEK6bkEXW0dzrPbgt
lhK0fRvPX+ToBgAYo0cQNxNzQgbR7Bbuhg6HeZtr+auU7U8T3eWzLsgiSEiWkXZTf3ppe2rzlnAd
H2My2KLxwA+VqwDbzQXeyZ7ORHdK7fg4avUWdYBPOl9uhCOjUxDD7qRy1bxaKiNOhTUCup6CZ+iz
c4YAZk1BhP+hiO1zUcgdi1d7iWDrKzc62nVbHAFXgb5AKoXPfVvHGXHes2NsOjQAge9/2PG5a5oB
GDMgrrFDUGInVHViwqNQuzVRrORPjc74gsqQjLKSelUX3YkQ3aVDifTPdmrn1I3Gre3tYWfB9q/w
9IIYivbMOsutaQmoZ8bCO6mYVTat3FrQerYN+XY7TjBjYTlbs8O4O1ftferhWmwj82M0jfpOtMzo
zY0dfLhG/G7KGjy/RVu1Wly2HcDOOGz9LSNWsY3do6eS+I7E9x1w4P5ODU/m8ixqW7GImG82OTjb
GfgNNtMWMn3V7nPfg/1ZARSzW0X8ykRHynQeTXtAFdGDiht8va3D7CjC4Ls0W9hxZjeuHVv/zLLa
OTvZdB+niKOHkTlrlidf/hKPbKYL+Amb3NVk806jh942+2cb78QKA4H8yuahfU85rQYV7SiGWPqh
ry4FwTMHwrxWpCXiRBQNnh2FzWdMKLmtHv9truQ25mC+9m18Q4K8bUT4lHuCQCBnNLaTZcuDSLxb
0UrEA6Qv7VOw77fB0RuvTsxrPTDBmGL9ElQ1WBu2c7ue1EowcaYzh2o8GtQzDZoB6J5B2kf7rD10
eRJifRy3mInynHacTfQZJINha8UYYKuKA0hP7igoIZjtU0pMKFyplW+kDSJtfGuUqmDlypJdFwbs
UPPriTRvYQGGHEOavzFHmqggZce7yKHpmuqEoMUBUzr1e7qM+dMCjtniEG40shvA25xjbJQrlYr5
jLhzgtKb8OpPO1NzP1iTeLfKuLuWzNDI96NAzdkjQfO27JWQETWSAXhN3Hwd+YgPQYCHw+luBJ97
T6PP7Yin4VvmcoJG1GjDxx3fR20IqDz5Elg7AXd12AJqDhwHw1d0a5zqs3ScbIl1xfCH/LpKAGGH
fEb9TBfcz0v+cgLJp2cXE2P0XATyK6GeOxdeSWOigBHfJst1h4mybug6265z7Luy/CXoYO7ntJjW
/VBj5MDLtBVT/iRq7oS+iru7bQLdigcYInWtCDtoOdFUk3JPfmSQzR7XR6OE5oFXE3Vf+ZmnUfU0
ReZRuWx6sZZ6PzXVfagg/BqC/YCTwr0h43k7ZvpVegxpAzBVtJGR82KgSZt4iYkZsm3tjRzqgAtL
VsEklpusCofTTCun5ziLR9omV/S7nCqfRMEFIudq90r/AKxeMv7g7PlLWv6LSGDt1wUyrGgi08an
IllFgpZ1mnPs0rFD7v1grJOZtRZSlUsckDrpBAYLSLwxKJMjca0HVsZHy+VqjhMul9rC+YSXiKYF
cjLEnEytXS/7bLSHbisz0jVZ2oCHrd4/uhW8qFg3gL8m9aukW0XMWRBccrcwLq3vkM88Sbq3lfmQ
ZCgys+WLhyr2b1+W9bdjNkjjGGMbYUpF+pLJRB0yYaKOHBJ7E5iOd0G7tmmVQOHkju+xmbJ7FnK4
eii/j8qDHO3jVILrHpnn0KNt2JRqk5C0C1+vhu7tT1u/9v2Tz/2kxuSOXsp7MtGYY4GgFBbIzhPA
eOTTq+KHN4SEkHqQ3MnPRrA31sl6jMfsknCwO86ovIxl00IffUojGd0wHiU0Rr0vZ3noEpgBICTo
J/ht2LxpMz5jQyW87KDs/AsjRXLJWsJ/Ya3thFfVl45gbIjm/QxeoyUjOcPmqPKahzkfbvWM6I0f
XXn0t1+ciDqeRcWOFPpQD6YWbTOYfLp/RxmVblyld05I+Bq8RUKQcrKPGdSgZWVuWCnnJsNYIDjU
BKFzX90lhB+tyMGc7y3Vv2vBzcoSxJV1+/auBAREfRnfBX5PbRWNsFSD8AgESWxQuef7mf3Lbybn
lhjFui8gnaA0fbA9gr3wYWJXsDDvuNkTx28qH8MnxRUAwXwyzNrbDD1a6wa3Lq21cM1kMjuohkor
o1yWBu7p0ij5AShsO2XARJiEs6dHeGsgPq7CPjE2o2qATPTom4kk6c38PUWrNM/RjPm7+GkK+zmK
GVL1JfhCAKdHz7bfhfYcxgrGsEdj5xJW168GKDE6jpwb7WjS7Kw43iFHORpKPiXjgxOGZFpE/XNr
jB8xXEfAIt4xqXehzpyr6/hvpesa+2jc6srFmElLdk+aJp1JC8VWPlNGpzhJslE8TxYqI01nrc7t
+STHjBS9qrywqCXMYokxtNNiPophSs4eEPWhINkPQ1V8CDXmelPRBIdD/r0E7fJY4E4lhSI7mgSI
bde5UZHj6iAQk2ATzyZ6gC0rAZtpPAcXWVXBxR+bdZ/n6dlZvtNReEgm9zVwOfKxN8MZitUhHobq
lDZ4IFsOoZXA3WCZRFHX3Xyuxns/J52mq7NqZRJlt0JZ2QIw8u5rbHMr/ubKJw3dc2CoOhKoatLQ
wCl/ERA302gFzu3o8BWxuQDbQAqn5hjsuxrYcEgZzHGNyoSPRNujj0ST0c5Y4IyoSYyBhG6t4bzo
ZmcY42s0R2gKjMameXbCn1Lutaw9qMglyRL5OWoBJudWzrHCYs4apt9JXLnleNONxL8PZf0ttvv5
wcQppv3+6jn4YAgHb1kXcIM4RokHGTyQzJ+w+VL80UXjChT9YWRLe+kW7qTd0kaznBhlGbLASzI7
J5CzZOACpNrRHoFYOw3P5SLYxeGI7Bp96WQOT2Rew3f+3TY0fFMfRoAx4XhxErb4wp68c4w18bxk
qlhNprdzY1McEbFwTeNvDeiKeqZibUyT8Z7pbNvYvBRI7h7rGhpuQWOZfJKz2TT3HeBANMfewMgV
C2U/lGChJ3sLI3W5O+UqiDi8B0rnqDR7c1uX4gujGmIETEeAXy5lXrDMFeOqipNs65rVreVpneEh
X4O2+VG28acBL2hNVnBxIG1uYfSEnBl6Ut/aRn2niboQuhoixiZ6EkOUEGayhG04eBWD/Ec4++eI
o/xmnib4P+EUrGi+Tw+zEz4luWOtYtdiFZrtW4E3ZQ9kWJwi0o94REqU0VZ/bB3/lmK23vumiHD0
Ju7VrOTWKSICZHoIxJYdX6MWz6PRVQd8VfUW46h3DGumarH3Mu7isSkukxlLmJHByqo4+4aCcWQJ
Vavt4UQ3uURXFHEUd3zjVDNHXCsgYw+j/FkgBn0kAfGdlAl9pXTBkgVYbWPmLL1xiF+ubUjeiyom
CFng5Udsbtla9RcesH65/Y9lUXkUHbikbaiaAWKNk83851wdhdGNb9xWTz0+wXfgMqexn+Lb7y8x
Tfxbh94HvcRulBFyh9m+54QFmDJdJqR1e6eoiDe+j1Wo7mxw2tmwcyhfKYuESxBw994T9bUeaL+u
ac66JytH/6MQQ1GC6Vvd4LOijYsxdlqkuK+hNSPU6fO7SmO7WWrCVeVm6NRq4hDSoHrJTMpLm+gE
PKnVdtBNTcuH+1m24Z2dCw/oAX0AL42ntTUWD/FyGUMnrDZipIysqU2ir2Q2Ka1Dp9yqoLurDS5p
askPbQCpSAbC7rAM0WFqGCkILGeEsq11aMK/SFmHvImCpE1fIrAtWVQS8uZ/G4jKZCDFRtqZd72N
t2AO0mc0GKAk4UZWJBqoaiZdd7KDa6YIHOipE3BeED/RMztGqEDzXtSMSoLEvQelyZ3czrdqMfTe
xSKy1zqSFWhMNiJVF8eiz6CWyUBzmIsGWnqSLG8HwPaQ3UT+VUWE7yYj58iwUdXJLQVBSFSJx3Ys
Ko5glGZEn5lZ4d8F5WhdY/+bStFB67mvkVWA9CH7MToOPsYuGjL3bCP2nqcoW3XYzzdxFUBtikHO
Gug2aN5atI0yw74hE+ceADThEU9/546ZsUroruyaojkrGOhblMXxjkhDyqpuD6nBeKfObzZj427w
7g4b0r123VA2VLMLWcHubtrjPtAtykX6/cEikUyxc5H4GUzetKfsU7tmZDHsg59OSuqgPeAD6uLs
OWkh9RXNMffEvRf0bww7phfH9tAXIW+eaS3sK5oR1xIAfT3TaNMp8RV+MPl7SGCcVUoPh2vLyZ+r
EJrmVo7CvkflU9MZc411YDR3/ajECh8FrkZzYl2gk3fsQso624/CY2b1BKaR+pN5FM1yGs3D/+bu
THYjR9os+yqFWjcTNI7GRW98HuVyyRUuaUNo5DxPRj59H2b/VX91FbqB3tYmgURERnq4SLNvuPdc
LCtwHBiin+jT9IVbxzG0XGZMcePuAbC1txhD+VWOIFEG69IGgwHLBmyvSgvwGjm2Ej0iHRVA5bXu
/GPO93hImvyrQJ7M6K1QcwLlQTkjpXLU/wk6dIqBp570KJbbwKpOmQxuYGZPaMqZD2om5HTD/FMV
eBzsepUzR116WfPNvEnBCANKaOgeBUWzsTp4l7kFPRO7DQr68pqIyH3EmFDPbCRKnW4uSpvlZHI+
aVlQkOeluzs9b3pOTItlnjdOlxTq9ErgmWCm0ATMJeeOnzj0xd//WiAW2LeCqTuCAWOLUAf1PYeo
CXZn6GcCQiU+pqHdEZ2CF8r0w10ZI6OJXKvZRRqqT47ktZa07jYPwzMcYQ4FrM/JZIGpshJwO38L
rzAfRlAga4YmS7NC0tY33Wvg4N4pxurgMPdhQ5Z3576y6UcqtnORl9HM+uISiWErWlffI+dK/HyC
UBSXMxbqzdWEPGlqVn7Dntjkeq9B6xMcydifRly5RLcwx6j76citR9CJuDozesNR7xJUytJowxoj
B6ksXMw7L9wODoVpHT6NE7sOk5afjTMXDCci00KfRBrmwA0TVXpO3dc3MX14Y4Mz8xKGAkG2p2rv
Dkzpd0FmwW/47CIkJpPDAAEf8K/lIP4vtegr6yLzXrLdMuo1nqkbHtrbUKWbQJfNnoBfSiaMH23h
S2JvzEtPDDLkEZ43P7FfpuJH2Y14t+DrSpwBiecEs3BGZ9Zv0UVifNjyCJk7BhAjsVq/iEuwqMSQ
a6gh4N533UvcdfdRuOLR1xCVzPxSMRIxHfr3KoWyYhQB6emTv1KZ/1k03bnt5vu+JqgYTd0Bax8m
a4wmu9FGu5sZjeYsai+FD96hXxganwo+xk4s0rfUY1IT5lRJs1LMKhrjMLjvnI8mMztnXDGvPDno
BxeMPJoICbYjb3nF8Q0G/sutos3QkgaU+QgrKsy6ZZRlu67F+iXgcJY8WkbK8nmcgzJyRk2BSqlD
57zaWO/yHZfVCvrAsLEcxARup1s8G/OoRhJK3ngMKaIMMhUtcRqB2NF07vmwji9+AXSBh7rexdik
+TlnpLbZ+VuSYbwaZ0ItQ76xRUfTROaxojEdzPR1lNje6iL/chKNz6wBmkaEdtGILFlUKr/Y1GkD
ohbkPOZ2okvYqemlbFqdkHI0J2kLIk5W6Y90m4qjx9CxVhHGJjPLW/qVcy/1sqLPTl7YQPWrNjZu
ppsgMYn7ZC/JIJ+RjGa4iiE8LhxJTY3v6ackY/fUaRRuJgPghaZRHMyylVU+cifP6IPKaQtG4azU
Ug3eLzcQLqBL1+5HKtDZrwqB32WKNDUH4aBrKMpNIOKZPh+vHFOTe80AdduNMwqzTX/CRKOvzuLk
kFrJH9J32L6NwyPrJHfFdjhZlR1TKJIbrKUWPU6Drg49TQqjw5SQEz514BJhnLx4Ei9XPb0z/sW3
FHYAbSrdgRCPe8cr5i1eG1wAWmebJm9/SQm/O6l7NA3/g4BZ3+W9bSz8I56OoZtuFxHQlXR5dFbN
F0PkZMtyNVhN6cCi5UeJ9qtxxb5zvXtHB9aZWz8loqGxXLbi43Om1x+wReM9voBL6toLtEc/whpx
CvV1tCHfgVL+gwXhhaigaDO67kfrdx9+5hwUBXqD2m3dFumw/B1yluZ1y9kRU/xblJjDtK9M3X+y
TX0us/PnwERzlyh3F4JFjNysfxxcD9valJ+Uox6U1H5xMgQ7VC/bgMKlCw2etrYp1n75KR087IIt
+3py8l/fpFKT2OW7ZPrOavsLNNytNQfCtfqFWynQBtimrBBrVt78YcKMfGj0d5zU/iYI8/e88E3W
Qg5qE4/R1LDrW409A7JwqyXqCyMqucYsbZDLuQ2KA2GyvegJPefuOuhm0J8bCqXlnHJWON9uYj+G
U3dXWe7uGCix4j6QtBdeqRTeh562CDk6U9eS6ZTHta0UvYWeRgYM01cxuy9No7m6blCA4uTfZOkB
NBwg68X1nRcgBH7pcsKqBMyKaV/qGI64GcmHjri3Za2pt1DHuVn0yttPBsO55OKLXD+mee3DBzQu
vuremPUAsUk78ETSeQ6ly03bmaecDZKfpHKpqPK7qJvD6E5GNL47Lcx3VCdfctK+c3v6zF3xXgEv
hr3M+jA4ClJCFqaTQUexiOPpBU7pzMoxhwn/Vrf9t5VCOkHEP0VWs9b1h6miZyE/IVvJVCAqS7xk
JXztkcCCEqLIuhDKXoYtWBMGWvbOqNChSX3j2vLoF9ULPCt4t5gZDY/naLIeQne2irFRa+ZUAUaV
ZcC3rGXmcnAn69ka1Mk1n2WCchocIXCamdUNfrdY+kiDONgV+xUFklPXzA2a4d/SBjQIYox3KTCv
gyqPQeIx4zDsT30kFZCtQw4zQq8e0MDu/gc7UVJZNQbbZVWxhi+9+tSPABvcn8ScXvvan9ZIvHB7
sPJPJVNcFnHcPX8IpswA4kEnLnXnNfaSn0SUzPFi21z1SvwglHcPYffruyw8pEG6YTRZr12MjtKV
2Kvs9gtrQ7furNJFmRVBcCXbG3nguAjDAbVd0IEJDIQPFp5pWhpkZ6jfVHWWzbOX7apcVAglKfx7
RWof3GOIl/mGeRNNhpZsJlUkx0l27D0YhjsT7pWgGxgpoVF0DLF3RccPlnixRSpiTIbwNvSe/FuU
IgBZaOY3yKj9RcI7wqjA1XcZS27TJoQlE320d0KEOUng7Ef4PHnBVZEPN7b9yTYpBc9zacGPUNI4
lMwliJ4nS80M/WWDPuaY2pjRe//FZgFoU0GzfMwIAYyYjoLgsai78YLgDEq/REK5H4I2X4UnICRs
z9EVbAaq45IAhRckcdxpmosiSZR//J60IEwcYD/y2DokgbXW2/6GfWrkDio0+wi/H42WznUsmUuW
voTPDACHwKAfeEQPU+86BzH/w8uI4tWnQ+oaLIec5t7WBFMr9VY7FgJi62wG5rSxAhqCCtcq3p8R
Mz+SFpCsPBwNeAGDc5fVhkciqSzPZrf33Cza6qFB48gGYasMNax0kiEWErHCmv0O85y5kbHw63Sh
7nMU/JpNPq5C4Z2SIZK7AXRaNWEPDQyQVL5gW+zjCRsm8tDHHgdBhPZa1XxllgPKEAwMrvMivHWG
NV4cAnoAZl1Dwbnzt5z8v6uvcE5cs3WcYP93Z+ENP1SUB9HHf7QV/vt/9w9jofGXY5v4ZCRZbjoa
+n83Fnp/cfB6ui4M08aM5QnE9f+W/YYb0TEllhPTkA43Dm6Npuj+joXT/zJ0A5CEZ1JT2sL+/zIW
GsL8LyYEWwiT/Dk+CJ/P9P6T8cPHIuVnA2u0uAfFVlCNF2z+IidFL+XIndcam4ltnwP5cgCskpkA
ZCHLRV73zCk0h0iB74h1kJBe+EgE6SEuk1uthpdsIr4d4VzlsFUeSkQIUCkYJg4Jpmb+kCZ9ku6A
StA9kcr4aNXDmdd+XaTpbVTmPbWbT63wAC70DwkXYMSua9XNGb8lUcZoqBhxji+yJw8YD/kZ/xGq
cYDJefk4ESXUe/mFBo8XDDs7jfZHBDw36rs1a5mVPwLOZdvexfVnh8q9QSJuoF2y7PDS5U8j34Y1
+X/4/vejU5ygKqBfbAk/6jdjwuIZ8KtP9F1R+GeLOGwk2zu9BnGc9w9z7EDmt6QyQxRh6bDIwKkz
fb6EmngF/jotREFSWMRAqorgojR+f+20b8NRx8YKd2NVHIvE3nMZzSuR7KsnzM2bqltnuY+tJlei
fvahexJk/lTRdsOyAYttLcDAMRG1sXqlT6jGmecHONhHoPyZ6cCeQRNO34xsOei+HE0+NvyAIvlh
1PltnKr9zIeOuA5m+DE9wabRiSCXjGQ9/ujJfsogeMZEzrPQkpBIvUOkt5+qzf/0IdU7nczWaKx9
Whl3RDjfhZxLtvazqqGbM2cfumhDANbrIBCUDLgm5+1dQnBOenVadYLFia6buO7EHa5Z1ZxhzO1h
zYzR8ECmOekYWJIfWVDaC8c074JvVoBU7W37lNfd66TCiwCmXNvZV4EytOmfGZXT+Ue7JoovDPVe
EC/+qb1+g5RrMUixxdj+aCbWwTHjJ9go723aXAXwcZP1z/wwxfMOAv6y3zp4ZgcM/1hVGvotuqPr
WNEyeyAqVNeznRpesF+gYH7X2uSB4OQVh8qdOcm+jnFFJPyhsOhJiieDHW1IHKLnHFCAEUMGZ1wp
Ig3gy7QPrQH6ZfiOSklsifXDmOujNEFIjcCAot+4elIaIOGMv1Pon+dQCidD0B+kzPJBro/NJ0BW
aLP2MSRIJ0eTlkQQ8MkNYPcXdt1zR50ABOwmACDD8D4VzMAi7XUcxYXdCXk5QOjmeQkBAWGO49AM
Me2naILLUwrtvS07/FrImuacXEDfEY86scR7oPs7G8g+WkL0I/D+/frceMH7OEc9yuCdrSD9vMW3
BqlEt2amMKnj1o/GDy+u7CecRIcEKi3Mvk+qFGwy9qEwoA3/MUS5igq5GTGQDIO9xri612GW8nvB
xbesoD1QzZHod3//aqwIOkMvoG8FknxkBos8ZnmibzHdri0gI1U056xCvyc+Dy5Tya5WDgW/zAed
nNX8hyreda0cP+y5q+IHRwJe2xNnx0uhrbTBvadR/jYrKFTbP5gsk0rl3LTeOpiOvTf1Y+g/mWl0
rilQ8sfIny6UjehMOve77bxLWU2E1CCkK+yj39k3CQgKSc4Z18GaVcBhjpKeQHTXnB4BoWwyOw80
3aGxdlMbz4DYttDqC0IIaiIfLT/Y+fwwFAdG6wC07hEouurFb5tzkqqrn+ZYuL2jaPqH+Us2kBnZ
eY3rQe5alHwhT5/M+CHLZO+MMGYIvOBIkrMdEZb1UD2hxmKNSuHoRHdRJhBHbe2RzXj83OCGRkzj
MqUq6HUm9dJjzQDZMW2YOsvH2EaIXehs/syo2DdGwp6pqrZWx4TASZyn0CIznpecxpweeIZ559EL
Dyl0F+W+MMdL0AStsVK2m7RRVOAD/VzBFYIrTIDcxiFaUMPold0cMlDJChcC7KB2r6n6QGbqEe/6
HDcMNqR2iSiONaffsAEi2UWSPDTOh9xsQCMQC7iEQ/Y6jMSVP9nvBkerpbiAejzrhY1CvkuhzxQi
+fTCvtxppGEsGTp4K98khECQ/b4BJDHycvM2BRF9/KBvcqwbgMvWbR68mMH0A8hM+TYPkS8/4RMG
R5jBIfr1kDMP4WO56/UG5Qjnl4rGr7jNrOWUR2yZjCMBXyEk9pxMwRENa9g31JdRsyfODN0JJuas
rIC2M99DuI9FgNsG5Bc0t7K4GEbrb2rZX/PIO4++Hp0AOAomN112BriCxNN6gXcFhV0Qx+k7JWSO
jPyLtCF+LuiMnT6hlfNs0ryy+haTmrAAPfXbRdz6Tst7DXnMZYvf4qz2f0wuqzDIz1U+ERAgmfCK
Nf7zU0Hgq7sIGRwxZPHDJdGGrGD9EQ1IOfks88z05FnK2puGQ03uNxfqfVgLxDUY0UMa1zCec0wg
43QKz02Y7DsHoREzK3tZAzNBjguspHL9dY70Urf759EgYxovOlAajkd2bDx0DWuEwtZfM5swhxBx
gmGP67ITv4OlGYRzE6cpFSHu0IXYHwEsh/5KlWKtQM8c89S7RbzMzGBBW0yvGb19HRfuwkKqgMk/
Q6nQiKv2WDhMaIeQQwZ/7G+17ndMvWm3pfUbJOP3iJx7kZAOmKP9XPiDOMS9/kfU/O/GyfyDe5LD
wpm+kwnRdFQgFMtyZzfoIawSDCRFl36FLSG5cXs0yfnSXVQGLf3lQtX6D6hoCGb2xWz8lVWWRHW5
FRPTcQ1JYB/ZKYh1QrnhiMcSzVrq4verc/q+4tSU2TPaMLCBJkTXIWE1zarsu1HJ2ai7G9Ovo7Cs
F4XKWkftFxERXATTWvJnkaK16pzsmU6F6Op6Ip4uQZI/rMf2UTJuFjE0Kx8lG6kpdVbuKizqtdgm
hbPxTBY+7hdKpqOFGyFuortkPiZR/9TJzbSjO7Gy526odjho11CS2BfGF827sVq/h4W2coWzQa/5
5YOccBL56Ez2j47wNdLqsyNYpyRB/hzZWrtqNdIACrUWvoI7MJPwwPdH4XlK7bdqbL8yfdygF72M
sBJ5Z51H4jkDnoW0WFW/fWe92DRFjYMrx42cx6yrdo5G44lQflgXCvWpo/aaeKuZVC18t8g3HTQ+
ljN6verQKEuNag7GzIiRwKrCp6TlVyub7cUk9Z/UdB9997Osu3tg2GpVElm/MDH3X2UX7Kqi3ELo
gMHo+gQkROsxH696SEADzieWgCs8CGvWgowTS/RxDTk6Lmdd4edfg2MfLBxuuQpXpZtw+np77Ano
HShWU3ENEQz1piJaSvuWmCQEwZDM07KcFKns72M6MJGkAdhnkD0E24RZBAJ8DS4X6grVhD8kci2C
eafP8PJLeuhULPjqOGBc/ocDel2BPTa1n2tNvqF8Qm+Y8ExWBKqvsQbjOwkjFvbNNOzV+MCo+GZR
Hq2dARSi74z4O7z2uU2NTwuqX8QYfdSTL9BqVNAqOskWcKOw6W7rQN07hcAmS7MtO/d9W1tPg5SP
UEq+7cy7GRjosjp6zH21S2zc614UWOhDT3HNJKMq2pPywjUCz43ow2+31i558+q2kKryShvXmeGf
bTzrNWJs3qh42xhER2ftKTPHS1jOJhZEW1m2Thx2nUIgX0956PoBZCez3zDQl279apbgzqlL35yZ
6MaZFbbOBIgIPXZSuAZfuroQc60t7PAm6lHga8xuaDp+kD8OyylhrM80oeF0Wo0FQ5UeJbhlNS3t
RLONB3XGM3lNwhYzNRe9M16SgInDOIgnBXS7rAjUrUgqjPBaMbPwDqxiACYn8O3lIa1HYNN28lL1
1odKSipuEoya8h4ZxNl7Pu+y8aQbHZo2/0shl1p1TcPQDVUqkUMZpRFPTZj7vy14GYwVF/ISmOfx
BTZ98GkSSL5TTb9P/fi7Fekz9yS0OjFduiY6ea31hvTdW7ohf7VqZNWtNXDU5MsIbIV+wzu7mTx3
Y3OtmuoalPLoOfu6yu86Jj7OLHEqO29TuAATvRgCsTFQ8lNRWAhamhQC/vx7ZcgnosHMa+8MMiuB
uRLw4av8yRr3RLY/45Ea1hkIfK32q1WJB5T5qbOqrfQbGm3i1hs7A9oIuzEzqZPYSu4dQ10q5cEw
1Aw+BxYRq1qr0MfnVV9rOez71lt3ndj3hkMQK6LPKL3GVb9XMURuMC1SkanjskretCJ7m/DlygIY
2oSKO6zqu1L5q5WL7VBlr4lkw9rUp3rUb4QPboqsvcZ1RkxxueNj6fMKvb4lJF7HxgMDcgMBWTfH
TfZfhp89FxrWCImhd18W44YtxY/Jh1laVHULLylOyki/RxN9IdaAtyTKT53LU0BabIbzvTqNAT/p
yMaxDfp9O1jiF17mznbIPSQqEXqe776Ygw6PVzxI5CXL0QAJSnn+0GtjuZmk/VkE0D9txP3KL/dt
qH6NkJ+eb8sDPv27ndRPRcvsNpo+IDB+uHPgydjp6AjHc1kTQ+CUz50bcANRjQVJ82Z7vF7T3Ikx
qNraLX/jqjdXhhN3OPtSKvXmbRjqk5MK3k9D/SIjOU52ecQ2pQOH5sUpDfBDRooJsOt+GY0wWNhw
2K3tWh/IpCyfWwo+inOqnlkX6TQPrtAuxcALrzLuF3DRLwAtLvMbpIVk3Tc9yqo4v5dWyzoAKks+
3aohe8aZwwOXDm9V3xx0t99GLJXR2SI/15McrW+HSyxBXe891WwrVr7gHZ0Pmg6hH3E52hf5KxgH
Ee2HU3aHxk8Wm218NIRoBHW6ynJIy7hzHorxLgN0BXx90FSjQaPIIBwok3eRItYNhLti23nrfCSq
GDrxp8T0V8I/hRybBNpnw4rbCvKY4h8YNkf0vBn1Em51j1YMh0g2Gy8I9GCKi1D7NCTFjYhfDP1z
9F3+y3P0GOLdXTm92pCq3qrkMclZh49EqSwSo321DcTURp6hixvOytOqa5ViThtTAOKVDT86zX9T
Yv969pKixXuJVH+Jp3OjGfouxFmAm+bGzgA1ECtjPSpmjQTuwd4zKQswWDwRMNgOZAG6KwUJMnfp
uFq/tq657A8Zc7AFoMXnrMXNyf4V/VP7PHLtjh3ErExMrx0PqsxJ8uRwzddS6yag+6ABEYXvmAIf
kWxELKmwG/OywvzUDMmK0xJb/MbghN3s3kmY8HHRP7qsgDFxYNJ4x7k5PKA3l5zIIHCLvvQv+2pg
TcMZVK8nZEFdPecn6enJcDT8jPYRWWm4GALEjZLg0GAarkE1fuB+Cypjk2mSXbjiqUOLKBjibkIC
mJb4qoCpQOPCMzU6xguwZJidisRtzU1AX1PwNRqQVj3sxQJZHbmJA1b2ZN7O8vo4s+DR6AVEMH+4
B8R3Lajbn3XSmWK0UOjr6K6yDciNZRWU7UGM4PqKOjxUGoIuFix0F5Z6ApVUkD/pfyZwxfz8ZtRO
x7mmf4PRkUC7h0MVBpzdXON1ocPjKMR3bI+XrGG1auX8wP3S56Tw4o3CDaV18mHI1CUixGl47Uq6
XqJrT32SGaQQkAgfDCt/yH0OdQBotSZMVP2z+MnBB5m/hEb5R3MJSS1ocXDULtzWItyE0rhKPYSR
g72oTbJtK4cp/IgxhNEeFtwgOjU1k5C+nxqmU1gJrDKg2gi1T2fEfpM1HH8K/w8biB6wEZvElWbV
ezOpiXKjAs8KXrPQ73nNiLlYlxELj4Hji0CiN+RO340T06Rm9utUKP572UK1ENs86r9HjIvoVAJ3
Hcb+vCyY1mPRucuKIdEOUw0AUu+TUUK/tO2GvT81Eoot6Fo6ayAN8LdRwEqqfDKLEs6poEESMPpr
vWiKfWT2XM/e2WdLNg5AQ43ILPASKVpWvCNIStgSoG5ZEmpUriP01guoTrMLI3vLCOWyHYpQa8p2
ujQS8KZTuca8dYp88itE+qVsJGpZaSGEjoadCstzaQdvbmM/WDo6En0ikH6AJYI5GHVCINq1ALXJ
gTq91HYu6RPFrcl31SjlHDPxNU3qYFgakGyn6VYhz3mD92XZuGh160SVK6Q53lblrIvYVN30nI+r
NVuvmuql7kpOryZ8hTx+KwYJIVDeUEU8gsjvl4mnrZhmPrRJQbU44OOb+OARVo+2erGV+ZoysPUD
eWPHj6kOt/ptSOQxVto3TnMG4gJIu0OnVoxEHsWEbtZ04Tyn+rrUrUcb597anK38XibZXbqshiPW
qTgulpoa5NZzuw87fW5IcNK77rUbXzPl3gKiKrCdd1vLtI+N2gIEcwmcTN90Dj7kZdgP04ldeDP+
FLn+y57zyy/Hdz0RMAOmAed/QvacNbL/8WX/HDEo9ARuv9LHwVOZK1ert0EAhqSZYddlVB3GMb4n
IPcPMrJ+hA3pvq+o6ZMqfipRMhMHtYgDhmA9JsSEfMCgcu/SImmjMEtj7dhEGA/2TY/aV6DpABMS
YS61iv2b1lMowXf67Flm6cG4mwJb28eyPY6yXHg885XBktvYs1hmWydYPJE8vzLr4AFL0C1o9B87
dr/ygPwjQoFeurQiSc3bWTVsAbORH07ZXK3A3EDL34YV3YmMDLKw4avxZPVADFPst1WDVsG387Vt
dQFnIs6UljdoaKSi3ODpLnV0Sn6B1Zvol+AAGzwmy6J4dYzkMlho5xKFaBte/GKydq1ls84V3Sdz
RyDkiRXCT0Gfr2KPAomlRQObvLSXTRnop6azltJX2iJLKp/gDWffVjhN64REDxvJSSLtZWan+imZ
yHDJW8p1v3tvItJs+nZgvW1ZxZrpO9kbSYMBE+MEuauz8rDj+mEVgq2oo3LvI3x2Sh8ONYEMOjp8
O8S70aNnZJyqU5nr060ZMEO6MSqz81MyaD4urQZtbFt/DqPlLOtqwEnuabcw1sPbNsPRfK7T/uyC
nbEck02nubGFO2zIMcIH4rsIqS1oNW1b/Awzv2aO9ehmos2s95oJN3nMQ2YDvRF/028Ih0OdB/lF
qfIJuybDf27Gfqbm9KS3/03RmXk61UzWySskgEDKqL5ojIwxfyDIHg7PTOTRZjZPFfb4SfOXbqb2
ILWwzwjUNtkI0aef2T7hTPlpZt5PA/jHYbtTZoUir2+CNtGW/9tmE1fdAEoztnblCENoDFFi2T2P
usruflS+Szf2DloNuZrxGDyaqon35swlCgMIRQVevWUMtAg4yEFj5pVm0+cQumJhJ/SAGkuvPDSD
Y2kT5MPTiBo45Bqnxy6wkK8jWuoFniKwU3BiXCBK00xTqlNhkeXRbqH4grduYS7VAzkjtbB3Ydc8
tCVUJhUcYjyTsxgtmrlNCQCnFOy2Kc8eWCd75juR2HrpW/tSae9wigLM0RYETzQuycyGSgTr7wBB
pERMznd77nQREI2KIKWZ2VIATpiAHmyQU7bUmT8ypRG6dgxL0ZzQxyHOmG8Inb9VULsBLqskPE2a
/t6EaPHMOH0oHOS9ieJEL3QKNYRehDX8HUAQPAwNkZq573pYKLt8YYzhwWmQhxeVNKEcqqvWWfem
cLZBFu9qC1ONiVGqGMsvXK6H2vDvWSL4Jq0XC5yBLiHq9QrNDpQ5GD7ludfpESu/ByzyC3z0A30Q
tiS0R90hGAkscDyufDl+9pjqVo0xWHjTKuhH7DG1eo5nFEn+d7KlnvVXxR3EiBOXF5Nf/c7N12Ax
Ij0icfKjZTASSMUcAsNC/SmIgFoivN7GZnXNAhwPTC+7RW7gMS7bdxNCCHo261JH4lipQOxzS3tr
i8i9tNH0gNuZAm5WZtiy4Ax1pdiPnRjwL3UterejKQXeeLoarjjRHAzDegBp5i0DyXWk9eO4Kgfv
TC0Xr5J4rug0AvYQcSLMQUOYypIxmmxAsuU+VneL/Njmy8bqjnaXMX8U4/IrwqPmPlQJwpkI7dPK
BaC9bzWKh8EP1hpRDHtzGPDBp4REIkKsi2+eFsdPtnQJ+S6a2le6jPPQVo9IqL657KCp88JlCdDE
3NpMevjdK+Nu5wMOwwz5WGgw+kUu94HaL1gzBWH6nww8nQRrZtJ4L9Ia0pcgptRBHr0Jcy6VtqYD
sokhxARZrX1z/iCCmWJdwPYj0IJo5hljlo7wCNwuOTcFZvOW1cyKv84fNgn2g14QTOqnRGojgiW5
TNvGyjtnLlMBj3hPlOH2fqipqXTnYhqJvz0SJ8btMWtPGuShhtwnBNgx9IT/DU8GGEMhFeQscnnG
yNkzTPePldbu/072QltD3Se0q1Wkf1gKfadVEK1NM7+xAPlQJWFpIrgSMc+o3ajeOj9GnifJ8+RI
wzpWrsueZGCgdAnOXZslI9iOqDl7FqOhzI7ce639VElWbiqCNCmDZ/V7oR1Ngca4RryvazrI7iR+
DHy0I3FiahswYSvpGDsEkjOyxQawGbdMnemo7dbQsKRF8FyyPwjV0zXBPzjF5CVNQjyQTC1Ai84G
4LB5gbBz7oVzhpfPShbQghNFHJO5t2orquFiNJ+SCm5E653R+WzwQpEAiQJrhvTdKy2Dd1mzJCnH
tRX5+lJHzcTZt6NZiRnAHLtUmThwuHKsIxIDS5/lxh5MprE33w11tFsw8t4nRaB26AhxsPTI4V2z
djDOr5xdFPl2iv2hjba9Q2mmNyiavb4iA/ia6EP9NAACYO178PXyj4Pad5+U6mW00hMbIJs7OrtX
vntzBLl0hUkAaE4PkSbGnp3TdiT29NEZtBcD1e2OIOjs5HlGDd+zewYjcTHIUiFPDC5D04Gkkqpf
q87DP6axfMLaVFCEsuVkusJM0Qbvrx+6PvTIUsD/QVvRxLyABsEzIRp1E9Nf5H/GWf/KusN6nMby
UjQquEcIuZapxiDBskbz0dJS/NSEFe34e541G/msGrmPyf64pkodOlKhOj/atVr2LUKeWyPaCE9f
+Jq7NVikReHkHOc1Ln28gfHSP1LlBA9jzlSoYN03xg50tQFyjTCaT7pZoJU4kNbXSWvs899pZ2Aq
iAefoDd7bx2X/caph3bp11CiyoIYXFkk313laJgAp7crIyI8OaNUuLHCBzcN4j1XIQPBwP6ct5se
+cUrMUJsKEcuqF4HV9CTS7mKAnZXDtfpSrk8OnkYXUzVEijjG3+auP7q0w6zYUzRkzFqAzRRPmRR
ORycULD/cwA8EytKg5s8Rd3IBRPgZJ/iP32XjwcoFu9R5oF3diilDeBpUdFf+4IoODOs94jXkk2W
8EDwdtYcxfUvTS5CTUTWVszbohXRmzbUxwlg3xp4q3gI2fVykxY5hxAc/MR2gEE5bIvVaIBEwwQv
MGUu5q0OS9nsyVBsEYmQDQ8GuEuM++c+YRcPi2MfjuHFtxxGOjgGLA8uCc/s3L/CXtXpB9v4lVY8
xT1TXhs3vQuv+weu+L+vmAvytPH/FHOdf76S9Cf/7OpAu5N39i+PRfZTf+T/Wd31jz/oH+ou6y8L
IqHhGa60HQsxy7/+y8B//D//VegA5Q0PeKp0hWdJ4z+ou6y/HMnv5ZcclFzQ5f+p7jL/gj5vmIix
dEIxZuHXv5Hz8UH9E9z/T5D//8E1/y+UZle3XWfmxXs0u44z413/A741hSJMfxGy09RlBT/O+krr
cGN23c4dzYMkQ5bmnto2hn+Xl9GfYup+zMLegSxElWzPtDFFHxLGZz2XrAgCGhX92tbeza4YCRej
8zyNNARKjdVynJjHtGKE2xKnv+Ejg9wtZPUvbVDv2f8i7DyWJFW6bP1EmOGAI6YRhFap1QRLidbg
iKe/H3XvoLt/s9uDOpOTVZGBcN++91rfiqYXzwz20IxG1OhOtjYfXFtjqfTaxxRzZ/tTCNo4uj79
BS6Z9oV4kmMud2Kw9HUfdUvs6LAn3vK1DVt7Z0zKXQnCaZIgfQ6W7/FfdHz/70r+1yu3kHf/G5nX
0W1dOIbOhmKJRWT33y6cGinPIzznAFxpbWazfB1MaJbMWi6hZE/+/3+a+A/MLh8HQFeYcNJduvP/
4z7N7B+zqjj3pUKvQNQIPNm9/E7J6xsHBu14Q2aICiV1LogkSob/5fP/QwNI59E1wbQb1HvGf8Cf
52y0HTVwTM+C+EHTi4fR0594Tu8yR5DGljdvhsb5gQxafXWueEi8FhFXYie/ecOCaMS3kWRysk3+
F4yzadn/+Qg7dIbIgzcRSGIM/B+gcXDNVsfouqEB1Yzo1LIHmJDe2hyiAxJwOkek6BHTvVVLMDK9
rCdzkpBKltDkkJk4TAYIK1k5NWjhxdo0vzUmrhuilLcBhxwSmEOSmMs2CjcoLWB4mJ27K22HSf8S
3ZwvIc50tEM0/BhLhsT4KzHO/1PemeUuVBjAZLmbarGz8/bQg1wtzOh+cfQRKRhzxONEkA9iF4uD
oSqa8mgPhkXbZTP4yIj8sPZzCmOP36TGawZGLBfwOUL7dU4RmGtF6zuZFqxjxoCboJ6enc5cTyHn
kYwUHGmQNdaUz31MC3xUuKYw5PFj0VX8S80mPpse+8UaFG7dwgc7fjaI2e6J2y64CHG9A+x5mpkj
UCRRzpDOLV1MRAq5n0HebozMLhTRVQP7gZLSfrZoRQqXwkX13hKRWSDXB7ZbGdRmVOU7uxS7bAkd
l+b0l7XTel5SxNtqehFmhbebfHGNoHGrI1OusiEcNIlBev34Yiyp5DOpSoSUh3yIZdVv//4h7G/3
+ZJnXi7J5gER531MkucUhPehgwQkHThsG+G7IbqfpPGeoQzvOeA5a2AMH6Xy9pod3XDe3cA7nuSk
zjPAmtQpvjHzwEJ17+qUuyMbtEPapdGX1Frq7Iwv3hDd7hDhHmpkTIbtAUc7+cFtKY/YlzkgAm9L
e87Pfb3Up4Lcx6k5NjVnvYK4+IbYeLHkxyu63TH2gir4MSRCfl3tPeLmF31e4ZJrBG3TBJ3RVw+4
+MDXEFOvex4BHTEQv2yrg4rHYdPoziW7JQ7T6zGMj5nR/HJM2aHJuVgJXklZ6qAXllDvqPy2kLzS
pyF7PcOcbBicZ4Icxe0sdlbmnEPpPNIC3BI1qVbFgDpRs++hpfZaf2u9yo8ita9xQCKXWwA0KXlg
EulfM5to0kebEMzmBiL5geK12BHM+g3tYb/oYPNyuILVxveVbpA74KVZ6LSZtxejuhIofUrogYG0
8udoDPeOV98lBuS9VvFXI7VJavr9Lml3Kch8tfhHCQwDsfcFifdWZ85TXctfiN7XgCYcrOh1yJw3
t927RS4coTzOWITYXp8Q8C9vAzQRfVch0clUu48yDHXB3O+rJaoSo8Frm+KTmNK3HH2nhWw+o3do
3kU5BWopvUtsMEeH3iDMn7B9sDTzu2/Uo5ycu2qoPvjX8RP9oAANBoNQKMKMQtsfw/KkyeLOAD/i
CuffKdJxMffFts8Ly/PF09EM/UkZHLR5MMXYfmEnevRcFHkoM5GBWV52pUFxAbQ3TtEPKI8L/e8X
9ngiPXQshOkWl9VJI64vRTkYm/lL2tP5GfoN2Kt98gu74YyLAKwjD31KKixde96Mc4ck2Xe84ZnU
rqdGWkfX6dZQRRgvebvHvtkZEI8WkarwyrOHPBJHF9FO1KshdzCVgMTkkdEhDEisKrn2i7TqR9S0
RaRxRVtzHFti2zKJcaM8NkJ7b12bUxRWPSx4VhZcqvADmAuQq5KhUPagjy7jGPIswuSLtfGIFRGM
lzzTlEbVNW7Nmv83DZdw7uCoxO1KcKFSiYsvsUjYnLmUWgNLbNSw7aKYtbicaLyTCZ1vJHY1OojY
PgVzvbHs+dPm5J9r5SnOFjJodQwcedTdeLMoh+HWPcTKfEW2/LScfLDrPKWxBhXAWVBXe5OWOulu
ezLztmlX7hxixUPb2gwKDQZQAXLsVvhF8IglG13Q39cHX9LjMqFn2Ym+s1V9IERoy+DphJ7+VaK/
9DpnWzdczCaXD4sgF68BKdrPiQttxCaDcPk87t7ySHHWfA10SOUkyRhubO+CIfQBsu3aCF30EN9U
yuo5JEKsyh/YprGvu97LkCs6VuQPtoV3GsYU4oX1K3s02/Q4C4XbqkBIMWsbiXU/iuynRbBP5jen
CevYNLhwihjv6F2Ujns3IFiKFSuf063FFmNzXgL/fkgNbw9guqyuibGwp2Ai0B3g+m26LN0u/4jt
QvwLyaaznyy8+gvljLptVaIPNnFBJv1uUbZOITfMbg4cdbaBVyKFj282qwlyym1E5LqCoKJm2DzZ
VyTUumNWg5uLHhDvaKX2jV3sqEb+La6SoaVDeifjhyeRq31RQNNPQcbx/gVJe7GxKOZmxSJevYTY
arsY7jTcE75Jz2gb9tUe7tw2SN1tIAjBJgfC5ZcNFmQpf5Uxw4zUCgnteQFigq1Ghdbz9UZaEj1D
v+I0JO7FkDkbNxQS1jKG7Blq27kN1iV8NELGIAoW/qLmjQ2w5g8Wn5EvvdRQow3DzLvSyB9kjNej
GqdXHN/DsOzQ+QTaOVSVPwgkXKZ6cyOmxMb47KHoq9BSCQdc7CJMN/AK8DYtv1gJfJM0gpWpgvUi
9HaJtgbCcE0jeQBLe9Y5CKRErocmpujqNs0R85x+b5NNYOv2XYBmKI/MX29+S3JQDKyvK968Y9xk
D8YA6oUbx5q4XZTVjKjXZVkcCBk4Ch15sT6ADpWbRKOXhlZtQQzn062vhuvAveydt36ujnDE73Kl
HhdvCPia3aLmHphaBOkxbJ5t+Vq71LyPKpw2TkQQimFzMkEmAqihTUbfhrPBJgI/j3tlYOng6nah
2iMkB82W7EC661xW+Dar2OZ3tKiPhgwRkE+/vm2CPXjzU2dFK0Ge5LLCNSOnm2UcgI9MRyvnhP06
qQa/5rEMQQIuDwTJnSsnAjjLm4QTjIEpUs9IWxP1samhMFtIlP69LtzUGIJ5oLi5AIiHhH51gHZw
+iqH9Htx461ln66/loLSZgu0VXuZlFja95gTHLjc5cnCP6Djy1u2SSqDi1Ey2oytL+wGlnay+qsC
Orls49nylFflibKMhpfthwQJlzwCVUWeddDft/+OEuI+bNW8QvbsshT3SJrphLK6UnyfBbo4RWML
8OM/+07RWkfK5W3ZlLyePc1J2iTUVPOIcj+Mb0w9z07qHRKyK5d3sRnkQ4Jamfk8BYMqH+YUDgSL
MRZZcou8vRer/UzRrIXmrhDFZXHrxI56hBN7DxURWXG/sVktasgzi3gxdmHsozaYGK9ONqoReFGk
syMQaA7UcRp0mZLF2Ir+yBBCqf6beoNP1uOKbAtk0QZz14YanIk5RpYwx6oz9Dh081X9GTi85BiZ
lrWgJzMBf+ba07bTyCPZlpTz2CsMtafjuu6Hs+V86VRrAzaJYth48Y9K+PjgYxxfgVGQoCg3eZ89
MEPYltAy9YoqEcg0xnUIB4U/NP06BA+1rGe6xsPEh7vVYlChfW4WO9n2j7JIr5WBDKno2NVmlGNs
INabO1V3i2azRTi/bE4QR/aC0N1ZK+5kbz8hdaU6tI7K5F65+s4IqKhB/GrcCxGOz8sfVVmnZRnt
abfWAMKXpbSiIvSIR16KChvYdI5tHSbUyg3Jc+i5UtxqsHnLbl1b2Ii4K3ZSHRdLEdLSTSBsHyc8
lVpKrsRjCYl1km82Lorl/bZCB4wk1W7hMje018Q+IaIvd4TGHMvEOU8CUwezXEyvKPqOSdeh9Hhf
1ltp4OSd/WUTsHiG0omHH0VDSyw0/YLVhEKO/t2uXszHgEZ0eLALGrx1vT3qyotrDlvExjWQsGVj
lDCTwTv5qrQPld5cHDO6TQafMlKHSd43qoKpNV/bnFM2ENmD0qkqpH1svUV8I7InbGFre102CyPf
hfFbHQ2kpajuA1TNNy3QKLAFqfHGwHUw1dUo3Cd6nudl8m5I2EkM5hGCQBE1bjWeYmzz3uSirnLu
ADQxCsdslY/3rsaPjO0FfPvZtpb6m1qL4HuM4nfZnL/rSp6mCKuQ80aKh99WeEioYpBdMEpF5h7S
gJ6a/trbwFekvvtngw0Fe4jkg+Zq3wPwUM5Tks87ZKoPEenaRZ1gE0JA01p8WcYHLGrjVmvku61X
BP8xshs75o4yeA1VfGP+cBtsHFqWuNcVM8OcZojib9YIS4EB3+oAkUGfqP49TbSj8eyCNkrQb4zS
/kp0aDZZHIbnIqGyMCrn0FZ8YNhUrw7snn1nW5kf2dl7RywgI/R+xAzSibVXAJueij259pxDbeDZ
9HIvXsdpWRuTkw6pqEm8aW0FLILQM2r4n0fhjn9IFR/piq9wDJ4tKS+lzaZC0OnTEIVilTugwToQ
FFnWnaQpjDMhGUv+K7tGQpIxJMOtofULhgmQfRaw9CWmT1zHhLL0UbPQ/oipP5glAIoZRSZWJUL8
jMV2bmaQzdAu70bH/cKsi6nBiFEXOPGJ6GriVbXkYOhOdwPl7y2ILwLrnoYxv0CNfYOK8xXZkB8C
U2f+Er6JMrsCB9qFAvAfhGbqdWHxIGflHSq1z8VgGYzsa9r4HCXuAZzIKrbKl3bmxlgkn7ediZjp
ucGbyJCeg2FScV1KPhg30FrRwQTxHMT+sox4mO0qtqpyZpemJrKl1+5bE1uSYk1vTAeKp/aOwe42
82Qt8ix3GaPNqPeJ0aa7MKMbB6mi4juHSfC574pkI83kQTUjTH5O/75y8O2X9Yj+JQXFjY5rn+kd
HS7Gl7exGfxSH9JbLsh+rph6KOluEPfgT2M8kp01REszQy3rtYfJvK7CJEeMxCoBbsRXWTXvLCWR
lYzBrmswiMDMw7PHcZt6k8N5JXqmsRPB2PS4PN/hnVfKDZ9JVWeuNXBgNjTiaKI8nO6MHolTP3zr
I6AfHQcvkhPjXGDnyPoSh7leHcOE4pTDlm41b5NMN7bLTkIxWzqDb0fs0kZU3/rIuS7v/1RmDw0s
TLQoyCatM1b0UzYiAtATtgGKFRWVdyFS7XL64je+uCL8mDVxYVnHmkSEAFnFPtmR70Ho3euT7nM8
JnmX9PHVnPNLNcx4ulrzc/oHdao2Optdb0Kqqof7PuABSSXz/B7Md+X+LvjOfV2Z21Ra1NptfZtG
DJkpsyWm0BiqvF1RB9oek8JvnZPtQGgihYuC+wm/FE2H+ej16cOsov2ys9O+ZcaKzVLaDy4pDCqG
cf7dmvLXDbiJGK3PtZORAEHiegznjfHh1PkNuU7GXW/XDK5q/TCbKfqH26gmj/cX7DmFPSot170l
YEYg1kGfTeSZ9p63ZD1vnSG4QYCrVoAVUcFD7innrL8UY3dJg+itwI+0KjjZltFE8gVWrtVosYmC
bHaL9NYDS5KDc99B+MPzYqZHvWm2optvjdbohMrk/YqaiVEfs8G8Am4exDKC/rAxmyxBAmSXK4m5
4DGhBpjS7pjvczyfehw+1Z33YOpztio7T2xd+hRNP+/rOXyY4kneFWZ+wvx2oOvsT8l0cy21DYJ2
2kmCPw+eFqMVTuWrm9MMilHSQLWl5K07rJw04S+2O4K98hhbapwEumTAA1Ta0cqhtxQCFpQxTDHC
hlNN9n5VVq9FAdyDRITDTOIqKWaa/Svc9qIU64I0jKfIcXfUGiGNHjr5pQxPyvIuGbL8igzKVYsP
Gvzep7ARNAEYWdUIAU0nJvTgvRZUK/CrEGGzuq7NdDhxEfA4CWrjNvTeoqp6t6e+YeIncZuM3zRx
NSItsaw1nJmFo7p1o3HEEdA6t5rtVJvW9DooHQXGpZS4Cc8N1Snug/fatr/NAvFFAJ2IGT1AElY6
6vBWh1PHuWptkhO0GmsMYlrwRl4OmrP8GHXNrcuJC2iQDU2p92Pm1lXnTU6aiDFpxiILvu5MYujT
rCePMaHQNAk3bp28V4J2qG7dO9YAdK2glE8nZN+FCRqK8Cck9gFGmVEZn7lhsh1J7GGyJGanToAv
VJm3dZrlfRsSDqNDVW3hnmL1RjczL6j4JvSjzrTPxfytUKwvxVa6a/toH2Txn8VAXrnmk4XGryXr
GTVA8mcn3S6QIG6nMfnTTBMZyPgz04BbDR0Fo9MpJuvYs/vsxcUrje6Ck0rQ06vrGHM+6MD6V90i
o3RHhKwxeJhek35g8C+yaiQ4NjAa5Q1ReCaCEmkl6HzK8QW+EDsHllhgcBq/3NrOQxwgRb9PA2Lh
A7K3MsCA4Rw9mwtvWqMj5CTpJQtdtOykvZLmUxt+3kSE2LXdcz1Z1aZOabHXghGR5dJY7zGYr+RU
cl5j6XBJ4h2L3yScXzMLF9akjK/kNLftOzwwXDX4pKM8WUdG8J548THyWrkpTO1idl69K4hRIdDi
l0nHe43sL5vZ113rYk3rKdF/cys8x4Xw+2o+JFECg2RogUXV1nrKpgOJLtcYfWUxFQdzBkKtwksf
jzcdq2WrMPKU43gIkjH3VUMCzGQAb9ZEwVWQFg103Ti2S+6BltSPTQCdESBujmMkRs5RApMz7XUm
I3fPzH3v6tneq4lXQ+CIswwoI1ASyC5FtHe97B4kwg7Snr11Nf1lctLAb81uWT4dtgxlbA0kKCh/
05XttQdiidbe1CACzI8glH/MsiEXpXBedaq+eTJuXc+ofDTGz6BhyqSXqNrLILb4bZEUthlcnMp6
aQLtmaHzYcqR6VXM95D6v8CQIs/OC+TOktwybYbP5WZfccOYIteMQ63G107PDeqy6AdgZ7TpveBQ
KtMB6m08zbJ8ISz3z0CFtm5adDthOO5RJt20uuNsXcTgp4zHBeHKu7iL69ZGetW+JTMBJVRXnHes
4NiOPz1c5xMxXImTNGTNyedY7Yzc6XwKayCKI4kjqcvbtqiugJiwOifsWRxMN7qDC4+zAStmgBPJ
zcpXs2Mo0WXvc1zda3lrrnoLflHhOC8QCabycbDmp2yw7VXR2o9TgAvYDOyVxCu7rkzWttDw7iYB
eEWICdcACMRMIPEawi+AwDrKDQIHYtQTYzA/6zxkAM3F0dOBBUNnxQGu1V+FAU6ug9c69pinTC9+
apdVFc5Y5HuIcHSuBJrx3Ma2GFg7GYBUxXH0Erbsa4ldP6eZ+Jz61Ddq+ZVlxScOW9J+Qw5w/a+t
aw9LXZEa86PQ48VKK4+OUVzDvn419A4kUI9QOrJB/kCP9+0Gvb2p8pchdCEjB2G4IxH7pe/05jzg
lvP1pCYtc8KLYOX4QwlouWvG2tgLLd4W+Bw28VCHmEswDOU8J/hUrG1FBg5Zku6iuvLSJ0sakGXM
P9PutAsqbM6L7ojjO5xNjFd5jvCfVGoVkhiXONEjejaHvHs2R1Q0e7swx3cCwfUt+Pq1kVjZNnIc
7a0YxAEuCCA1QzFzi90Qgk2wmxnGnYc+1/1ZfLotL28YZ9OeuTtmIDnFj/PI6s+CCaDYii7ZMJC9
5/SkE0B/HuI3aVfxnQtx/YioESQ+LsNWVu3FCXJ94xq8eXE2GtupZwKFfys7DvXTkOVfQYYvaiBn
sBybszWKLz0BEI5ZfcNk/aQrxZkAtJVmIFvLnORsm3VG6Kl73yvjFGFl01RzNuZy0Z9dIks9F/DS
23na9cF8V6E878jLWs8aB2A2gz9d8+CFxaO15ioPB+hZWNJ5viEiLLEYJjcVZyDk8YIlvNKVTqzK
rdMoWWVEbJedRuW7yn8xhZv4hdO/KR+ehMH4K5H2IUY8P0YGtf/4nXnWjbHCk43TIHbrV0/BrQQt
4UYbw1OfJE3TC5uDqxPDJgNPfvxmsFeTPklybJhTehUpGBOhOMMkevYMig/d66FthouOao7Se35w
QyZQHbRaZE450VCo2IgKiOEvrMZCfRHvsK3M+lM3tTu0yjWS2ubEfdkRLnUZteKJ1xELcnVFufuL
GWtJM3UBvMYWdvyyA4kYzQeKAXhJMYMamo7n5Y9rNsOdtAtvM/XZIXLDzSjcF1J0npc/iJ/LyvIR
G91HbfYikvyTsv61I3pzumhGtNOTwdm7HbIdO2rME8sOaokOxxJS7TMbHuLWedGLOd1jPOv0ExjT
llX6YKUjh0KccyKcLczfUCpSPO6OFFetwYSY8xgo8d7WlGVeLR9Z9T8poc5WYiFuk6faFD/GnP8G
tXyPG22Hc+OKCBHTcYhQXFfZQwVwbY6Mwzy7n2Xr/oELP3dl+lg8VhFpm1WkXXEzHBRvYIlkA4sU
0nsn0bbdRDOVG9Ku0rh7LVX7k9OwYpfhxBsD00HsOH9pUWpurJC5QqIDQzScfelM6ibHlOYyoI6V
G2d/dWCeK7v8IIvSXI0lvhevYqZgPzeKF3YMsYzrZgUC2RYXEhbo5NLT+fe0DE12yz39xLV4r+XE
ZuTO+zG7uLNdbyaxqGjNuPAzy9gNjemujU5nutS+mR7mEyuytKu0iGIJnAxvmrc22KntWOavxeQu
/QO0q2maXBSDwbHMYNQaPGMAjwjH6XdxEy9ht1jrm1RfhYxrVtnsWr6lQd6n41T6C+FfpNBE0MBQ
yALV8V1rz/ClOyhLMJTQHD/VmdSAgNTCt3EZwvWYHxkGGTO2CAcEYZhv0Y0/QxF4RSjQrSJrwAQ5
9ST/ESCIuKUmiIevGKYH7A875qgMziuUsFXON0jt3RCzCZIhil61QFbuZZZiiuFEh66szUPeOuUh
cKkKqy7LDgU0M58QzesYE2JVVJN5sioBt2eKNk3V0Oeml4GKL7iMFWMhRou0U0zYfHp6HjLbWnvc
w/UUe/eCvBdGXdlHg6AeWMH0ivLu0vby1/Kse9Gw72YuY1UXvxudRHFfkIQrouLObALUqxXp4G2U
c0Vxb062eosLOlWgWyINOv6osYk2oOwrMQGPgZLchfOF4Xm6UgyZQsst/TGp4be0FEpMqTcGF5Nv
8TBO4+jHaKWJFtM24CLU2qn3g46ENTc1ahNvUbnXZ0eEl6GiNgJaN/+r/Mq8YSYWpP44AZ+lHYgx
YQB8MTwFmfvm2k6KUg9PGPlCvCiCuKkG7oukQt2lsR6vieQWBf12GXiHXtf81PHeo4aje7okYFQ6
revqXs8Hc52RJhZ1NLOMOj/DmnvpK6yQrUbmLgFfNy+AU2Ga5kSUgPyGTXlfmw46Cq39KjNgFTKW
D3T8Dmbb3YDyJH7IguUUsNwNVV9x3Xjr+YpIpUBT2j6ANOjWw9jibKLdplfxexmGmySkJVxVRFBD
jAGaUBCyWvcISCeaqYX2V89kBKZO+VIGwwYO/qtiTVmXlYGCUhLdm5flfTBH2O8sb6L4xLTcv6Gv
ZXJIVWMum/JMZRnCBVnn+ZKkDnLQhoO0Ehp7mj6wGbaxAEo6WCdSIgWcAtZp89VDLce71kDeR80I
LHJNYl8AwMP9tpfrjVobGMYCUdUU5IdKe5wyE25HAhYjemxtngmm+RhMyclIFDtTaK+D5RGUapgw
4/GWaFWMLYRziDfv4fjn66UqbTlDL5Qt3kwVM6aEBBxayc5I4P6VmFPpKKbeihOjR56K95x2Od3h
yBPrvsccWwn9jT5t4Dtzz6mlIo4818cL7T+agE71+e/e4oHATBWKl9zAq5oHzd9oWDfCsJ9nHc+C
TvRiGbBRhJJoaKX/NVBZWVc+q6ql+/Uipm87dEfU0ljSU5sw48J5gqQe+PiWQAJM0EX5UaR4pI1H
HFNWicGkuBsHa5WUWrOvc/3kyLHeQ+iMeaHyvy7pu02B53BtiIiw+cr7lEV5beht2EOAhc3GpBKK
Zt94xjspC9CyOKtryST8oO2HB2dOD6CWW5iU9YfHuX1qAE83+SO23C+vjT7M6teuMP/EyVHELh1W
dcL4yeswEkpXgsdffHabBnLuMBVvKA4e6wDveVW0R8S0MfutTYIoVraIMYcRaQdzwkYXx8ipdLIr
8XE8/Xswc5qqhCtB5aCYWW4n2MyXLiAMUnr3BjFaq7Zxv6w2fMLhDygSIbDAJ7AyadFbTvMwVtHO
m+eLl6dq3cqfUnDsVRWmYzPFHly6q8ITL4XXXwIz/obMdRrJFD2lSfpJu4w3WyCqnCr7osX5cSoq
slJmQK+LriOoiQdIwjEhc1T8LtRwmdoUYl37nREWbS2roVOknzOa/X/v11wOAMSSF02DWGApnREb
iqPlOxS8h4kCsNyr9r3qSSicLOOgenyjNQ1czWJOk4nnokxOtTC+ES9DSOb0sDIQNIlxObxnuD4m
EesbhfHYL7C46Fr5UXnhpVF2uTMTd9p6zvTbJiYnKDX9qgmswODRdbMnevReE65bi44ci0Wo4cIf
lvI9oCZA93SEDmiunHT4w95IxKITI+A6O53+WQT5WVdLXwH+bnBv6BhjZw9vu+MAI2vBPfVLyynX
k5tNlhmP93gzZX8uvOw7J9+sGN2HNp9fUlIOU+00ONa1zvCRJwnPh1X0981cHmYrfpkZSrcORha9
fTBRTgNPY26uPueC1p8qvZ96EFtaejthMOiU8zD5XeU8NpxcfDvMXJ/JoAne3MZQZlysSm7deHxA
T7HuToUwqeIS7VcGOVjb4SczEP5n7aEchbGy7foJDbmF9K9pn7qrMnjRDLTx0zR+tk5FfyJ6gCry
dA0N3Frj+CPauzyiCQTie3kdRCHZFvzlx5WMTu5VA7K1bLBlQfL4VKP8blvmVN7MIiKZItMxIhgl
XLNtbzOSARCKkDSIV2KTgnZbTliPsvE2ocmNm1EjLKEuAY1wokrcDv9N9vPvZQOkpdbFSM6gzf9f
SWyyfppyuQr8C/8We4ynsLkoR1ZuYmxTUaJvsUtI/TypHGA7xqpk2ynTa1ZlELwQI/JKyuPToiB1
VU1zKk6+OnAj9NTLuyYCFFSLj4bCtQJPlVfRiJgD+ElAHVEM83eFFheGSNispPONz5SFnYnFkJFJ
ArqsJ9qRnST7A/7lop4gKcVEmZyPFacHR4O94GEryNLPQmuewbYeB8XCMKfGtw0hunO9Y5rMm1j0
307lkvYH02GU7xkMMma5MUrmr3yU39w9Z90o8RVG+CAU5nqRMFtPrdtQbOzOfJddtmmgqQH+tUhT
ythKE8NVSLnsZhuVX1Pe8iWcGQQ56b/tx0guMsEEG4KRmE8jG9xoCGWx1Uy1r00mQbI57lHXSy45
AKBVRw1kOTU8fcO69wrtI7ec7NAzA8ngPHEqM14fjZ3mLod8EzpGlRAmn2qFPDlmu9PHwGIO1H/V
BbA+cicS3zAQHkXBT0MU49XEQqkTJs04sH8fh/Ti1til6Fw8i0G8Tp7aFZ6lbyxV/cS0RAZhvk6u
dZdREy+XgpKFiq6AO6w5RIJGyBqUpn7byYrXkr9MZ/HdBlFLvQiiQ8d+BkSSFlL0bedluKINjlnz
o3DhzJOCjCUDDS/8Zogb+QqDfLTSw9oFZZWs6XW+I3/Jj5hiCMB11MiT5z7Cng9dvLyciUaFm5Uc
0nVUcSEjxKn5hIZyCCayDlX4N3SzhWmQCDG3bYGQWvG2Gct9ZfbvESg3h/gqr+YQYjc2vUpz2Bnz
XMMwRCdlcyEZRRxrNWyqtAXyJVKCuZni2pUor3jmvkjW+xvyCdQAFHGSkEhSkxfRVdah0zkloiAG
W8MeanjVfpzMzDfziyEwLTtSMp0iHaYYUQ95pBQPGr4fL2I2GimeiXQk9L1qpm070iPt4jihmA3E
Ri5d9dElAqWLAumHDtR25AWwefCs9ghH/m/VnUXeRkPGvBI9nRRndpnqaUCBrbc0dJGkCdabDm1L
HVTxxWu0NyT6HUDEQudSG29uzPhpXhpowbAQEYE3SDnZa7vCgkwKdHvJkC/JoYWTAO2JXmS8c8pW
X2keiUGORaArpve93iTPZIwhnzOZZTvhNaRVQ4xrupfDNKCdKfV1YBEVCVV2aBElxBGzgdnnihOy
Np+g0d3XMbAZJBAR2VLDVXlww5x2M2L6usoDlOtTCerQ7hZdZ1XrrIo6GXGaZq2lRSudscDFdOPl
MJKI6TzNRnGh1jUUzGanoc5OcD+TJ8oyQC8aFrXFNNcxu5M+JB8mrZ0nUm89skFvtQjID+vqH1j2
F6DlH6KaqzW994bluHrj6EWRG8w8ZkRdzgSmrgz2b5tz5jpPmmd64giRh9ekqTQEaBo9xM7dtO60
dina6Jc1iuQFF0ZPcWyd2iG2Nj+SW/aSVLp2DOO0h+V2iBFP8nvTkh97IjzGxjhkD5NWZ+8Oxwlm
gueuResZdi4qnogVQ3BAWMVB5xH4kCT+lAf9biAsF4+n1Z8J61NnJGb+LLvuOFO2+iayobU+on7u
e54IzQYFyNyI44GtWmJ9oukIft7cZXmwt/pxOBrLfwB1NRsL5le2ckz90ysS/dhwlqCHX93M0E2u
sbqXbRn7Vmhwjpg9/UjRQ06hRnRVWI+ETmNhXLspqlCHfHLfhvJhaA28N5htO0NPqAg9+zTEM4dN
GWoItUXE5BrzYdwEHnNJueYY5twaNitypj56tpN7I4SwW3B+85nxoOSyMI96Se3dDDUesa+BZZ20
iTERzZPZe8611L5OcyK3gpIkxFN1pw2YYmA7DXCykwRLYBY/IAEzXWx9gkEmItxLVZPcZhC9h6SC
kZ1YNjSL5m1Fw/em4gqvdrRQTzLrYOWLBbqiZVARykhbg5DRtCTfoCobkynQ3TRRKxuhi0zOna7R
uIAT4O79H+bOrDduJs3Sf6XR181CkAxuQM9c5L5Kqd3WDSFLMvc1uAV//Tx0VQ/qA6aBqbuuDXDp
k21lMiPe5ZznkF0Sl+dEhmdDsYyYsHUODsGufqvS6wI7ayOHXQOolLmtiW/o0p01NTaK8IpZRgvH
Fq7H3siSHxOv1GnWEv9ymO7xCmanEb0dAxV1LexPdzCT8+R7+pR0+zit+3OQo0FMRsXDdBLYcxcL
CsZEGylZkUtvz+DyVujpKlzlPLeqh+Vn9OBvaceF+zkxMttFZXWvxFg/tsCABVg8Vnl8eCOeUnRz
rNYI4N2GcfDWemQQ5qnxE2Rv+eyEKjxCVbGU6b335W/ZMd9MRw5Fn30ErkBxXwNSv6KFXDAsXUvj
1Ij5FUkxfHRUbYeQNQtSh8Vkz9iCfM1hh6ik3bjMmJic7YTFzJOq6sBS4kI47x72ur/lRpVrmJVj
y0zMjNnvydEgDsZ02ktunezmMysLmHElFI3UY6A84yTXEscEQbQ746ME8RIFIUt3oTfovqrTCGyS
/FpU2s2ej+CuSnNON9hrVHM5mUFpe5eNTxwE4R3dlJUP9lZJbnSnZVflOi1BKcABGMKyU7ZmBeH/
vhmJazYqqJwelYYnSrI6SUbomAX4VnIZHfI5mK7duSWNYjLhImfzRV6lvSdfIN0uDeIhQ10GrRz/
zh8avIljGLkfBNr3aJifPSDfzEgXgjDBP6TMAe8PmBrNHe1tZ5Bi65vtwgj2yp1M2Si6eQBANdQF
pMngUrEEx1Hjs/SH/BVmDD5mY3j/83k287ylvcDg3hBrcXCMhPcpm/NDoQAYOq37LgIabFEwWkc/
C34Zb/Z6pJ/daqTUWxJkd1FB7TwGfrefdUrH76KHaTrKkxgY7Fp2lCa6UZ+kxZu4XsibZUHnTcRK
l5UjN02nXgbQbKgfF9JQFQNEK9LduOhNA6gEvJCE4rojutJMIDcUOSewWdL+ONzze0/rz9oe0zOi
HS49Dt7YhaTT0QIPcbifXBQCs5fQDWvU4V4D2ijXnAsWkgcr7dG3ViLc2J7vE53DvamC4qOtk3Fr
yGLkjxhAbFn7cmifoAlQmS/3n3RRMcawWneVCxw9K7H+ENglYvnKu4G9xIA2lKcT4CCs3dBk0It6
eJai8AIQiuqgUYeBaF5MQ+yZBkXTYiUvnkKjxG72Zgf6J6kFDKJNog/736pjg+r3j3ToXynijV3N
4jfrh5dJUoYG6o6QHfhOjAkg2PFX7BTKJ9TGAzKyIcvwFLC0IP3WYHvBJmp80Q662j8trpmMhJab
X6x+yQuf3DcnWiYp5FABthyPBpm9FJndl9OgRCSBEbOUiXQpNtNdKxVHuOpujkq+wsgr94aWhADW
IycjcZHz5BF2muHYB+CNGwK0b0aWZKjFC4l83YagCoZeiorYzd5PE8SedTIjKQ0mRkXV2CL9My5U
hsTg1HAEpsb3FrQA7sNwnXaudSZIMgDuleCdnMTORdW1qrKa4L3YDjFDy3zrDOA9uxAw0iBvvaRG
MlwqY+lzH6I8QxwdpjvGA89lzF1bE/O2MrRgO2fzW+nQWwPasjdJPiyxo8melCFoUbm4ecjz570z
uyRFojXzWvXiljCD5mHctYH+5I9kl1DlpApV7S1tq2uBhWUddHw//Ay9Z5efHWOTNawd9Xdz62/E
lCH1HJEy2aiuEOE0P0iYuMLLGolFHLbhHBqncOyvhVTjOg0cCsrchjiTF/1OdKzXZtJdUqv+KGJy
LkzibbakJIyQ48e3QXS/7MFEYJ4ruXYRfFxCoOdqRj9RkMxF7lI+HWQ9PdfMxeKFjWnl937Er4ic
8lA2U8NHHQ2FPRn1NZ26G+UU50bWbeym+urbkpJdMz/0kSI2CI4UAzGbmXsxm8RtQuDFh8je32FC
OyD/dKz5IYc+vm4yuolmwg7Swh6eAPkK3qdNs7wEbUvrRL4rZE4JuJ2kss7YAOkGo+9k3xi7oKNr
aEKhE+UrC83QTS7/AyX9nJUuIFzRG1uEYd3WagUfSIFro44Vw6ISWxLHHerlgBg+t7J36cxyDije
vJEzEi7euq09eSf4ifn9VKW3xu4hVWXTXU+c5L6zWZ/ZSnwkGNY2eZSdeDk3/jweiGU81SEDlLIA
zYv2kU2SyD/6OWspcKGfMKuYAWvmDAj3bEWYaM3TNnb7MyOo8S3PkJDVoAmIY/nFEBh7VMzejXAg
nA7W2O6zMCJlNctfyzbetMB5MJGRMVPhber69DWNCExwBcKELoC1gp7i1fH5fm2Ry9sWHdtB9Dvh
5LNa4ypLe+9JK//J7/AQj1JvHEXHu6A3s5EZaOj91MUU7nj7QSMw5WtJotqaFIWsnQcGeOm5tVvz
2LAdA6qOejgIJ5Sv9s+oc/fJHKFo99nudcUEjYdw1cIzzj0HG2Vmf58W6vWPZfZf8r9fk88WZNrv
7j+XbyODQLdJFHf/+6+/VH//NY7tzUf38ZdfQItOOv1AjI9+/FZ9zrfyG/3jn/z//eK/ff/5XZ51
/f2//v3jq2ArRAJ3m3x2/5xKYvnSI3nkv88yefr4aPOP8uv/8U1/t7p7ON19J8D4ZTum41rOfznd
3b/ZGNUXi65lY4P/k3DyjxwTGfyNRAYz8DxWvZgp/ynHhC+ZGHoDviZNFyyG9a843V3JD/NXx7Yk
TIV/C9/zTIdZxl8d2+FYgPuNO1aPHtxbCSpqFfQBmHqFATAE652HhCf47MPWlV0eLHIDGp9NPTFh
XDLiMvvWY5l7NquDYE/+28hckuWSGdnDsQjhFbUTDNSEgK4waAUqOAorR41vhc0Z0hcePS3KQOBP
NfqshLFU4wdfVqSCo920Z839eAIg+4yRFPFTZV2UWf+sS31t04UmoYcbirjTaF6bmk+sggzWzST9
FQo5oOqD6SR6koPNntq5j18jcQpl9zJODQuzHPmbITHz9HewY1fI6QD4YLFz+idtttcGfX9Su4fi
Gyr7ISKmZDGO1i06V1pLvBU5hU0dn5mvrzHEITXDPQOl/znkNyES6ZG/OpfzQ8ioIbStt0Rnjz4u
wtCHG6gyjCEY8xsKZ9xvMDE9ltQ4QBl1jY6DJAGclUkvFcDet/H8jOoqPTxQacAAFS1QeI0aDFeW
f1vyYJBtHIVCDb/YQbLoreKNCXvOJDv+gmT2Gi6mgyF6GzNcrL3DKzoSxoLfwbeuLvegBYJtHAkg
YapdaLKyTO8mMvfCJvBgYfwbRziPObInP7gu/42j+jT3ePAicTQd77Z4XJboEx+qnOUsZQP/13Sr
wvNkMU1kY1yEw1UTZZmZFDzNQNgFOTnQ87Y6GhgNnmvX3hBSvB1Nukw0/jGWrMWfUGBTyrB2Wejb
FpvZCBu7xwCmKd8YaSLPz3YLG6Q3cTpjlBA6QX7snMCHUcm+Lv7jqIzedOPvFtdThdmoqc19hBFQ
Nb+yxruw2t2pXr1IslGr4AcTDvTf1U0wO1Uzzgsz3Pnq12KXIhSxOoJdWknMMin7R0paCh8fqnBy
b/blqYx/ZtK5OAXjQ6a1YmvpaaH8qru2AKY1z/k6sX8sHg7XILXEDF/Rm3zCKf/Z84HTDXczPYa2
5TvzUD41EOhDQcpOgRAnY0ac+MyM8bflBAfX+dXAihkTaeq76rQI4gQ/qItd3RW8sxpZKyaieGp4
p26IOm41JRJE07UbVqdKOsfGxMHpYPosMGhN8tyLGFFtdWo0K8TFPOVWGAtj8355MF2pd1EDqs79
7tvhLsrKT+Iqn8Gg3mUNqTUGMxbooawswxYz85DcK7+6YaqomKu4s3k/s+Afu6cqD79gsN4023+R
V3s/X4zixadXCbKaCab3e0Sx47lX2WOj4q9eFD8roV+kiN6W93WJ6Jgbg5kRk3KW+Ut8EclyV3Iv
yYle3lzMJgWRKaQlyXHcLSk+fUjWScvLh/du8dVxUxYgRmdsXuWSTBRW58WfsrwvfVH9zF56P3y2
ljSD2YsfAJXTpIevPpE5vYOOvLLeCmIvKCV2zewv+RhryNUHjwACdh4MZm3AtO0DekKmkERTX138
Jej60509t8AEF6Sk7MkV1r3vrWxRQwxi3zt37Pfjqt/bhCqjgKt3fkgbF+so3cx8OkJiRvkDp18l
gbfHePjwhYEv0mMxo71uxTidM67sahD3CN0K8z2VQfKexNB/kc/z5jMB9xz7amTy4A1IJnt8EMg8
N3FSNMeqs35rzK4rIavfFMLtsVvGMzhTv0YzZkQc86lXze+yJDu3HOYFeHBjFUWcvQmhk1Usk++U
7F5Z4x1RiFsP5SDxo7CA0wNPHYNc+LR1hWkyn55IXD/3pnCvdfVK+HuN3kcUd7mxnShN17SVcmsz
3HASNT5LWLih1ts54ehAockztOQ85fOpMfMIxDW2y9Z86YcEF1qklj5tKaCW/ELyl8Hf18218X3j
1BIq2pn02y7LMDQBzLF7DLBIiG5RRhwTeK+CTwMUzAy3atCTPS0pQxHz8c4gmz87YoIIQ8Vb5Z/z
uCwDpvekaizEv8fKQhYZ1KSEimrNZsJb++48c2/QXRaDwVyxroIT3g+czi5xPmzVStIuyVDupg2n
2x2ejHJd0DIl2wZFcoHeDFNq+MMSy6C2ZalTcwGEZOOyVXFPeTkQmCwPRlHs4zw4+l5yp+vxZ9Hi
nyJzeuP2BWu/8Gb3euPb9bMM2Hwky72YBuW2diAZFkvkcWGyiLN8sAWDzyRHuSBTXAyMVNDW7svK
po4RT4h+PS/Qe2qn2TcmghxGlZ7Z3iWuvR2xeh40+pUVrCbiQUKuYlO/10m7t10k9i6i2FXdus9z
VH6Vo02WRsqzkaPtNBTPX8cYDJUjZpY+/3Zm58PMu2cFmDJxxpSD1rqELfKsggEnZxtkjSxs9/wp
BUgXLvIC/LYnCmDZKnTu8rUYWJso6G21ybi5RwwiGm/vIURARHXLhfF7LmFGzBlEdi9cYXezNn03
1wgvU6h7d7X2obYpd1g1jpYbVdo34ls+PSJ0N84Qg4AoiCVZQmXMhLsKWQdie/uonHmdKu+t7bP3
2rBYcNd6U3jW1dTWt+yHLeDuRBbncUwGFspZsG0RZAU+kw0xUUskVQ4aLmRWqYlO3Mj4WQUcLYKU
8OVjTvq0+2hZhMq0PbKH2E9ek7DMzl3l1LuAQGY6U+8Qdc19QlsBvLgAtTg74SqXDIKR4tIsE/Xa
GJ8BREN++wMm0EMJc5Tgbp55RhMI1cKRaPjwGDsayv0YbqfZpazy/OMcsL42iKchfLt/E2ymLjPO
Cqs3Tr6v1qYJ3NJBoUGBZ+5bz+DG6bOTU/EyEVHV8TQmwGeCV1Ru5ZaCE2fRBDa5WVQ/THmgHxsH
VonfTcnq3qMR2ZAKsYM7vhazqHcG0761OxNNMDPqYi1bB6sggELrtcGHRBFOYNJtcsEd/evtyv67
uvsovtVf25P/kd0KBCTf8YEu/ff9yuFbqe9/blb+7/f8g8wl/sbCXvAvlxnK0rH8V7/i/c3zXBun
tOsJaYo/X/mn3EXH8Uho86SLWlaA81J/z12kXwHz4JnCkSDYTOnLf6VfMb2F//XXhsUBMOVZ/Adc
h/TdpaH5/HgkyklBD/sPO0JEOWgrAN+qv+bJ3eZlXIKjAIlNjOQTAURvnYnwOGKWKtGRqTx2t5p4
ICIkglVKpjKXSHwhIOMwVmTCNsp6aMtfdcknz0B1JzvnR218iLlKdl6Mk9dp0jvoqijH7J1oFZjv
TMOoGPQPw3qdehlgPmiN3ZwLsvL6CV0mdn23KDc8rX06pbtYUXVGIvPOad6e2yZl2O8NPxykll2c
P2UtZ1Y5s7bin6o7luXhvi5ydiBGg4k3ZSJtBc8Exuw6U2x7Fyb6pPgB8yonKN6LTILgHANzS4Dp
zkTYn2uIh4I9qzR3TKXHdWPhRce0mgv8yz55AAjG2hFpZAuBhh/HxleJmKz0x32QMDgriXjEHtNu
dZCj+KFW9cP6R5NDQ3XrgWxiEMXVwnuuGwJZOvHtqpE/JRT2sWPfhShU8br33etEMbhfTIIeflv2
2NTMxcxmlGwNorpGVvrdAKuhWK5Fyyyxjs0aVB84dXdxM03TQ++A0kkKw9sG8QY6tX1QdaEZopnf
9cxNG2cExRKGdAcmHkVaFCy2xWwz6oBR1YTnwuDiR0GD77s2tmlsfbI9d1nImd+oLRZ6rbjarOv3
OCFRiWTsdBJEmV6Nt6ZHzDTMqL/MOX9NpWY93Rb3kUmMVcNkbNPI9pkFYr6KCI5eZzFZJqip90oY
0c4LsNs5XtoB0HkuaEfvrHwWG3CWNKzVo5k18XYxlSpssm4aEFORnGTd7uSiew7Hxtih4mGta+px
64agFCqXkZd08bYNIt+Yyn73qoeak3LjjOiomwoUrYXKwC2aU8P7V8TwiIkCBnGUBQkL/36Z1jJh
YpVGte481wN9J5KoXdoxwA95dDYyuWD1SYGNAoZjInTp3J5EOoyG5MBgjodB72cHdmvExmVZTJbE
r6xX/t7yxQ8rwKbEhbmHA5TeW90iqjaCfp/5UYvI93eNhc61b6bsIT0z8SMAvrKRNgYHgI3d2Y0o
AnXogr7z0qepQPskxuFBzM6MSAOAyTJnIx7lV5cPN9a0DeaCOXsVAQSoFpIBnWyHFo1QxK6JthQI
q5owXjv1rta+RzjJlBjWvniyiGq+cwz2ovPMczaE2RNRFD9tVICenZJ1U6sLJvUYMzCqoJZnDKyc
aOGIEWyHS4QqKWTG0dTEQLpFKmGsuumhzxdLb8EEFyE1O8xi1Q5GtypYhO2jPniqijw5Wazxd6gS
nrpOWxfZFPc6kfpQ+ZR+ptjVadUcwiTzIbC4D0OtnRVIz8clZsax22AH/ZAauD7EevxQTGr3zBmC
FWizfCPNEf22KSlhhYVraxx/lqV9qOhJeSZM9jcZ7Y02yr20oXKWPNxDTk3ELq7euS4rDXsq/C3H
GDiq5tR66Zu9hJYWgPQWaxyD5YolA31HTovy2zXXujF+4TVNDxbT+t0cFh/KxBdZerm5xSn5ZhhF
vvE9DsGl84xMw2Wa7R6qnEMj8I/JgLGbHIDhOKTVuFUI3OhG6U3yiuAtPH8bk8Cqbev3Nxlg5Qhg
a4y90ic9Ol+ep82zJ9FCpDO8tggslkd91xXmLa6BDVY9rbs2QJ6GuBJhHarZgCAhCDTxp7k6gQXQ
GxO5GDmq9dkvbyAa3RtprtiNbA9W14jLqWH0uUrmLIYZBOBI+NjVBTJHT1fwwdMXY+waFmt4LDFo
Im+Nj1ApSYFj0fI0DQ4BFV1ub+q0ILGTG8dwg+EU278Nsn/uivL32MwFLtb+kSKmum95CquR/LnA
qo8yBozSGE+9y9p7MoYTKkH6TZz0meSCAAL0BpH1nppW3hbjcdJ9qrROdiQFJTSqFkU//Fsos631
ycEXXFmEAf92UKLaexaPWEVSPshuPVFpLlTdALxut3B254W4i3gaZL6d34fAeMOFyjssfF57IfXq
MnihgGtulO772BRHwlBrUP0zRwvsicR2GH4R5OJBAJ5AAafgVRm/50dD1FR+OIInAhEWenDtPVhG
3lwzJ/81LnzhhjQityOz0PVpIeC7PwQOPM2+IHXLBFUZol2BLflp+r9Cl9PCfZchYwcqkhbRAyQG
58yp1AvYC0Zvu8TNYKiwTRLbVpWVYKCMar112xcslUhPQChr0yPpcKEqa/DKc7x4d5mqaBvBAkMj
T5MH0IzpsZ/7V09V7coDFsao4DpJhkUFiBwsvjCbOAc3HYjnCnhtsjCfNW6whQHtLjRoV1akYEqm
+mHVOfAPsxdVysM02Bvy2o1dpBo+Zml+EyEBm6IA+S3RoPRAqPuOgiQhlAFDBWpXZXwjefTemF8S
axaAMshDcNQiY4DTsk1qhis4vC3PNoehDU3ERoai8+5n54LMjtUD/Ui9HmFgzlP+zF4s3qYAtR3A
2tImXA+oM3AHDpMa+LazULjLhcfNymsHOFLv64XVbbdQu1OxQLNm1yemdMYhltJXWOu9XGjfpguM
APr3CAY8XHjgMBZslpYgwkGF0+uIi0XyFZJJRjWUkne217ziqUqgMQIMSTyo4+PCHy96a2Npl0/C
wibH8OoSYwe20pzbLSqtZh+jgV7lqiJ7taqinRsCRQNVBaEL+PmCmBMVqgd34aJ7PoR09D0feAgX
UQn0dHfhqI8A1QVg9RjAeglo3Sb+dNvBrh8XBDtWvRgkOyE5PyT9zmHw8nyPOs7+ChuoChkodwZM
26iG7Q6eddsvtHd/4b6nCwFeKz5kc3HfWVN81uoyxezqzQZ7tcOenTr6gL0mPKD4VCAuKhjxVFdB
AZSBA++cAXNFAAElsQFNH40w6qM/2IWFW28DsK8QWJ08h09eG7jkyWBgl1gXmtAZ4dpDwHd9WPjt
QsXvatfAGzrf9Qsxv5LGz6SU4siWGLu+vJcLXb/p3nFgAyInXYVBNmE/g1U9pCD544XNrxZKf7Hw
+kdBLojq6rO7sPydmVPSfGv+MP4X2r/OPmlYHxbCHa6Tch0pRNP9CDkQ3sHBN1q5Hpf0gED/gqjn
MFbSzqak6z0l8QuRXK0lP0JCW2M3IfcNhrYt6+u4BBSMJBWYPnZ1h/2WU1svViy2du2/KbINajIO
JFkHQxY4eyzOB4H1s/XcN2+eH+olHsFbghLQw5/GJTqhWkIUZNvgkAjiu753YO/ycxnhxlUMEuJa
vmaybYnJxo2BqnhPksCVwOtsX2rr1S+SPU8YMlHfnA5a37CsCmJMEIQE6O82OmDeraxPMyntbQvY
Ed/LfLFJ6+zziGX3MBE0OOJ8gMm4zsfqgNkQOpqNLFjqFOxoV+zaISxO876q6LhFxvxEmL/6tkfs
B59Vze/kRIzbMKDgq1TiQF8i9kIjXNmoHs5q3+r3Jsx6KK7Na62hple2fR2zmUwXh7fZyoL63pLy
bqqpDlTMSToNlHi1DY9YUDyjcREotdIfllXUK2Q+9qVLfuRI6fdZNFsX4F2HKhHNXYyAD8h4gDjN
cn7FWZCeSCo5m6FYsPwUyg7wRMf2f5uGvRstybMUcFIiUcNHqfmI5Av6JegAlCAzIMkOGfY4XSZv
lk+zQs8wRz2C0IT00fS+axqOCHQ7Qt7ZiGugt3d6z/G0QtrzYvfhuU2sXd/gzUtq5xAsUG+JGHbJ
U4UMaL9aISJxbDKbIEdnmrUBGYwGW//MuBsiFIvYpqopZ+3SDV+8os/wZxQ2iYy0XRmQ7O4WGIxr
EApiSs7FWEFyyFFxSXQ6FrRN42uIjU+vw7liJwzA5KUwCCDBsHUxsnyp39vzlDuXzk585JvBE+CN
ejF6kgE19T9t17ovyjbc4YwX5/xeWKzOGNwGx1yQh41y+efSXpE8hdw94TOam969CZyMzQIDv6Bg
yTan7VsES9KrkRgFCUVQGZbVfrb7B2vmV232w8wZeOmJTXWY4JmoqHsSg95rHCkgosl7j30yAERX
nhpvNRJXfQhC9AmZd5P1d96W626yyV2wo+Hq9N2JwxILgNUffVWCESIqJarjAJNPv0MTWW0EgseO
YriEkhiF3lU28rGqoLvHcfmelCJEgdKEB0HhXZXqFULFtMq6duMjQA/RTvc2diTLfy5b57Pvxi9A
ssfeIsmgjPPfgLoRVhkM/HTyq+xUBQ7GCtZxavFmRXtXmdEBUSlP33DX+nV5wQwH+tPrb0mHv3Ty
wNjNKRZqvCqj49LEf/d93l54eZ/Cgq7ZjYlMbZAhjmykMEwCNlFyU0cNkJA6Ll8AmNu7yM7XvjUs
EqUcmH1EvRyDPsYjN55lpy+VmiEM2XJTiBmnLP6ZFeRh7GCwZ3oTE6l3nhzhowCmj+wy+ZRCnTrk
Ptp1RDs4H3nlCuZvKmm7ncrIcatqpM9FjxYiCfVD7eizGYk76uzyyD21CTJ1tQIDrQJx17bF0N0e
frZw1abZj68qoo6PB5aZCfnH+Mp5MxfkBQWtjYWxcvGKVTZMtzYXv+y5+RjDgqwaQ4ODM8K9O0ID
NbvoPrZIf3WSF1bIPpB9A9m+JTdBGLrw+hN/b0btswbnNZDCWAmCBR09MtcX3cOEtfuILNMgHgFD
gGzH57Sjw3CUsJ+ivLKfGJJiME2v5I+269SxP2avCo7eDemOcaY0fAjGkfbN/438WMGHQls4i9+a
93rVS4RmFZaaxB0ZAVXDpqtCFFyYJlxPw5Sc4+oyCORAIn1c/MfXWTq3pHXqB1L6+DJb4wEcWhCM
6G4xzez7fsTNkRuHxomas7QnrsGEiJMExFDuUEbznJ94+la1UftbPCEQYurbEJr3dNKP3J1vIbGT
Ghl6w2f8mDjGNW8rph12+rNys2onTcxHxGNPO9MnYRNyAJvPPH/qoRfsmZX/ms053apeiw9vPrQU
i0AAmmtkEH305wlMJ/NxKqIHc3StbelfPAvHfoajeFuc2Rlp9qZlubFS766sp2TPppR7aGbDgXrm
lFm5fYDOAoCZmvpQwVNeZWo82+AHNjZLokImxc6qGDOQazRN3uPkQeNyvrIk0I+OfSdM/+A92KVJ
lUT4AuC6xxqo0GZe5iJD592hEazg/BQLJqtuT87IX87j5seiYJ/TqH7oquIE/hJwFetVhsEYUuNS
7erxxD5qYxlqF7ltTPA5AwIPzVpq+AC5XuH0wENLMcZYOsT7KokqExTYACjtMy1avCoIKFuPeIUG
exaXssPuOfZDtS1cgsB9NlcmANEtorsfmcjuy1zzeRGfUYGh0MeJ2vVlepX0sFsdl/YaToKH3w44
iLFYRTDWzYl/rkf3OrXaQVqbPqpg3I11t20CdVPh7LHFBaytGKLrCMc8TAnySc5EE0nWyszKiBhP
7pCLm4gI2sNYcoWLWoxbfwjPI2BwkuVJABoZLaVuvh4960mmVOIqBOc5x0gjTfU52VN84vi99Wjl
d5j+tlFBKpovg+egl+E+sMrsrUVFaPmHua6aU1hw1kXTfMzSjywP8SSZNl58q7QYas3vg02ufTkC
KPcr6rexFuhxC6KMvGBhRLF5NeW75U/OPU57to6qmR9ahn6Y3exig0UYSbc7g4bOPG4a/NnbHkik
Kqf04mfqzVGwacDEK0LDa/FMDTsqrNJCbpDtGqeACRsmehCHeR2Gby4LwUR5lFW8xjsVVD+ggDVJ
bNwUfPm1zKZDNenLqEy5ysoSu357A3XJbDVrKfsN/W3JMTvoKA43Uw0P1HDeNPDEdTsBHho4tYPC
3fjDl1dVb5Ip9lkQ/LYi8SehX/OtFzkHO25A2O2kAXKNhd6ezNYboZtgfc2jUowFAJk+SJJMLii0
wJa6REJgzd8HXggyLSdfSMTI+FwJdav1zTsCSNdRT1pT47EyZBlKQHDgHAApvnmVQ7lZ1y8Q1YYN
khm9DQxvCb97cyyT/Udo1XszMKYtJRAm+370L/lAC0xoSwCFAHQQsuVt6IeQ5ZzoSkUSHEi/e7Md
UR89N33Vbok1zZOQCllKpal3HzKOXKnqEIZjdgLW669dHoMNg9JbNqLA9HgqGuzwVnjHHKzYw2j6
6FJ4UIUMtj3Mtwq7Blau/hIC7C5YZJ7rBr8SFjn0+plcx6gnXNtYZuMeu0PzR/wnfz0bGGWz4ixM
e9HllFsaaYSXPkK8PocJ5AwSBWZJOrTGhTa0Bd4Di5Pf1Lec6UOPGQMvF4LqWCo+G+jmyRNk9+iT
7VtwWpWjAcmqRhKsDDAF5gInG52F0RTBd2flSHYjSdJJOz0Z4eNsSXUqSgSVlQ0c/08p38G8qy1z
2syqCu5clA9pJZ8Lt1kC4aatyLofmJDODbYL7tb+NfHtbz/nPAJB/ZtDe9XH6rvxcxMN4fwbtRO6
0KLbVE9ukFxL0X2ERfNrkPbFsKgtdIC1RxvJs2ijH7gEz0Q3I2Z3xA+7GKArLH4nO+fwH7ARmlq/
1Cq+1iWJOmGL0grVfW5Tg8F6mhj/AGsCq1LvgyHYAmFb1RLeoRvNLejc6ZmcJTRfczSu4iS5bzJi
celvwtVsMpoXQ3/DojMsUZ2xnnBiJfAsECasMl8Q2gbPZK91vbQB5DF0DcrSgJW9OSfZhWXHXev9
cvzSubo4oSesqSdKAUYv4NUCN2LYnKXnWrr1QUwYXzea1cglgM4/xyClSy/cFnCBK/U4RXF/xg37
QSYqBnQa2siZNedjeqz7xN5CJLjPI8fcVRZriLl8lXX+aivOWIQU56YunpElH9omJ08yIfM0MzCq
5xWBnMasgfPgrW7/5Kmqdz1nn9SFAHN6+4RK8DIMV7OxCMMMgau6KZhCh0HEBMromQJ0JAl7E2Bh
WlmqxS8hF7cl8/QgTe/rTjyhOGN/UJiclFRh6cQzlTm8Q/1v3IZH7SVgI0IP5NlQoI8ImoPwOyQV
IXS8jDUDrhjIGzn81VYud8yCt+bsKCvF5jZkKd7rSzdIWNxh+8xO9yyQG21YdO0TC+lCuVgJOwYL
XAcLIgsApAD1hcj/xoVakGAaJgO6CuTuCW+QrO+ZYlxDLcutJ2GvEjHG0moHsr5FlM5cF4f10W87
hvjVdIJfApYkIL0jicjBq84twuuzl+IG/Own/9uYu9fYDctt5M8lsFc0LtqbuDFRVwSTBT/Irw8E
qFagj5jq5qAMRgFduOpm5hfY0Ar2B5m7HXIfv3HbPYdIxikNacybyAUNPmQbE4kIdXFQb/3AIuh5
zJwN1uRyO/uL1dakWA5c+Gyp8HZdO7o/DVgxCdIdxCFGsO8Q+24DDAOrjhmyk7FFUf78XZhldDEx
omVT9tFEqXoMyLLZkGd1c8DyD8X8ELtkX5fwIo5UXIQ9DJtq5MxtbcN+cBFSlCCoggmZS+0rZ9/h
NAWzO219C853g6QQjKYk+SVpL3ok77uI70WCzK0yIroK5fwEYcZPF/W7OGLJCDpEE4yYmSubEhzX
hruqlptktlCgsTbq19wm5r1wpgW78i3cUe9lWcanZLpUVm/vNfJmBtdjdANzHvwf7s5kyW7kzNKv
0qY90uBwwAEsahN3HmIeyQ0sRszz5MCz1a5frD8wS1ImM5UyLbs2ITLFIG/cC8Dd/3POdxI2fNPM
hKWv5TF26Fwwbic337KFs4TbrBrswFsbIjg7LrJpuwhgp9GmyctA0K/2PZxKU307tJ6ATTsNe+a7
mtxPDvbVKopT1xl3I3P8VeIi7UjHf54AH4D703euCdNS9CQFB33JR2RuIj9iXdL9zkmvECk/5qh6
LNj9UeQB+yDQmsLuDF+9Z661VE+NTSgodcN2m5nlul5Qsf1M3sN7I5TQ3f6vVv1xZ1JM9K8l/4vX
j8/CeP6//9103Wf+9tmEv9X/f/3uf4j/jmlLXMWo/CS0PJq/fq3lcn9xBBYt8k0o7pay+Af/6VV2
PZ+gosmhwvoh8P9D++e7pMf/xd8lief44j/R/vnb/tD35Cgb44Ev6PiyLeH91PfkRpOcWvJeFxrp
VWWfVJKQMV/Zvd9sCa118OKY0JPQuGFSgGwW19Ref1T4TLF4IjAaLLJ4wtAIlEH9RglZJMwqyMTB
TTJ233UID8JR/npRDDMWJaO8pE/T2NRL7EeHznbE1bJOrfpstYD5HdYNO8CNH3LYGcfho+eq3lh5
RpkjMJUoIjlkDekjEBzBEA20CugyXWX7uiRj5Qz4nsIp25NCu07QPWAKwffS15jRrE2f0n4NOneX
xAOqeT5WW7NIDqOGUuS0AQFi9VCN/dq0su+VKd7DHiPS3KqOmN60a2gwv2i0V29lHdGf4VzplpHJ
rJ/tjKR4W/vvrDWfdmTkK9du5ouG87bZ4ArUlQ9Rohq/Sm6vYS42pAyZ5mSZWjI5MBf8L8fA+aN7
MGGibU6uaYDiCDfKtm/YeJUm6WbHxmjlVd/zBBI1e5WKMvcpr16FO7wXebRtpuA4mPywZiM8JMoF
NmN4D9oW3/DKfYjaJr/qdJcD8awqvHNdDVoouTbwjq2LgPwa1Vl607vZZZWM5IEV/gcVwHpgAvJA
iAymj6G3XoN4NA7z1oXOJKLpLCigwBMVMhcnSmLYA6F9R+5kV3zR3cBhkY6SzpNfwSA/GBA0Pfok
8a2tajhJMum0aZHtykNjiA8/xd1p4l5dlC+9RtsfD+wGGv8zye9wc39PJce8SpzKkVyLl03Jvqaj
e4Dx1dUaixcN2J3GAIlHYcjCm7qZj0XQQ5FyFASH9CXIYHaFfjnQVa2+SP76FzLnxEDN8IMbmy9Q
8uyLjg2QyhI6ZeEIQeUkC+SM+CTwHe8WhjfE/9TqriPJSaP6Kt19aihaKxv2Op0PP6nusdHMpJH9
zqHpNg/kCn4yjDgCdODd2Q2mFWpUBxUfAzD20unRTM3TYKv93Kh+F/mgey2QomE0YKuZ4g9jck5R
ABIcWjTtEYb3XuMLolApOXZkgzjAOubOju+FB1hGd8e66T3G4ra7TZit+mb03CjvLsvc7Tx50QEf
wXUBPXHgz9HFQGI3DPA4lDV3YLIQc2bNRTgTkwmSBtEXGwr41bVPjQtjoPYcREhvosHDHfj2zQ/5
BXzcyfLx5ntxfT3PtDDHnFMvfNQXZVRrk0Qiv6HFJ3NfTed2YH6Zu+iFUOYvSoO5SfzaKSfnlY/U
IpNSi9x6HYZJv8ULCezRsTcahxJ7CAyRvbvwH4f0bHnJKaTrq0i+OpeQUUl9TMc1kPSj3CE+0hBF
zFm3mI4TaQFSW+gIywEtIJWhm1htIfO+tWSAC5FZmyoLvqfFVO9d9B7LTEcAkJzuc3/TdbxERaQQ
EvpXZkKcTerpyeAADnwXA3w2P/ps69chuhrZLGoBQEtgg0lv3Awc1LC0iYyTBd8FEcuY23VoVO6Z
M8De7fcV9WjAQxg/VERVZdqbG/x68IQt8S0ZGcjruOvWacasLyJOeSoD+0YRa4rHKr/qFumsYko2
i+lSCjDZADVsZqbgJt2pGG9BBnb0dnhqvFSJ9ZEaF3UfhrQHSX3hJqI9wIS4yEZnWkYEcItdUuw9
owQwPvdBklGggPpX8doLMYGJ6eV3ade3U09PVZE14c1s+9QwhAcmOTMuAPLPP/LCuORNAGebKjHO
ucWpyJfNOlnOztRwXwUVKGk8my7XmSarAdYgL/YVMtJKHUlcNrDsx03f4Iv1erZhQIpRT6C5rJgs
3sE7K/e9q08Kx7hrGVu/rC+HAvRJbDQofLURbO1y3gW1AxF7yA45vGuoCGzhiqR9r5GaDqDi6aLk
VJB8DcqLL6qW+QgbQDKFNJteTC5IThMv03GOy1cfKWznJGRDI/8TGt/LjBM5SeT7ZMppX0iiyb6f
8aDSud79+LHtAWiXSQSs771w/QnvEaTqeEjLEh52OO1DchOUtqXTSvQUvCdeweTe/VQMxHbsx14C
dr6OFYNPTDP3gGu+QqTNyeTYYFu16t9rK2cPLSQZv9xO90XIjr8K8Hq3JdwNhwEzzJtxz+dqblqr
xXyafs8aoS5dsCosWdI7yKinccpC0CSkuYlgYO+V2fGjsOBumwKrW2ZH95anirvGYv492rrY6oBR
UzM2KLNuuPGr+QoF77NChFkR5LPPiVM88nQYZs+4jxZIO3S9ZsNJ73sE8PCSmYpDA8WYbeNaqF1Z
j+ck6cZj13b1oUs52i+zwcbTO60df6OmIF3Z1T1DNPvs5pGLJouug5H2PM9UK9Q8juFWAEAmtp67
uGBrgLk5nQANjTebIccFmEb5M3cCyWy2A7BrtPeS++FXhATW5dl7Mle71LKIP9pvvof8msb5Sw01
6ZTZ9nedN5dm6p1ymPe2eR004HnUQiOuJ12SkiXv6xJyYm00HPx7+fDoac/fIFgvKO/+u28ah8Bd
dKDliN+aJamf6TGU86szMI9FvxLAf9IHO23uW86hUzIk+1CDpGlp/yVR0dWPIfUtZdV8R8K/i30g
/Xk3Xs0qnrBfxztQ9EvCKdybQ4c5Cssu8pL4ys3ym42C/FIFbC+6NVGrb2HJqzHdh2Ga9Wl064dM
oGWG6liALNjEgf3sNdFjPR/GEmSdtDT0BcILbSvz3YT0tZJjWW1TwjmbbKxXtXg0W3HoyyS9sGoE
E8ZLZ5Ai58gMxUVM1zdHqnQfmW6+htUJc9OvvvXOYVjcmC3shCsM3aFgINfr6qZKs0O8F353b4Qc
q5SP/wyo1a07jzi7OVdhSUvb26HgpDd7jXWv53tAf0yuJ4I8o6ASzEsQYbPqbKEHY3LmhivfB0gh
t5hekWFrgDoRrpg+pFE5wNVMYfWjBzuAaET2YAb3qu3NawHSxoiyEGImVsI+sa77xnq2OK3qWd+P
Uu2NOQNDEqXPtLZdpiksG1y75QWUdrK7KszXdG+kBbNS2q2e6gEog4VHliTXg1/IzxC8wEZs05Yy
yGqpPjLVJq66F9MtaBxh1B36b3Fsf3BVi5WL2yI2k11mObgEgA2tc5/nPlcGChOzwAhH9xRQCThf
YXh1LrC+Ng+u9J7wZn5ZtLhkdn/0eTCHHkaQvJh6jKxlupk0SWnhb+0IYnEenZiyOXjq4GD4iEnK
IIWMCRAttPTSLbWrqM31baCikClICGsKR8AKiZcjdu/AQxjr/lJAz8c3Tvo4w1Q6jdlVnF11dQ/V
Njs4eLDYZEWaLkDzyrKB3jbOdJhd/zFx7G5NZMA41NwLZc87GTe5cb8kBSMe5afO9+pDPh0zhX+y
asNgYygwDfB0BOvbVeKV9crN3WRNLdyRZiU2lTNd1RYYOZtmJwQ9lzls+IkgLL7XgKF1JD7crMdY
F7QEWZL8WBTsA62JWxvns6zoI51DMBJz9a1Rrbl2wH1vKnPhDpksf+30klvNNvN1s65qXoedQGMz
zeBFzde6O2ReHsGE1datoTgEiBGdJCZ03AxbTbcntCw6lILwe0tmnKUOVwjCwJT4N66oo53ueD6P
Ptxk2svICiW4A2yhV7Y9j4SzEDZlbSRrE8JUKrDRNtwgx9G3auyrkXVKPGwNdsVmII2y5ylnS1JW
t6Fss13mQmjAqs34eYkLynDTyuzLV3W+jtpVzWLVNtEtK1cNBxsrUVX1x6ERzynlEBs8ANEpJ/it
yWuacbCvclde6p4xEfUXtO/wsBofp8zv9+3wvQ6d5pgxTepkZ62XnBFuqwKRCFWbjF0ZUPxT+9M6
wYppGtdmn+2srqX+lk09F3peqA9i6q8xgsxNa2LYsWmGyVtAbr10H9KhLDmC0XQV4RHENatvC4hH
5o+VKkerJFkC0diSO/ZuizLFkagSX6LD/hw33hXHPaJAAjZj3dbOXrTtm1fOODnUfF/a6XM7ituy
xfAQRJ48omps04w1rRjSeodTHtAt1K+m8xZB8tXLKPQyUivlFoleMiVHSgjIjfh5uMk798ao0wfs
PfU6qKQ+BQT6DCmSPUU0DMtj897s6WAhcQMAd7OEV30saw6T+ZXNqbfGVkWeFlTxYA3V5g5qSmy4
7R4g2csIBGTVT+K598HymBDFYG8l6yAcb1gAeLCQdFx7EW2+LmBbE9s3MuGwWuJc/Vvup6BCuOIt
KZ5S3hDOOMOVzPOnyO4u/RhXN0rtRYk/dh04tr2O2V3VlnpQc43bzGwObVlHK8r4LsMkiraU66a6
dHZjGFzjoD/RcwIqKHphV4H70dkw3fo2ZcwHs3paHNTTNTY0KOVUS/vsgqWC5Gs6/YEgMrUfPJdl
yAiAvSitMmgjg9FjFnY+h6Z5cpA4o6LGpM6639fRR6AaG/NSSkiQTGtZAesql48qbsR1bdHWyAKX
QgcqQ6gB9kMRaoMZwPjq1BLKnNF/yC53Qcwv0+gue50DrHc58Brs2xymxyYp9ihoaqXdZk0B2Rbu
YLHB5AWZvKfT2Tc3CWbeIe9xRVjBXc819yOOrOz+kpvW3ke9hLJGyQWhZFiM9mfqOs2OHa2yO9r1
GERRFlc/EE5nok7XWYiBNprAX9nlgWfJleXCSBdMRdPOkGyHcI8n6Pq0KgWHVKW3dQkBhJQk6Uus
vEz+eWk+NBKCdt2Fp6ERh2XHcGEEm2EsgHbPHh9DPg08ABwv3ET2JCZRY9Q7ZcWYEsiBqGy2qPz1
mk32lszGeBirBqQlw5d1G0MozkfT4RFo4T8AILhJOu+p4Dm2Ap9wr5z+2SLCzmauWhsmWyGRqwew
hIDvBjBXwmF9X2xKNg6k+IL9Xwc7FldKGAAvrhOYaGWxkwRNDu4FkNZ5aE9NEhWryoQFk4Y3ZVVZ
l9NSlRCw3LYxKfapr855jfF20rxzkCmuu8lG3uRanxyWsyJPSdSb2an070MBVNOi32zM3wwK6gK4
4jVr3tmYCA8U+S3xQuNybNVTHyJBmLBUMsi/bHB/VEJVGFGkfRELsJDQTx7DFp5gUTLGwurj+qE+
+LTHr+ggZrI0UIxJZ1Fb2c8ClOAReerCGwaKLibITgHOZkbZaqeIrM/e/GXyiFWwo9nVWGjtLJ0B
u2W0pVdZZBIeJ3OfcTLQnmR1wG/6MHpwyo04kHcOqbF0YJSjdPjN4byaRCD2oUn2qr2s0hpD9eTv
KwxDTgyLPa5aOLX+DR2IaQpvsA79F5LGLQeehKcrhsKLEez8nj8L7qycvpkdAcqg4LPrR+OqJGPC
JhgT3OBnMSURFlsS53tmA9ExADw15THxfA+sjL4iOpNc0SobbYISXkpim7dVQuCUDR94LSRGjsfw
lEOyJRzseyHiW36YBZg7mxd0Rnb7RBVHQqynMKKUzDQe8qndjC3VhbMDqG0eijNL2QPdDP1tWGNE
zfs3E6AbhSNbQhYYzAf5pc30vZ6sZ6OoD9of91auXPZ3HM8sDGdsf5OasU3G/d0CzoPKq7W/rlzn
W1VODoIdnRzt2OMHMjEvSepUjMBUj2UIAmrAPRxM+KEdCcsmKOA3wIkGHxbmWNVhJLChsNsto6bv
sdVBvsvEU+2Q61UzD1kP67a9LI+2z6zJHuk1ywfB5i6Jj15Gi5mFq4+VL1QPQNMHxkA0O9DU0AGK
hPdsRJymkgTCKhMSeDMmS3088wfsnia4wOKnrA29V4F+hm81bftMlWsvl7sRHDpNiiWJpNR7yCnI
IOD+YKveWmTYRzUieM9c4wYiRkTYgL0IzZRTx1/oBeNdCaIhnI3qbAtB7LzE5ITWiQFkaO5qfwaw
ODkbO3N4Q7K9rV2wdLPRg7wDCVly7K4d5n91iQc/mqDLynbA4TxGZzmXOaKixLZCBh+KUbZvp5iH
hTL3lGYZbJk2eKK+xFw+WrH9Zfmp5oavR+wGS/qYIWiLUGhF3idLvL1KhwPAzAZrvIRH4dzSktI+
l7IzN2449hd+o2cy9lxullG/2VbdbHv1NpV1CZLCs1cs+HrH9mYdoi2B3Il4jn7DSVnsJyc6uvUZ
v/I7YZaHwbfm/TCgoHkaBGzyPfFi6kDszyyCbdHZxHQKWmaydMlydQvWlY0TV14E+xGgZp24W2Ey
ba2I76JAhQkHx2mADwWP0uFE0xs99AYKPigiIbazYJxdkhFHGUHfdzkID+KlC3CWWBE34+RhOk0B
JW2Qla96Dle5/42ccX0oGLaS5TYOuQp2bLVwp6iuXOW0PXrGjZNyfQ3hMJzAT2ZwyHR3JR3I3G5a
iBOn7dgQm4DPJajwAoCeeo+qhlAg/PVt702koSbvCNfoIHRp7GARjIr9UTBx3zvDQEhIPznkjrdB
yLkoB/B0GVFJ5kTy9OPLQBKb2yywto5XTgx3eI7l6XSs0hLdHQ/FJJOHtkyajVrydAHBumBJ2PWl
eMYUf6iX7F29pPBC4nhpt0+XdF6VbKolrTcsuT2Ye9GS44uWRF9ajx0bJPXeTmLZOJL7i6ijwDur
cbctqUAC9ZuImKDbs/GsJDF9AFLCiSAqJP4uVPW3kYrP1AKKwoJa+fG9TQRRdd1Lu2QSU8KJ0ZJS
jJe84rAkF5fhpYwKiG89UW3m1iDKnpBjDU5a01IE+JTE40uc9cbFvCQjDQB0S1LSH6MroyRV7BXU
kojx1Tasl2aq7uolZdkWbw2hS9DrRP+IYc6zcSq6hAFy20AWTfSHFwCbrDSoATR/x+IHHMX4nE7q
vgKRuKk6PFuQvDeUZn9Ui/4nuregZ/iSQi6qJFL4ohQSCiGEiXjoK8HnoyFFWtjvF33RzSzul6p5
1EiPKr3yESLjRZH0F22yZYudKrimsvM+KSa6Y5TEbYqgWXCdMoxG42wRO1t7pLV6JoyWLkqoHzXD
3p1mKot0ecvRtLp02ekAWEteMCReFAdoJoQFwdsNVTFv5aK5KnkVA3ZozFuVFSfLjCSqvvWqCWgd
CUabi3Y7Lyputei5CdbxRd8Vi9Lbpp9iUX7ZsYprd1GDzUUXLlWWr7zBvZgdAL/Joh5jP5pXwuC6
AbaAsXHRmD3rWzi6ci0W/bmIruuwpAIVYTpfFOrYwtJO+ielmgClZdGxuzFzdiQdyuMMo64mOm+k
prxFvAGqvyjho7jLF2U8XDTyZlHLyRrUuXuDjWtaY4Zv7lojenXYNwdlYJyg1XxSpsBQBRE+WNT4
ftHl5aLQJ4tWH1KG3S/qfYqMHyx6Plzt6sJEQF71i9rvL7o/aiZ96CHgXx1R9A5zNAKBK26SgNaY
IjKKTV7KV1nZLBoDGl4wj/cwHe7Lvg1Xoxx9oIKPGYdFli9vPzg0M2kFOQRk4kagqLphgMvTtgGh
FU8tATBI1euuHipoYYjykee/4/EipQC+emLwwxWmTqWlKTlvYjAHkpdcJsO1N+cnnQZXqmTb1rkY
YHOewOzeOWkIpoBuiioQvziDCde0v8kWEI1DCZuL/WHlF2Nz6rmVCx/7RqSRT+reyq9TY1iTuKAV
4seCMjMgN4wv6O88Wjrcq3I8FIG/9m1BFEejkwAsJPYE3sikdbRNIcL6jeOu3My9wuKebpoCUHg+
kjrulo39wNxi8GGVc+Ai9JFDzqBBZIZyj42qS6mym2nUnU5tMJoUtlk0J+WWWCf4Mzh7M0wCVX+r
3PxBSZQ+XEJrqk+PlXSKVdBHJQfu+ZDZEx2b02vs63QdzY1e0UwZMrSjvqHXO6uCMkKPr7rQft2t
E2JO/CP6Nsp460RP4hY5gMJL/drHIabuZgasPVLHOsxWi6IwBRf06t5XYjyr3n+cWM23kUbq4pHO
hgiAY9ZPPuj65snkYHdMMDAea/TdC1xOntuFt8BDklUd0/ySyMR4Ze90rbFocM3firJsDpH0TgbH
070kHLEdTHIPRjfe+DrONnMLbqWjbTzOqlVScxsOXbgZ6B0+CFt8ETtcoXgPsH3Nbl3RHxya3SlS
iuOIT1gSwTotww/VqgCZE+eNDXhrXXbNG/x3POfJGQ3sRE7eOfazWAEavxG+fE7jdV/mHzbaGP0i
uG+6qyhnZ+LwZTd3Yj+06VPrheaLP+BWtv3gplFWf8VZaqRHQFjrrEmfqop0NG+sd/RLblp7vJeM
EfIxgKnbfFRO45zbrr3OHKRqQD16BeYtPNv9i5UJ42xH9WXHrbRL2mjc6KoCP2FRxZ4yPPMnfL7u
3LoYPRdPXJHdTC/lALgoaifeZoJca1ERfODJd1ncsaFPaePByc1Qj0kCUW6HtuudpkhwY/YvWEva
VYSpb9Xqmp7cDJRS1nzKgtJt7dE+5yKkIppxwYBhe4hDYEE14jyVR83eZOtE/1bJ08ThjGDbFHLY
u9h2/W2NV9qn2KSaSueaRb2+N3rQFFP70hhecJtxUhEE17GClZ8acIVlIvQ7nAq2PUvtsg+Kt3Wh
AZ0FE4G30GEgObJFzQOC0/VTNfiXcnhDnr5qlYmaWOcvyqGtA4C/6bLq4hgv6vmVCQNCNANA2Uxk
EOA4deNwtBIWjNR5ijqVHJ2wVKsa3/+qo0pSJ45H33uSMW7ERDUZzFFPpt8Z28GrxCbGs4alsr0A
X+nC7I1uwV3fd3mqdo3y26P2idZ0zJFcSgfXddOAlaLngLeT+WVanYzlnML/tklk348hKSo65i9s
kxB/GX0Z0GgU+OmNNZ9bs253pUXsrPGvxrBruPxpUYoHez5QFtCsZghMHMlCezN2zQMTRcRX1svd
eO3PkjBDWX6D5rkRYiTiPyB+mHm0L2usVXKg1Snh4BProd0MwrR3VYvBM8zrm9Tvy6cidb6HayGz
s7Im6inEUn1azWvP7B8j8vnsldJhNQVvKjRpfSPEQRUBxycWzLWyokuwR9DkXPRV+uGZedU8SGhw
d/mjPDrHpZvcAX3iNIzY0DI+U+V+D+rkhsqHYjtlJOPw6D8ImF0DU/vV6EeHEH8rvZIUmIUSZ4cP
dt5W0HiFPi4uBgbiAXueifxVBeR1gzr7oqHIOAwIzklUbsDep9u//dMKdFNmU1gW/6fo8xvYwx2E
DGsB/P36nw8f//U3F9oQhl7X9x2FCYuk/k8AwN5N5gRbPYlGdvirVHzra1I97BJvfRC2MdjAVe6W
8IoDj6aIkAEnrS2BZ2JlBnyNepzddDTAEsR54/JD8u445ubBC89C9O7aoIMP6kCCpxfr+A/0wO7H
T/AfISX/P2K02MJV+Jb+wq7VfOafxW8tWv/zLb96tLxffN92eJAo3Fau5Tn/8Gh5v9j4szBI4d3i
g7RcKCx/B7TIXxSf7oJ59BiEmjb+LaSeLvqvvznyF1MIyTVg2VI5lvyPAC3qD5eT6fqYwHyfv8tR
pgQf81s8S6DDOZ2Nxe0uM3DCc6Y34D2YUNoDcUSXmnErD/ftEq4o2/4hHMONbQFqi0fIiVlPlFgQ
rygz9nRTihppVPWppraTYmA8nZRgX2qnw7prBjgLUM7h08MAT7wb7NtyjwVzU0M3RTLKjJXumm21
tELi6p3Rg+RGDhFsgKSCi6taBF2BCN/pDiZCMVMd/uVFNIHnuHknS90YejoZ4XH06mej68Y3Cnqf
Is82LmcfWQO82VHL2cC9woGj9t1r+uxfpSXPbZYBgiXT6xkp9PQQU7dOp61mG7AmzcT6BDx7/ZtL
5M9u4z9ycQTONJQwRzp48ZTgsvjtGx8XKWNhg1kwT0KUl7S5jZNox05upuHAjB4ai3yVMuMNUF6S
1nFvMbyhJyLywcrx3N0FHrQoAkrYv2soESPNOEy+97Hwz3ZbTOtq+BrQyek0ZvzUzhVnAHonza7N
qIpFz5wsPa6LIpA7EVkzZFpisnZ/sAPOQbjk2ApysibuSqrGY0sNkfueisvhyNGI8pqQ2aSN2kwf
xmWLC/Bi0t9Q+cCOqPYZjBYamDnTxE6YFuTGUS5f+iy5cp2eHXovsQ57L7O3eBm8Xqxbw4fn5cAB
GNLDUt8xPGQsMkWn5FEMqIfGoGnFE9VTiztgnZQ94SzHgdfduoe6qxk+9RTudUffnOe1lfKW1dm7
xUMWKUSvTWCbi+fKR5A4KZPplWqc1TgEj1EpvnvVEJ4ahuu0MYFfD5FfZu1ZR0arPqEWwZikGVPy
cf1DXs6PGgd/Ai7eiThJZWKID5bjoWhCUcZ3Yu6TVst9JygTy4Snto4GujAPDfvhwj4aBGlIj5Lp
UPhriZ5Y4mCH5bIBvXVm4i5EmM+BwTyiXcJtoX0LDOTbAFWMKMliojNeEO5IfCxsbqw3V50DrhMI
3EMIxDGLvPd2NO7qKH03ZHRvj2gkMzGUgQ+ihIXv1AA57Tec4g8chm5smxRAVN9myXQzh7QH1vlX
1XRHK5rvpK6up+cFwGiAXeKS2sgxHS+aftxp17ibC3Im7kxJPRA1Vngo9tULyas3F97sKkEWvOis
fcAm7qLBeLzxPuRAJ3dCZR9gsmRHn88J4uHrUDOe1/lMgmk2Us5yPDaKrSuL4qLXSPtVjGmvKgSd
eXm2d1j4ar0wfrIwv0zgNFcgNqCGQENjhKv3GbSMC58X7CSxuctrxtbjAteU/fheCP1JNxVnwNl+
cS0ka6tjgB/2X8y83WOvqTAju7hOBImt2E8/S1OB/2xShoxWvvJfMPsRSnK4NzQn3B7iHtaBYKZ+
eX6pe/cTdF9R+c0Zv1tz+N+war6XfcGJ7O4TK8jvlkAfDNi/XjJ3n03+Wky/XTOXb/h1wRTOL6Zk
YYRyTFDdF/8Amjm/eAogs68W87KNlMO3/H295HuUEvx5YVmOA7/5H+ul7f5iuQ7cDZ6zDs9cNlR/
x0//z3MacvWvOOo/e24v6+Hvtl+mpTxh27wul3+H1fd3j+2ZauRKdhxZewpk6Au1ou2gyN4QMCSU
MCNMrGTSrjmiVqw7PQte5tFQRtLtJhTmQeYSshfo8K2fqUtJfmJviyQ6M+ypF2MEQM7lty5C2DJK
+UixC1zPtV1xhFDdxpjlr9fVv/yB5LLO/PQDuaa/bCRZ/5W0f1qHXKqJEmNh0RSV+2rMlLD4yxeQ
ImvP56hmLX4jitlPE7HOtd8Fw5mZ0ngO5hT7oZsMGy+L9/hTz0kbDg9M6ydqAdtzFxGrnzLADpVA
eO7mgShZGXlnGTbemRXDO9fvebWvI4RPocIR5Ah+i8CCjzkU881vrq8/+dzcP/6YEllempZlCxBI
7k9W9JLNlT00lHEiX1IsjLuCMxVH7qYdkl1M//KKAvhVAwDjFMO63jn1RGjeD+VjH7jNdTdkZ0kv
ymWnmdFW/nQV2yZsyT7HlzZfe4TO9n1u6BtcEOwhKoVnL9JFfshoGTg5QQCzg2cCpFoDg4UZvVUO
PNGDsoLweshZOdIycE502/N4K81PFiTxrUtUv5bVUEA+CdcOY+mr9iqByrUa6CxUTI4gWdEPtxk4
Y55aTpfVyLPKjApnbfdgJHUA2cLJQsJpg1JbOENi++O3uuDQjqfPuYriwjt5Y27TVUvhuKyMQyrV
M3F3qDAWbckHbscrY4rnlUG5DFqUnZ6dFIfsjy+xaH89HfzL63FBpf90PUqL44uUKLzKN+VPH1Rn
t1VbqaRcacTzbSPp5s0q1HwjHjKIJNCiGRbD4LEuG+UyUEqS+WQatGSkcSL3pN9eIWKjI1lleYWK
GG69YTLvzKCWl0OrLo3EQFRdroHYwExBeD0mKIldkcMfE5q4hVWVLtsazpDrv74GLfHHH43r2rZ8
SDns3UHB/+7ZUdHjMQ8GfpbMlKC7GDTWF1rlV+wagl1UC+fk6sbdadtlGOEF01LYCMBHRFIxzgeA
UFXUott2XPsbAl1rbXGzKM96yacouDJHR5611WZn35jOf/3SxZ+8dJcAh7IANEvlyeVTe/8nxZHt
Q8aBmrFatTA4aq0YcCQZ5CSSQ8VIprrjEOw7YJq9qQpPDqOdKo/S1V+/DJ7Vf7g4cNc4gLU4NknH
/enp22rIK72ZpKuxqYmFZYN3YQNNOonRfky6sDhDwKKtZvnVZBb1ri2q5yiugC577r3v3EbG4B9L
gtbHH7/SlAb++iuCrjTg4Ne9wBDSnEWDrWZQfD59O867nEXw3/0of/aO2ookick5wJc/g/xb6jQm
qxJM4gxQV51Oh1Mn79osFscfv+mXm/rHrzgRUVJbthMpPK6Rf36ZZ54Z2LvaizqGUPJjrcA4vTGY
PQMr9ki3pf/mOfpnFwJ3POueAB3KFOKnC6Fi0+NBoMTbAROrMDgF5I5I18hP6SZkqkN1R/KRN8Jf
2gTsnbK/TCP9N2uWWJ4Bv1+z5FLDsDzIuQbsnx/mejbBasoa/3oVONu5JtfoMQWycNowz7BN0qko
2y3GMoB78Y0b1cO/+fjEHx9TNtNlabFH4Sll/+GGmOKc7eliAs7At0SiI6RETv4yRtoUmRmcED3e
VCLT3eQbIRodoEE53toLgVPH1b0uIn2pnICa7HBRRMuU1JAPTuuv75g/eats05WMilzF1ke5y2X4
mxu34ETjWZXOVpHRc4Ub0r1shDUfLaJABTr+csb313bX2+cov29KER3/+hX8eCd+/2FxnfBPO2Tx
2aL9/EB3DQF82bKgazV7YYfw9iJqIG3zKc3S+ptKChTGGiAi+s7j/yPuPJYcV7It+0UwAxx6SoIy
GIIRkaEmsFAJrdzhUF/fC/UmXaJfDXtyraysKi+TBNyP2Hvt2SP/ypsNcXJdZglBZV18kJv7IoAA
GdeheSH8j3ce9tLOjCdmwJyyLM5c1DW992gqCekCHTodmer3rrsHPNy8+YNH4vxME/KPC70aZj8y
igbRAuoA9irOnQCBDPlBFbt/HMOQidXN//41WFSg//LM/iOvY+35+RbA6/7zD9HHrK2zOmm2Y4bU
Sn3WCET2SYv1YgqxFzeeNC8sc7rImcNdqW0IYo4HGaU0N2inu61dKdAfbrZEkwL/QbH7pG4GBu//
5aj/d9Oe6VMlMY+yQDgGOAT/+YPiGEfTFaOhQlOUdv4COAWyCuQo9LW2j4RvToeTq8uzHpSC1Gs+
4123/yB+uFlKWZ79wWINXSXDntsquTV7+1xkk3/q+xKgeZaG/6Vi+A9frGlblAsmVbnv/OvnXRCl
pRP3+P9Udn1nZiBvRHKRdkdcX05ERO9tgbQ1d6Uc/v7vvypjuH/9UU2OQopVLiQHi+w/f1deBdQy
d6CjjpkOD3Y+Era62MSRKVtXz3xk3nrcPv/l8PkPhYRv8UoztqMDoVj6lxlwX6ukn1r+tSkezy+I
UvS+MB2F9v7kdlrtGxdC4FSpa45EiJ0pKB1pDAc9rEJyUzI1FxVbtTJbvloiqRHbyupeF8qAKRD3
T+aCcGVKy//ysf/Dl8XM0hE+F0jw70dRZ2EIqGPi5mzWzvskQzyLaf4Wf4YbScGeYCnH4L/VXP9W
MfzPuJyai+NaUPj/8y/0/21c/v8siD2epX99yhgCmeuAFpwJL+UacPR/n+E5P08fSixFuUPdCP34
KqeiPZD8utdLzn0foHSJ0/SAKEfcDgBYZwe0DUSmCbF5snQi6h1o21W9Y0NdRh4mcaZJIXvNNg1I
BosvKbhDVinsoTN2e21vI6rxgi4aA2RH0CCuy0Ib6w7h3m6s8Ja6+jRYdYlmg8TwNhpq2PqYdKFE
N9AQw/6xZiaG4CJg6yBIMw5ArNanJkdIaGXuScWsxvtZ4DECZ8N07EUa1a6rl/5GuwJbpKnSAxfH
xjbyuyrO1I2l3wbAypD4HbFjUR1EY7swRbTR0Tr9AkEC3hZxPbV0xMZu01/V2nvCV6wVZEbPlZA3
3cNz8EaqEj+v7xmfOSqE1hISud4al7r7E8RKPV1p5dpdM7b1joO5R3ZagptJrMiclupkr8zmgM48
gqmSgJVD4GUCMjQ992zGWFIc0D9NvWpoR+8N7Bm2qZ6ZVe7vKqJ0ToiZcP4n042zWA+TgQGJYKLb
0bbzqx+vcZs2GAhDqFfbJPxcz57Cw2aw/0YD1WQPTe4zC2aJvbHiDkQs+U8HhM3noWGbm+urIlxj
CyOw3ZSSMNy4tlC+CVPv6nww2KZBQbLCiq6xH3ZGOL3m1fw1pYTeYJRG71fnIz8th5f/KWdYiBPW
xalYVTnDcsbPkm3KybX3KDnDorsR8MDI3ASNM0zICIN4M9eN2M218c2Y9RL3Dd5oq5wBCFhb2c1f
qhZZZCA6BWDob3ydb9CVr1ItZHLVugLPjXbb1599TOE2Gws6lQpsk4jTk5qyex1gigwKKnNqQoYt
lDUIOVVwbvVpkeR8FB22hiVdM55I3/XlG4zvCRJr+KOxItxPLZEtdkUQMs8/k0ii3rYa1i7KLB2D
8UhD+5ewhUfErMgyivpG30D5wPRUzNdGDtZtEvIHsCK/ih7TUDJ0X6wciVGIx/MCVN2diSwTZNqW
BaCnBHULPlrntUsgu8o1esUh9UHw7J2IjNoWVTTBLkQN4qo9YE6CMQgup1lVqGjRPzoDJgSgsEiu
2u8k57sPeZNxIZUE2gceEhozLPYYVQzQEPa21wkhxZo/BnlXuJ0nA7DoVH8TU3QMkxxPt1WJg6v1
ucXftxf0JXsyNZaNUQ74GfsFvUyN9bOThYMptRqPmb6OMrtRagU6E7az0zsXH8ixU/2hg5VzaP3i
SVcLIra0siNkgIIxlVG0ANim6iRJIolmEQzHbEIWarYjOrsU1WAyIsQbgHqBnwJ2YY0/WGysDZvg
dWVq0fxv5sXfDQVP2iTSl1LHKFG8RiLJxcfL4HCOShAazABaB00Prnw5GDvp4YSeQ/PJrk2Xe9+w
4IoAs6xS4MdGNT6nzjdR0ZhlvB9mhdYa5fHccSJt0UNgoWebDncJkVQGmnMo+WXiRj4VHDCHvPDN
U7C8m9bk7aGOf3krEhOB0s4NnSmqWDbkMibs2lHxjmLzGUMigYkARL3MIv5UWgUZnRhP0/iSG90+
ZJSzmWwbzBuS2q2AELbLnG6N3ojTKLb6H4xV+7aCiaeAXbMOe5BhcdYZQmQUlmnyXtkkENeDD1wU
iElQm2YkDfxCYUs8kIOHmJYXn8XYRZmc0Rg45Utc9Oi2W/tNIlblRXNpN4aLGQYZdqD+u19PCiKs
jSXpTwUO5o0xET5PFeLiSGg/5xbBXwbB4OL03oerdLVPx+UjTf+mOVufosjmbaeQFcC4zh5mZTxA
UwxQsnU1OgdS0v3JgJbSHYOmxWTc6m6LHqLci9CcLxLVeCsWPOcaVEHv5pp7IXtUFrFoNaZHljVv
fT779/y+nIMY+JF/DRvfLd7MsbYgHr+XvfKuLRkLgJoBaxmNg2c2Q9scBFk0DubrIlBmilVU4Axs
u1yDMPnykfjp+JAj8NiwfHgye5wIgVl+kD5IDjPjzC69T58p8n4rP1DXSQEDjeVRuZm19wdk1kLD
Ym0kUp6wRHScVE21bWopNxYzIDqKEMdAA1XNW3DtkdqF0q8XS6Sc8nVwr3aIANg1q8ghPRtipTpJ
MIODbtmthekUZQWCBekWTxPpmVu/A1Odx8AmMIR8pzYhCQbekAP0Ateot0GqYPl5l0ov6AYFHlbV
4C6D7m+69b3jFThRdfmDVdK+Mt9jqGggjZmzz3Z9NFCnbbjRWddp031PWcl2QBvwG+iLznO5x4l8
x1V5kjGY8x5tnjsmb6lF4mcJfmtXO+m969S3lTe6OPGCT7oAN9KahWpHhHoplXdRrnnHMVU9osKl
WOVzSaTplpCXtjJeybF5ptk+tczE+Z/5e+COEXZA51hM1rHI5LKVzghuczQi257YCWXUvM3gHOu2
zU5MDG+t0q32ng85EW7CpdBxc7DAHkRL4+OuMr/BAwMOQN5AxAWG1sy3V9HNaw8dH1k0/z1nxafV
EMhkAQtLscelqHsWWX/Wzjyc+gavUNmtkCS8Oy3SNkKLCqUA+1pakkRlBTsHj0MkWA5Z/qTukxRT
dl7O4uB0BvQKT3zPGuPeOIVr5JvvHwWjYl5k8Qfq/HB0eJUu2CjDjb8+o+Ysjvg/P4Xxt+zZ+VWK
pVo5k589GqS+T7JESCOCR/Qct4sVc69CfnCmJWXxzqcstVtdDSwCtn1pM2G/c+OVO1TGlBEd8k8/
513w6DMpBWFurva2mv8vk75dawNLKAFA0X34N88jiLgvOTRPNQ3nurANWHCQ+MeZlewSLMTlG4Hx
T/+AkpMIkCR7ypFksY+ShFKSon4zRxzd0vhM1J/JdJN9ah/nFqSXmgML4ykBkCX5L2xRibaC7ZkR
tppKlzugcqOOMfEuTTjmzYLdrTDROjccd9PWTfz40TJZKLJBn2evP3YTTzDY+/RBYI6rc57/zoLK
ULvjoScJEVL7dB8iHsMhL+ajkJjLUyv57m0kx3ZeHZOkgyppsh0P4gt12geaUXvnqfbWTsb3QWqL
2VJ5QgKOKLihNpV4G6aB31T1497MPOpOcpi75VU783FsIUhZU/9XO8tXmKfI2qk23dHGWghKrigO
U0Hw3eT0eE60t4Od+1AbhnMxWlCtrX8fdkidQIQ8SW0S6kkYYE7+VOUSWm906AbpEp8F4KlCA+Zs
bbi3s+kdRjaSfvlekSqLM9euN8aY3+IaPVSmr299Fb+76ytRCgvG+EKiWoZHAQWTQEbUPwwaf6GS
3mNNVsNjETR/nIyAxJq6A5HxAwIFCCBuEEmycgGZLdRJBJ1TaI8t6ZMz+J2msOdHaNnDfkYtGM3N
QxWo8JSjTY9gt8Zn36H6bNJDbtlRNdsYs8GqqMxQR1jI2H2cPNyh3Hwviok8Tevo6YpMtWFBGiY9
5KEcJujkMJmZ1V/NSGUqK96OVWh2l8MbilIXBg8tdPNkqfrQ9O1ePjD0hTGZGZiKrR6+ar+fTGx+
xCc8j47zNVnGvZ23bNIleEB9iu2OFfwIxGx101iq/5t0W8/MfxWntanuUKvR1lAPCu0cyJkhtsC8
FNaIDcp+cIJ203bPbo65wnMQpiqSrpFiePl8g4Pyg5nYWqF9oszRm+LFHvzrjKDRGuqTEExJdA/G
pbSNxzlLb+3VFWMCW5+9diE0c7lrUQ4dwKGRS1gUp7j2rlQ62bWjrtJmbZ1V3L/SlGBmLfYGrRQe
FiDqkBvPgx0uN0NlnWsSfAwPOggFPU6KVH3IHA9soWd/X9gIMKhiRveMAhMRTulVka1y41nVZPsp
0t+rGA/eHC9g/PikTbMk+FHs4yDSaNSFuUWawueNm9cMPLY3i8dUWJc6P5h19lA6wtqAvdg2vfmT
NjaGWNznRYAo1QEffqwtK0K1qbmj31m2YrPRKw/YTf+MQyQ81MSEQ8SR7nxCaZxfs3C/THOSG7Qu
6Ihym8w/YE6w1m/pfEBndmGHjiS7Vm52ydE47xYHLIuqoS3H5IIwr6098z3zgy8HGwzAhjeHb7ai
EksrgyDPOP8Dt+9uNPpsZ2YPitKf+XdzTGtnPHjzNkle6S1n2X3oZX7PWui4PfRKjSQ26J3uTKJO
H9EYZacCOv2SLS9l6LxWhSAD1xdobGXGQYrZ3bHPvuwsUiuwlS+OdbJMGuBW42aBGgVIRhHcJu6z
zOfyK42U4WYmEcNjGJArBrMSGtBfaZ4NEQvydizEfcYLonk8idkik5MezGeCv8/4/sItOIF0Y4r0
bw2SOjKa5WUWIVn2VX4IRPjYrmSGNSUuSLE/0t2duXOBzSlxB52WDh00RVRT9HlkDpsDGM+wLT87
ZbyToZnjT3Z+c8OGDMmzwzkXN85rEabfvsH3yn19N/sdhS8pqMzuaD1iWgGjILtuTZnThsFgMcwO
lf0kfKGOtOBPNp5HTfbp1gMCsdE2P42fZNMWXGu7hfIKQ1eZJ+CYj7PqPzNg5wlcHTCwThwnp7aZ
PkRuoZrMcwy+RDvW0rgAkgB6nH4Ale+OqfDy3WCTgTwWPThIRUik4z12FXmRJaV+eyQ3LdjRdfLl
FePRT27iVLGUS9J9M/f+dvEta1vW2WNQoL9MBEHg7JSPXsb2YQYLgCec+BKXQ6aaC8Kaiyl9dRyJ
6KsDCrGOYoiOgurslmjbtINZby6MiFMT9wpzG/58mPJwuvG54atHFkQuwnAtPIHjsChgTdSonZBy
cRcFZIEC8gVCU+NFb+N1Zm4MD85wTN0UQl+VLTfxKfMhqNpDzKpk2MF2CGmBA1LVxHBSqOUw9Prs
i7OPTvS/saRacmLzXo8OjyncpwlbPxX/GjfAP0LylyK39H+botuhDmJYSuajIFGAqYYO8HaGNvBW
Lxg2fYjPOEBwt5lKfS2a4Zw2wKk63GMjmpzCnRtKJau8MTuyA4uWx8iogbQTiBMf9dL8LS05ndHc
R0lAuzCr1MdK4rw7OVvgBYMeMZovHZPtLc4qhMoFuvy0RFDMg+IlKwO8W469SV6PHkrieOveP8ez
2vvVGJ7QCd0WGkbzaG/zNvfoIqyR7114RH6pBwcHd2L41p4gJxAKBjnRxWgejDa3I8yr8877CQCY
brrRwbpe2AbdRt6fwE7sZ2IUL6wU34xJhpHpZG0UuMlj0DnBM/lUOHZZqlUSUzFna51hzotzKM5K
1VE4+FxuE156iCHZpoBosc6Q6n68TauKeUYA785lyjLKgAZ1uJRZvh8cHE+1iR48787liEiyXNvO
UP6ECcM+7ccftp0ehlIo+l3vp1ZoFsaav5bOk2uXJy/lhJLLdNbDbOKiqvwCr9WkP4xYcxBZp9mb
D8tkcAzEL+nS3+qmPGBkumGX9UVNk5Afiymh7m6g4fDrQHRAk/YaWGwmU7e7jB8slGl/XQIPUqPZ
tbKAsOFZwLe7VmwnDil8ALjCybMEPvHFzOCU9FCK2I9DxmqwxeJXxi0l0cvLLojBAfCFxJCWMpfB
e6kD6j0OxVnkq4WJMTmaBxq9VhMdtyCnKYs/aql2dkEn7Lb1ae7W3kEyIhVZu7eIsVuRKOfJc4GU
jsjoikWJfUfPEZr4+i0OrHTC3JA6pKE38RLALsNVw/QPMWB1NDEAIF1ryCAz2QskPPuFS2zMgmzW
tI2dX1tPJY7ucyY88KuDlltyHtlqDsvL6Kd/e895ZT5y6F3xEQocpU6I+tweeH0GC8YsMijuk+qn
TIZD4DG488d53I5duhodGYeKFP0WLtEJXY2e+dFQ64h7k461nE24JGCgtlX3osfmWmN2i3k8wtDM
N9VCsGxVu48i42+SKoUnaTh0qUOqY/xrzGMDh7f2iXlI9tLQwTYV/RkGE4VOQpVjMrco7QpPWTWh
K5HQnNKeadf6e3SOZk/qe7tp0o/jSiUJre7ZNrL6TKuX3AxzCVYRlEkR9ySkOPpmyGoCMzpR4AS1
GUFkxr033WbCZ4hUVtUuj7PdqOEv5L2x7DDk+/tx9kMeNR7MflSnBunoZlTYIyB6FEb4ONVLBMzp
0Qj89jRl77JO00tSq53XdwcxVYg68Xmu2LNzVRivYfEKQgGWP/++xbn6JHhECOOXxm1O1Ti9IvDB
HCXn5tR0BhQp+4RBkP8mkW/0lPnWG7Cq9Z3800lUhSMW0CLtb5fY+LIVBiE55rulx1SDK1YSMBhD
qUl8iRCyOZY+RkKVHpmJd/Tj/Z+Obqx1R3X2G3Idw2HY+3XBgSdM5ied2IbDa+iE5nlFGydJg8mc
yV+uzVPVgznxw/hQmqhRhYOeIYjzW9YxuNhS3qmSJLK+7V9tmf6ABBpW/rfL02F7p6x0QTGM2cWe
Nd8KVtFKPTWkRhgh+qZ8+WO7zW1I7vyGiKvlbgFwsk2aKd2PowU037mDBj+RDx0vTOs8csV9FAuN
137X85weg02x92NS2dBMEZOwsYYO4IkJjaDsnPqiYRlQ1BaUPwPCGWjJSz1kUGUXdbCQqHsrELkz
t7O1wFHhB9qX9XLf1+tEMjS+e2qFrkKQt1RNsKl0ORJpsBZMHWCeMkSjjkT0zbyNy3gVNbNGqXC6
p8QMrR5RTZhgfmNIkA8L0dXpyEFEU86CPzQ3NrSBDW3po4GSmy6hJEm5pPWuagPPBSvHQvGaUykA
FiUjpXSGP8yyRgLXSV00TQs0x1J9GyBIN9hsr4bD+q0RZBGSPqg2XuHAAbjnVaROmhmv8/wGYx8c
PC+vdo4iGCH7mqvlB8M7HGbo4psO/XqUOVm4cdzpJJbx0IzLs98YjIOGHmE3oXLlwFMhYARFi8hp
4egL+j7Oyfv4FHFNaHNoxbxO+Q1jTGokxMqsE/LImGu2ETbz1qkdHpN23ptwsUiPmEhaaIDIMB6X
rKBGXlkgAUXJNNEnF/2Qe30Kz4l2LPChYhAYeACq/mVgITpk6XK2UeGCxHO67UTS1c7ygh8aK05r
x76VZW5gupl+2P5WT3OCRz3lrlJtzhVA1haLFFe8kK4yD2I79mVPHmg87ZjmBqfZah91B0leluVZ
ht6T2/vfXCJMEgYAMujTf8JR/hmCwD1lgqxxVirM0iq2Sr9e4DOWbF4drFhGGr8omf8ow/iwZ3IP
jDheOQ438+TrQ8Jfgy8S1ZPTu8s+DVZRfM4v5gS03m3N4K9x4XHHFoOuhGRU8hvzAU+OTtCQN4Td
uQMR09YCeU8AiEIA8ll3dAkCmKHHE7dijeIMhL09AxT15+pOW8iAyE7jQn/06EW2hNPA5X9e8mGf
kud05lQ7GFn6NxnTx7JbV9M1bWAQry7PQP0CQ71VcdLtR8P+k3UQPcnZaGt+oFJ0I4GEGjbR8lPO
d74E1GGVOPWWysIBZVa7xGtfeZGoB8pfUssKPjX2vSrh4kuRHWJSXjU5QHjafjusXmriX7zIks6f
ftJUmTUnEld1P8S3YJV+F5WDNtfez8w0IsYcthJrbhddPLS2bPd2aqAJx8pl5Qwdpc24r2/cC9bt
PcB9XA5DHUZWx0evp9eh71gg9nDEhEYfVvGqbG2tYC76O4DnP6XRvlRxeyTxKnmGY3K2yWuC1vHj
d/B9pviZ0c4TmoxmH+OLjrXzpgG371q+A6aN55nn1uX3ymcbOE+N8XEe7Ttz+vBhZ289y3Aga8XR
MOzC0uWTT581vipLmluCeUj70/0hs+ZvMt/oh5ndw3946YV7J+LFO7PIOMW8Ddsc3Oe2yI+TnyeX
TFZY0tZSVS58yV7PgVGp+yId/wY2h1RjYGSMx55Elx3w2Jh9yPDaS95vD2HMmKbPaQD5ZOaf29rq
A6JPLYY0AS2Tn5NLu3AqVlNRRJwtYcSqVG5xdgBpxFE/eYw6g/QehBdpXPDn2EqMexJL8Q66BCp1
efDUepJBSzgS1QfsNYfTQLhRF5IE45vRmNiP5tyLy8h91qbclx1QkJ1bqdf4IFT6oSxjBCzbU/8V
w7jPs3QG8lE9dXh0Iodx13ak17MwYG89t32xCx8BPgmuoHIM6FqGDwDhSxDgvCLJ6HZnJDLYkQ60
ihAsuqo7dTneN5RPPJ+e3rvhBF2C2RUFjXyoBXaG3jYBRHjVKxNX5yD8hOGoS+68RQO+jZsfnODm
UTE03ow0aBvRtvulZ8liwBbIGInnDY9ebwz3vmf4oB4YXpK1W9I2mDz+tfj0Kekip5JcuCHlCodb
xzBkeHPxFiKdNtzINPIfb2F74LbjuFFtdcMsiFIR7kXp0xwvCdtS1nIn0ilvWgLDyBrI+CgQaYdE
k22EOoV1Y0FKVRikO6szh60dOGd+9G/I2yeU3M2mJn15q8kYTQCDuXA93TIGhbUwLO6BOlHKPbCN
7rZB5bJ9Us7f0RFiV+Jy32rvKMhx0hOkTZkytcox09LOanrajThX42p/HEAYxyOxtvQPrmOQuINT
bCfUvO8K40zkAbOLGXAfTOHAYpjl28U9x0EE6s/fms2arOrzVCqkAf6as+CQsAcnB0flATrWq6P6
b5dpM0OCcGHFabwltCVVELxoI74PoDAjLTL3VUOaGDJIKioRWrtuAjRZthCaNQHTeF/6S8p1mxkk
TNBX3mS1Qz4Iz0pIhY8RerN4BLNls/4muHCpmWGN84/Vc4pIQeMAM5SFG62ttKGadvOtKJMR1y/o
hm7p3ppFv8S5fRPI7G8eild/npnFieYF2OR46prC2hpdHY2TVUXd4j6NMdAnP43p2jKfKIX0ZA5G
CHaAR0j75FOG5JbiuRfYjHnpsm0/5LwuTUmwUq5eGUFfbSnuJ2bjG3N8iR18vzGH8daU6AgxyAQH
XHw7xqDhAaIbW8Lm23PzM4IAXnXfx53KiycBfeqgfxooPOuSW3whkHHH4OP9k6yl7UzXdwgKjOvm
mtM7m/lz1sTX2es+Mwn/K4cBsfHwcaA+0qj1HHFldUfkQRrQN9XTxH8qnAj8wJs7465Km+B7qGnG
3WQ4TUP40wGrci31KlVs7crMeWs5RXai50yKu/i+i0WU00Yn1rUsZRANNOK5BUuiHI7UxUlWvsaq
as9B81fS+2+X7tmsFqSDef0HwC6CvsC94Mt8Jn7nDfXZGUNySKAiB3OtGLAPk0f5CZkA3+6tkKZ3
LDSjuqGcbisemaF7HkqqE3a8aOcLzAp8nQBOCDtyrgy5vDOIsGwzr/FhwSDhIc0EhOAqLwL928/A
lvo8fBQ5UzO7rE6WHgpkFv1hSXjDSbp5yoX8DZLEjNgQ7KTvHFJyo7YKD/a+KnjcGsa9yMiOofLk
IZkI+iAqkytaLJuQnEwQPjy12Ah3AuJcIaqdaTQ3VmkpbG7Up81MWlnRX4e4aSLFb7U3YkJUm6Dc
qvkfrU0S2Q14bmxuhGlLZ13FIRqY5ZNlPnZF+eHW8tir+o+qioiuw+Y4jm9mlNPbUPL9BRm1h2yY
6qw7qY22/PDUVsOLz06AUVEF4rweOQ5pByaUgJs8GE74YLLnBk6ICXeTsLhrrFg5WVb36RFBxuoU
gZrrEnmT2XJXN6Q+jmL5FunPwKoDHDplFHk3KeyY3IMQkCPzqGgEYjoAw3qUsX/MmfVSaXiUfRPr
wsC8DLR57sytoY3sp6jFsGGqwLVQrOinuXxY1LWd6IA8/9atqwd0cKh6BK0qeX70AIdU+4cwNbud
7uGom+xKZgquOs7e8lbRMTK3Cp2S+ZsP4qS0T3Xnf4C5qCJpAeP117Sf7yBkUtVaPcGlxXxBHjNF
dJ0JSZfMs0sDcK+czf3KTemG8KLjvuWmRvPqGNVdMfk3dtI85Yp9fsjQAXJVcesyLjk6XnYm7Y12
ocUO37C1zeFL0HMfMOB1hwYc3FYVKHv495GDduMMyaGAIo6So3sBXygJ3OI6M8Hsc0G4gDAANPkY
H3+IOo8aKix2F+4LVSGgMd+cgZW5p2nNgFGtGeA+5zMXhN+4cQ0nkJMmyoYBJYeSkI9dZ0+a29Vz
JnPDRHoPXhLanX9POjOjWc3UTjWfc59bbH04x8o8/aPJMjxzB5OQiznGYpA2MPmWqrJvZ4P3zGUy
Qp4nuv6AsM9vVViP1tgAWGlgnzmC8Wcz2Qe2x79pGudQ8Me3vua3HrjbFf3k3qvzz8eqCijVfKKj
oTx4sQ1gulZvA5yBZcyRQbwg22yqkCaC/Cif0OalzHagGWvAOrTDOr6ImJkZ2Wm+DJxjGcKYaW1j
m3UK+FMwg90NgR5W+qOyW8BWbGc2Xd9/JSNyJGRhPK4//sBICKyMc0e01iZTJE2k45lC3OT+6oEd
lNlLkZufSVhUG9ewfsdi9dKOYoJRnPztjXbB+4IgzglrDjGu03ye4z14aByL+a+pUcVgYN4kXY2l
v5R/mfV4Q/nYmfm5mKj/nIB7PDS9fRMgUgCOxYCF7efG1PU7IPKrYw17b8izne5YHwCbojhyYsAN
f5YgiLzO1jdeWx7cAUWFlQAzQrTFK0anLqqxxEEhfs147t+KZevNOxU7isGp85TNnD8ZzIvB1S86
L9+6gvKBvcEz0T0wN2qExxM2OOYxTGwpL1LPTyCkv9v+XO4Dr/jwJyQlGRM9ZgwvZoBVk3PLjITP
sVlJY6tyMrVq15L8GYwVGjbxFFslBC1RHqWdfbv1w28D7EDn+IB7FymctvNXiITzg96hEYal2sOy
CVPIv0PYvcrFBZ4Xr6mvHhFRNUICURHynrckxtNGra/I3zZr36wC09SS64dkYErvF8uh6IanqRst
MnGGIUJHBL7fUPyO6mpO7X6u1gOMrFkoO/o3Dn32jwh6TiqwofEoTkikZJGY5/dwIeeu9C8BH+Z2
yioRJbn/rm3RHnQ7n83APVhwuBpy1VEZfXWLow912HQRyYp3SWUHu3HwYSYq6vpBVo8CV/m2n79B
F9jM1PnhBoaSEwDhDbfy3qeG305pR/xzG0sQVfBtJ03IEAP3L4vACDYe8+doet52QV5JIG+4596c
t7mgvsLusjNyNTzMw7UxZb+zY+hTuDC+rb57McuvzJvUFjKr5sSbkTBA6Zwt9lIV+S1hjmSgAemR
6YWgAjZ4DOKyG8uPywOOHJTyHTlJLj9q7sLyZIHu7UK7PSWh+DKsvjgrM1geatJCHwY7vTaW9RKY
QXqZy7F+mtzlWVduyQqM+MJ/ZEUoaZysEG9COub32PUVk2AUOgmokm1VKXIjmNiCH7rX6fhUQMy2
8Sm/m2l/bcr0sLgLMSELCX6r2wmGX3e3FPKSCe7vwQ3fIaOlGP5aZHk0NXtpUelJ8LYZ6lSCtfVJ
MH9irguIwwVmPgUAjQhc7w6JWdeMwCvvfnJsUimtq2UwG3WSOWHR3qmXhh8W26G6LPl8B96juCpy
1VlYA46xnJs0VHIFfFO/Lq9Gx8jMhA/FT45ECzSXA15q+fUpyydYS2lTXIY+pV4nvt4NMvtsujmi
Ht+/rZfR2DYZEozCdR/LKcfwDRtk1kzzhzmRp8VXBPVkS7VlcONxeQ8MqpzpfvLnj1Jbt5PAsAgx
DPZx2F0CVvnbEQJhn4kvANNRK2Nx9AK4vh0TVjsvbYhQyadrYpPzEbZtuzF51AyFpQGUKKuQA9aX
bmlgOJpZeuMU34AR2bf45b2PT4czODc3lGJ9RMaiFA8oP+MdA8LTYhfpVt5PlMRnK8j6s9sOAxiq
4B4F/zpzzTB+u8w4Xf6G8BP9Mb63jBxsCnQr5iBpRESqvq2nfs3URO/iQIjzwwM84gbBfY2Vzzmq
Yrg1g7q410t3dEf/2mug2WNhF2dTyr3VL/fSkCZB7pBvfCby1JXxuWonP4oz9uptt7MZezFQIFkO
tWNIysTHNBf9uSKPVZ7MLHnu+vDR5kraNH3IfJW1h9TLkRwK1AKz+1Db1U0r+pOF/mrO5/vAGfZx
rOYDnrzuFBrMzfrCfa0Y/hNQ9n/Ye4/kyJVt27ZFMIMW1RAILahFBUYmM6EBh3A4gNa/AW6zf7+9
FrzCLZwwBsmdJxgBuC9fa84xazR3WpHvGxBC44LJLH25LUVqvRhmg0rFq5J/uQhBd77TtiSoD0vC
SY2UaoMq/ymSbzdEg+P3QHeysksNglvf3NuxMfeGBpnNQ02aEhxHrGhVbkqbEx/m+wX1EDMvQ5gc
ONGfcZ6PciqTe50QeVjiCN5LIgh4Z//6rfHotyBxo7l7NBj6Pkqrz7jATOv4+9Rij1+PJVJxJ6q1
kxnriL3rmI86xx0qyki/254LplZPdqoTxl0uD/993/LuwpPTqbV83C5kCzF0FvKc1QQlzDXktGZM
npwmSJ5AMeE5dc1013ies6eCSkhXMMv6KuDK49AESOYsT71Rj0NtoPvHAkQIQcQJc/RBYrNuW9ff
h96jWeTbMW1vBkFnIV8qFVH2xkl3G1NgFe5siUc06MIGoWyNfnzSIn9+xYr2VZtVdP19ViDeI3M+
flC9vu4Xt0keqRsbuH2F31k++0rkrNvShbzED1M7rg6ZcyHtAljR2DpPvTvXT+S5MMd1nmLB1lw2
+TXP0g1pp+ajZUXGI9npJzt2ahKDE3jBXT3CwursXYU+A7GqM97bp7JlGqrSiSgIj8qamJEP2uDP
g2q8jRRREEqNuSXT1mRtsvwf2Pdpb/+63JGrZeHskFJVNWI8dctM8/chVxPTzUY4hwzg6K8jU1f2
ksHHw+/T34dS2hcdSP2aC2mJBqzWAO+CY9DjZV79mseaRmMM7UV/hJrgtH64MFceZBS0Dw5InF2m
sH2ZH5Op32ZApQI9//uSOct61cijSvL0PdWpHP1+QKfRJfeJynHL392FrqOKkwOlAr2p+FaVnV9/
02c7o/2WyzPAksFmdIMBXLPi1OwlryVzhdNQQyKrW999QK+9/OT3oek6+1QU8g117o+Oiu15kjRp
DN+1XpsirTY9o797IVS3IzfgJSLBbD34OkevtiWPmqbA0rR4rZfA4w4T3ZpAPiJd262a5+BW0VC4
0T2wb/aNyIXghlmu33IIquhl6NYJ05R1WqK1T6Mrf/zEooXs0LjwzOY5nZL6anhtfe1ktq4CGZzK
9tB3pLL1E3x2j+Ho4+9Dl5OqPZIcJPWifxw7YhZNPwUn1DtYozT7o6h2OAGnT0yCWljhZf3v2zn1
nYdizNH0h5a0pHsKYNYPxpmoLRTRmzngnkKf1a8h83PBYMRYazQdX8jtqtZa7vSvIk8QLxCixFa8
Rj0enxuw3O9BdPQxaB30uileM1G1hwHjzKM2k38ZICYl94aBijeKQwFBsgmc7FHzIi8Eqw5HDckz
x33HZE9ASoMmlHTcpHsznCr4R5+2VRiYlF6yBRjecFrKAlgz5UybyFW3vHH/0qwgX93uupUyQMr+
3mnUW84TzRNw1vLJy0pxq8UYUj8bJ4KbGPP9fvn7YOU2ZvQJ/Imf5QEozzct8c0nTvnJizn62Lx1
kPi1UYXEthAN7ONeVqq1DnZ1SxL1YzdmfPKHUW69ri+Pou7/6DqznryjOgQzYJnnCaJN4MrFo0Ip
7/VNaLb1dLSVk53Nsd+Vnn0HNqvf89G1dvx73d6WSj6hDFxpiRkWdhBffh9ycnD++6qq1U+tYztw
OyIlvLxJv/FmoStlbX0srcw4Dv3YUZxb8b2gg8h0/Euhn/nRA/hR0KSKJxdZ4s41dFCR8Cj3v+uw
6fnlMcY1tmr1wg4rzN9bLY2vMeD3R9ye8R0F/98R8coVSG9AFlsSEr5WnryOFVoPBpfzBFHQDC13
GkGXazh0KF5rPdr9Lg5qWRVmxYfI6D0ELxM6Og123BntA1D9fD2MoPbABaAvzdpXs3IQMQUU9DW4
6nfYpaADk0btNHdI373U/3CKmqjOzuT4JqbuFJeiO1nLV0mThhGegHvMcZ9ZtfjwvKTfIbe3w8BD
e9hNUERynzmi7In+mRh/Pf4+WJ79pqGOPf0+w0fE7RwTSsbS998v4GKYd772p4ssJqns2ldN7FTv
dTc7KrobMYf+Psrtv6KpjlpZ/ylFIhlbp+lLn4wLA2F4bLUYqBf/yUnDgr/x22ykOqAxpIRufevk
26JlMn6cGAE9eHVE7I093u2cvKZhYjKjB/UnZKR2ExTjsG0y+19hBsUmGRgorp0RdUfUF1S6Xuuu
8YIll1ZEdNgZ2oUd+zu9XOsq9EEnbpkHM6dXtfp9Drw3CSHaWf89DUrgscw1XUQZMFKGWSSMtKvi
ODiL6coTj5jSMjQ4TbTTLE63Veuj2FmoHSNOjCcTITSBKQHjt8WUPExmevr9lYGcwnPqolLhcqjd
N3qnb7Vvdt+1Xz/XxiljCHBxLZk8WXYDQ9TTijXB4S4Mr5pRvkNX53eVQzOBnqINCb0l9yt5BM9O
HAVymn3aBguuwcpXXndX0KJPNMpBgMed6s7/fanGIQQzaOGJTNCfydx4Lb3J2M8JoXBGTU1uRIa2
JZyRdnvhGK+F5rPSsm7mFiVWpee7oPMeGUxkuMCYHVYl7dKOXFAa+4yOU+IQqffcp4k2Dezn+RJE
rdixXtvr2Mzl3Rmzo9LZESDQ74vBqbd5rSVbS//Qs1Ze7z03xtVlz9n4ov3OelPbkT63oGB9eYYb
724cR58ZEMmDF4yvVtBU+7zAYG2YxcuS8660e6aBlq9IpKMVK1H7ceDcWhU27YDb7y6l8ap1Dv3d
ngn25EkkMl3SHEtG+sqgJK6V+ReAFSNd19JPqOH1E3Giq86wy+ugjeUqm6lM8qw9mCN6O1dzDeKs
ZHr+fTDhTw1JOu4ylhiGO1EXTkP2bix5mxVaOLq39P2pH2GTCxrrOrNKLbG3BdanNUvT3xZnzW5W
6Y0IMjYQx7nNVsP02dROYtD9FVi5aNvqqNNNiCQPk0/whK4u1KvjznLVloS86pJ7Nh8d65yFOldJ
I3tp836vkMV/kJSt1pruocNjzOuNaBFV2hO2HQ/igkdAP9SjcPb+LLprMyjBWGfKnxO1tNIKw7lW
Ep2tpo1vFa2R78o2//ti+Y5W0wRNY6waGPuMcEYDuEfdFTwXyfgosZ8hVkcr2c9qSZHHmecNMNG6
0jRfApe/ocmjJ0Ty4cShQIh3kQJw7zhNr10hpveRdA1S2ohLgp2BqdNXlzbz3mRMa4BTwHihvh13
c9qSNdzkgCKM5SbuC+dpNEbnyTaOttNpj3nnvdrYxjhBek+WS0q4zJhFlEYj7tj0PjpCDMp0iJ97
l8xM0eOD4yp8+n3ArfKgcs0+wWvy0RfGCLL/r+Lxt4L8/R6SSQ/Bwd9mMMQDbk7ciGle/skHf+/m
BEj0repDa+Tc6jrpa7IoiwODd5lNJDqnveFZYWICnXCXA8DAcnHN9f7bNGo+1gVZ8PsAOFk/T8G4
tgZL3capdcPMXtL94BvfNQg826A2T4bhJeRze8M+dgnIrOjrMV8q+/20LFmGVskL65+DgeGY6P1Z
yYFzCHO0axInxiVAoxPBjfnM5m6ftHwsW2Yu3b5YcIApAvTPxjAOJOUGL8QOzIdKpt+VU19MsiCB
2A7GzfQ1htcJDYysn654YIPdNBJVM1amvi1cOZE/k7IDek18+K0shZaMtwyWADeb4v9Y0gN00cff
gTz0V1910So2qARLZEeHXqfVasqp5yCEyWdqBSXYAkPKuf4GI7H3pYZytqv1+tK3TX0hVCDU7WY6
/j4zchLH9CK/TM0TLRrvnkkzetA87WlEvG2mJIRpxswg0cmMe1smhAjm0t00y9Pf7wUDW4YaFlPy
tPC2CtEYJ0nmLWJB1XwJc6p2NgOt8+9D7br1UfEKksQnZqW/aUlDcYca4zTJ3kD15BhoWf3xROp4
vG1gZxEUJq0DmiGufRERQCrkVL3x9jAPr6dPAI8Od2lRHaJBMQx1GSYrd3GHubWDCLb3njNXnWs6
ep8cfEz0FAO9lQKpEOCv+JLqOdx/v0+SiweBrOxU+lG1uCt0o0KsqZe73lD+vjXd7knoIBixuZob
+O3Uy7VfnlMBAhPPHTNJ/9zPbu6taA8mYdqNmGkqVd7m7hThnHy1Gqzd4LY/OwtzVyzciZjH0X5w
RfACQQ/YQjJDey6ke30rgwDRhOEweJwdskDpGV9JmMeuLl1VQBz3/qJIrEJpxeYJQ9s7QiQkG8WQ
hYjYOK4O5J843QxC0o6aQyexird+gZPVsMwlR/UayHj+S94H0+8xTq+8Kz3j8QbSoh7cK8+OL0YT
VeEckdJYo8sIE7fwTg0OE1o15F6geZo+rZ5pfTBZ8pYzkbp5Q/ZoKym/SHW6GlMuPh1jYCP3fftx
tAuQIwWxPVVEawLQprmLJwQsSS/0XQy3JKxVIAl+5ivoPMMtCeZnbGjqWDe0Oz03A6G7rHvdbKpz
2b5HaW5fG1qAe8cd/sUZz357Ab/fH5Tu7JLExfM8VQ0zOeRMes1cmmsIgAYqnwra8P/3I00NwVYH
mYKz3TOPNkK8XzKKtqwwv19ZKfFTkBheOxFPp/95mAfx/3/a5dBHB6JCN//9Soo6SgRNt/qfl/b7
St1lTJIkiG1+fyBTikHDmLKTaqJTQ4bSp2GxTuUYrBj2EBwJbzk5RW0/naXbMuLHzYMCanog7Xt8
KOdmUzcyuUX9INL1/FU3ffMQm/x8tBzeSiKuf3/RSZTDFWzCcfHM/EiAJizL5A7rVJzr5SGtPERx
//O8RAEYuMWNJIvxy/A9vAtN2z30Ad3NcSACs7RQYM3JvAXH96Mb9nOSYr8d2EbD1FQH37Y/0Mlg
1rfRpvgEqK8zG2u8lYVczqzSgZOvGpOEDJoHB821nrLxARDqgzST4bnTxs+UEUXfRqgEmzBmQ7t4
TvDOuF3bJZDEhWdfAjeLd0CN/LVtbmCwk1Jm59q+LEbjeTIHfG8MkMlmQxk3Fm6oRH3mfLOUYhnH
sryaD4binfft+lNVI9wozh37uO8RlLutQdxy/10TVPJYZRK+aVYQ91z423WpIahGuZPi49HkiYwW
fxv4iKH1dI5A0ovoTOYgx+0yh/zHM4RUewy3r9ESfgw/xNmolMJVKXHMieYVHVZxYUDfNen7JY2c
TwJjXalDUm8QVeojFIbWS0jfFf6tcWcgMuQWBd785juMAx2L+WDWHmmz/bN0Bto26akrp49fRVkY
rPnjZuolGkqvzzdW/BuE0I4cKdywt0dCsC2SMEAorXv6cTDouWMKtDhtSHWDFD3BW64x0M6KY5FA
0O8XM1dS1XdplKeko0tZmmW3FWZDvG3+7cnuXuKS1rLgFlvNW4pD+EHvyksfDBffabw1eS3Q112B
H0KrDw3NB0ACaJUkybxkSvMJVAOqLV29yGWEYnfIgEzqqE1XKHHOZufI9JS4cwSCy2F9rZNV98zB
8R5D1lu6Z3TUdfVkE8jHjCDFzKMFer8fqT7i8exkqJiwoPqndGbHckjnM1sCZObWRt4nC+uSp29t
Xb42BH2tKTmB3+rOtkv1M/z9+LFpGOxWTG9oJ53oQ99khF+gNnx19Eu2c1wy0B0ne8vSvVydhJ8l
/bCJ3L7cc4rRt01t/G2cnesgJRu73jrXZXWYIeVjws2KraeLe1ciidbi/hJ17Z+6S7807I1rGatq
T8aPzQE89hEsj+m6a93vMUsxK5C5tx0m1eI/y8xNnoYogMG8RuWfeA5OUqQo+hdqL3pVbA0JsoAS
Arw1E/vh+//cYfrLBk/LwHT+iq+m9N9HumR4oei9t5N7KXSVbvIIGRXmV3Yje8as1WQciV1epf4R
x9AzcArcJQMTtPPlJ+hPQqkitR2NmSI/JtoCQVF0QLCy1Rr500hdPDA85R+cphPKjzVlko8ZoGFO
1MzdcbmCKi07ak3rHWSBerManFPL7Y/aNnbALaipHFa1n+DdloxLDGKKo9yY0IwjClmcyi++Mh/G
nDyOKW0A/04ZuUJAR+w+gldLGtwmkmFl+v4VdiKzRwmHuzKD0BT6n6CnpcFomPOVIm7MyIc91vsy
nON8K1vjmvBBbrUyydY+UBHcFvAUpNN95Q04QmTsaF7mt9asd125eB9fh8op9ugMA0RGwt4Gsnpy
lNMdyiy+5kMDUWUQ46azGZF7OaNA+qkbUdisi8OTYUbWWlPupo7Gd7uXp2Aod6qtD0NXsv33pYEG
hAyZMcOYGqEhyALUX7qvJngEmvYQH+w+KXepRgZwM4wzsLTkX4Rd6ohkqtoQBgPfXlVbGNfWIdeR
d3Bo29Kgs8JY9fAkemy9hfWcjLPGfNQNzbpFQZOYcuuOA+ZXnUN+6oTCDi7DoO3csWRS1yvSz8fo
3ggjWlw/xJMmTEw4rV4n/1kj2PL6BGkDx3rQ4fwLXiclyQiq8Hr5yl27wRLMzPGsC042GYz7uMMA
XDMD585mE081QvYClyiTeD4acXIoFNICw4A7MXqUH2Nb6QADSJ6rJhTeTuCcCET7QjSTo961H4Ql
1rGK4Q/bsLyxXaCO8odoFfX+rWi1dEuMASdXbAES+dU0ErDHgpbtC9MqcJ6xIKLyQgCIb5nsSZ9l
jBWD6tJNQdaWXBAeZxJukgn/wBT3p753LhMQ14sphzCbjG1sytchsOgHElvp2gJMRFNfo1zZG8Nz
xtCszAq+U4rjcWnpD4SdMR4nmr4jYYbox54TMoO7NcsFHg/qCbSVeOUkCiU3zo/JIJozw7v3fhpO
UxVpodYThMospqlY65Y9cZPT4tZwmzLHbmMkforD80dJbE2e4EOTxINTE3z3NojtUvj1xhPyO1Io
r8upOjE1302qe7L89EiGL/Hejt2EU3/EaYqidKLzDCMkOAWtfM5L772ekiW25Vl0TYLUxUFJVHiM
iXrx4JMTvp01plFDKf4VUbHNMi3a5sZgstBtGm3CbdhitKAltC8riAMMi6nppmU4wjGnTr1brzyi
L4dGD30CuxE6u0AdTMO4O8hjVzZGlTlVDE2zMfQc0nFmwk2CmggOk2WZw73GroTTMyYqqauarUlI
2clIfyYLJY6Go2OoNP+RVAIm8Ng+6lnnmXsvWXk3qTKsUwDFGIkIpn58meHkTAjhKJirgDMO+aqg
TRip2ijqkee31la48VuRoKGN/ZdUoyod6Z1xm0TjoYr5UCjHupFpaZ1on21BOZkFOIPt3PoLRbwo
roIcn0tGXE7iEviZIP6Gesv299g1pDrCIEbs4myBhyECg9Wq05BhEIDePPWbBkFwIrep0ZB1r2Lu
RYPGOCE9UlNvtdO0b51ZPRfSfkqkxjh7APBbaRae0fiWkFrLTjadZIWC2cmYoftTf6nIRrxQjzr4
GIPuoGGn0rAtotVdhqXflsooOSDsAO6QESV//S30WTw0BgY98s9gfsQpI4CKRmZRkXC2nI+tqIev
QBx8b6CPJwvtO0iNx7zvr4NDpHlsjZ8trGOZB9beS4xP98kEi3b3xgDVgwvLiDMpO4/xMCM333iN
80AC8Ao+usNYFkRFejbFnB+bmGuqa1MSEnCpFJGzOOqxVyZSv8Nm2Yuv3m21G5sx7ksHFgDZe0z0
OBaI1t2hOkf5RmQVZDBky6wU0avo1WlqPPsIJxqKv9H94Vb6GfL33O+JatUAHMcKgALM62uBiBOr
3DqLBsnN0OEANmn2lnXL1DrfzoFXbAy0zRvblzp34ejgWqsYTgT/zEp7Kzu8/61Nsu9oRwv2iXHQ
4NCixesYbKQpsdN03TmVqdy0rhwwy5FlwGpwKtAyCWsAIKAzfVcxenatQ2ElrWPdm7u50p+UwzLl
RpG/wIC8bYopHj8/9Zrlt3hviJrPkZWhzLZ2GsK8wB1RJEMYQ5FWhXVe2SdhZ1+GxvYJtmeeOKLY
+ntvgrnI7FuUJa84orPQWeA8ut0RcJ3vWfoRkhHGBOIJs4yD0YuIcJKQl/7LkSamgTGQ3NYibsN0
ckHVawmB4uyrPcaINYffP2L2kV60TJhT3/xCLmiQ5SVv+pR4GLBACLoQwAu19TNmkZqONngcHlXB
nemWk7GiOvJhF6TBC/np7FSC4hhRYPI1FA5S5mx4VaRdVmU9Hop6+PS7ft1C840Z6aw5XjW8EDTn
UWkfkP6UK1qxEKeL6EPID0iRi3GSv9mbyUFXg3mqOvhErSkQpiHuBJs2sw7X1q4c5ugwpPMT+hdE
d2nwnvnav76a6zAjxc+WUK+jDMGHyPyPyc05cpWPbpQsKtoU8xdZkq1V3Iag+0dz9yVh9cSMGBFm
eWpFrZ0bF/REIT6AZe8HZ94HQwC/w5HGuhRUHvr4OIi5D7uyPhZpOWF6THewpA3C4ZC9DPCGyO4x
Xr3E/UpRGW6KKKHxMbzIGTypiK0WTQK9DRknznlGxBqLFgtMS4YgsrSvwsLAqbD7KxgoIoGg/TIj
y68mhImTdvSrg0bQ/M72ahOfSP02ecZDg2dkQFt56uf8HfYeYW4mg8xgmtuV2Th8lEaNRw7vHF16
gis+Z8h97IWIkv2czyjxL91Q3RrNxcriihdqmDDSeiZvns9tyye3rcYXyFkk+br+FzoB89FOh+9Y
w8FLJlVLEDILOCvkoRjcFmBC1G30pSY2HWE9eJX/4XclysTulpY97fuyj3Y1ERtrKCif7vij01fO
DPctM7C/WoH/3dZiA3b3l231rBpyF7g3nn1D9QfchgwPFJaw2V1uhW7bDRxRtdI6+Pr0BEBhBez2
HrHXronwpY3fk1zoxk8ODmLkXIAEjRwRNScV0SNRnCJyV5SlnLCmaC48qCf2EvvUDu1OFtyA84Tf
AekpnsIMJ0mPcWmIE6TbvUeIq3+cZPEkhYmVpXOuEnWBQVcRC3QMJg7IN+Ad9+yeeL9CybRplbHJ
gcDgdKg51PjBktxaS6zztR0OBocYmdfNNnbEFi/5k+bjsMNexvQdRV9Lb5bKTYdPYCBhMkmXc+sU
CRa9Qzcjj8Ivkfxj+C0DqCNahJVVjSesKxs+/Q/it9AIyuxLkw1hFtAFPQxpDBZeGApuvZID3ZCi
oBbzNydcYkOIz4VBVBxdGr1yE/OBrH10+mSO6E76pXp8J3l6TLr2s284r3hahyi1yP9A+PFXAuKc
aJJr0J+5uXeerD9MiXOLKeo99YuvoCA6z+hRy8o5nFtE7swqvsuxOcak8HY2uSVjN1ygYFAjm83T
rNlbW6vRjhvDW4wbhVDQ6F86j/s8YW3yTS4WfMbQxVeeJ95UYF8ik4I9MWwWyvEsBzsObdUta/Mf
L0m3gzjP2pPe0ioyzYqiHlH5mD8KFZwLKzrOA9lWjqyfO8d7LTvEPvNI6bq86qboX1yACCXtpPQP
7XEXaZIJ9UmrX8XIsaaxXzTZ4zmsaZeYutoZJOox6Rh2oEMYGcV9jQBm1Y/MP3yzekymSW3YH46Q
w7eNfQiok2I+3Y2OiGE/9fOrUbZVqLNP4t2zyoeJeR13/lY0Q7malgUEMkxGqWCvrFavYPehYRA4
62HawWDTC6x1lfOiJTg/aaERp2bC82bFPkuwllYF19DTqdKmhs5kuXjCCqydF5uIoxWlbbvuY0Hj
2RP3MUCL2jTyi5jZN7oCTRjVo87M1fpxvWcU+wAHJJ8Sxgtju6wWFewx0OExGUd45xYbVYVKN7G7
Pe3UG3qin0VvE0OUCCuLsCFNQ+LoDfGWesNEPIGRsR3d11nKZ/QdANO86tkzynORRLe4YT/y9G8r
+Ue2a7aRLc3zhMj5nDEwEJJ3ptdqXWZXZcozHIsXSyeUVo3u2vS4nTAcLf0ZojpbTJxZi9+txV0M
t9ZkQOlDn2Mm5xkulz2Z3hYeIHoLaudP+rft9s8jboeZs0lGz1iz68ckhp2SJwmq3QrCht6W377W
BXtVOcQcOMa3RpjlOmfivCFbmkw7Zf/QhhGryMJFFGVEnZYcHD3mNFxKAW9DrdhvqEAr7TGp2ATR
6NRbi+PAyjBmUN4pZsRhXfZaikY4ejd1HApxi2GG3G/Cr4PqRt14LKrhMjT2XitJvSCHz/fonQv1
Ubb6zUQmuUEueQVncbeIlqGz9GwHOONSOCIcl6utcAasjq5GbWjAATT9krUPdMi6IxAIBRpSrd4y
wx8TFuPWt6DCNAXKZTk5zY4y05yRn3hGe02J2lKkMu2nguqdGnLCyyyCtTF9LogZy6U37Y4oGSke
n+e4+sGoQnM0GzCfFQYFDvP9HkCXDeuLYqz468zOl1H0zxzqYDGobAO39ByRzszSipPH5fCHV7eF
EMJVr9GmXZUlt5kObmnqIudacCiqmV8AWBOGxbvvafTMvB3uvABvx73QtX9z9ZhDsNwpG3Gxr1L6
qT2nPKFlDxkSgsnvaRK4pF45k73pKuvuieoPwwKxcYbkKUa+GAMmZxFKt/2cxKvAj61DB2cl67y3
VuafAv3exEBzU3rmxZgYNktUNuqSYtlVCpAQfKVg29agb3xkSvqIHjjFjg1iDiLkJCIqnuS5CxwS
ushvWtdk/Jaz+2ia5NW3EkpD4qevaVTlp752RBik8EF15dFNbG5pEBGwHJfTNp+5IAviPFSEo2MC
QFI12h8moIJ/fq8lzr4K+uTSOCUfScR+nEZqA02Pic1EVLuKtuPMPUfBcJiDmHmS5jMzzOWbXtbx
GTUVCCuqF0iDxsL7cUbTXjWMyltPu7soD47IrBc0ZccqLtNgbQWvKR2pLTiTalUvvJ4m+EhaZLcc
HGhlj85fVPzk4LK7brjbQxRGa33WRagJ0a1d8hSxG2AsH5gmAZww+NU2+LJ11BFpfYe93mAWRzEN
3BaiJfa9LWs8vBxEp0VUpnDQ2OvxYe1NY9gTNiXWZKxistbPs28+VkATVrEb7BI0FbxsT6EpsoYl
jmBVQWeAIEHRjNiHpc/17YvTqbfSopCXJZp3zCCYsnN6AVNKa6vxgx9ET2BhmvbEabQ6lvX0TONP
0BM1z6B3P0Q1Md5uD8KYhnvdakdlXBrunaLziaOcddh2y+3ayYAcb2ltHUOy38jkNdaPkd2/qJGr
vy2a5eq9Jmb5SmJ5suk7r0WOrMOuzFP/gsdnWBk4k7YUX691r3Q4tFPouPN7bJt0FtwoHKTz6Bkx
2j7SL4YSFKivD8dZ00+a314rbXBWgc78OJs4cul0qVOFJWOixJ6wNhPQk9xLV/+OBs7ULFdHbgG0
oLa8GLJ+NHWzPpdDvOdsXpKf5d+MJvtyrIbJmNYvWJwH7AliebU9jc5jjlRh2wexzsXqbWoGclf4
xwnmZu27rahtAn+LGClgw01XY0soGWeE2JlelOf3B/wIESq1dQYNZtOZFHmyiFmo3czeONK5uLgL
gGvW9JHd5/ZFy6rFz+OPwKvLsy5RApH7yqUWj9s2cJjujiDPYw/wSZkX+6zow+V/bZdfs8Y3Lzkm
/c2c52iPkalgbjcfEIf5CN3HT2ISHOaPIQiwbZXYI6Uk97bpMKgcaVrSMmE9zQmqVT25bp4Guavp
OJxEecjZbYee9u7M2r8qq7e1CdKTzSbDf+ctQ4TkVPoffaWlh7YD+QXKZ2VqMXRQD4W9lQQX1PAJ
g2U+aVqioenik9DdCstnqfPO+Xr1MNsDYcu+P1PB4ucWCc0IL244dEv07BgqrHAgXyma++uET8qp
dAFarHurYctvo3SRFmnHvvdOJoHoccsfqf9vpvL/Zirb/5up/L+Zymby/2ym8mi3z27x12+UfaOv
JpFZpnPBPogA8KJ0/45w9uxYaRN21Y/QAyfs5CKlMXvAASjXiSog4KCumaYUgj5wdM9U/znGxkvl
uLQgOfoWuXfW8KPFAE2bjnnpGNOqph4CEcmMorOImOw+kazgEEeNv1Fq+JHAfLZmWbwitB3B/hBZ
bg75y0wKFJS8dVTg8hxFsW9qNeBlpWKOp2Lfy+KWub6+bcUitUJWAuJZ5rSPrY7U6RTdCtWxCPUq
OyjwUqXTRbhj3Geh5Ib5/icHkT+xpISdO7cPdXPatV0D+maEN2Ext/B65zp2KTiJ8c1e9I1dE/yJ
3PqvvYgtPBt6bUsPRG/1gdYObArqn3/13D4Nc4UxnfaKKOBPw8NJIQT+Q6ePVVD688pgd/R0LayZ
OLq2fScyrdabdOfYlOi++CzRVq0hOQmCyKdSfKGT/4NkNWwnUKQ6f6zeGv7KrBQaSc1/Hm3joxy0
H6Oxj2ng9Jdh3FUifvS8cc9v3zROHZsqAmkFmpooVK+4CPjvgFEdDW4Eg4vY0J5BzgTrWRtDv8Wk
ogay3IQeYtE5o0HB6MyAC417SSsMIvOAEsHqq3+lWto+PVIB3/oXDdbPoL+08OYGhh+h24L2TrqA
OGCF2bvVjJ8gR0Cr+2jzG2seN8Wsq0OGGCD4m5WP+BI+c6voaO+casWQ1i+mbN9gFKSLBAps5HBg
U+ONunsBfDsgdm3a+QjJQmfMQw5Hlb9HhUurKYByDiDn36gh4bVKRQ5up569VH+3Gb0geLBvbpGx
eTMlzxJQpthSEvIjpnEHEmZVx2v0M7fE+j/sndlu3Mi6pV9lo+5Zh8GZwKl9kcnMZM6pybJ1Q8iy
xHkeguTT90dXVfcu1+mNc+66AQMFAS4NTqfIYMS/1vpWuq6rj9L24WLHWwpN3+hrRFKuaTJNZ7vZ
uJ1ZIwBywHag6DMcj9ZTqwNFTzkD94BCFMvAX1FMT2qqHgc8zDOD+V3kEknTgLKE2Lsx1cXfEL2O
xEOJyCuqspaK81bTTwVAk5xZ2PF/2GqCfXkQcDqqEfpQA0u6zwx7m+SS/Wn03FjOPfUQ23lyor3W
VdcCh8nA163tAJU0BFhglTV3YBK9kHUfuQipRUg4o0MDlCwGCWA0x/0ERLg9BRGSlGhEsA1c4yYY
uOKcGI6aSwmDE9fXmagIVdYY4Vyi9ZZCP/IQcfynkUbP7FfVvMPVesjt8XmKsfOVRC9WMdIKunnd
gMjG+7GL7NoLwwTooAWVAjs1MMoU0t8ihPX2ko2jLVFzkiOR465IPrrFUlMqG7PjGkh6qe8ig6hp
EQPXajMO9jrp5z6aPVNCrg44CEHjX3xww9cWcG1BQmZTZcFLWpCxsPEIazQMHYbQ4/jvbrqOl2gN
RGEC/SNTQ7oA6umT0vMm1ljHAQw9uWIk31o2BRpQyQ90Jr+T6c3O2DYOOE5GOWFJDBFtcXR7IbGU
0zRmvt37lXBTtAF91VYpeKW0Vzec9ELsEOILHlIihHHXeWlGqVVEFc+xDAxavxGtJKmgTte/BRUT
LvK8Z10EtCXDGfR0O1c9eyrkHWOsrimPlBqfrUT7lqLj9mHoM7UZVzYTyP2kQy5E3zm4oTDXuh2Z
nAtK/k3iIUiyS1/hmK147YWYMBP1+otu1HdTL7VNQab0NlP7BzNjHxX6fMhmU90YE9Q50tedUB8r
OoTZrkdyO431ax22uR9jL7RqrnO21V/1gJ4CdfHqt8UVybY+zHH56gIyJp1e7JzIfSc2/3kGd5ok
+tuk6pNvT7CUBNeBHFIHCWD2hDXdNdoAOowRAa3J6bE1831wadXMudPkfJSNGZ5Nol0bgq6Z11RZ
f6wq8x4+dHtvLJCfyW4mz5wHxuTSWo7MmAviMDqVpgvrRxjG1hGFtlGFWhybkq41heBgUbCSkD3I
d6VpmLsx2WhVrqxnarz5EITbKlqy8jDrdmNN4tt15OzJdjC9SlNcztPt0dQKezeQYt4oXO4rXbkz
Sc4eFqQdvQ7aEZAvsAnCjusuxpPfqdUOqL67wnhcXGRLDrA98L65a0XR+DyzsLUeknHL9cHPc/OB
VR8FHo3DNBp1X+Bept8a5Av9EkCY0anKIj7UOkcwFcPXyoAB2kfaS8OL3AwqQ1xFxOIoFHxW2pya
lwovcxBXgzcPBoXUySVK2+BoxemnpB0PSZ4ycMpBwgJ2oFojfswchMMxyb9CMtuOw7BLp/w+xrLu
RIrvZswienMsr04NXcmliN3i1oYxRZLaldMWyBpY4JEZdmHAd7HGjzYzzkkDZ3vANtgERbwLguxO
liDsVO4DT8TOuwirkzQiHSZ1tjf18rUED752mFSTzkP8tnE/aJ14swNNgsxKGYd021hUNtbwgW6e
3gbfWIUfTlo8ZDMqWbOI6jpbHXN0P7lR/DUwqcLRBe46d+SuKNSEfp8+xunCekN9A8CyhN8mxHU0
cZbGVBEEKHFAKfhrCBL6FBYAmxoSk4VCPbc6S1tnwVAeG5WhtEWpEwnMkwynB2nEpISiVzfEszun
OUzNaBNRmLSz6/mVIjvLC3DddpbAjD851kGmpMZbMZ7Vsj5CSsSdgz+1RzL+9y1txt8q4qhotG3H
0pciQkrAllLnfylBZCozKN+F8oLd1KPLdTwZ7vw64bReEYs/ljQdXdTEco9oVc1GzNYr24TBn7j5
76RqP3SVKD93Ck6lVHMQpRebFc03RwO+DE8TwihKx/heqVTu8vjBbBT1HiytxZrclGdCPwCpqBIh
7F9gI80ZG0+pcStC5rVFCTEIessnM9FLlBys2RUGxlVUjFfF6It1qYraR9Fqr5W9+b0bNv5eW65R
jk39aXonAxxxtTvZ54Bs5Obfv3n632rbbJU9rw3iW9cMS/+xIFrnwsaNo+CdM2prKdaxN0HZu4fW
QawH9QPuX4WYMzfeVLVYHird3RZYadlgTocmBVGiI+jhhQu3qRJN3kRX3lqrY79pUgozUAEcNTb2
SUU5RzIyNNVbjGrrvqwqrwaYdGf2NYFpMe7c3DCOeplRAixtdNU8dB+dSfHw9Dp3dT/WWwdA9u7f
//uF+7fKb5sBiqrqmrYUWVrGD1cPnkUQLTpWXdq8SNSUlriVQXRMOiV6NpG9mReG6Ho5mnxFZOZz
k0Xvsh0xB8Xp4KlZXDO6KpivKoCRN7ipJ9amYrqkoFtIAYWkqnoTbyqzw+8V0jN8MZyqh4jKGZ+g
fHsXWXzQWvBvRgliJKXd5sTO4lVviq9tIz8DZV7AgK3mjY2sye6i5PRa8iRdgaevo8ct7yzPVdt+
N0+leOwUYW0Xe+ImxMO+MnQernqllQ9ZEj7IPIC+gaBz0iMVoBRL3yq2q/AA2yrjDAOMX4GoeLHk
yq4p6RDLN/YSllmVZOoe0//SYEOIp0pbmHfgafIOyNEUdOqVefK8HweTzUhZyHWtZO5SzTygPkAO
nPuQGXXF5i93tK9wf92ric3VpRPhHETTIaf8wa8F3c2mPro4gcOX0og+tGFwtqMDLavNMNmFC+G9
0Ogv/17ImqVGCnF5APWiKILYnRCXRmUv1kBogq+y5JX87/WNtQ4gdbKpIAj6Pgb479zGAJgPyIPy
EpkIOMBcv05Ugk1ba2HQRzBwyBuI0/cPY2GJU+6q91NmR194cSDKe1ZVXT4FbWV5MoMF9L1gvS6H
4Fh2r1TyXDQcUD6lX/EOGcd9BbbKlnzCrlo12BHmdqtV3Jyb0NbUrz3okrVR22edmtYLKhB+eK29
opA7nozMA3Y68yiqGUe21Ra3aNDw+PTGV7uUNht7tJhpEfQYq3/Tp1HsukEdvQE62d3cvEFMPXF9
5pQWFPNZ08Jq49aYBcAJgnor6+guH9TnuIxT2C7gjaLFtNAsW2f0PeiWkDLPjoXvTR0RMFu9eUzn
eoFOVi1zSOjjYEPqLypLSJqMl3pszId5wgqdKrWya8ACa5GqPVktzPkJz7U3RzAXTX1u9xDNils7
AI2uSBR7jZ2oHHIHE+c+gcHAkEgroUzJA9Tp9vvN/x9/aV9s//mf/PmtrKaGfVL3wx//+Vjm/Pef
y/f876/563f88xy/NeAFP7p/+1W79/Lymr+3P37RX34yf/sfr8577V7/8oelpaKb7vr3Zrp/b/us
+/4qwvdy+cr/7if/8f79pzxO1ftvv7x+o8jKi9uuid+6X/741P7bb79wMRgoL/+yUi5/xx9fsPwj
fvvlUnLq/cc9BfHvyvN72+ElyuLX//KHvL+23W+/uL/y9HBsVTXIy9DH6VJzKfnG334xf3Us09Ko
BdX5rDBVKmd5dnURn9J+NTWHfLiB69HQTJse5rbsv39K/VXXTQrKNMtigMIP+OXPN+T2e//w779J
3qA//vyPos9vlOx27W+/CL7vx5pNQ3fZJfDaTJ1tsv7DOs/ePh6CCk3X1KebbU2YotK02WA6Rezp
r6MO8bVjlV91tj4co2Z8N3MceE0HqL6qRo6vMxV7ztxn91Xmgvo0AUmtYjoAUTb7l3mIwh30h4TQ
Al4SU4vqFcEqzasMjeizKTdqvRjO9WYLORn0axb4UH/7TTdW+lrnoYl9gOePjNsHPU7AWkCWseNv
nIyM/aTWNb5OjPi0we7dSZn8wuJ5kUKKlBlOrXroJ7bDbKz1MT0lrWV4mhx8qMP5WXR7xYV9DLKq
oX0ZawJ0h4uuL3SW6ZlwX+ZHsSBDQ+8IAO6COzHUHOZmrlh3I0nzXpd4PspO7Hq3KNadHc70Ciz7
1xwzuZ2HUDhbKOIonwVCfXMc9Gog5eOE2MWlvudJivGGivsL7omDI0N5JC0GuVtvz+k7nqdPE+YO
dg68ZWnJoEDrLWrvWs5QS/Qt4SiNhJazX71xTh+83r7JXsLSLCd+SNoSlbLm21BSPNByOPeGTL1v
YmFvKy2glq9y/UkBCczh5cGeAI6nkdKAjE/5VTvtCPPM/AKqhDDuwn6e1Ar8mLjLKBZ5aN3BF2Gh
vteYssGGkWqYNg7TNxJPIZJPBgadlXLeuTRTj6RECPfHBBvN4j5xNL+vxmRLbJt+nYUQIbuQrVEH
ESofCCWXfXJt3aa+StD8yMfmoa01dRvktHcpQ8LJJL9lrZbsRUX8fM51jpRK+ELHxkLJwlVXu/bI
c4V2AN50IowQnNlqHozQ3SEC8bwu1Es6pYRWWPe1lnxuyrghLk1rH5iYjmRevDlZyUa1gv7byLc6
dlG880o56phspCNKcPRgjMiZbUhR+LhqGOv08NUHN+AMIrwmsmn5JdQ5sJ/Nzc9hqoU3i9vGiLDG
x/0IrljVPsgFusih5HiUJkrIwtbbyrLjfWe6j8qgs4+MJghdCvBQGdqHzor2+H9Phh7Sl+eAVs2d
5AnX0T1OOZsTn/Ulwcpz1Hu/H3uTr3uZx9Q64ov4mKppMVDZR6qmUroT9W1gP1AeFK36vteh7Ra8
LGufq9eo0ba9WEBAkVZ7UUPfp6tjOo6nwSsTwO5S8NAlxiRxc30P/tZdPe1opQoxEsYSOL+jeDFh
4GjHXDW+YIL9JC0pcbCVlLok1mmozMVdBbxT6Zi81bFp7JREmoSrlG+9Sx8urGDyC5kDHFuLN9im
Ii8L3SecOsDKe5wpkW7u2SmaKxvCtF/o9rjJQrJT84R7nJMcrW/nrJnsTc0p0ldSP4kCcXEtkzlV
xmxDZPVVp2SU3pnB9SNM12uHuoa0sXVoV+A2ZOXsgti6JxCKsJu9J4WoiTKA0NIsaKimAsROmfqv
eRRjRh9DOmtmsz7YeANpYOg3ToH1R7JcfdWV91nvw4MoAHTk5F/A1UdEUJgBw+zAwSXJKdWi2WVh
Vh8zQiNBJbkMC+qFSIgRV+uG57kbLD+pzHU00D5XFSLY0Rpm4JZXTwbpEWccaR5paaB0ojNL6mfc
CGzYzBCvM7sPXNTBcxb30yoI2R0rjakcggAaHEg6UJjMoNVHO+EAnsma2lLZP6fCSvCowbS162kT
zugHSxOQX8llFmE52Pkc4mMVToa7VnBfBTwBrzxiXpIg0sGb2O7ZpMllqBh0lYq6nlsBSDh0qVA1
5hfmKhogbpsw7lIZq46vYSj2WhTaWyzd9UFLicwA5wxF+my6SrBrw/BJDphQl9qgjiaobdtUt0kf
8RRj2yZqnC4k0ZVhtVT2hOZDTTEBxkxoHlZBj5jBQyoNTxBq5EZqmu6lZQfWRWVUH8r4ojawFatM
ACMxuqO1BO9BT4Q3m7TTiAEgljab+fpGnS4Kv9zmcX7fDY55hphxVmPnOOFUDOue5H/I6A9y94pn
Gk8wK3c2LTL1uXYGbFmZ+tHr6lueAf4mekxR8OcxjIoNAY5o3UtmChy6KZIiB9PrRFvLGkzDHBO7
GRnHo9kf57Zg+mKAtWMEOm/aIgGyLaiaL7RPjKhcDGhbkqLGTmpM94O036piOVNCdioWghMRWgkJ
Ly/JofZlftDD5o7Ztk5GzjC9LCOKk04NVwdeKZOMClede1EVqEmkXpka0nDdxEyRbKf0sSvGgW/p
lyx2p3tTMb9xx1njaN+3O8z+NgayKsfkOG3IL+I8buWxSoGKkdbMfOCSmNIsV/M5jh0iJcNpadIl
kdSIKXlpXsKZfdzk1syZjpkuzI2jMeYqnZMmLRqXwYClo7iHPUH2mQWUorr2TLofJontE7QQ0OjR
K4bE/srhLsFDXzxUMiXMV0qKMJk3QSBiKlNYabklBPolYsy3sqboMsWJDkkdj1Brvk5N95xHHXqM
fnXVG3mtkIk2ft+cqe5odOUhXXyBMRVL5VKbFWpgB5yqPkJo2QcVl2Qha2vHgqUe2DJs0xlPjOby
msFI3E2GebNSoZ/rgPLyXn1KGYOcTHtytrNhtGuT8b9mlIM3kfGPGehydEmOyAQUqszqR05dqKN3
7VE6H5GBg4Q76o6Cb+Xo3FQbiHlq6q9xXTQ81bJzWMqt0ao6qOPQeBio1iWZNz1ahNVYPaOQyxEO
uKZ2dwZnpk2hMtKGbbobHfWqhs1jjIto5wRkr/HNG5R04bTPZ+fsjiHzdWgAcRJeTXKVKDc7Fzo9
y0AebrWZ0XKmfuVeDnfhIBRv6ju6oOsNhpwAFP7iDbe090yn3j3KM9ygeXzWae8gNPel1zXe4pTO
VFd5rtzunBg5Zpui3Ju2uHSdeqwV9a63MJIbkOzWacjxE4oMdYctIEO7GH3mEFuIpxNhkCL2zcp6
mOG/r13dcXyT1AzEJgnNdog537pdG600eiE3nWbCksNAxqjnxHRWHkN6gneNZq1sUfFErEXgRUvE
bLkCa8blT10J+96cR4OCx3XJ/bBu2Zt4ZhSf3Fy3t01pPfRK35wK8a41rHUc4c5k1sHU6wgJwi0e
OkUaKzSV4L6kis0Mv6SAGtctrHcafMhQAG+izsVRYGfwNFopuXUw5fgKOO3Vjfp4CwbvSsX0K1Jv
NjTxdiztkLij8p7bGG/16tqURrIv1OYVVt/DVBLAUCBLVTAcdsPXwXafO1vsgSW8mfo7A7CPMeXB
TnNwusts/l+eMLgTd03dXxotcE+s7c5WI06CX9auoq+TxVrYz89LY8PI/no7duE1KNleDzPbCDYH
li8cGFA8siP8Prj3JQ7m8SlC2OyxVvELLLMTwjKuQHU8hMkNbyVleX3rMnSbye3bxB6mvpA3MCRg
QQpUryY9dE5BurDL3ocp0nehzujf1hV+eyrvrkgIo0Cd3pqTH8QNtGXU3wESd61Qskmrl141VzJB
N2J6THgw+oGVLNcTFuKSrS+4K3ouwjAc1wZeylXgdMS2tIlfq1m+x2WjrXUUhBUJ9xEgn8ua3ydD
ujdsBk19ooFtZveUOfkTW+uak4PzjHSCZpCONYhqjZ44u613bp29E5TGqJfEgDpCMuOEw/W8N3y2
TLuwWirnub2asbgyfohWXUs1YqHMzzaEL6614s1qNdb3OvncgJvoYv1YGyUdNcZAGrRXNmmofdQR
WZI2L1CF8XCHWdf4fWDVa4LoyRW48jpnn0B6FtN1E+c3pFLWwXiECsR2q6h6Y0PDr7MeKL7ZVj36
blgU2P7HiQRcNWKwo6ISKrPwtCi5svShPNsUjw4dLIg89/u6JiJdiB0UK2SRPtnqE5j5Gk3Bskib
NjHX0m2SbA2Qk04h/XKeU/IYH+0Xs2y1A+O0r2FBgjx1G1zVSfmFZfwD8l5BKC9ktu6CLQVcqHA6
MHGr8RRx/bGJOKKwlQtzzrqc78XaSOU5s8O3krAN/Inwa5M5rDLNZ7NvGOYm1CIpsdzETq7dFMIk
pK6fcoUzqkh46920YFwlPrSZR7kmM8Mni6XsgtlO2PbzFFUpi+Sxa6srOV/xVYiXwngPOvupVlxS
z1aMxNmL64j0S1KBHuJFGY1Up92PcEgcO33kKfmo6u3GbXzNHfTnTM3eSjOPKT2wP1Rr2WfEOkWX
X6PcmC64KX2RyP5QTunedlO57Uywx7AcVGPejkq2C/oSKd2dmEsrNMATxrEmC+UVBrKFq1UXd6FK
8XnEstQ1tQ9Zd90bZu2rCqrplLxMc4neG7Pfg3PQp/l8ZObR7pK2YFeN6Dnl6sbW8OzZSOTbpmha
nPytc6Kq40ulsRargiNyoN8Aran7RMjdoAXiOsW4jiIl0RgLG6uSmOm5HhRxqqZ6GSbqB9nCYW0A
l6GhMSIPLfCMkGTjnEurM1JUTUMlZlVjrlTlhRzxmYva3gkTJSahRoJWjM6vk4biKiOIfFNyeC+c
3qfr43UcKuepya1FfaTVUoFFoSbarhdkeUIF4E+hwboYcrzghjVYv/8xymbKPkFsezmZpuuksblM
TaQ9cHO2bycktQcNGmoQ8wSv9Lk/FPpgbzPyMK1u3brgpuZtvi+NEYBr3y1cGEaeheMjT5leglK3
D/L2GzkGqCCj2XhN6Xea/olu0ZEhYw6buolOcIAeIqM+iThxoI8QjAPvzLGT1Js1uXvkwoM5AC8t
AqQ5fklvDCh6QHHOkbPW3RzzBCwKfu+Ev5pds/Cj21BqRx13ES0L67gvzbs5jLvHuGVzmWGFsNgk
32kMNkg3a8lJ7wiCzkal+qQPefDKlsePNni6G4X7LmTwm4lU31NvGa0H2BqrfrQESQKs9/iL1sv0
5qDh6Lgqs7pxYWYQAcUlXDo3h2Du2pQNfmY7YLoK7nUTZrSui6Q5w2aTuzAQtici+9SBVnpqx+4z
6SCgxntFBgZnq/hRDn3mWWmvbWTwrR3ZORZ2YW2VyZmojsRZHMmljsqhca9vOT7SCQJPw2xvQrJD
Yc/NVMimA2OaCSa1TLJpuAc3nypfYOHtMPWsukHExIcNSJJFc0wboEI6RRGYnsb5woR2jdyGFWD5
ACeTyDGRAmRiaN4JJaGcr8F5SLkUTU6zsWvj7ioNdbwFQxPtK9qpPYxK9cHSaZuaBvBlI4b8rHAv
onUSwJZcTF1FRlWP96yPy1Hdqg7UIzlnNsvltdLe59jObg1bljiqT33I6Lrqiv7QVOxe7LrYA22A
thjplZfAoaII5cLKmRj6fEu4G5XEvmp1Z67ipCVNySCQx/WSnQ1AR+UWmmyBEexM8UXs6xXLdzW/
BVOSr9QgfZTkzP0guMB5IepTt8ParD+bsi+3nRNSbv/EHhU6YcpKQlIBsPIMaox5m+NViQE+MNhC
FqVbdZEcyD68xMSn15MpL3O4UPkw1q/i96QGCaiNiP08lOkJGcRBjMWdI9h9TaAON2aO06qkcZA4
SbYaWdUONi52k5wBJnmY/FlQPenUxnugtHvmfBzF6SzQ6HYccnzp8wYx8hM8X2zCRnqqOeYaou9u
ZEy3QVZHe2upUTWczl3LTAHJnPZfWiHsvUUOcU3/gtxGdW/cAhdeSGh2RODq9mKnJnGTRvOD2bhO
hFghYCf2lslhMrjxbRqmPz7oACuTZu6+mA0UdzjRn90d7aXV0QU/D6WLYA3zMc9oYmfrVHJvcFlv
6/zE3IJdqaVSVDgnVJZUbPQThmArAWYajYWHtjBYn/KihuvNHtOeXP0+K7+RM69JertUdOBwA70j
rwNKIMQL+iarUHihcBOwZmMIldBd8STTGD/GxalbaCn2E4KHkjYOkdC83thJ6YuCVWC2+/jchibv
VjQeeZxussm0ztiY6B8J3WnHvOs2qRTwmmnpx8uvcW5zcShHI9r1qnab3AFC20BUCwfNfUBdK4Ez
KDTqRDFHDGzc639iU+qf2JSf2JSf2JSf2JSf2JSf2JSf2JSf2JSf2JSf2JT/B7ApCQ2rXkjpJI2M
yn25lOW2FlOB2lFpk+DooGdiT1T8DjrksHLGlBi80tXkQYZDks0Pg6V82DNOfgMV1QPRfCyFPEUt
djoi3g/QWc5SIqoOAViIEqasZT2OqXlLO2EQLup8O5R3Pw1S/y2DlGqY9uIE/Y8/PUd/M0it3hug
D38xRP35Tb8booT+q21RxuWatoqHkQnhn4YoPsP/x4Gla1jc+YAT6/8YohBaLNPGo2TrzvdP/WmI
0jBEOa6Gg0lb/FTm/8QPZf/NDWWDche8LtQ4oQnV/KtnGoKyYo5R3sNwDN9btT1M5OlWwI1IbaG4
xFO8tcS4doV+cGMIBkr6YET9tRyVwzgSFZmT7ZjQuOCa1ldTGTfVUB4sqFxa0+HwbXeG8qyt24JA
gg2+pIRTXUdHAe0lGscLiZ195g30/aY1FUsIUoz76hj1voQ639JxVkQv8WztVErjXYXkn1n0j1g3
s01cOle3LWEFK0SzSzT5DgsqfkRqKathNeUmcQKqNNemsrGrmlbEWj1ao/O+0WJtjyUcDzbneVzz
pmEjkIKis7pdIq12HY3JU9rQro4ZN2v9Bcb9LxfIf2lC+9GC9sOb/oMFresnMK4KwqzZ6cfeJD4m
4ms3NffxmOygfcFzmoGbOYwGq3UNsoeE/cmoTd8CvwolEwamuo4q58C059RH2enfvz4u8R9fIEZo
1bENYZka64lYPv8vTnrpxMGU9flAkGsMV3YXf9Qj5PvlfYyGFtF1UDw8vicJtlevD53oqAQEMz03
IKcmel+YVOzHqok9l+/FR3+LxENHlIeZVe3D4njKVCgvJVAgvcLVS0loFvVn6pcvukvDqRK/lbq4
GRWYBjvUH2aDikN4B1l2H1TEzobpTWYw6AcLAOIQo/nQnwIBWLE/KnPa96V1giB1P4+N39ZwVEvz
7A6kFAZSjwNN9C2R/y7VnoEdPcreelX6bLf8pXbIqBdP4MktQRNP1hdI5Kkfa9u0MdxbZ2YvAtBn
BNUhd2AnVSlSGpdIXRfvlc1AsRtIkBq9/lpH6k3rtQrA5/A6KLCVjHIet8p4r2LA95U6KTHtEQkg
mofvhGhPuYMBtI9i9wjBx6Rj3aKBvvUbuDZoZTTa2Ol2+XvyeYw9hlyOF5GRw9NBQmt0XiDW3Zwa
qWTSxJ2uNbjjQADYstvQdNWuBlXdI2UCks2l2BhxBOob1vy2Rq2n5fStpU8o1ErGU2J4aLXsS2bN
xtrqVN0brJfMbQgohgd3EOOGjKrhzfo5LsgCVA5yyxwrr+aA1llp8cvcwTZ1EQw8eNWfAje6aRN/
Twphzx3ri0iLJybMtWcr6onM6cGqu88zCw3iTEG6R8viYVe5pCkXEzD41888HwEFGti9cjxfAi/5
OiUFvOl7AEKGmY+rbESsCBpufaq3NKhdEiODlpPqLO9LnPCgCR/TkLZVdSTsCAAGuwq2C9H3V5Nq
R5CFyy+xd+k0n+J2M2rdnQkRdJNkS+czvTBZbh37+BtUXrxJNY9fl2u9DvgQ9LXX5Ixahy58dJf3
P0d4o5mjMnBskTGsTHGbyqfYkVdjAb8MBi/ONLDute1MM7MBJmSG3jl1b9//LargWglF8DlwrHGj
FFSFywYhm2oT1CtdfRricwPIxCto1f5+YSk4ZzcsCCqONcyFqnguKY0AA2vFa+oPy/Y8G4L3wNFW
sMPwK76ZyiWI+gdnwH8Oq/1JHZ+N0fQzhR6kZCQ2KzeU2KyGZDr2Mx1bOd1MU/gBKPBihJjEHPua
1+o1w9o/qc+Zi/HQWrniUnyJK2ghEhhXkt1RPbgBPkoZj4JB0NAh5jcCsd3sJii8C7qbLGl81+rK
sysbPKT0brpIC9jbPjoAG4YxUJPNTYqhnCE9WoOqI5wvty4aWe8NFD1WY06bRQuzNYreB+MlTlm/
NZYWCG1QPvyhZOBsUUXoUQ/kolPSzAl0TYgtkSo/y7PPNaolTnR4K04WX82K27rhWltm24iensCG
gHa3a2Xjg8q9aFFwh7y1q9l65XDwaOP1sMlTPWP6Y3ef0OrS19OpAwqGLWbTRirZGX3jQtpzw2Y1
uHQe0tVUNBXRy+HemsdNG2b7OZQ+xBavH8OjtDqvlMZ6qF9yN/oUqMA6LCKPjKA1nFomkehkqPYt
+jg6FuRcSrZQBcZI7tSWqTvZ8HgPXBPDKr2RuXM1pPSoNuHvJt1M2lzSZ2q7fokJZHB0etSC/UwY
1arkiZZfDFH1QVEqX+3ts22099i7aJhUoD1TNxdWd7MyUH6JNXXEXKZin9QkWiBsKq5u2Z26aTwI
EqMLDW2y7aMB83uM4fOCMBvoFIxJZ5bqdnlngql41MboFKjNiaagG52kLdUC/Q73IvC2oxjrTSRG
vLSEL7GmZvoXLaWfZWuPSBdgaLS42SsYB8xxXtCAeFAAqqCeC26SKmpJSI5bEVgnkjljmZxY5S9i
2ZeDr5q/jFLdVVTHU6q3nYqQBBz5TN31ZyX4JBXxoWcGOMrB79I3qZ3SCvOxzAIiJxDrwiOuy2HU
npVv04J31wKyya44N4P14A70tCiRHxJZUgowhSGs5ALD9CrEnUIa5xDW4aEwQ34bUES10S8El0Nk
gXXTGmA4yOxJTLI3lOVaIfRs5ddBcb9BUz2RjLlk9deZtKMbnnRLfR7m7rw8OsPFdjFbB7fXdhV5
6r3Ti8+dOtzAB8Yb6U6fXGtCc5tlvo2jW4/T1QmnT4bCCQME5iiNbQrQp7KLWzoYlyn8omnKBRWE
RwcP0cy+QEXM8XdH9+pofo7IsIDAZeMSEvKxiYPoPKHbmbRvrr7bmfsN2zReCw23Ro0w5qoST/fM
JWSlRJ4LE88GYThHITjZzHbpqyJ9Urjf5ayv3GppeCVR7+E2W4hQuAGj3K7hadrlFlLUl5D23d2Q
40RJku4AeJPysDKJPNad/DzpyqOzPKkq0bwLDaodnHcvqgrgEXviQOrFEWR+OvVVamp1EEGYUxjO
UyvHW5K7wRv63EEV/TYbl7IEx6ou7qDtOpyTQf45aMdy5YR1x7+iPTTvZDJ5bDSS4IC6d5RBrlow
Q4TWPjkTgH97BkPbqVCxyzz9PbP2P4qt/H+VNjFM0yXZ8X8/TD28jmUx/eUwJf74pj8OU+avKhtS
27WpaHFcwc7593CJEL869hJnsYmQLOk9DjJ/nqXEr9YSCrX/F3fntVs30mbtK2KDsYo83Tkq7S1L
8klBlmRmFnO6+nn4zQzwzQD/wZz+DbTRsN32DmTxDWs9y8MUGpi2QzX7372U+Q9YbItiV0jL8Qnh
+b80U7blmv+rcMa+AjvdpqOCNW85y+v798I5Z788FoSjrjv8BZ1JTHphsebM8FPMBenMmTk3e6vv
SJH6GF28ZpPFnrxA0LHLivmxLXJnkwXGV8sWmOcuKPBc+9CbUMCVfYrgviqCVRZk5Qp3wLt5VZmq
AZOg3MlhJxI8ulA9YA0TTnQ26vSxnbNwHQ1ElZiTvbKyYAlfdtGFNN2LkUKm9Cric0lyXQU5QYQu
vRfm8BEtD7r3KMoortz+tVjc34pk4L1pklLUz/mXgTkaOHT7bLiNAfsSwJ/OkQqJ1DXXxmM+ExWD
IEs4kBn8oSV/UyT51m2Q+cZ/pnz+hqA3ryuL2L/KN1IU4nFANTcebXCrepjvyOyMFcF/R3KEvFVG
uM+GgAhgsEQsUOrh2WgJudTmJ2EJ8AYDS23RyZ8l+YOnooA7h8duY3CwIyumGBvL/iUsp505WPrQ
Q23YTiRVruveQiwGVndym2yfZmxcJbacfSJa6GI5CkpfNtfByPC3mMMf6P7hPo6IbbEnNArSxSCt
6U0t4X+Ti50gU3auJDsb+yQYvx0SHW9TyDAI/966KQGjuS6QuBr97C8RonFA9N5m7RpI4kikXOQf
kZW8dBUsTIizpzoQN6+VX4kPYz3qcTBLO/ymWHrtfZ89sG2c6qVpzjH1DOWP8OXODvQbAJeNEalf
TZ18N4bx25kGNO9qMbU052mUUAl4G3yQFl1J6827iLwSrOF8Y67PkrwsyKqClQZrzyoL2DXE6ZS7
pIcD2oWLggTYsddDR7RmgPFYi7Z5ABS1Wrhm4XUUXHEDkRgq1u7dwdq0khNhsZgWEAmvs8F9EQ1J
dyVXat/e56QneSsNToZPGm0c/Q2H6CWrOhJP8NrvfGVbRCI0P9BYro0Kq91gOK9xBVIErXhZ8AVl
doU8VHYbeCTf2fQg6xyac9ZBPMgtpBgmdhhRvnEj8YjMfkIf4s5oIzHJQyC5ERgAArjoscdd5pXt
updFDOBlEhurdl/hdlfIMfSmTHGA9QozVPEzN4QEwmvh2S/3ELPxbHjOde7Sp9KpSyJMjD38XfrD
RGFYcjA9tdq7lCOxmdgBLm6Po9qqeOnF+Na3FVBWtEJru4OAkHOrrJ0OCnQvt/XUfmdG+StX5SHF
v38XuJecR9M+jsG3rEreh7rXnXUrugT422C9qM5979SQbLFpgkIfKbX2oFgQQ0wO7WRBZAzBWQ/m
+FtK7ayFRUb1gNCzhw+QebzyEQk5VW9trh1yZ1dVh+XTmr7cqVU7oZDT+O4vZMIPoOXFKU/Ko+Ju
WCfwRpi2EI2ThJd4gddO1Xxoa/KZc9FyYOSLb3n46zscUgSNNBs1tC8eIZVGgS4l6d/amvubrmA7
RNE98lGcT/wISLldvKUWAHgfE4aEFh3PnIr5mKYbzpZgo6nM1zpHJh4A4RiFAQU6egxE5a35VpON
srA0ucQBEItEF5D4t1LU5FUGA7I/aDOJlWU028xo+0iaBLg5L+bU2pdB6VUZRXwEQ2Eiq2ne1J5G
AzoDoVFuDJrSTvsB3nmEr0EtIUEOcuwabOuQ67U1pmotvPIXtgimNwJ2TqZBIVcGnMr0j10H3cot
OWyQjAOV7cZ9k4lpFaMiQYafbtxyBGIYim7nBaO1VQlXahbVT4g8i23rmITBi/wtzrS7tyXTsALM
+daalIRY+505oXlAoEXcKtYRpN3lbm7JoMP2YsdJvUs0l15r9I+S3FDcgLSYeUSSUVLSNvaF/SlD
RN1uXgOIJCSB+QSAKTH1qJmW8QkDw41pJN9invFLlAMFT5mfkfstcAAfACkjoDm0BixW8VFATi9z
HIpZi10EKyIaoa46u6YDUxaE9HZcWCdWBfsRBzLIDf9rauiHXD7+IrGtdYeWOUwWizB5JiB6V3qG
U9QO3gZB+5M7W4Dpcy/aqMb9O7g2ShtEjutOHGy8AB18YZJdDGudbKamgi8ZV/3KPuXDgL6zh6Gk
BowyGR42l+a/1E23tZuJaYVxChWzJx7lmwmoEUZaDNBO+shxsCGIkbQzPS9OSq7K5pRaRNoI5eIc
cSEDYbvDbfTmNu2X10mPQQEDTrcz3kOfND/f/9UZ6pG8oe6Iln+X4zjeYjMoVrUdwI8YQ1DEJYgo
6lzSm2R7iXjcxgauPbPKz3HhPoiaa4XgOFAFwMBEmWziqfvCyEBOK9ff9G21nCKA+8GMjVTaBcaD
2nEIAZ+udhZSepu4KKu5etdz90slztmv479JYL9J8udWna1/CfTwx0qn1trAdTeMVr6pZu82KOjm
MgICQDoP9pjoaNKarPRyCXXySP74dXQBJNjCPHHTMYDoE24XjdqTNustwKbq1PbjWEnolsMv5YYj
2l40rmZNrmA1UifkKiA7Zgr2fjPsSNn8EuSiqcLiVpfykkTceHU87REv3vqEmdESdTP3EHq7pv74
NH1klt3oYn0iRNQse8aRZnKPNdHsovqMazK5E4WMTFBirsKIXCnDtZ+xzQjE3D7mr2Ic+a/UhVIy
v0NBDdZov7/6goE4rJDj2MPVZvTiWc1b3Shrm8Xue8kpsrWxEW9UpR4rZaMphB+OeTQDg9xDtyEj
vMGecAAdRfL1m2pyAm/139pNUCFWdxLi7CN8oVfIOcYqpis1LXHH//Hettmp7O1gVXsczEVTRtue
cdfBz8kOYLZj16Y4pF3IMCgbrzmXTF/d+4zqxAtcxJwpSnM+zgWku0rdZ2tW4kTDs0QxLMMtEmKI
aYzWQB9Wqd/9tNNAclASvNiJ2IEMyI9W12NAztv9HHKHD0Z+S2y6HgalGywn21q6+whONKEeZrXL
Uy43DaLBIZwkaES9D0ePOKY84RFN/lswz89Ibblqi1Rs7eHTS/FEEnV+trD/IzGnPtVT8qHT9rln
fbZB497vDAW6QSNeJCT6lGOnQrzO7LMpifNyandt2aRuhFONy+elSrPfXlEf2qZ4bfJ0g8LR4Tgm
Szsy+nUAHn0LSjha1RrbQzb1YF0tGRzLHPY8lJOVqxgoJsXAcdhQ3JHMCIG1P6ZkM921ae7NfDpF
2CgIw2CCaFWfolzITAUdqOfVaw8P3LbQ1rQa7PnLjr57dIWH1KCMyt111JW3RPTbEiulzGkEFB2A
Yb3USh4S9lWL8JOybxzWAGcuvSSGaOKp0Rnxd1rY/SrQjOXyNNYgvbKnuXkuF0GhkFevyJ/ABi8h
DavKremGR7BtndwHkVltuxaQm0nMwUTBVaj4PSnxXtgw7gI3k8z4ZbHNnCMI39+dBS6jtuZPDzoH
uSkklIyI/lvCKtLpkg7juCkiipXFWoKofnoN68lcbIi7qg8unWpLntQzc1kjf0hHeXZCfWMLA3XN
SoNVq9KrV9bpwRXxCdgx7QJIHDxBDqL8cl5l9T5xeGm6J/qzSRUzphG3SHh2+3CfgjHbek31q49F
TbI0jzMTRwcPiMkhcDbro5OjKMGtqkvXrcX4ibyBLYC9r7SwLqpKLyKEY1J3QKTnVL54CTOTyqnA
zvmI0GWSfsIx52msPHTXovFXpBTNm5qqB7q2dwSQckgXKWcwafJ8GxoeHXg4sAEkFvwUD7l6wSvx
XXzOLoZn3sSewQAtUXeuF0IdwRXUSvZwwwa6U5H/m7ndjnHTq590m8AGOq9KGCeyeMAQpNd1MCQk
rkWbWHczXphqA76+wUw6PBeZhhMwEH6d2/Ox7EgkMpq+Wryu/j4lBcNyDfNo2D729ih6ShldRMFD
yTe9G+GPryAT73uCLzaDje48N2ZEtA7tlnvtPG5sW8LUhmPiM5p6bSWu22Hs+Jh9KsXAYCPjT6e+
1VtLi3DbmSYTuILHijsY8sCDTPh1sZUBLSFi7y+SuY1tHpubnvH4kaQorBm+TxohHwY10dKkue56
QG87Gtbd6cpuYxG3nea8hsHqnvGit1ADzGUrOTJaVu07+TbtZrImb9M4WBDkUruMr8oLP+MSP8wc
9b/NUBzgpW0EQZrbPgQ/RIa3evppvIxm0MFRwae7auTcnx0ejSbGqZVIhnIbu6QHuF/0xvVeZ3m0
GlxxmlM72zZl995WZNP0JncAD+MDj/keizWAgSb6hsCVU6RB9KvtcMf01MKakH3bXMqAh2haG5yB
RsFtMCcO1rqQSMVcD6d4jI9mPFmQI12Wrr4P9o/HpAM+UrkKxLZFnK9dH/O2ONt1so3TThKatBba
tzZkWcRFWmySHPj6RLqpmRDgMhdkX8LxJ3u+P0Q5aSIzQ9QwAI8ZvUub4bItHckGgjf91WA5wbEz
nnQWHydYlkM2P4hM/G40EQa9vKsuaEGzLTZpl56fgeuu0cB37OBv2Kr42NPDWww2zl5Hui+4OoLi
AmszGd0tj0GsJ1V9z9z0izqrWfklnlwIn8N68bED/anZC8msP+UNuSHKx0mdRvJlYrAMpGOfBv3F
cY9tYJ8xYLTHlOOINKR6UzAq0PVEFkdqrEsve6mmXO9iFtlaM8jwgdHbThKeNW6UbceOoXeiPW7P
EtE+I4xyIcloEW3yrP+0C/KLW7zDSdsMTFY/0FrflPBbPiZ96uzmy8UHXFbzlSKt1U/4q9bZCAcU
biFTzSi566R/EGb0aFomsHC2VkjvnyPCHd0Ix0ilums3epJ+uj6CrNVLyXoW2B2rHHS/DvVpLjHk
EJhIdlt5jYVMtikpXHYX7HCj8xGC9T95+8EOsD0V2Qsb+2QfMoyFJu6Zq0hdQOE9DktOBPbhIzVq
x4goBle6js2S0qblXlHLlyJyDCm9JFK1dZkcNcmuylKkJuX4pcBueLgd+2BxL7frgbI6mG1MPiEL
0aE5qf5tmqz11D4GSfTaRVjFwzFxdnZY86CmxsAEpV2WB8U9yuwf40FnZEgIrnjiXvde1AIRo4TS
OMQyDQJTesDUivDddYHC12GFnTXqV5Wt1sNQA3547iAeYTV8qVSyHUbIqZ+JDG9TBv5EB98qEb9b
zZTdG+Ynu6iNtStxMrDHxZFREArtm3rVuFOzrkR9DMPuBzrou1kl5Vo86x8dyo+s8x56+5cjIG72
PaboyN0REPlqdsGha2CN5gpGG5Z7MK58f/kM/yJF5c/a/E0rSkKI60B8icHRfXIlO+Q2utnWm/Wp
mbv3dMTOlqf3WtkQ/TUWfBmL39g+ebxg52pQ+zNeIkN18OCiZPF3SzrYqc9YJPsqkqfAKu9dhEGm
Msl7GIgBoJ8av2BVFjzLlpihkj1Cf1DevCDoCq4rgfFjlPsGQyZzNdJAqPFM76vIuJVT764mLiZJ
SvgWU84NF8fFimLnEhv1Lwlg8Kyst1TXC/IYjxYEhWLrFP69NUEN9/nWyfRH2oZwNEmzwXu7Z4mf
rqPM+B3O8xv9A+5wbKe1BFMS9mW614n1kHi3omjOolNgRycLGEraV3uG/xHppO+w3nr6E+IFcYZa
2CFWahqjM9PTG84f/5BZdMqOnNMdNfZ2gGYBTO/uphpPZiGmTVuUJHOFW+3aMRieBY+heDZ5I80o
qX4Fa2oPh20nkx2ohe+uZ0gPHKrcmiVlpKCs8bkQc4mMhc3zm2a91CUejW/MDT0UGxB47zjWL5jl
tgkrrIBiOGGJuBJG1u2ABHJwmDxOi9fOqOKNdLwXioa9bwUEu1ELGCyWkmm+B/IDx4lEvBGy+E/x
sfvG1WTqW0SSAIho79PWhVcdkOwLSYTfAwgttjF0DWm65DA1u6Ss72FjfIgYSKZdNH9oR261KPZV
DlbXcL4Mbb+6eXapNGleJD4sxN1GbswyuIKb/CK55jePSYaVXQbeoXjKLM7YvnuIea+VbG+zQ2pQ
2Q9X3xxT2ALVsZCsx0r3JZzrn3TA/RNjwuqATKYVIpCBPx4dDriSqjLgng2vos35Koboa4oxz5W1
x4fWteU6r+CrUYlsZ9G8KuTaZnkIL+bI+CHUNGMyYJqJTY1wcaKT2q482XjjMi9kKi43TSwdOvf+
F+mfW5rQiZPRN8YbK0MSuMlXLASPvbmh8yUE28bCVqXhugmLfeeE08oN0vlUmg0xHb1z6dODjGHe
kAOB1X9hsUyaVND2TFL0X28ufuE+gmQ9MWmqIXTvhix5LLHrcw4y1nFqSo45fkzoW/vExBPptBpL
j2wPNUnlJi7hMSo+Akh964KDWVXzxrTIau1QqWycaUFuOOI4NuWJ2Ih0E6L/WveOe3IGloS1mo9t
n+6AWJ6CNHtAoLHFBWZtZ9W9q9SkdemYZE0J09WpkU+E3xWbzM02jhphwI4c1GG97bRx9cfiKUgT
KhliWiIAUFL2z1Mw/k6pOENR+Pu+H15hT1wTWzyU2VdNlAovHc0JYoRho9zsA3WIpaIXzhZ/Q8X2
MMa/rQHJkp34NDPCWc+8xlXMHbUa6ChXftvewKiY9kgNLrtnjuZw24iA4kpokmQZQidVcbMU96Yb
8JypcpFspeIPmZZq3U7IFPF80r4hZx4ilz6sGkyDM4HYEG3OTG8FKTWDdYhRiWUFDAEnLZ90xVMw
9epxpTzrzTPvbWB8ZD0Uv9FjBuhGxyAZ7gilyF3l4OPE9p5CI+3Xgvnaanawyff6qZHWWnfT3YqR
2Vip/u0jMNuEallKOMQQL9O5AUvxWvv8MDrEGGWjGTDb8S91Fezg8hEpq5ioj56FWxelSmkOx3lW
b3ay2MrBVInGUNTzeUh39MZu+0FVDjnNFfjf0Xykav+EGcmWeM7fSoo0zGrpvquNLzWDZrSSZE9m
C0hR2SrIpMFLlKZPZrcj5F5tpebkjBqXwDuJfKZvTuyAP6ycnygHhpPheCetC/9t+2x35VvbM4+J
bVKA7OCUaOtRBtVrAPEYcge2UcMJHquwfqB5OziuC2DF04fAz2+Z39Noc/bqHaHUKe7z7m8Rl3Q2
xAPBu4YUWzfmZvLKc2LLs7JHRCME/zA+uORx82G0xVuuaV2wCG7alLavDFI4lixNg5HbjryXj9ka
IK+BHAApe4MJRmM3XUfmqkYnSUPR7qeMZ6bUGKDT+iUZ9JsX+qeOxnDVROPfQZUgQNJqVYRUYr73
pzOmcjfW5UPlUwgx+IrWRf1Qt/ROrZKvQYG0SYiUL44M80FNf4ek2U/JUr0TFUmEzxLsl5EgLFO2
Fzj/6G4+RMgvZWHyXfY5ZN/llKnjbN2P2U8FNjIlXgivaa62XLK3LG2/nKq0NjqE2Jlo88HkmfeS
YoZ8cnF1lwdG5hUHaE1fV+76errjUL00i9QhSN4HNe+HsXgPq/qt8Apy8uwl2qy7dVb+YUiR7IKx
4DNj4j+R9uy4w9GJi+fBHtey9699Zx0HOEyNPxzhDD9nvX8i/rTauvCNIly59YgIy+sf02A6IvOh
l8p5wjOOS+1q52EIjZLvydQEk1LvzDnMxtEn8myohq3lzrehOjL+fwHvZ/MhcFHoOrg2wzVgSoL7
M32rMwH92UWawfF4HeyBHTspUqXkwwVTkkTmpTEJg1p+7zhBrxBncg2e4wlKTyuuyEqucUvxMPbA
CBprJ1z/6oyxB/EAxYnfuh9tE18sd3xUIXwQUGu3VCXfQ9MfZ8JXD2ac/CE4KgY5VRC+aDyw37pY
jfwrG0BCslcZYm2+zr5pbtNMcZaY6suyuw8TfFwZ+E9izG5NVLyxqiKwic1V7366Y4xGlLt1uYNU
l34bOt7ZuUE3xz1KzX2iAjPWuFEPI3uZJFyCrsQEGlhf0rq+mA3vzumvZciIrOUO6kLnhApV0diw
53RIxeS8X7cCdCbRtz9+nt/NerJ2RI1Rchuo2DB/a2lz9hKBFHjLcK2AUevkOy9rPmpNOlIBAQue
bS2G32PC7ZXkjAnLYWM6iwU73M61f4rLxSfuTI+U3BeeiafloHFgLnBT5IfCVlddGXTQAx8gh5nR
Bo92H1GpRruJFIxq4v+qa2YoIyZcwg8zb0TqoBC11PETFJadmwd39Jff4JqfIm2/mKV/7Ljr29Fe
tCXdWyRHRHktJbY9xheCtufVbKZfc1zFOy9mxDX/Kbz6hnwFIJ+B1iTsg3Bb99M90w99Wg9HnLFQ
khASMMHHA83OhUbGk8amMvyPOPNuI/NrRunDvmPYt1kEv0FA3ZlO1VdUQC1OGAIFpvquB6Za4cjz
g2krNJZwryO9CPmKaV1F7guSWOIZuGpM4PaIycZP4sa+k3w4Bcgbm3R+RheKgAjohiGP1pzsayvc
uFWxH4V30jxnQafuwDTMHMvcng1kDtOntwFy3gzuOQUhNuP1DYJ4m0t1J+2U0DBd7ommOrywxNnA
Q4LLEBpkUTjDm2K468inwnJ+JpsvCHYaE0xNKOwE5w445Z3d+pEE67Qx601f8KtQeIudQ0jWKkl/
ZyXDo9FjJTYOeP8NBlCcRiIWPA8xjFum2s2Z/Tp9wfjSm4S/fJlQPnG+R9vMtR67jiyuoPoyLPuD
cNprF+l9CE1vpDxqcjZstvFajejZgHvcppGcFAJCryYx8LG0f7zUfwqMaJtnxpeAVJy4EGfm6E2B
ew6SR2diZGRJfrk8FP3MfjV8q1KgbWxiOqBpJPTqvNm0hg2J4HscJ1ZsYpfG5l5kO8gHhxJYisUe
idHbJtDgP9qnqhuADibHcB6vszI5l+yUp2O38UmkDFnCTynDGNTpLVJJr+ett+YZWcO9HtOrEwcE
ZTNZsR0YdX7GkrIu81v4YJjMIvnuWMVPi72/YPmCsHsK8l3EcEdlQMtmrskQwvfcGJsx8h6BX5wy
EtObeiIUjQksAabdJW6JjyCdSyf6i/zSac2o6SsrKIc0m7xkBt/XJON3BKMK/JDzy67pXpwUcddg
nWTBzyYz6uyI/BEjmb7b2P5LKoq/7g4IbpX6GaOaTkq0ROc9x/X8PCcJI0LBWo9lO/Aybkndzu+C
ET7+9sc8C+7eAD7DcDcacX/h8deNUNHWyh8t8uHsXe8a9rrV7l/Lm7ZDSi3WQcob6ukdGhoM+tZd
B9zC1E2td26glAKtF3bLCDIiv9BKufr7oNjTylpbLArMANkhEvYpoSKNtJomfharDbqTLcDAGERf
5Ai8BfEw5F8z/ZrIht8ksUSAbnjsMMhN23XdrnOkBDNexmdY5DsiGVjJdPVRasbbQd8zY007Jg3m
sbRpD4P+LUA5BORxFYRc6SQcc1p2JjO3APlCoOh0BU2h29Z05sm1UAIgf0Spmkn7geP7zamjb9tj
ViIcGFh5RZHPwbPxxiG+OCxjZkjORt7cNCgxyPBHxC+vjqevgQ2jgsTT+WHW7BtCDUh0GNBtNu4D
Nem4JXx3XmFLIPtYBkSTiPILziH7n1W6k0yq16VAHs0Arq/SjWeSwpNVbvGfhoD/X4VmtHgeGq//
t8zsXzjj7LP4Np4+s882Lj7bn38Xnf3XH/CfkjP/H88yrSAgzci3nIDy4r81Z+Ify/ID/vH8RbXv
mP/m3zH/Yb3mIlKDKu9isSGr4L80Z67/T0DXYwf8H4HvOvL/ZOCxQEL9L82Z5fo2QxzUawjiAuxC
/1NzxmIndCNvkAsp99dYecEOQPEO4SMnYsF+cQoMJMGu8WrV08XX6CsYsa1qIRseIkQzYEJhL11T
3pqd+RnRCZWW3+8zciy2RTE/48goWc0N7aap0BAzsV14j9O+KtF3+SNIooSH2RTY6aaN/oyz9E4q
sqglc/YkKijWjTROjkAC7AAnkTK/22n2jPshYL8ui70zSwudhlCrtLZNEK/YfgLyhZqD7llh20LP
B1GzV0jKvjzPRbT0U9MDXwqAnVy7a8djy+pa0Hj7ZcuRIYMwE+hJE1nrpHkAF0YKDbJ0ZEHiWlQn
wQbS/3Csh/ZEvsMuNzDc0WWtIIDFK1NO5zQY0DxHxWNmk680V1h1bBPNce3VZ4cs1LXbkCsecUPO
U/ckevOpNOL3RpPTkVfWYwLxfpvVS5eU9Bw6xEWn6gFu9LlM+sfcobuxLBpjl3nKKVPuea7Thvab
tG/ZFNdsCr+NqmSIPE78TrroyNbQalECeaxK/FBt7Lb9IVfC2OpRDLs5SHYiUYd8ZFppVq+jMwT7
kjH0OvLamzEPt6In1swt3XCthPcpZaq3hnDAc7bOU5XFbAuanpjnUMBTI52XCAPWjnV7x4w00WaL
bZE81iqmVeX5sJaDCVSyo5wohyrcJxW5suWBRT7WBfhyO3eSIxnOsElD1s6Wyd+WqP5XVxk/3V+n
GfcOv/Wc9dW5ckCWc+ntB2rpQDDkNbPh7yzTo7RRyCHJqV8tsK78i45YMHxiJkktep3c8jGO7Q9v
4E2Q9oE7Eh3d0fP1k+xyyJktg7AMCWHnAKYXZM5gUCIWLhJ7qwwXcqVxlmg87l3vnvrp4qGa2mjd
EBvcuCAylbFOCsl4qKmI2a2Y1GYsiAi7WBH0kzL7qA6MRDELKWbps4y7FUvmoza6v2UKdjBBvzPE
8XueVBabNNBJk32LwuzRGXnIJOTAkPrGFjNE/zQaKZGe3nHKh+guanoSEuEJ37YQo1S2PA79tavj
iywggyWQPuc5/Qrb302G9sXi7YfmFG5yQIxrgisQcsZjyZ0KQXDRjFCh3PNIn92GqbhXZr86Zlyl
zWQo9KxdRbIYPFd7m5LC5eJLo0GyAZADPSI29TODtHkewpeu7g6SAnnrNP4ZMjOxbUJcAAhbBpvg
uQQ3nJyVCNFeRKzbR1e/ZtHYnarO/MjQIVz75o+ZBQ9e5iWX3o1cCD1Iorx5EifhF5diUNbeb3sy
nZxhXrEY/o7JotoMRFitfQJs+u4JYwz+KpVycvFiifeNH9klojZweP6JbrwD+6rXFYSxnRF7K0WO
e85Me2/XBQrCqB3XucOEXBuoKFRN6BRKRkZH11KarzMbxtkgRH6oUJNIn0lbVjjvjCEqVDkRt2f4
PmXZfQpCKqyUYqPuvQusqj/abD9lgNvg5rDDVRU5Xbq1//IVEDvvdT9GiV8saP/6QLgBWXo/hGH9
KgGhH0OGJCmiqobuyo5GySTVvXt1/zA1OngIQjli8OJcjPnBTVFBKt3gPrLdhubixY/r8YYEiD4H
PiCVEmvK5axcMHF+pBZv2sBLTXTBWYzSpfTyDdM8hdS0egTnm62tKdI7e+jYnqU2ZVA4P6nQe65B
t1sm5R/UZGYEPbu3zLRPtp/Wq8aEJJbPZMHkhXcKFBil2GqxblHEObP1HgmJIMMA2wraqlGczERf
oWVAq4FYrjgHsYBvVXdYFgmxtoMns1/EPgSBV1nwmXQSl6itHmq3ymCo4UQZWMaIJ1m5M02565Nr
a4G9hMJrMeDJE3BdI/1ekEj3MoslRyr55XpmeQzS6G2IDILfSdmyiZ1Z2VXlbEt2RQTmElXd1y1Z
LeoicSSsfkPinbamssu9sNmeNmn7Vs3+TtUEpCcdYRf9WL/62sv2MQPOsMwERsx4VYWo9YbJ5DSA
ezyLnJiPyEfkJ1BXKZNRji/p5xF37wMR/+rZbq1w5onL6PTPsJyBYM/WsWjmgzmWT+An/b10WgW0
nA2hS9RzNZTOq8Y1sia2BoeL55pnX+u3oP9WuWAIaGz42KnUBXKvULwRN2ggvYuAO7oDtkVj+unS
OtyCsGI1Yz+lLj1+tZC044WpnQLXNhfKttX2bySwcGI1S0SdBdwzx36TL3TuufPrPW+BJLCF3d3j
TVlY3kWHAd1e+N7mQvp2jZ9xIX8HCwNct93WX6jgTgF4tM5z4HLMUlYyH/8EsSanauGJzwtZHGUG
thHrO61y79QZzkuzUMg1OPKsls4VLC5cddB8YmGWuwu9vFo45lME0TxSYmv02n6Ym4Owc+eAbUNy
kBVXExx6YU6bSJcC4ROoO59d84Hsc9BuYNSHDCtWbRcEwzjiVUUw4JTFcB2tC35ldu7tQmTXoNnV
wmgXNnqyeZpCtI9YoruF5V4Dda8WujvXAIhhgO/TQn6P98xN/xiTzYXmy35XOBFIzCyZ9pLJz0OY
ApCfyhOCk1ORoLCXCyU1XGjzIdj5LMKV0y4k+iDFoVY+IgA4kluGZbVzWAvR09v9zYzsHUBxLNfA
7cdyaolxmP8a7GrOnvO7/xcHn7XUwsU3e/FRtYw8WFa/ZH7y2vnMwBjQLWR89xK14VEsnH2m06x9
a288JIpAokneA3eOj1Fa7qQpmUVQmK1T8mBOEoh/stD84WSbTHsjsg/I3Ovq93Yh/3Me0NjJFUGZ
m34g0L6C+Enm9+J8sw6ZGqiKRLceRKPPNtEC1ZIxUDFD2zKv/pKMyXeSIIKeQIIui21Q7IM4ZszO
nCW1oGO/xJMN87Dlzw8kb65cW+5dxrSnxfnmN3l9iZ1uzzph3JdLMoL8V0ZCrz7MJTUBD6WEQ6eS
I8+RJ3xRh1wR3dTMvbnTgQPfH5Stn0f/wdx5LDeOpHn8VSb2DgVcwhx2IlY0ogwpypa5IGRY8N7j
2ea2L7a/pFS9kqqnt6e5EaNDHaqkAsgE8svP/E15WbTRZSa9GXQ4APhrAgUwpXNDJj0cOunmgDjb
CiGHa1Uzs/XY4PjgYf0QSg+IQrpBKNIXwlHjmLnXwmNqMStL51hUxrRTh3YVtKN3AzHxaiwA3MH3
hNeE9YQNxW1gnywG6UqRSH8KRzpVOJV1Y3WYM+nSxYIgeZpl9EBIg69xs4iQasTzIsf8ItRymBo1
o8dOOmM09nYIccoQwZaexUzxsdiasNKwpaeG1+poagsOkUE6bpQxWNgME45oR5tt7TnuD7XCAYXs
9kydwmbTSvuOUhp54FPgz3sDcw+vIyHWOTO6mnI362ETZHGXY2eL/2wwwRhpdRZ1kKYhjbQPGZRp
5FzCQMMcC5StxQLD0FnfsQPwHoGTgAlJqn2BlYt0vrER0qZkkIYlkCDS+ZCctlqPlQkjrbDG3CSV
NicufieFND4BFVgwGgyvIlcETGKMceWT2KRtUWxLkHTbDNXGU1opzwnGuSbuKv6AzUotDVdMIDWt
tGApFRxRRtNZoReP/fwI2sVKMYSHmLIo8XAppZmLJW1dgsgF31/78Qw7Uf/Ewf0lkjYwCnOQ/pxj
E6cyJ6Q3Xiga1RLWMXWDiUzSw8jTxnZX6G13PjDnAA6RGhtmJ5fREIMw4Ot2I3Auzey3DmIeitqu
HNgmC1R1tyFyH3A/e6n+MUgdEKrQNf5PN81AO9FX2gs4cedCaoc4k0pOg5xIjKxIiLwIwvjgpWGc
zsK4QSc35SCSaiSA3C8g19AorHTm43CMXKldoohgxZhJzAfIfnP8PW574jogQ//W0frmlD4JhgMo
w48T6rFmVi/qblw0uOudOup4o4BoLP1u63lpMYscsHF9Qxyz/BuRhd5xJASyjDHoU1qwRcPEdfRS
3mWjF8ucbZfYhSIriAQfjeqkTVDlnkaA4l6W0g2hNzoDUPfc+VAs8c37oU3OGcLZNy3LyncUm9Yf
zrUK+8ZBpm1TzBGaddaFdW4iGtlmDGGigcgUS0tgRfCoAcQd6zk2FWZuLjsN2BucR+x5RQGnvLhR
nKk/gZezNH2Y55WStTw3NYdFYcwS3dCQhA6rWejIgVGH8m0KVjrDMc6tsI7wjI4BIlbBOiqmyTcS
aI1cO0J5oDzxfKaJdp6zIvFdH5sL/HRmZQe4OyrAbimDDNfUhlA5z6ya2IF2BTLytChVBU1IET70
DYD9ODwL6up7UzJwtJXaWoRJ/NTCRCH7q5fEw43bXDiqfmK3+Te9hfICzGMbOsmDi+3OsdZgh91O
y6kit8Ft6BFxhDM/bi9qs5UIhG4d04wigylvJsVcmApoAV/rvjAlh60BBCachhWwBTywdV6WtLx3
QHTZdvGlpwLwsDQ5DjTAdSOiDyAzMUmoNcxln+wgxDPjYlLg1aILoNN9jQPQuEN8XfTuRWJ4Z1Pn
kfy1OVWefZ/WPhUXUuq2/NRl0txZnCRpMV6FT21HEq+POka/Sn5fDDUwd/OOTipkrbwiJVf7E83t
0NyduhMNtz9UQpt8ng3HbB7BB8+ug3HE68ELzxQqiNI8dT2Q3DzdueoYympspnstRUVcjb/GkJ4M
SvtAhwmmLYoS0vdYVCVsOMbZLsMQAyunWeaY0bIYiGO0rY5TFeyMn4k7JQAfGeOo4DYYqZV91F20
zYR+tGpy6GLGNpaOeZ1KMk1C6FmbChMcu2DTIzSMlIpdbAcXynBZtg9FoHxpE6Nceigoz8RgPCPj
DtS5mDstTwnEurYQFvawEixWhn41ayEd8S4e4y8D6hMFCy+7jL3+WRrH+TrK9pnB6a2gWOvZnU8x
KoBMpDDAqsG6n9r2FuPAkfw2u7W19ILZ8qXP8WbZ6qMR/MApDumGilQwSINNDLLAy8yvVQwIM402
vd5e5F53Z6gkqz19d91mO8HUACOlu09KBfstqmIDChxG1XqqmzPfQVafyAUBlNdeC68MyBNuN/Qn
zqg+mlZzSx2wxCxAAUoDoD+/Dvy6niEKQJ2bSdONKn10lJqCIGMEqwvtESjtMIvVTp2LkW/q9uaz
FhYI3RtMnHGZprOktwvbAZTrKi7LkPdM9AmwmXKNrQgwYfA0VD3Eek3jSEv0c3Bn2cwb800M0Xme
mnDn+jGFMoljiAvPOShyZoU6fHUiCp0eCDRU1RgJxwZRBCeHUx+AFc6JoQeMu++H72PffvPd7Am2
65LifCZSyztnlAPo08wgELTlGaiuZpZQTjEUTJdKBJpCDYttSCcIQ4oCT0eFzlnBpjICXk/IeedW
UK9xmmJeqUacMaBW8NuuWZa6UJaldldbfbsa6ZLMIEFPZ6ZqnVZgO4yU+Y3rjXjjWOfaaPa3k0/+
azXmQoMMNxsS8FBeukkaDuFGuweCba0Lqmd45sONJQD1JOEA5dMFRSFATaWdOaux81n5Ha67ZiYN
nKWTjqbhDFPTPZlZzjbvJuormLQzLWl+0N9bd1pAJOmDZ2wESIIrpYIulP8YerTF82n6kWRtiZ3D
PC0QYFBMAVcecQYPpM06h7J/4teeuQiCVWi64ffMML4rAdOIrCnWdD1JKUcbI2cLqCrzv7lGXSrs
6BTp3kcX0NrSgBsJDR2oF25CoJYLamg6h0HWtSdM/DnhYqzAAXHCtrcBSKA5bpgB3ScVrRzG99GS
Ns8GlaRkzcpHi8y/8nM4A5FmZDNrem7bauULhiaKvaxbzikcYdxcRzYj/QZf7atte/eAYZBWCK40
OY5pHOaEd7qRfGPICX0lx7I8o3jplipAygxEyqTTaBQLK4+uQTPdMmdaeQZOH1W3jKEKjhgUjaG9
dHJv1rUe0szVmqx2kafBCmQ9cUiZxXF3RfzD7NO7N6v+rlHTbxLz3NTxtZr357nDAAy9EStX14qX
PtmJdTHBmUVlf94q1tZs7Oekrm4MRhX6dJnZ2CALQLrpVp38y3RoNwMzJpqf8HHUHPFmvWg3Thzd
KlFGf7DDP9PY+colR8zSiPITLdAuBfhZwwlWBW3eY9vMzxoAuApT1CTNzxWzWxaaepKZ4lR4+VmP
VgtPfy5SB3eNrc/RRjmzgiezGC1obED9VNzkQ4zPnaI6gwCHXRgj22QNWvEsAxYcOKQKWnRbpThI
6V2/kaO9pOZAGwzze+bgUYSKzHmL9audfevG9GnSvHuhqJfyuQTGV2mrWqYYlDpRhZhCS4ITofKe
1B4ICiCGafBNbbOzLA0vU8SxJ7TlFRDBptJBtAGzXuenK0FjJfYeWnDBdZWdTEU7o6m1RVzluO++
5jQRq7a+C9B4iCdxodoPuapAElNPwF5jm9qDeLSXPl+0HMvTobrXLFWea2dxHqzyJjtJaf4HeTZv
/HhJf35loa/fNCldI5gGsBHAecGLAebO52DnU5+JeTvZ237kfdHNRcPuyMpzy2vQLEGMLrFIzKt1
PPi4rfUlK9SuDdlkdyW89Lyyhi3GA1sN+oVvLB1MBkazWejCRplfPWVQfBz6xLnQWcs/WG2f9ZGz
8sp245fBaoqtC+Yh22RUT/IxO/GF/dw22hccrzhotDW80RlH/8bnG/aNAN7g3et43BBN7lEhf1Za
8I6eetEL9x4h8Su1AiRnlqd6GV2jvbbtEa7oUwd7tGMoUaemaS5Ss1xnBpvEVS9brQEZZa46IU4z
Xyzki+kM4qK2AE/kCFKRtVcxYdjB8dl2+7tgjK8ZDH1xAXDiEd5GGXQy/inOz0Vs3TZ+t5qccMSs
I5xlhnJWwN/SWegCpLsG7wZ9qxJ4tQcsdhcU1qqw1JNBq9auaG8KLuL5zqac6Gz5/cbE2458Akn3
9F6gRARyxUbNX6ghiFLWEvZNhwJSzKE7H+7zpsd5JRuXYIy/+qZOO5T+U9eKa1vzL6MG6a0udUkn
1O5sUtRzxak2mdIJUBNIj0RjyJoaAM77+hjgaUU+JNQ5GJFtaqmPwNaYnarlWdXGWMWZ7Vpr82td
1fOLtMNpDJIdo2TnUisRDzJKIrTSbE1vuFKpAOSnbXA/Oov7sFk0CKGB47HneWAlm1SDUR9HymOV
kTy7gJoVB4gYQIihAvAxgSoX411vOw12wxiD1bBvAvLuWqeKaBOfI8+KzLloxdoCenYcDvnjEFm3
1R1hB6oL7M5lmKUXaguYRmnB2dBpXVSuKIG75GIGikLSsZJVlDRL+Yee+SYqHX2NbZkxB2IaI0JU
0vhN9CvKcAdz3OF7XZ0L8BxLizl/FuAt59SwsnVRntYD7ftRoGfXxiJZ9E01V2yUkKay5iXz4iWY
0ZM4CrdiUn5kEb6TNI7nZDPRDELPaRnYwXnqfGsyJTytagAHgaTkK/40r6mgjw0OzygxAO0oPGnq
u6Vu9cBcGJlTCaqsnKNmV5PZBZKwMlEiwbTG5Mma0QfnuG5DA4vf3Fh2FmzzCRfPHJmpDGOCyay/
5KbjLrwQl4dWOWsa+1wf8BCo+JL7Se2/exb9ev/f9dj9zWBW/nTvLHubLz669P6pX3qrIvnrhf6s
aa9URMG+/d18e3+1vWnwH11FDrub9hlfX6EfqRrmhK5uaSYSl3JAneRoOb38GDkVG1EUDQ1AtCaZ
eb/M09+s0q8f/3pXf3Ar/mu/80dfYLdfduldrEPLYt5+6CJQc+mOa6iWRR6rIxrzZhHcI/QPGeG7
us44FrGXFyHQT7QIjmYLW0fT87BlMI7wFReOpkqMA3iEt4ug6UemjVmzBvrGVHXHeLnbp1oEXQj1
4EUAsaEatstrtcdrGMAs3rwLbAhma6y1ilwr7tUu+4VF/0zLoP6eVu1fiAs8a76oCRrDNIXcY2+X
wTjiJUCTVuWlkHviZQt+omXARtx+eTYv7u+/xex/ITia7hFqE6bKtzRYVPXDIlhHrjBQ8nWFKlTm
jg6Im0/2LrAjdJONfFBckEglCXpC3MJSdWG4H94F7Yh9oGq6ark29uASGPXZlsF0bLmRD1oGeVQa
rtB0y2CeZMN4+Lgl5GKT6eOeuf+FT7cMbFOOuUOXwUQrTbCgQnMMeVSQgryJDO6RPD8QWDNVoJIE
ypcM5RNFBsxyHVByhy6DemQREMDIG7ZFHNBY13fLwA813hVwf6/ovn/PpnjK26ypxuudH+bv5Mnd
j9DIf3JEfLjAm9SRo1BKlqs2iRHLoH84KVWCp6ojUO4SgixVvIShz/Qi/NQUPCwssAyoY6P2ZwsH
6KXMDt+8CIi7G6TN5FNgM2Wa9umiIxH90CqCEwLQiYFvMP7N+5Py3Rq4R6QJJI+UEUQEOqyfLmky
NY62QyOCcaQRWQiNpqrKN+H9Mekc2Q46/hZRgfcOJPGn2w+/h5f+J0Hh4Tml4RzWTQUuk2f9Wz1J
yoQHgDwcUZ01hCbe7wb7CJ6ghoCValJv0sD7dLsBCS+cGF7S2b+eOQpyIsT9XaLefs9/OB3sI2GR
PSMSqpuOYJn+hYryTwTQ33oQGEcmz/sWRbir94nvS3H+f/7CzwbFrxd4rcpl6c0J8u73bsdi93Ll
l/Jc/v3v796UfZ305oc/66b9bV7/++v3+/XO7+7180v9/MdVuKseqie8jPedgddPuXlI6XEcPzzv
MuXLf/+D8dQufdxV/juQ/z78/e+H+s//ePeR3wSFP7rH6iF9bN9fWKOEJNAdeuWLvN9Vf/tVEfe1
8XHo5f8sB2K/rPIR/bX1uXl4qCTT4ud67Fs3LyXaod/guNqlu3epzWs0P/jCf2DpcuBy3GJzGtJl
e3i7Ho722sA49IPfPAXJjsmor6yQ1Gt24bvVwcbjpQw4+DZ7lWblv7LgIeEQeLmcfLDc4aU1+f9z
h18vzalx6KU3edUEf9u//cqXHYbBfImPj+P1JDj0VuvdU5zsMhkf9rf62zZPiVbZx9u99vAOvd1q
V9e7nwu0fxw/C55Dr3zMhyaUfgx0DofYvrw++PoP3UP1YVV+djD++Nq/d2j81pX79Sj52aL+vf/2
/piUv/GU7B6qv/8PAAAA//8=</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L$21" inc="1000" max="30000" min="4000" page="10" val="4000"/>
</file>

<file path=xl/ctrlProps/ctrlProp2.xml><?xml version="1.0" encoding="utf-8"?>
<formControlPr xmlns="http://schemas.microsoft.com/office/spreadsheetml/2009/9/main" objectType="Spin" dx="22" fmlaLink="$O$21" inc="50" max="4000" min="50" page="10" val="10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image" Target="../media/image9.jpeg"/><Relationship Id="rId3" Type="http://schemas.openxmlformats.org/officeDocument/2006/relationships/chart" Target="../charts/chart4.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image" Target="../media/image8.jpeg"/><Relationship Id="rId2" Type="http://schemas.openxmlformats.org/officeDocument/2006/relationships/chart" Target="../charts/chart3.xml"/><Relationship Id="rId16" Type="http://schemas.openxmlformats.org/officeDocument/2006/relationships/image" Target="../media/image7.jpeg"/><Relationship Id="rId20" Type="http://schemas.openxmlformats.org/officeDocument/2006/relationships/chart" Target="../charts/chart15.xml"/><Relationship Id="rId1" Type="http://schemas.openxmlformats.org/officeDocument/2006/relationships/chart" Target="../charts/chart2.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image" Target="../media/image6.jpeg"/><Relationship Id="rId10" Type="http://schemas.openxmlformats.org/officeDocument/2006/relationships/chart" Target="../charts/chart10.xml"/><Relationship Id="rId19" Type="http://schemas.openxmlformats.org/officeDocument/2006/relationships/chart" Target="../charts/chart14.xml"/><Relationship Id="rId4" Type="http://schemas.microsoft.com/office/2014/relationships/chartEx" Target="../charts/chartEx1.xml"/><Relationship Id="rId9" Type="http://schemas.openxmlformats.org/officeDocument/2006/relationships/chart" Target="../charts/chart9.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285750</xdr:colOff>
      <xdr:row>36</xdr:row>
      <xdr:rowOff>152400</xdr:rowOff>
    </xdr:from>
    <xdr:to>
      <xdr:col>8</xdr:col>
      <xdr:colOff>171450</xdr:colOff>
      <xdr:row>50</xdr:row>
      <xdr:rowOff>25400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314960</xdr:colOff>
      <xdr:row>44</xdr:row>
      <xdr:rowOff>105652</xdr:rowOff>
    </xdr:from>
    <xdr:to>
      <xdr:col>25</xdr:col>
      <xdr:colOff>1092751</xdr:colOff>
      <xdr:row>49</xdr:row>
      <xdr:rowOff>432474</xdr:rowOff>
    </xdr:to>
    <xdr:graphicFrame macro="">
      <xdr:nvGraphicFramePr>
        <xdr:cNvPr id="227" name="Chart 226">
          <a:extLst>
            <a:ext uri="{FF2B5EF4-FFF2-40B4-BE49-F238E27FC236}">
              <a16:creationId xmlns:a16="http://schemas.microsoft.com/office/drawing/2014/main" id="{00000000-0008-0000-04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69879</xdr:colOff>
      <xdr:row>44</xdr:row>
      <xdr:rowOff>125946</xdr:rowOff>
    </xdr:from>
    <xdr:to>
      <xdr:col>22</xdr:col>
      <xdr:colOff>156790</xdr:colOff>
      <xdr:row>49</xdr:row>
      <xdr:rowOff>461825</xdr:rowOff>
    </xdr:to>
    <xdr:graphicFrame macro="">
      <xdr:nvGraphicFramePr>
        <xdr:cNvPr id="223" name="Chart 222">
          <a:extLst>
            <a:ext uri="{FF2B5EF4-FFF2-40B4-BE49-F238E27FC236}">
              <a16:creationId xmlns:a16="http://schemas.microsoft.com/office/drawing/2014/main" id="{00000000-0008-0000-0400-0000D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58664</xdr:colOff>
      <xdr:row>5</xdr:row>
      <xdr:rowOff>97886</xdr:rowOff>
    </xdr:from>
    <xdr:to>
      <xdr:col>7</xdr:col>
      <xdr:colOff>674621</xdr:colOff>
      <xdr:row>11</xdr:row>
      <xdr:rowOff>81280</xdr:rowOff>
    </xdr:to>
    <mc:AlternateContent xmlns:mc="http://schemas.openxmlformats.org/markup-compatibility/2006" xmlns:a14="http://schemas.microsoft.com/office/drawing/2010/main">
      <mc:Choice Requires="a14">
        <xdr:graphicFrame macro="">
          <xdr:nvGraphicFramePr>
            <xdr:cNvPr id="173" name="Round 1">
              <a:extLst>
                <a:ext uri="{FF2B5EF4-FFF2-40B4-BE49-F238E27FC236}">
                  <a16:creationId xmlns:a16="http://schemas.microsoft.com/office/drawing/2014/main" id="{00000000-0008-0000-0400-0000AD000000}"/>
                </a:ext>
              </a:extLst>
            </xdr:cNvPr>
            <xdr:cNvGraphicFramePr/>
          </xdr:nvGraphicFramePr>
          <xdr:xfrm>
            <a:off x="0" y="0"/>
            <a:ext cx="0" cy="0"/>
          </xdr:xfrm>
          <a:graphic>
            <a:graphicData uri="http://schemas.microsoft.com/office/drawing/2010/slicer">
              <sle:slicer xmlns:sle="http://schemas.microsoft.com/office/drawing/2010/slicer" name="Round 1"/>
            </a:graphicData>
          </a:graphic>
        </xdr:graphicFrame>
      </mc:Choice>
      <mc:Fallback xmlns="">
        <xdr:sp macro="" textlink="">
          <xdr:nvSpPr>
            <xdr:cNvPr id="0" name=""/>
            <xdr:cNvSpPr>
              <a:spLocks noTextEdit="1"/>
            </xdr:cNvSpPr>
          </xdr:nvSpPr>
          <xdr:spPr>
            <a:xfrm>
              <a:off x="4135364" y="986886"/>
              <a:ext cx="1263657" cy="10501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50426</xdr:colOff>
      <xdr:row>36</xdr:row>
      <xdr:rowOff>108717</xdr:rowOff>
    </xdr:from>
    <xdr:to>
      <xdr:col>9</xdr:col>
      <xdr:colOff>333123</xdr:colOff>
      <xdr:row>49</xdr:row>
      <xdr:rowOff>457790</xdr:rowOff>
    </xdr:to>
    <xdr:graphicFrame macro="">
      <xdr:nvGraphicFramePr>
        <xdr:cNvPr id="48" name="Chart 47">
          <a:extLst>
            <a:ext uri="{FF2B5EF4-FFF2-40B4-BE49-F238E27FC236}">
              <a16:creationId xmlns:a16="http://schemas.microsoft.com/office/drawing/2014/main" id="{00000000-0008-0000-04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429971</xdr:colOff>
      <xdr:row>20</xdr:row>
      <xdr:rowOff>45454</xdr:rowOff>
    </xdr:from>
    <xdr:to>
      <xdr:col>4</xdr:col>
      <xdr:colOff>342049</xdr:colOff>
      <xdr:row>34</xdr:row>
      <xdr:rowOff>8220</xdr:rowOff>
    </xdr:to>
    <mc:AlternateContent xmlns:mc="http://schemas.openxmlformats.org/markup-compatibility/2006">
      <mc:Choice xmlns:cx4="http://schemas.microsoft.com/office/drawing/2016/5/10/chartex" Requires="cx4">
        <xdr:graphicFrame macro="">
          <xdr:nvGraphicFramePr>
            <xdr:cNvPr id="207" name="Chart 206">
              <a:extLst>
                <a:ext uri="{FF2B5EF4-FFF2-40B4-BE49-F238E27FC236}">
                  <a16:creationId xmlns:a16="http://schemas.microsoft.com/office/drawing/2014/main" id="{00000000-0008-0000-0400-0000CF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28471" y="3931654"/>
              <a:ext cx="2071078" cy="249006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106831</xdr:colOff>
      <xdr:row>18</xdr:row>
      <xdr:rowOff>3566</xdr:rowOff>
    </xdr:from>
    <xdr:to>
      <xdr:col>24</xdr:col>
      <xdr:colOff>329640</xdr:colOff>
      <xdr:row>31</xdr:row>
      <xdr:rowOff>153048</xdr:rowOff>
    </xdr:to>
    <xdr:grpSp>
      <xdr:nvGrpSpPr>
        <xdr:cNvPr id="72" name="Group 71">
          <a:extLst>
            <a:ext uri="{FF2B5EF4-FFF2-40B4-BE49-F238E27FC236}">
              <a16:creationId xmlns:a16="http://schemas.microsoft.com/office/drawing/2014/main" id="{00000000-0008-0000-0400-000048000000}"/>
            </a:ext>
          </a:extLst>
        </xdr:cNvPr>
        <xdr:cNvGrpSpPr/>
      </xdr:nvGrpSpPr>
      <xdr:grpSpPr>
        <a:xfrm>
          <a:off x="13682693" y="3507014"/>
          <a:ext cx="2529246" cy="2412126"/>
          <a:chOff x="11859526" y="3330591"/>
          <a:chExt cx="2236279" cy="2484787"/>
        </a:xfrm>
      </xdr:grpSpPr>
      <xdr:cxnSp macro="">
        <xdr:nvCxnSpPr>
          <xdr:cNvPr id="202" name="Straight Connector 201">
            <a:extLst>
              <a:ext uri="{FF2B5EF4-FFF2-40B4-BE49-F238E27FC236}">
                <a16:creationId xmlns:a16="http://schemas.microsoft.com/office/drawing/2014/main" id="{00000000-0008-0000-0400-0000CA000000}"/>
              </a:ext>
            </a:extLst>
          </xdr:cNvPr>
          <xdr:cNvCxnSpPr/>
        </xdr:nvCxnSpPr>
        <xdr:spPr>
          <a:xfrm>
            <a:off x="12975240" y="3335264"/>
            <a:ext cx="0" cy="2475440"/>
          </a:xfrm>
          <a:prstGeom prst="line">
            <a:avLst/>
          </a:prstGeom>
          <a:ln w="19050">
            <a:solidFill>
              <a:schemeClr val="tx1">
                <a:lumMod val="65000"/>
                <a:lumOff val="35000"/>
              </a:schemeClr>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203" name="Straight Connector 202">
            <a:extLst>
              <a:ext uri="{FF2B5EF4-FFF2-40B4-BE49-F238E27FC236}">
                <a16:creationId xmlns:a16="http://schemas.microsoft.com/office/drawing/2014/main" id="{00000000-0008-0000-0400-0000CB000000}"/>
              </a:ext>
            </a:extLst>
          </xdr:cNvPr>
          <xdr:cNvCxnSpPr/>
        </xdr:nvCxnSpPr>
        <xdr:spPr>
          <a:xfrm>
            <a:off x="14095805" y="3337033"/>
            <a:ext cx="0" cy="2471902"/>
          </a:xfrm>
          <a:prstGeom prst="line">
            <a:avLst/>
          </a:prstGeom>
          <a:ln w="19050">
            <a:solidFill>
              <a:schemeClr val="tx1">
                <a:lumMod val="65000"/>
                <a:lumOff val="35000"/>
              </a:schemeClr>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00000000-0008-0000-0400-00006F000000}"/>
              </a:ext>
            </a:extLst>
          </xdr:cNvPr>
          <xdr:cNvCxnSpPr/>
        </xdr:nvCxnSpPr>
        <xdr:spPr>
          <a:xfrm>
            <a:off x="11859526" y="3330591"/>
            <a:ext cx="0" cy="2484787"/>
          </a:xfrm>
          <a:prstGeom prst="line">
            <a:avLst/>
          </a:prstGeom>
          <a:ln w="19050">
            <a:solidFill>
              <a:schemeClr val="tx1">
                <a:lumMod val="65000"/>
                <a:lumOff val="35000"/>
              </a:schemeClr>
            </a:solidFill>
            <a:prstDash val="sys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198590</xdr:colOff>
      <xdr:row>33</xdr:row>
      <xdr:rowOff>137432</xdr:rowOff>
    </xdr:from>
    <xdr:to>
      <xdr:col>7</xdr:col>
      <xdr:colOff>523502</xdr:colOff>
      <xdr:row>36</xdr:row>
      <xdr:rowOff>133109</xdr:rowOff>
    </xdr:to>
    <xdr:sp macro="" textlink="">
      <xdr:nvSpPr>
        <xdr:cNvPr id="194" name="Rectangle 193">
          <a:extLst>
            <a:ext uri="{FF2B5EF4-FFF2-40B4-BE49-F238E27FC236}">
              <a16:creationId xmlns:a16="http://schemas.microsoft.com/office/drawing/2014/main" id="{00000000-0008-0000-0400-0000C2000000}"/>
            </a:ext>
          </a:extLst>
        </xdr:cNvPr>
        <xdr:cNvSpPr/>
      </xdr:nvSpPr>
      <xdr:spPr>
        <a:xfrm>
          <a:off x="3291414" y="6367903"/>
          <a:ext cx="1187764" cy="612000"/>
        </a:xfrm>
        <a:prstGeom prst="rect">
          <a:avLst/>
        </a:prstGeom>
        <a:solidFill>
          <a:srgbClr val="3D8A5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a:solidFill>
                <a:srgbClr val="EDEADB"/>
              </a:solidFill>
              <a:latin typeface="Arial Black" panose="020B0A04020102020204" pitchFamily="34" charset="0"/>
            </a:rPr>
            <a:t>PRICING STRATEGY</a:t>
          </a:r>
        </a:p>
      </xdr:txBody>
    </xdr:sp>
    <xdr:clientData/>
  </xdr:twoCellAnchor>
  <xdr:twoCellAnchor>
    <xdr:from>
      <xdr:col>0</xdr:col>
      <xdr:colOff>517772</xdr:colOff>
      <xdr:row>12</xdr:row>
      <xdr:rowOff>207845</xdr:rowOff>
    </xdr:from>
    <xdr:to>
      <xdr:col>2</xdr:col>
      <xdr:colOff>679302</xdr:colOff>
      <xdr:row>14</xdr:row>
      <xdr:rowOff>148505</xdr:rowOff>
    </xdr:to>
    <xdr:sp macro="" textlink="">
      <xdr:nvSpPr>
        <xdr:cNvPr id="193" name="Rectangle 192">
          <a:extLst>
            <a:ext uri="{FF2B5EF4-FFF2-40B4-BE49-F238E27FC236}">
              <a16:creationId xmlns:a16="http://schemas.microsoft.com/office/drawing/2014/main" id="{00000000-0008-0000-0400-0000C1000000}"/>
            </a:ext>
          </a:extLst>
        </xdr:cNvPr>
        <xdr:cNvSpPr/>
      </xdr:nvSpPr>
      <xdr:spPr>
        <a:xfrm>
          <a:off x="517772" y="2378659"/>
          <a:ext cx="1549670" cy="590427"/>
        </a:xfrm>
        <a:prstGeom prst="rect">
          <a:avLst/>
        </a:prstGeom>
        <a:solidFill>
          <a:srgbClr val="3D8A5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rgbClr val="EDEADB"/>
              </a:solidFill>
              <a:effectLst/>
              <a:uLnTx/>
              <a:uFillTx/>
              <a:latin typeface="Arial Black" panose="020B0A04020102020204" pitchFamily="34" charset="0"/>
              <a:ea typeface="+mn-ea"/>
              <a:cs typeface="+mn-cs"/>
            </a:rPr>
            <a:t>CROSS SECTOR</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rgbClr val="EDEADB"/>
              </a:solidFill>
              <a:effectLst/>
              <a:uLnTx/>
              <a:uFillTx/>
              <a:latin typeface="Arial Black" panose="020B0A04020102020204" pitchFamily="34" charset="0"/>
              <a:ea typeface="+mn-ea"/>
              <a:cs typeface="+mn-cs"/>
            </a:rPr>
            <a:t>PERFORMANCE</a:t>
          </a:r>
        </a:p>
      </xdr:txBody>
    </xdr:sp>
    <xdr:clientData/>
  </xdr:twoCellAnchor>
  <xdr:twoCellAnchor>
    <xdr:from>
      <xdr:col>5</xdr:col>
      <xdr:colOff>198590</xdr:colOff>
      <xdr:row>1</xdr:row>
      <xdr:rowOff>72117</xdr:rowOff>
    </xdr:from>
    <xdr:to>
      <xdr:col>7</xdr:col>
      <xdr:colOff>670518</xdr:colOff>
      <xdr:row>4</xdr:row>
      <xdr:rowOff>153439</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3314626" y="249010"/>
          <a:ext cx="1329178" cy="612000"/>
        </a:xfrm>
        <a:prstGeom prst="rect">
          <a:avLst/>
        </a:prstGeom>
        <a:solidFill>
          <a:srgbClr val="3D8A5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a:solidFill>
                <a:srgbClr val="EDEADB"/>
              </a:solidFill>
              <a:latin typeface="Arial Black" panose="020B0A04020102020204" pitchFamily="34" charset="0"/>
            </a:rPr>
            <a:t>FINANCIAL</a:t>
          </a:r>
        </a:p>
        <a:p>
          <a:pPr algn="l"/>
          <a:r>
            <a:rPr lang="en-GB" sz="1200">
              <a:solidFill>
                <a:srgbClr val="EDEADB"/>
              </a:solidFill>
              <a:latin typeface="Arial Black" panose="020B0A04020102020204" pitchFamily="34" charset="0"/>
            </a:rPr>
            <a:t>HIGHLIGHTS</a:t>
          </a:r>
        </a:p>
      </xdr:txBody>
    </xdr:sp>
    <xdr:clientData/>
  </xdr:twoCellAnchor>
  <xdr:twoCellAnchor>
    <xdr:from>
      <xdr:col>1</xdr:col>
      <xdr:colOff>179888</xdr:colOff>
      <xdr:row>5</xdr:row>
      <xdr:rowOff>137730</xdr:rowOff>
    </xdr:from>
    <xdr:to>
      <xdr:col>2</xdr:col>
      <xdr:colOff>629692</xdr:colOff>
      <xdr:row>7</xdr:row>
      <xdr:rowOff>6233</xdr:rowOff>
    </xdr:to>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875557" y="1027539"/>
          <a:ext cx="1145473" cy="224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1200">
              <a:solidFill>
                <a:schemeClr val="tx1">
                  <a:lumMod val="75000"/>
                  <a:lumOff val="25000"/>
                </a:schemeClr>
              </a:solidFill>
              <a:latin typeface="Arial Black" panose="020B0A04020102020204" pitchFamily="34" charset="0"/>
            </a:rPr>
            <a:t>PRODUCT</a:t>
          </a:r>
        </a:p>
      </xdr:txBody>
    </xdr:sp>
    <xdr:clientData/>
  </xdr:twoCellAnchor>
  <xdr:twoCellAnchor>
    <xdr:from>
      <xdr:col>1</xdr:col>
      <xdr:colOff>332535</xdr:colOff>
      <xdr:row>7</xdr:row>
      <xdr:rowOff>140704</xdr:rowOff>
    </xdr:from>
    <xdr:to>
      <xdr:col>2</xdr:col>
      <xdr:colOff>618485</xdr:colOff>
      <xdr:row>9</xdr:row>
      <xdr:rowOff>12323</xdr:rowOff>
    </xdr:to>
    <xdr:sp macro="" textlink="">
      <xdr:nvSpPr>
        <xdr:cNvPr id="17" name="TextBox 16">
          <a:extLst>
            <a:ext uri="{FF2B5EF4-FFF2-40B4-BE49-F238E27FC236}">
              <a16:creationId xmlns:a16="http://schemas.microsoft.com/office/drawing/2014/main" id="{00000000-0008-0000-0400-000011000000}"/>
            </a:ext>
          </a:extLst>
        </xdr:cNvPr>
        <xdr:cNvSpPr txBox="1"/>
      </xdr:nvSpPr>
      <xdr:spPr>
        <a:xfrm>
          <a:off x="1028204" y="1386436"/>
          <a:ext cx="981619" cy="227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1200">
              <a:solidFill>
                <a:schemeClr val="tx1">
                  <a:lumMod val="75000"/>
                  <a:lumOff val="25000"/>
                </a:schemeClr>
              </a:solidFill>
              <a:latin typeface="Arial Black" panose="020B0A04020102020204" pitchFamily="34" charset="0"/>
            </a:rPr>
            <a:t>REGION</a:t>
          </a:r>
        </a:p>
      </xdr:txBody>
    </xdr:sp>
    <xdr:clientData/>
  </xdr:twoCellAnchor>
  <xdr:twoCellAnchor>
    <xdr:from>
      <xdr:col>21</xdr:col>
      <xdr:colOff>277466</xdr:colOff>
      <xdr:row>21</xdr:row>
      <xdr:rowOff>159544</xdr:rowOff>
    </xdr:from>
    <xdr:to>
      <xdr:col>25</xdr:col>
      <xdr:colOff>148441</xdr:colOff>
      <xdr:row>23</xdr:row>
      <xdr:rowOff>49092</xdr:rowOff>
    </xdr:to>
    <xdr:grpSp>
      <xdr:nvGrpSpPr>
        <xdr:cNvPr id="23" name="Group 22">
          <a:extLst>
            <a:ext uri="{FF2B5EF4-FFF2-40B4-BE49-F238E27FC236}">
              <a16:creationId xmlns:a16="http://schemas.microsoft.com/office/drawing/2014/main" id="{00000000-0008-0000-0400-000017000000}"/>
            </a:ext>
          </a:extLst>
        </xdr:cNvPr>
        <xdr:cNvGrpSpPr/>
      </xdr:nvGrpSpPr>
      <xdr:grpSpPr>
        <a:xfrm>
          <a:off x="14758386" y="4173912"/>
          <a:ext cx="1973044" cy="239893"/>
          <a:chOff x="6099326" y="588617"/>
          <a:chExt cx="2433062" cy="251059"/>
        </a:xfrm>
      </xdr:grpSpPr>
      <xdr:grpSp>
        <xdr:nvGrpSpPr>
          <xdr:cNvPr id="80" name="Group 79">
            <a:extLst>
              <a:ext uri="{FF2B5EF4-FFF2-40B4-BE49-F238E27FC236}">
                <a16:creationId xmlns:a16="http://schemas.microsoft.com/office/drawing/2014/main" id="{00000000-0008-0000-0400-000050000000}"/>
              </a:ext>
            </a:extLst>
          </xdr:cNvPr>
          <xdr:cNvGrpSpPr/>
        </xdr:nvGrpSpPr>
        <xdr:grpSpPr>
          <a:xfrm>
            <a:off x="7272132" y="590825"/>
            <a:ext cx="1260256" cy="248851"/>
            <a:chOff x="6333436" y="474869"/>
            <a:chExt cx="1260256" cy="248851"/>
          </a:xfrm>
        </xdr:grpSpPr>
        <xdr:sp macro="" textlink="">
          <xdr:nvSpPr>
            <xdr:cNvPr id="78" name="Rectangle 77">
              <a:extLst>
                <a:ext uri="{FF2B5EF4-FFF2-40B4-BE49-F238E27FC236}">
                  <a16:creationId xmlns:a16="http://schemas.microsoft.com/office/drawing/2014/main" id="{00000000-0008-0000-0400-00004E000000}"/>
                </a:ext>
              </a:extLst>
            </xdr:cNvPr>
            <xdr:cNvSpPr/>
          </xdr:nvSpPr>
          <xdr:spPr>
            <a:xfrm>
              <a:off x="6333436" y="568740"/>
              <a:ext cx="88348" cy="88348"/>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9" name="TextBox 78">
              <a:extLst>
                <a:ext uri="{FF2B5EF4-FFF2-40B4-BE49-F238E27FC236}">
                  <a16:creationId xmlns:a16="http://schemas.microsoft.com/office/drawing/2014/main" id="{00000000-0008-0000-0400-00004F000000}"/>
                </a:ext>
              </a:extLst>
            </xdr:cNvPr>
            <xdr:cNvSpPr txBox="1"/>
          </xdr:nvSpPr>
          <xdr:spPr>
            <a:xfrm>
              <a:off x="6410739" y="474869"/>
              <a:ext cx="1182953"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00"/>
                <a:t>Inventory</a:t>
              </a:r>
              <a:r>
                <a:rPr lang="en-GB" sz="1000" baseline="0"/>
                <a:t> Shortage</a:t>
              </a:r>
              <a:endParaRPr lang="en-GB" sz="1000"/>
            </a:p>
          </xdr:txBody>
        </xdr:sp>
      </xdr:grpSp>
      <xdr:grpSp>
        <xdr:nvGrpSpPr>
          <xdr:cNvPr id="81" name="Group 80">
            <a:extLst>
              <a:ext uri="{FF2B5EF4-FFF2-40B4-BE49-F238E27FC236}">
                <a16:creationId xmlns:a16="http://schemas.microsoft.com/office/drawing/2014/main" id="{00000000-0008-0000-0400-000051000000}"/>
              </a:ext>
            </a:extLst>
          </xdr:cNvPr>
          <xdr:cNvGrpSpPr/>
        </xdr:nvGrpSpPr>
        <xdr:grpSpPr>
          <a:xfrm>
            <a:off x="6099326" y="588617"/>
            <a:ext cx="1210498" cy="248851"/>
            <a:chOff x="6333436" y="474869"/>
            <a:chExt cx="1210498" cy="248851"/>
          </a:xfrm>
        </xdr:grpSpPr>
        <xdr:sp macro="" textlink="">
          <xdr:nvSpPr>
            <xdr:cNvPr id="82" name="Rectangle 81">
              <a:extLst>
                <a:ext uri="{FF2B5EF4-FFF2-40B4-BE49-F238E27FC236}">
                  <a16:creationId xmlns:a16="http://schemas.microsoft.com/office/drawing/2014/main" id="{00000000-0008-0000-0400-000052000000}"/>
                </a:ext>
              </a:extLst>
            </xdr:cNvPr>
            <xdr:cNvSpPr/>
          </xdr:nvSpPr>
          <xdr:spPr>
            <a:xfrm>
              <a:off x="6333436" y="568740"/>
              <a:ext cx="88348" cy="88348"/>
            </a:xfrm>
            <a:prstGeom prst="rect">
              <a:avLst/>
            </a:prstGeom>
            <a:solidFill>
              <a:srgbClr val="5CA4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83" name="TextBox 82">
              <a:extLst>
                <a:ext uri="{FF2B5EF4-FFF2-40B4-BE49-F238E27FC236}">
                  <a16:creationId xmlns:a16="http://schemas.microsoft.com/office/drawing/2014/main" id="{00000000-0008-0000-0400-000053000000}"/>
                </a:ext>
              </a:extLst>
            </xdr:cNvPr>
            <xdr:cNvSpPr txBox="1"/>
          </xdr:nvSpPr>
          <xdr:spPr>
            <a:xfrm>
              <a:off x="6410739" y="474869"/>
              <a:ext cx="113319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00"/>
                <a:t>Normal</a:t>
              </a:r>
              <a:r>
                <a:rPr lang="en-GB" sz="1000" baseline="0"/>
                <a:t> </a:t>
              </a:r>
              <a:r>
                <a:rPr lang="en-GB" sz="1000"/>
                <a:t>Inventory</a:t>
              </a:r>
              <a:r>
                <a:rPr lang="en-GB" sz="1000" baseline="0"/>
                <a:t> </a:t>
              </a:r>
              <a:endParaRPr lang="en-GB" sz="1000"/>
            </a:p>
          </xdr:txBody>
        </xdr:sp>
      </xdr:grpSp>
    </xdr:grpSp>
    <xdr:clientData/>
  </xdr:twoCellAnchor>
  <xdr:twoCellAnchor>
    <xdr:from>
      <xdr:col>17</xdr:col>
      <xdr:colOff>130094</xdr:colOff>
      <xdr:row>42</xdr:row>
      <xdr:rowOff>21325</xdr:rowOff>
    </xdr:from>
    <xdr:to>
      <xdr:col>19</xdr:col>
      <xdr:colOff>713629</xdr:colOff>
      <xdr:row>45</xdr:row>
      <xdr:rowOff>124773</xdr:rowOff>
    </xdr:to>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12399586" y="8061071"/>
          <a:ext cx="1175484" cy="652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solidFill>
                <a:schemeClr val="tx1">
                  <a:lumMod val="75000"/>
                  <a:lumOff val="25000"/>
                </a:schemeClr>
              </a:solidFill>
              <a:latin typeface="Arial Black" panose="020B0A04020102020204" pitchFamily="34" charset="0"/>
            </a:rPr>
            <a:t>REGIONAL TRANSFER</a:t>
          </a:r>
        </a:p>
      </xdr:txBody>
    </xdr:sp>
    <xdr:clientData/>
  </xdr:twoCellAnchor>
  <xdr:twoCellAnchor>
    <xdr:from>
      <xdr:col>9</xdr:col>
      <xdr:colOff>371473</xdr:colOff>
      <xdr:row>17</xdr:row>
      <xdr:rowOff>124407</xdr:rowOff>
    </xdr:from>
    <xdr:to>
      <xdr:col>10</xdr:col>
      <xdr:colOff>680548</xdr:colOff>
      <xdr:row>19</xdr:row>
      <xdr:rowOff>24229</xdr:rowOff>
    </xdr:to>
    <xdr:sp macro="" textlink="">
      <xdr:nvSpPr>
        <xdr:cNvPr id="128" name="TextBox 127">
          <a:extLst>
            <a:ext uri="{FF2B5EF4-FFF2-40B4-BE49-F238E27FC236}">
              <a16:creationId xmlns:a16="http://schemas.microsoft.com/office/drawing/2014/main" id="{00000000-0008-0000-0400-000080000000}"/>
            </a:ext>
          </a:extLst>
        </xdr:cNvPr>
        <xdr:cNvSpPr txBox="1"/>
      </xdr:nvSpPr>
      <xdr:spPr>
        <a:xfrm>
          <a:off x="5591173" y="3381957"/>
          <a:ext cx="966300" cy="252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a:solidFill>
                <a:schemeClr val="tx1">
                  <a:lumMod val="75000"/>
                  <a:lumOff val="25000"/>
                </a:schemeClr>
              </a:solidFill>
              <a:latin typeface="Arial Black" panose="020B0A04020102020204" pitchFamily="34" charset="0"/>
            </a:rPr>
            <a:t>Indicator</a:t>
          </a:r>
        </a:p>
      </xdr:txBody>
    </xdr:sp>
    <xdr:clientData/>
  </xdr:twoCellAnchor>
  <xdr:twoCellAnchor>
    <xdr:from>
      <xdr:col>9</xdr:col>
      <xdr:colOff>380998</xdr:colOff>
      <xdr:row>19</xdr:row>
      <xdr:rowOff>88252</xdr:rowOff>
    </xdr:from>
    <xdr:to>
      <xdr:col>10</xdr:col>
      <xdr:colOff>660915</xdr:colOff>
      <xdr:row>21</xdr:row>
      <xdr:rowOff>10691</xdr:rowOff>
    </xdr:to>
    <xdr:sp macro="" textlink="">
      <xdr:nvSpPr>
        <xdr:cNvPr id="129" name="TextBox 128">
          <a:extLst>
            <a:ext uri="{FF2B5EF4-FFF2-40B4-BE49-F238E27FC236}">
              <a16:creationId xmlns:a16="http://schemas.microsoft.com/office/drawing/2014/main" id="{00000000-0008-0000-0400-000081000000}"/>
            </a:ext>
          </a:extLst>
        </xdr:cNvPr>
        <xdr:cNvSpPr txBox="1"/>
      </xdr:nvSpPr>
      <xdr:spPr>
        <a:xfrm>
          <a:off x="5600698" y="3698227"/>
          <a:ext cx="937142" cy="274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baseline="0">
              <a:solidFill>
                <a:schemeClr val="tx1">
                  <a:lumMod val="75000"/>
                  <a:lumOff val="25000"/>
                </a:schemeClr>
              </a:solidFill>
              <a:latin typeface="Arial Black" panose="020B0A04020102020204" pitchFamily="34" charset="0"/>
            </a:rPr>
            <a:t>Storage</a:t>
          </a:r>
          <a:endParaRPr lang="en-GB" sz="1000">
            <a:solidFill>
              <a:schemeClr val="tx1">
                <a:lumMod val="75000"/>
                <a:lumOff val="25000"/>
              </a:schemeClr>
            </a:solidFill>
            <a:latin typeface="Arial Black" panose="020B0A04020102020204" pitchFamily="34" charset="0"/>
          </a:endParaRPr>
        </a:p>
      </xdr:txBody>
    </xdr:sp>
    <xdr:clientData/>
  </xdr:twoCellAnchor>
  <mc:AlternateContent xmlns:mc="http://schemas.openxmlformats.org/markup-compatibility/2006">
    <mc:Choice xmlns:a14="http://schemas.microsoft.com/office/drawing/2010/main" Requires="a14">
      <xdr:twoCellAnchor>
        <xdr:from>
          <xdr:col>11</xdr:col>
          <xdr:colOff>749300</xdr:colOff>
          <xdr:row>20</xdr:row>
          <xdr:rowOff>12700</xdr:rowOff>
        </xdr:from>
        <xdr:to>
          <xdr:col>11</xdr:col>
          <xdr:colOff>952500</xdr:colOff>
          <xdr:row>20</xdr:row>
          <xdr:rowOff>165100</xdr:rowOff>
        </xdr:to>
        <xdr:sp macro="" textlink="">
          <xdr:nvSpPr>
            <xdr:cNvPr id="4098" name="Spinner 2" hidden="1">
              <a:extLst>
                <a:ext uri="{63B3BB69-23CF-44E3-9099-C40C66FF867C}">
                  <a14:compatExt spid="_x0000_s4098"/>
                </a:ext>
                <a:ext uri="{FF2B5EF4-FFF2-40B4-BE49-F238E27FC236}">
                  <a16:creationId xmlns:a16="http://schemas.microsoft.com/office/drawing/2014/main" id="{00000000-0008-0000-04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251352</xdr:colOff>
      <xdr:row>22</xdr:row>
      <xdr:rowOff>127907</xdr:rowOff>
    </xdr:from>
    <xdr:to>
      <xdr:col>12</xdr:col>
      <xdr:colOff>152399</xdr:colOff>
      <xdr:row>32</xdr:row>
      <xdr:rowOff>61205</xdr:rowOff>
    </xdr:to>
    <xdr:graphicFrame macro="">
      <xdr:nvGraphicFramePr>
        <xdr:cNvPr id="130" name="Chart 129">
          <a:extLst>
            <a:ext uri="{FF2B5EF4-FFF2-40B4-BE49-F238E27FC236}">
              <a16:creationId xmlns:a16="http://schemas.microsoft.com/office/drawing/2014/main" id="{00000000-0008-0000-0400-00008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410004</xdr:colOff>
      <xdr:row>13</xdr:row>
      <xdr:rowOff>300379</xdr:rowOff>
    </xdr:from>
    <xdr:to>
      <xdr:col>13</xdr:col>
      <xdr:colOff>837691</xdr:colOff>
      <xdr:row>16</xdr:row>
      <xdr:rowOff>96980</xdr:rowOff>
    </xdr:to>
    <xdr:sp macro="" textlink="">
      <xdr:nvSpPr>
        <xdr:cNvPr id="131" name="TextBox 130">
          <a:extLst>
            <a:ext uri="{FF2B5EF4-FFF2-40B4-BE49-F238E27FC236}">
              <a16:creationId xmlns:a16="http://schemas.microsoft.com/office/drawing/2014/main" id="{00000000-0008-0000-0400-000083000000}"/>
            </a:ext>
          </a:extLst>
        </xdr:cNvPr>
        <xdr:cNvSpPr txBox="1"/>
      </xdr:nvSpPr>
      <xdr:spPr>
        <a:xfrm>
          <a:off x="9211399" y="2766542"/>
          <a:ext cx="1431873" cy="505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solidFill>
                <a:schemeClr val="tx1">
                  <a:lumMod val="75000"/>
                  <a:lumOff val="25000"/>
                </a:schemeClr>
              </a:solidFill>
              <a:latin typeface="Arial Black" panose="020B0A04020102020204" pitchFamily="34" charset="0"/>
            </a:rPr>
            <a:t>DEVIANCE</a:t>
          </a:r>
        </a:p>
        <a:p>
          <a:pPr algn="l"/>
          <a:r>
            <a:rPr lang="en-GB" sz="1100">
              <a:solidFill>
                <a:schemeClr val="tx1">
                  <a:lumMod val="75000"/>
                  <a:lumOff val="25000"/>
                </a:schemeClr>
              </a:solidFill>
              <a:latin typeface="Arial Black" panose="020B0A04020102020204" pitchFamily="34" charset="0"/>
            </a:rPr>
            <a:t>ANALYSIS</a:t>
          </a:r>
        </a:p>
      </xdr:txBody>
    </xdr:sp>
    <xdr:clientData/>
  </xdr:twoCellAnchor>
  <xdr:twoCellAnchor>
    <xdr:from>
      <xdr:col>12</xdr:col>
      <xdr:colOff>432030</xdr:colOff>
      <xdr:row>17</xdr:row>
      <xdr:rowOff>124989</xdr:rowOff>
    </xdr:from>
    <xdr:to>
      <xdr:col>13</xdr:col>
      <xdr:colOff>820119</xdr:colOff>
      <xdr:row>19</xdr:row>
      <xdr:rowOff>24811</xdr:rowOff>
    </xdr:to>
    <xdr:sp macro="" textlink="">
      <xdr:nvSpPr>
        <xdr:cNvPr id="133" name="TextBox 132">
          <a:extLst>
            <a:ext uri="{FF2B5EF4-FFF2-40B4-BE49-F238E27FC236}">
              <a16:creationId xmlns:a16="http://schemas.microsoft.com/office/drawing/2014/main" id="{00000000-0008-0000-0400-000085000000}"/>
            </a:ext>
          </a:extLst>
        </xdr:cNvPr>
        <xdr:cNvSpPr txBox="1"/>
      </xdr:nvSpPr>
      <xdr:spPr>
        <a:xfrm>
          <a:off x="7962383" y="3509165"/>
          <a:ext cx="1262148" cy="247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a:solidFill>
                <a:schemeClr val="tx1">
                  <a:lumMod val="75000"/>
                  <a:lumOff val="25000"/>
                </a:schemeClr>
              </a:solidFill>
              <a:latin typeface="Arial Black" panose="020B0A04020102020204" pitchFamily="34" charset="0"/>
            </a:rPr>
            <a:t>Purchase</a:t>
          </a:r>
          <a:r>
            <a:rPr lang="en-GB" sz="1000" baseline="0">
              <a:solidFill>
                <a:schemeClr val="tx1">
                  <a:lumMod val="75000"/>
                  <a:lumOff val="25000"/>
                </a:schemeClr>
              </a:solidFill>
              <a:latin typeface="Arial Black" panose="020B0A04020102020204" pitchFamily="34" charset="0"/>
            </a:rPr>
            <a:t> date</a:t>
          </a:r>
          <a:endParaRPr lang="en-GB" sz="1000">
            <a:solidFill>
              <a:schemeClr val="tx1">
                <a:lumMod val="75000"/>
                <a:lumOff val="25000"/>
              </a:schemeClr>
            </a:solidFill>
            <a:latin typeface="Arial Black" panose="020B0A04020102020204" pitchFamily="34" charset="0"/>
          </a:endParaRPr>
        </a:p>
      </xdr:txBody>
    </xdr:sp>
    <xdr:clientData/>
  </xdr:twoCellAnchor>
  <xdr:twoCellAnchor>
    <xdr:from>
      <xdr:col>12</xdr:col>
      <xdr:colOff>432030</xdr:colOff>
      <xdr:row>19</xdr:row>
      <xdr:rowOff>131209</xdr:rowOff>
    </xdr:from>
    <xdr:to>
      <xdr:col>13</xdr:col>
      <xdr:colOff>820119</xdr:colOff>
      <xdr:row>21</xdr:row>
      <xdr:rowOff>31420</xdr:rowOff>
    </xdr:to>
    <xdr:sp macro="" textlink="">
      <xdr:nvSpPr>
        <xdr:cNvPr id="134" name="TextBox 133">
          <a:extLst>
            <a:ext uri="{FF2B5EF4-FFF2-40B4-BE49-F238E27FC236}">
              <a16:creationId xmlns:a16="http://schemas.microsoft.com/office/drawing/2014/main" id="{00000000-0008-0000-0400-000086000000}"/>
            </a:ext>
          </a:extLst>
        </xdr:cNvPr>
        <xdr:cNvSpPr txBox="1"/>
      </xdr:nvSpPr>
      <xdr:spPr>
        <a:xfrm>
          <a:off x="7962383" y="3862768"/>
          <a:ext cx="1262148" cy="247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a:solidFill>
                <a:schemeClr val="tx1">
                  <a:lumMod val="75000"/>
                  <a:lumOff val="25000"/>
                </a:schemeClr>
              </a:solidFill>
              <a:latin typeface="Arial Black" panose="020B0A04020102020204" pitchFamily="34" charset="0"/>
            </a:rPr>
            <a:t>Allowed</a:t>
          </a:r>
          <a:r>
            <a:rPr lang="en-GB" sz="1000" baseline="0">
              <a:solidFill>
                <a:schemeClr val="tx1">
                  <a:lumMod val="75000"/>
                  <a:lumOff val="25000"/>
                </a:schemeClr>
              </a:solidFill>
              <a:latin typeface="Arial Black" panose="020B0A04020102020204" pitchFamily="34" charset="0"/>
            </a:rPr>
            <a:t> error</a:t>
          </a:r>
          <a:endParaRPr lang="en-GB" sz="1000">
            <a:solidFill>
              <a:schemeClr val="tx1">
                <a:lumMod val="75000"/>
                <a:lumOff val="25000"/>
              </a:schemeClr>
            </a:solidFill>
            <a:latin typeface="Arial Black" panose="020B0A04020102020204" pitchFamily="34" charset="0"/>
          </a:endParaRPr>
        </a:p>
      </xdr:txBody>
    </xdr:sp>
    <xdr:clientData/>
  </xdr:twoCellAnchor>
  <mc:AlternateContent xmlns:mc="http://schemas.openxmlformats.org/markup-compatibility/2006">
    <mc:Choice xmlns:a14="http://schemas.microsoft.com/office/drawing/2010/main" Requires="a14">
      <xdr:twoCellAnchor>
        <xdr:from>
          <xdr:col>14</xdr:col>
          <xdr:colOff>647700</xdr:colOff>
          <xdr:row>20</xdr:row>
          <xdr:rowOff>12700</xdr:rowOff>
        </xdr:from>
        <xdr:to>
          <xdr:col>14</xdr:col>
          <xdr:colOff>825500</xdr:colOff>
          <xdr:row>20</xdr:row>
          <xdr:rowOff>165100</xdr:rowOff>
        </xdr:to>
        <xdr:sp macro="" textlink="">
          <xdr:nvSpPr>
            <xdr:cNvPr id="4103" name="Spinner 7" hidden="1">
              <a:extLst>
                <a:ext uri="{63B3BB69-23CF-44E3-9099-C40C66FF867C}">
                  <a14:compatExt spid="_x0000_s4103"/>
                </a:ext>
                <a:ext uri="{FF2B5EF4-FFF2-40B4-BE49-F238E27FC236}">
                  <a16:creationId xmlns:a16="http://schemas.microsoft.com/office/drawing/2014/main" id="{00000000-0008-0000-04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419394</xdr:colOff>
      <xdr:row>21</xdr:row>
      <xdr:rowOff>15760</xdr:rowOff>
    </xdr:from>
    <xdr:to>
      <xdr:col>14</xdr:col>
      <xdr:colOff>568297</xdr:colOff>
      <xdr:row>22</xdr:row>
      <xdr:rowOff>89045</xdr:rowOff>
    </xdr:to>
    <xdr:sp macro="" textlink="">
      <xdr:nvSpPr>
        <xdr:cNvPr id="135" name="TextBox 134">
          <a:extLst>
            <a:ext uri="{FF2B5EF4-FFF2-40B4-BE49-F238E27FC236}">
              <a16:creationId xmlns:a16="http://schemas.microsoft.com/office/drawing/2014/main" id="{00000000-0008-0000-0400-000087000000}"/>
            </a:ext>
          </a:extLst>
        </xdr:cNvPr>
        <xdr:cNvSpPr txBox="1"/>
      </xdr:nvSpPr>
      <xdr:spPr>
        <a:xfrm>
          <a:off x="8801394" y="4109642"/>
          <a:ext cx="2151021" cy="252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a:solidFill>
                <a:schemeClr val="tx1">
                  <a:lumMod val="75000"/>
                  <a:lumOff val="25000"/>
                </a:schemeClr>
              </a:solidFill>
              <a:latin typeface="+mn-lt"/>
            </a:rPr>
            <a:t>(Unit:</a:t>
          </a:r>
          <a:r>
            <a:rPr lang="en-GB" sz="1000" baseline="0">
              <a:solidFill>
                <a:schemeClr val="tx1">
                  <a:lumMod val="75000"/>
                  <a:lumOff val="25000"/>
                </a:schemeClr>
              </a:solidFill>
              <a:latin typeface="+mn-lt"/>
            </a:rPr>
            <a:t> quantity for each product)</a:t>
          </a:r>
          <a:endParaRPr lang="en-GB" sz="1000">
            <a:solidFill>
              <a:schemeClr val="tx1">
                <a:lumMod val="75000"/>
                <a:lumOff val="25000"/>
              </a:schemeClr>
            </a:solidFill>
            <a:latin typeface="+mn-lt"/>
          </a:endParaRPr>
        </a:p>
      </xdr:txBody>
    </xdr:sp>
    <xdr:clientData/>
  </xdr:twoCellAnchor>
  <xdr:twoCellAnchor>
    <xdr:from>
      <xdr:col>17</xdr:col>
      <xdr:colOff>23532</xdr:colOff>
      <xdr:row>19</xdr:row>
      <xdr:rowOff>52379</xdr:rowOff>
    </xdr:from>
    <xdr:to>
      <xdr:col>25</xdr:col>
      <xdr:colOff>1033047</xdr:colOff>
      <xdr:row>32</xdr:row>
      <xdr:rowOff>142876</xdr:rowOff>
    </xdr:to>
    <xdr:graphicFrame macro="">
      <xdr:nvGraphicFramePr>
        <xdr:cNvPr id="112" name="Chart 111">
          <a:extLst>
            <a:ext uri="{FF2B5EF4-FFF2-40B4-BE49-F238E27FC236}">
              <a16:creationId xmlns:a16="http://schemas.microsoft.com/office/drawing/2014/main" id="{00000000-0008-0000-0400-00007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164272</xdr:colOff>
      <xdr:row>25</xdr:row>
      <xdr:rowOff>34903</xdr:rowOff>
    </xdr:from>
    <xdr:to>
      <xdr:col>25</xdr:col>
      <xdr:colOff>895098</xdr:colOff>
      <xdr:row>25</xdr:row>
      <xdr:rowOff>104846</xdr:rowOff>
    </xdr:to>
    <xdr:sp macro="" textlink="">
      <xdr:nvSpPr>
        <xdr:cNvPr id="114" name="Arrow: Right 113">
          <a:extLst>
            <a:ext uri="{FF2B5EF4-FFF2-40B4-BE49-F238E27FC236}">
              <a16:creationId xmlns:a16="http://schemas.microsoft.com/office/drawing/2014/main" id="{00000000-0008-0000-0400-000072000000}"/>
            </a:ext>
          </a:extLst>
        </xdr:cNvPr>
        <xdr:cNvSpPr/>
      </xdr:nvSpPr>
      <xdr:spPr>
        <a:xfrm flipV="1">
          <a:off x="10596948" y="4831021"/>
          <a:ext cx="4496003" cy="69943"/>
        </a:xfrm>
        <a:prstGeom prst="rightArrow">
          <a:avLst/>
        </a:prstGeom>
        <a:solidFill>
          <a:srgbClr val="EEEDDB"/>
        </a:solidFill>
        <a:ln>
          <a:solidFill>
            <a:srgbClr val="EEEDD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138963</xdr:colOff>
      <xdr:row>18</xdr:row>
      <xdr:rowOff>105291</xdr:rowOff>
    </xdr:from>
    <xdr:to>
      <xdr:col>20</xdr:col>
      <xdr:colOff>22801</xdr:colOff>
      <xdr:row>19</xdr:row>
      <xdr:rowOff>132621</xdr:rowOff>
    </xdr:to>
    <xdr:sp macro="" textlink="">
      <xdr:nvSpPr>
        <xdr:cNvPr id="121" name="TextBox 120">
          <a:extLst>
            <a:ext uri="{FF2B5EF4-FFF2-40B4-BE49-F238E27FC236}">
              <a16:creationId xmlns:a16="http://schemas.microsoft.com/office/drawing/2014/main" id="{00000000-0008-0000-0400-000079000000}"/>
            </a:ext>
          </a:extLst>
        </xdr:cNvPr>
        <xdr:cNvSpPr txBox="1"/>
      </xdr:nvSpPr>
      <xdr:spPr>
        <a:xfrm>
          <a:off x="10762139" y="3668762"/>
          <a:ext cx="847544" cy="1954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r>
            <a:rPr lang="en-GB" sz="1000" b="1">
              <a:solidFill>
                <a:schemeClr val="tx1">
                  <a:lumMod val="75000"/>
                  <a:lumOff val="25000"/>
                </a:schemeClr>
              </a:solidFill>
              <a:latin typeface="Arial Black" panose="020B0A04020102020204" pitchFamily="34" charset="0"/>
            </a:rPr>
            <a:t>ROUND 1</a:t>
          </a:r>
        </a:p>
      </xdr:txBody>
    </xdr:sp>
    <xdr:clientData/>
  </xdr:twoCellAnchor>
  <xdr:twoCellAnchor>
    <xdr:from>
      <xdr:col>25</xdr:col>
      <xdr:colOff>731659</xdr:colOff>
      <xdr:row>19</xdr:row>
      <xdr:rowOff>54351</xdr:rowOff>
    </xdr:from>
    <xdr:to>
      <xdr:col>25</xdr:col>
      <xdr:colOff>1099337</xdr:colOff>
      <xdr:row>25</xdr:row>
      <xdr:rowOff>134443</xdr:rowOff>
    </xdr:to>
    <xdr:sp macro="" textlink="">
      <xdr:nvSpPr>
        <xdr:cNvPr id="137" name="TextBox 136">
          <a:extLst>
            <a:ext uri="{FF2B5EF4-FFF2-40B4-BE49-F238E27FC236}">
              <a16:creationId xmlns:a16="http://schemas.microsoft.com/office/drawing/2014/main" id="{00000000-0008-0000-0400-000089000000}"/>
            </a:ext>
          </a:extLst>
        </xdr:cNvPr>
        <xdr:cNvSpPr txBox="1"/>
      </xdr:nvSpPr>
      <xdr:spPr>
        <a:xfrm rot="5400000">
          <a:off x="14541025" y="4174397"/>
          <a:ext cx="1144651" cy="367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900" b="1">
              <a:solidFill>
                <a:schemeClr val="tx1">
                  <a:lumMod val="75000"/>
                  <a:lumOff val="25000"/>
                </a:schemeClr>
              </a:solidFill>
              <a:latin typeface="Arial Black" panose="020B0A04020102020204" pitchFamily="34" charset="0"/>
            </a:rPr>
            <a:t>TRANSFER</a:t>
          </a:r>
          <a:r>
            <a:rPr lang="en-GB" sz="900" b="1" baseline="0">
              <a:solidFill>
                <a:schemeClr val="tx1">
                  <a:lumMod val="75000"/>
                  <a:lumOff val="25000"/>
                </a:schemeClr>
              </a:solidFill>
              <a:latin typeface="Arial Black" panose="020B0A04020102020204" pitchFamily="34" charset="0"/>
            </a:rPr>
            <a:t> IN</a:t>
          </a:r>
          <a:endParaRPr lang="en-GB" sz="900" b="1">
            <a:solidFill>
              <a:schemeClr val="tx1">
                <a:lumMod val="75000"/>
                <a:lumOff val="25000"/>
              </a:schemeClr>
            </a:solidFill>
            <a:latin typeface="Arial Black" panose="020B0A04020102020204" pitchFamily="34" charset="0"/>
          </a:endParaRPr>
        </a:p>
      </xdr:txBody>
    </xdr:sp>
    <xdr:clientData/>
  </xdr:twoCellAnchor>
  <xdr:twoCellAnchor>
    <xdr:from>
      <xdr:col>25</xdr:col>
      <xdr:colOff>843371</xdr:colOff>
      <xdr:row>25</xdr:row>
      <xdr:rowOff>94897</xdr:rowOff>
    </xdr:from>
    <xdr:to>
      <xdr:col>25</xdr:col>
      <xdr:colOff>1097196</xdr:colOff>
      <xdr:row>30</xdr:row>
      <xdr:rowOff>149387</xdr:rowOff>
    </xdr:to>
    <xdr:sp macro="" textlink="">
      <xdr:nvSpPr>
        <xdr:cNvPr id="138" name="TextBox 137">
          <a:extLst>
            <a:ext uri="{FF2B5EF4-FFF2-40B4-BE49-F238E27FC236}">
              <a16:creationId xmlns:a16="http://schemas.microsoft.com/office/drawing/2014/main" id="{00000000-0008-0000-0400-00008A000000}"/>
            </a:ext>
          </a:extLst>
        </xdr:cNvPr>
        <xdr:cNvSpPr txBox="1"/>
      </xdr:nvSpPr>
      <xdr:spPr>
        <a:xfrm rot="5400000">
          <a:off x="14692657" y="5239582"/>
          <a:ext cx="950960" cy="253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900" b="1">
              <a:solidFill>
                <a:schemeClr val="tx1">
                  <a:lumMod val="75000"/>
                  <a:lumOff val="25000"/>
                </a:schemeClr>
              </a:solidFill>
              <a:latin typeface="Arial Black" panose="020B0A04020102020204" pitchFamily="34" charset="0"/>
            </a:rPr>
            <a:t>PURCHASE</a:t>
          </a:r>
        </a:p>
      </xdr:txBody>
    </xdr:sp>
    <xdr:clientData/>
  </xdr:twoCellAnchor>
  <xdr:twoCellAnchor>
    <xdr:from>
      <xdr:col>24</xdr:col>
      <xdr:colOff>312036</xdr:colOff>
      <xdr:row>39</xdr:row>
      <xdr:rowOff>72028</xdr:rowOff>
    </xdr:from>
    <xdr:to>
      <xdr:col>25</xdr:col>
      <xdr:colOff>1086554</xdr:colOff>
      <xdr:row>41</xdr:row>
      <xdr:rowOff>8002</xdr:rowOff>
    </xdr:to>
    <xdr:sp macro="" textlink="Sales!$X$56">
      <xdr:nvSpPr>
        <xdr:cNvPr id="107" name="TextBox 106">
          <a:extLst>
            <a:ext uri="{FF2B5EF4-FFF2-40B4-BE49-F238E27FC236}">
              <a16:creationId xmlns:a16="http://schemas.microsoft.com/office/drawing/2014/main" id="{00000000-0008-0000-0400-00006B000000}"/>
            </a:ext>
          </a:extLst>
        </xdr:cNvPr>
        <xdr:cNvSpPr txBox="1"/>
      </xdr:nvSpPr>
      <xdr:spPr>
        <a:xfrm>
          <a:off x="16216709" y="7407168"/>
          <a:ext cx="1474798" cy="292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EB6177C1-1D28-4AA6-97A8-B9CEC5D8CB25}" type="TxLink">
            <a:rPr lang="en-US" sz="1100" b="1" i="0" u="none" strike="noStrike">
              <a:solidFill>
                <a:schemeClr val="accent5">
                  <a:lumMod val="60000"/>
                  <a:lumOff val="40000"/>
                </a:schemeClr>
              </a:solidFill>
              <a:latin typeface="Arial Black" panose="020B0A04020102020204" pitchFamily="34" charset="0"/>
              <a:cs typeface="Calibri"/>
            </a:rPr>
            <a:pPr algn="l"/>
            <a:t> </a:t>
          </a:fld>
          <a:endParaRPr lang="en-GB" sz="900" b="1">
            <a:solidFill>
              <a:schemeClr val="accent5">
                <a:lumMod val="60000"/>
                <a:lumOff val="40000"/>
              </a:schemeClr>
            </a:solidFill>
            <a:latin typeface="Arial Black" panose="020B0A04020102020204" pitchFamily="34" charset="0"/>
          </a:endParaRPr>
        </a:p>
      </xdr:txBody>
    </xdr:sp>
    <xdr:clientData/>
  </xdr:twoCellAnchor>
  <xdr:twoCellAnchor>
    <xdr:from>
      <xdr:col>22</xdr:col>
      <xdr:colOff>203874</xdr:colOff>
      <xdr:row>38</xdr:row>
      <xdr:rowOff>12809</xdr:rowOff>
    </xdr:from>
    <xdr:to>
      <xdr:col>24</xdr:col>
      <xdr:colOff>524148</xdr:colOff>
      <xdr:row>41</xdr:row>
      <xdr:rowOff>110434</xdr:rowOff>
    </xdr:to>
    <xdr:sp macro="" textlink="Sales!$V$56">
      <xdr:nvSpPr>
        <xdr:cNvPr id="142" name="TextBox 141">
          <a:extLst>
            <a:ext uri="{FF2B5EF4-FFF2-40B4-BE49-F238E27FC236}">
              <a16:creationId xmlns:a16="http://schemas.microsoft.com/office/drawing/2014/main" id="{00000000-0008-0000-0400-00008E000000}"/>
            </a:ext>
          </a:extLst>
        </xdr:cNvPr>
        <xdr:cNvSpPr txBox="1"/>
      </xdr:nvSpPr>
      <xdr:spPr>
        <a:xfrm>
          <a:off x="14992488" y="7104917"/>
          <a:ext cx="1437262" cy="625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6717B553-3844-4DC6-B761-23B35FC34EA6}" type="TxLink">
            <a:rPr lang="en-US" sz="1050" b="1" i="0" u="none" strike="noStrike">
              <a:solidFill>
                <a:schemeClr val="tx1">
                  <a:lumMod val="75000"/>
                  <a:lumOff val="25000"/>
                </a:schemeClr>
              </a:solidFill>
              <a:latin typeface="+mn-lt"/>
              <a:cs typeface="Calibri"/>
            </a:rPr>
            <a:pPr algn="l"/>
            <a:t> </a:t>
          </a:fld>
          <a:endParaRPr lang="en-GB" sz="1100" b="1">
            <a:solidFill>
              <a:schemeClr val="tx1">
                <a:lumMod val="75000"/>
                <a:lumOff val="25000"/>
              </a:schemeClr>
            </a:solidFill>
            <a:latin typeface="+mn-lt"/>
          </a:endParaRPr>
        </a:p>
      </xdr:txBody>
    </xdr:sp>
    <xdr:clientData/>
  </xdr:twoCellAnchor>
  <xdr:twoCellAnchor>
    <xdr:from>
      <xdr:col>22</xdr:col>
      <xdr:colOff>192829</xdr:colOff>
      <xdr:row>34</xdr:row>
      <xdr:rowOff>92235</xdr:rowOff>
    </xdr:from>
    <xdr:to>
      <xdr:col>24</xdr:col>
      <xdr:colOff>527892</xdr:colOff>
      <xdr:row>38</xdr:row>
      <xdr:rowOff>165652</xdr:rowOff>
    </xdr:to>
    <xdr:sp macro="" textlink="Sales!$V$55">
      <xdr:nvSpPr>
        <xdr:cNvPr id="102" name="TextBox 101">
          <a:extLst>
            <a:ext uri="{FF2B5EF4-FFF2-40B4-BE49-F238E27FC236}">
              <a16:creationId xmlns:a16="http://schemas.microsoft.com/office/drawing/2014/main" id="{00000000-0008-0000-0400-000066000000}"/>
            </a:ext>
          </a:extLst>
        </xdr:cNvPr>
        <xdr:cNvSpPr txBox="1"/>
      </xdr:nvSpPr>
      <xdr:spPr>
        <a:xfrm>
          <a:off x="14981443" y="6449886"/>
          <a:ext cx="1452051" cy="8078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80548A1D-435E-44B5-A10A-5E0B2C4A545F}" type="TxLink">
            <a:rPr lang="en-US" sz="1050" b="1" i="0" u="none" strike="noStrike">
              <a:solidFill>
                <a:schemeClr val="tx1">
                  <a:lumMod val="75000"/>
                  <a:lumOff val="25000"/>
                </a:schemeClr>
              </a:solidFill>
              <a:latin typeface="+mn-lt"/>
              <a:cs typeface="Calibri"/>
            </a:rPr>
            <a:pPr algn="l"/>
            <a:t> </a:t>
          </a:fld>
          <a:endParaRPr lang="en-GB" sz="1100" b="1">
            <a:solidFill>
              <a:schemeClr val="tx1">
                <a:lumMod val="75000"/>
                <a:lumOff val="25000"/>
              </a:schemeClr>
            </a:solidFill>
            <a:latin typeface="+mn-lt"/>
          </a:endParaRPr>
        </a:p>
      </xdr:txBody>
    </xdr:sp>
    <xdr:clientData/>
  </xdr:twoCellAnchor>
  <xdr:twoCellAnchor>
    <xdr:from>
      <xdr:col>24</xdr:col>
      <xdr:colOff>300993</xdr:colOff>
      <xdr:row>35</xdr:row>
      <xdr:rowOff>7175</xdr:rowOff>
    </xdr:from>
    <xdr:to>
      <xdr:col>25</xdr:col>
      <xdr:colOff>1290041</xdr:colOff>
      <xdr:row>36</xdr:row>
      <xdr:rowOff>125821</xdr:rowOff>
    </xdr:to>
    <xdr:sp macro="" textlink="Sales!$X$55">
      <xdr:nvSpPr>
        <xdr:cNvPr id="103" name="TextBox 102">
          <a:extLst>
            <a:ext uri="{FF2B5EF4-FFF2-40B4-BE49-F238E27FC236}">
              <a16:creationId xmlns:a16="http://schemas.microsoft.com/office/drawing/2014/main" id="{00000000-0008-0000-0400-000067000000}"/>
            </a:ext>
          </a:extLst>
        </xdr:cNvPr>
        <xdr:cNvSpPr txBox="1"/>
      </xdr:nvSpPr>
      <xdr:spPr>
        <a:xfrm>
          <a:off x="16205666" y="6630166"/>
          <a:ext cx="1689328" cy="2966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AF2C16AE-7C75-4B3D-825B-107B918350DD}" type="TxLink">
            <a:rPr lang="en-US" sz="1100" b="1" i="0" u="none" strike="noStrike">
              <a:solidFill>
                <a:schemeClr val="accent5">
                  <a:lumMod val="75000"/>
                </a:schemeClr>
              </a:solidFill>
              <a:latin typeface="Arial Black" panose="020B0A04020102020204" pitchFamily="34" charset="0"/>
              <a:cs typeface="Calibri"/>
            </a:rPr>
            <a:pPr algn="l"/>
            <a:t> </a:t>
          </a:fld>
          <a:endParaRPr lang="en-GB" sz="900" b="1">
            <a:solidFill>
              <a:schemeClr val="accent5">
                <a:lumMod val="75000"/>
              </a:schemeClr>
            </a:solidFill>
            <a:latin typeface="Arial Black" panose="020B0A04020102020204" pitchFamily="34" charset="0"/>
          </a:endParaRPr>
        </a:p>
      </xdr:txBody>
    </xdr:sp>
    <xdr:clientData/>
  </xdr:twoCellAnchor>
  <xdr:twoCellAnchor>
    <xdr:from>
      <xdr:col>20</xdr:col>
      <xdr:colOff>639631</xdr:colOff>
      <xdr:row>47</xdr:row>
      <xdr:rowOff>86075</xdr:rowOff>
    </xdr:from>
    <xdr:to>
      <xdr:col>23</xdr:col>
      <xdr:colOff>296018</xdr:colOff>
      <xdr:row>49</xdr:row>
      <xdr:rowOff>431036</xdr:rowOff>
    </xdr:to>
    <xdr:sp macro="" textlink="Historical_Stock!$Q$476">
      <xdr:nvSpPr>
        <xdr:cNvPr id="190" name="TextBox 189">
          <a:extLst>
            <a:ext uri="{FF2B5EF4-FFF2-40B4-BE49-F238E27FC236}">
              <a16:creationId xmlns:a16="http://schemas.microsoft.com/office/drawing/2014/main" id="{00000000-0008-0000-0400-0000BE000000}"/>
            </a:ext>
          </a:extLst>
        </xdr:cNvPr>
        <xdr:cNvSpPr txBox="1"/>
      </xdr:nvSpPr>
      <xdr:spPr>
        <a:xfrm>
          <a:off x="14225678" y="8813633"/>
          <a:ext cx="1251270" cy="699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fld id="{AA6AC4D4-5023-4EC2-B043-03E1A85C018E}" type="TxLink">
            <a:rPr lang="en-US" sz="2000" b="1" i="0" u="none" strike="noStrike">
              <a:solidFill>
                <a:schemeClr val="tx1">
                  <a:lumMod val="75000"/>
                  <a:lumOff val="25000"/>
                </a:schemeClr>
              </a:solidFill>
              <a:latin typeface="Arial Black" panose="020B0A04020102020204" pitchFamily="34" charset="0"/>
              <a:cs typeface="Calibri"/>
            </a:rPr>
            <a:pPr algn="ctr"/>
            <a:t>9</a:t>
          </a:fld>
          <a:endParaRPr lang="en-US" sz="1800" b="1" i="0" u="none" strike="noStrike" baseline="0">
            <a:solidFill>
              <a:schemeClr val="tx1">
                <a:lumMod val="75000"/>
                <a:lumOff val="25000"/>
              </a:schemeClr>
            </a:solidFill>
            <a:latin typeface="Arial Black" panose="020B0A04020102020204" pitchFamily="34" charset="0"/>
            <a:cs typeface="Calibri"/>
          </a:endParaRPr>
        </a:p>
        <a:p>
          <a:pPr algn="ctr"/>
          <a:r>
            <a:rPr lang="en-US" sz="1100" b="1" i="0" u="none" strike="noStrike">
              <a:solidFill>
                <a:schemeClr val="tx1">
                  <a:lumMod val="75000"/>
                  <a:lumOff val="25000"/>
                </a:schemeClr>
              </a:solidFill>
              <a:latin typeface="+mn-lt"/>
              <a:cs typeface="Calibri"/>
            </a:rPr>
            <a:t>times</a:t>
          </a:r>
          <a:endParaRPr lang="en-GB" sz="2400">
            <a:solidFill>
              <a:schemeClr val="tx1">
                <a:lumMod val="75000"/>
                <a:lumOff val="25000"/>
              </a:schemeClr>
            </a:solidFill>
            <a:latin typeface="+mn-lt"/>
          </a:endParaRPr>
        </a:p>
      </xdr:txBody>
    </xdr:sp>
    <xdr:clientData/>
  </xdr:twoCellAnchor>
  <xdr:twoCellAnchor>
    <xdr:from>
      <xdr:col>9</xdr:col>
      <xdr:colOff>343704</xdr:colOff>
      <xdr:row>37</xdr:row>
      <xdr:rowOff>93360</xdr:rowOff>
    </xdr:from>
    <xdr:to>
      <xdr:col>11</xdr:col>
      <xdr:colOff>602155</xdr:colOff>
      <xdr:row>39</xdr:row>
      <xdr:rowOff>156675</xdr:rowOff>
    </xdr:to>
    <xdr:sp macro="" textlink="Sales!R139">
      <xdr:nvSpPr>
        <xdr:cNvPr id="143" name="TextBox 142">
          <a:extLst>
            <a:ext uri="{FF2B5EF4-FFF2-40B4-BE49-F238E27FC236}">
              <a16:creationId xmlns:a16="http://schemas.microsoft.com/office/drawing/2014/main" id="{00000000-0008-0000-0400-00008F000000}"/>
            </a:ext>
          </a:extLst>
        </xdr:cNvPr>
        <xdr:cNvSpPr txBox="1"/>
      </xdr:nvSpPr>
      <xdr:spPr>
        <a:xfrm>
          <a:off x="6486960" y="7048825"/>
          <a:ext cx="1941939" cy="4177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F3C99EF4-24AE-4C25-BC8A-2016BBBE0989}" type="TxLink">
            <a:rPr lang="en-US" sz="2000" b="1" i="0" u="none" strike="noStrike">
              <a:solidFill>
                <a:srgbClr val="3D8A56"/>
              </a:solidFill>
              <a:latin typeface="Arial Black" panose="020B0A04020102020204" pitchFamily="34" charset="0"/>
              <a:cs typeface="Calibri"/>
            </a:rPr>
            <a:pPr algn="l"/>
            <a:t> € 70.00 </a:t>
          </a:fld>
          <a:endParaRPr lang="en-GB" sz="2000" b="1">
            <a:solidFill>
              <a:srgbClr val="3D8A56"/>
            </a:solidFill>
            <a:latin typeface="Arial Black" panose="020B0A04020102020204" pitchFamily="34" charset="0"/>
          </a:endParaRPr>
        </a:p>
      </xdr:txBody>
    </xdr:sp>
    <xdr:clientData/>
  </xdr:twoCellAnchor>
  <xdr:twoCellAnchor>
    <xdr:from>
      <xdr:col>9</xdr:col>
      <xdr:colOff>259591</xdr:colOff>
      <xdr:row>40</xdr:row>
      <xdr:rowOff>24589</xdr:rowOff>
    </xdr:from>
    <xdr:to>
      <xdr:col>12</xdr:col>
      <xdr:colOff>488211</xdr:colOff>
      <xdr:row>42</xdr:row>
      <xdr:rowOff>169202</xdr:rowOff>
    </xdr:to>
    <xdr:grpSp>
      <xdr:nvGrpSpPr>
        <xdr:cNvPr id="6" name="Group 5">
          <a:extLst>
            <a:ext uri="{FF2B5EF4-FFF2-40B4-BE49-F238E27FC236}">
              <a16:creationId xmlns:a16="http://schemas.microsoft.com/office/drawing/2014/main" id="{00000000-0008-0000-0400-000006000000}"/>
            </a:ext>
          </a:extLst>
        </xdr:cNvPr>
        <xdr:cNvGrpSpPr/>
      </xdr:nvGrpSpPr>
      <xdr:grpSpPr>
        <a:xfrm>
          <a:off x="6405223" y="7440221"/>
          <a:ext cx="2885402" cy="494958"/>
          <a:chOff x="5324475" y="7621488"/>
          <a:chExt cx="2548128" cy="515008"/>
        </a:xfrm>
      </xdr:grpSpPr>
      <xdr:sp macro="" textlink="Sales!$U$140">
        <xdr:nvSpPr>
          <xdr:cNvPr id="146" name="TextBox 145">
            <a:extLst>
              <a:ext uri="{FF2B5EF4-FFF2-40B4-BE49-F238E27FC236}">
                <a16:creationId xmlns:a16="http://schemas.microsoft.com/office/drawing/2014/main" id="{00000000-0008-0000-0400-000092000000}"/>
              </a:ext>
            </a:extLst>
          </xdr:cNvPr>
          <xdr:cNvSpPr txBox="1"/>
        </xdr:nvSpPr>
        <xdr:spPr>
          <a:xfrm>
            <a:off x="5324475" y="7621489"/>
            <a:ext cx="795131" cy="275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2490590A-C812-47FC-B7C4-8627523E29F3}" type="TxLink">
              <a:rPr lang="en-US" sz="1100" b="0" i="0" u="none" strike="noStrike">
                <a:solidFill>
                  <a:srgbClr val="000000"/>
                </a:solidFill>
                <a:latin typeface="Calibri"/>
                <a:cs typeface="Calibri"/>
              </a:rPr>
              <a:pPr algn="ctr"/>
              <a:t> € 1.54 </a:t>
            </a:fld>
            <a:endParaRPr lang="en-GB" sz="1100"/>
          </a:p>
        </xdr:txBody>
      </xdr:sp>
      <xdr:sp macro="" textlink="Sales!T140">
        <xdr:nvSpPr>
          <xdr:cNvPr id="147" name="TextBox 146">
            <a:extLst>
              <a:ext uri="{FF2B5EF4-FFF2-40B4-BE49-F238E27FC236}">
                <a16:creationId xmlns:a16="http://schemas.microsoft.com/office/drawing/2014/main" id="{00000000-0008-0000-0400-000093000000}"/>
              </a:ext>
            </a:extLst>
          </xdr:cNvPr>
          <xdr:cNvSpPr txBox="1"/>
        </xdr:nvSpPr>
        <xdr:spPr>
          <a:xfrm>
            <a:off x="5876927" y="7621488"/>
            <a:ext cx="1714500" cy="275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1525A4FF-EF57-4BB0-8318-239F84DF034E}" type="TxLink">
              <a:rPr lang="en-US" sz="1100" b="0" i="0" u="none" strike="noStrike">
                <a:solidFill>
                  <a:srgbClr val="000000"/>
                </a:solidFill>
                <a:latin typeface="Calibri"/>
                <a:cs typeface="Calibri"/>
              </a:rPr>
              <a:pPr algn="l"/>
              <a:t>Higher than average</a:t>
            </a:fld>
            <a:endParaRPr lang="en-GB" sz="1100"/>
          </a:p>
        </xdr:txBody>
      </xdr:sp>
      <xdr:sp macro="" textlink="Sales!$T$141">
        <xdr:nvSpPr>
          <xdr:cNvPr id="149" name="TextBox 148">
            <a:extLst>
              <a:ext uri="{FF2B5EF4-FFF2-40B4-BE49-F238E27FC236}">
                <a16:creationId xmlns:a16="http://schemas.microsoft.com/office/drawing/2014/main" id="{00000000-0008-0000-0400-000095000000}"/>
              </a:ext>
            </a:extLst>
          </xdr:cNvPr>
          <xdr:cNvSpPr txBox="1"/>
        </xdr:nvSpPr>
        <xdr:spPr>
          <a:xfrm>
            <a:off x="5886434" y="7845448"/>
            <a:ext cx="1986169" cy="275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1CE31976-343E-41D7-83AC-58AD60ECC986}" type="TxLink">
              <a:rPr lang="en-US" sz="1100" b="0" i="0" u="none" strike="noStrike">
                <a:solidFill>
                  <a:srgbClr val="000000"/>
                </a:solidFill>
                <a:latin typeface="Calibri"/>
                <a:cs typeface="Calibri"/>
              </a:rPr>
              <a:pPr algn="l"/>
              <a:t>Lower than maximum</a:t>
            </a:fld>
            <a:endParaRPr lang="en-GB" sz="1100"/>
          </a:p>
        </xdr:txBody>
      </xdr:sp>
      <xdr:sp macro="" textlink="Sales!U141">
        <xdr:nvSpPr>
          <xdr:cNvPr id="150" name="TextBox 149">
            <a:extLst>
              <a:ext uri="{FF2B5EF4-FFF2-40B4-BE49-F238E27FC236}">
                <a16:creationId xmlns:a16="http://schemas.microsoft.com/office/drawing/2014/main" id="{00000000-0008-0000-0400-000096000000}"/>
              </a:ext>
            </a:extLst>
          </xdr:cNvPr>
          <xdr:cNvSpPr txBox="1"/>
        </xdr:nvSpPr>
        <xdr:spPr>
          <a:xfrm>
            <a:off x="5346424" y="7861353"/>
            <a:ext cx="752475" cy="275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037A2317-AA85-4115-9B4E-5BDF9916D2F0}" type="TxLink">
              <a:rPr lang="en-US" sz="1100" b="0" i="0" u="none" strike="noStrike">
                <a:solidFill>
                  <a:srgbClr val="000000"/>
                </a:solidFill>
                <a:latin typeface="Calibri"/>
                <a:cs typeface="Calibri"/>
              </a:rPr>
              <a:pPr algn="ctr"/>
              <a:t> € 4.00 </a:t>
            </a:fld>
            <a:endParaRPr lang="en-GB" sz="1100"/>
          </a:p>
        </xdr:txBody>
      </xdr:sp>
    </xdr:grpSp>
    <xdr:clientData/>
  </xdr:twoCellAnchor>
  <xdr:twoCellAnchor>
    <xdr:from>
      <xdr:col>9</xdr:col>
      <xdr:colOff>438887</xdr:colOff>
      <xdr:row>43</xdr:row>
      <xdr:rowOff>161472</xdr:rowOff>
    </xdr:from>
    <xdr:to>
      <xdr:col>12</xdr:col>
      <xdr:colOff>269462</xdr:colOff>
      <xdr:row>47</xdr:row>
      <xdr:rowOff>65392</xdr:rowOff>
    </xdr:to>
    <xdr:sp macro="" textlink="Sales!N146">
      <xdr:nvSpPr>
        <xdr:cNvPr id="11" name="TextBox 10">
          <a:extLst>
            <a:ext uri="{FF2B5EF4-FFF2-40B4-BE49-F238E27FC236}">
              <a16:creationId xmlns:a16="http://schemas.microsoft.com/office/drawing/2014/main" id="{00000000-0008-0000-0400-00000B000000}"/>
            </a:ext>
          </a:extLst>
        </xdr:cNvPr>
        <xdr:cNvSpPr txBox="1"/>
      </xdr:nvSpPr>
      <xdr:spPr>
        <a:xfrm>
          <a:off x="6582143" y="8180193"/>
          <a:ext cx="2488714" cy="612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fld id="{B9CB32C3-4FB1-4787-A8C7-EDD759657BA5}" type="TxLink">
            <a:rPr lang="en-US" sz="1100" b="0" i="0" u="none" strike="noStrike">
              <a:solidFill>
                <a:srgbClr val="000000"/>
              </a:solidFill>
              <a:latin typeface="Calibri"/>
              <a:cs typeface="Calibri"/>
            </a:rPr>
            <a:pPr algn="l"/>
            <a:t>This optimal level was calculated when having reached the maximum revenue on: 03/05</a:t>
          </a:fld>
          <a:endParaRPr lang="en-GB" sz="1100"/>
        </a:p>
      </xdr:txBody>
    </xdr:sp>
    <xdr:clientData/>
  </xdr:twoCellAnchor>
  <xdr:oneCellAnchor>
    <xdr:from>
      <xdr:col>9</xdr:col>
      <xdr:colOff>438887</xdr:colOff>
      <xdr:row>47</xdr:row>
      <xdr:rowOff>134714</xdr:rowOff>
    </xdr:from>
    <xdr:ext cx="2071030" cy="461651"/>
    <xdr:sp macro="" textlink="Sales!$N$147">
      <xdr:nvSpPr>
        <xdr:cNvPr id="152" name="TextBox 151">
          <a:extLst>
            <a:ext uri="{FF2B5EF4-FFF2-40B4-BE49-F238E27FC236}">
              <a16:creationId xmlns:a16="http://schemas.microsoft.com/office/drawing/2014/main" id="{00000000-0008-0000-0400-000098000000}"/>
            </a:ext>
          </a:extLst>
        </xdr:cNvPr>
        <xdr:cNvSpPr txBox="1"/>
      </xdr:nvSpPr>
      <xdr:spPr>
        <a:xfrm>
          <a:off x="6582143" y="8862272"/>
          <a:ext cx="2071030" cy="461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fld id="{EFEBB7E4-3EBE-4127-B386-3128D15A8F9D}" type="TxLink">
            <a:rPr lang="en-US" sz="1100" b="0" i="0" u="none" strike="noStrike">
              <a:solidFill>
                <a:srgbClr val="000000"/>
              </a:solidFill>
              <a:latin typeface="Calibri"/>
              <a:cs typeface="Calibri"/>
            </a:rPr>
            <a:pPr algn="l"/>
            <a:t> </a:t>
          </a:fld>
          <a:endParaRPr lang="en-GB" sz="1100"/>
        </a:p>
      </xdr:txBody>
    </xdr:sp>
    <xdr:clientData/>
  </xdr:oneCellAnchor>
  <xdr:oneCellAnchor>
    <xdr:from>
      <xdr:col>13</xdr:col>
      <xdr:colOff>706071</xdr:colOff>
      <xdr:row>34</xdr:row>
      <xdr:rowOff>73086</xdr:rowOff>
    </xdr:from>
    <xdr:ext cx="910581" cy="453970"/>
    <xdr:sp macro="" textlink="Sales!O111">
      <xdr:nvSpPr>
        <xdr:cNvPr id="155" name="TextBox 154">
          <a:extLst>
            <a:ext uri="{FF2B5EF4-FFF2-40B4-BE49-F238E27FC236}">
              <a16:creationId xmlns:a16="http://schemas.microsoft.com/office/drawing/2014/main" id="{00000000-0008-0000-0400-00009B000000}"/>
            </a:ext>
          </a:extLst>
        </xdr:cNvPr>
        <xdr:cNvSpPr txBox="1"/>
      </xdr:nvSpPr>
      <xdr:spPr>
        <a:xfrm>
          <a:off x="9267365" y="6527674"/>
          <a:ext cx="910581"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r"/>
          <a:fld id="{0A5F33EE-B06F-4E72-81AD-DAAA7418F262}" type="TxLink">
            <a:rPr lang="en-US" sz="2000" b="1" i="0" u="none" strike="noStrike">
              <a:solidFill>
                <a:srgbClr val="3D8A56"/>
              </a:solidFill>
              <a:latin typeface="Arial Black" panose="020B0A04020102020204" pitchFamily="34" charset="0"/>
              <a:cs typeface="Calibri"/>
            </a:rPr>
            <a:pPr algn="r"/>
            <a:t>2.22</a:t>
          </a:fld>
          <a:endParaRPr lang="en-GB" sz="2000" b="1">
            <a:solidFill>
              <a:srgbClr val="3D8A56"/>
            </a:solidFill>
            <a:latin typeface="Arial Black" panose="020B0A04020102020204" pitchFamily="34" charset="0"/>
          </a:endParaRPr>
        </a:p>
      </xdr:txBody>
    </xdr:sp>
    <xdr:clientData/>
  </xdr:oneCellAnchor>
  <xdr:twoCellAnchor>
    <xdr:from>
      <xdr:col>12</xdr:col>
      <xdr:colOff>371638</xdr:colOff>
      <xdr:row>45</xdr:row>
      <xdr:rowOff>37942</xdr:rowOff>
    </xdr:from>
    <xdr:to>
      <xdr:col>15</xdr:col>
      <xdr:colOff>47141</xdr:colOff>
      <xdr:row>49</xdr:row>
      <xdr:rowOff>605465</xdr:rowOff>
    </xdr:to>
    <xdr:graphicFrame macro="">
      <xdr:nvGraphicFramePr>
        <xdr:cNvPr id="169" name="Chart 168">
          <a:extLst>
            <a:ext uri="{FF2B5EF4-FFF2-40B4-BE49-F238E27FC236}">
              <a16:creationId xmlns:a16="http://schemas.microsoft.com/office/drawing/2014/main" id="{00000000-0008-0000-0400-0000A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332962</xdr:colOff>
      <xdr:row>37</xdr:row>
      <xdr:rowOff>32843</xdr:rowOff>
    </xdr:from>
    <xdr:to>
      <xdr:col>15</xdr:col>
      <xdr:colOff>12193</xdr:colOff>
      <xdr:row>45</xdr:row>
      <xdr:rowOff>73837</xdr:rowOff>
    </xdr:to>
    <xdr:graphicFrame macro="">
      <xdr:nvGraphicFramePr>
        <xdr:cNvPr id="170" name="Chart 169">
          <a:extLst>
            <a:ext uri="{FF2B5EF4-FFF2-40B4-BE49-F238E27FC236}">
              <a16:creationId xmlns:a16="http://schemas.microsoft.com/office/drawing/2014/main" id="{00000000-0008-0000-0400-0000A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12</xdr:col>
      <xdr:colOff>427963</xdr:colOff>
      <xdr:row>32</xdr:row>
      <xdr:rowOff>148085</xdr:rowOff>
    </xdr:from>
    <xdr:ext cx="1170475" cy="1108573"/>
    <xdr:sp macro="" textlink="Sales!$N$148">
      <xdr:nvSpPr>
        <xdr:cNvPr id="171" name="TextBox 170">
          <a:extLst>
            <a:ext uri="{FF2B5EF4-FFF2-40B4-BE49-F238E27FC236}">
              <a16:creationId xmlns:a16="http://schemas.microsoft.com/office/drawing/2014/main" id="{00000000-0008-0000-0400-0000AB000000}"/>
            </a:ext>
          </a:extLst>
        </xdr:cNvPr>
        <xdr:cNvSpPr txBox="1"/>
      </xdr:nvSpPr>
      <xdr:spPr>
        <a:xfrm>
          <a:off x="8129606" y="6176049"/>
          <a:ext cx="1170475" cy="11085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CB83AD37-21E1-4643-83A5-6F519C01E6A9}" type="TxLink">
            <a:rPr lang="en-US" sz="1100" b="1" i="0" u="none" strike="noStrike">
              <a:solidFill>
                <a:schemeClr val="tx1">
                  <a:lumMod val="75000"/>
                  <a:lumOff val="25000"/>
                </a:schemeClr>
              </a:solidFill>
              <a:latin typeface="Arial Black" panose="020B0A04020102020204" pitchFamily="34" charset="0"/>
              <a:cs typeface="Calibri"/>
            </a:rPr>
            <a:pPr algn="l"/>
            <a:t>ELASTIC DEMAND</a:t>
          </a:fld>
          <a:endParaRPr lang="en-GB" sz="1100" b="1">
            <a:solidFill>
              <a:schemeClr val="tx1">
                <a:lumMod val="75000"/>
                <a:lumOff val="25000"/>
              </a:schemeClr>
            </a:solidFill>
            <a:latin typeface="Arial Black" panose="020B0A04020102020204" pitchFamily="34" charset="0"/>
          </a:endParaRPr>
        </a:p>
      </xdr:txBody>
    </xdr:sp>
    <xdr:clientData/>
  </xdr:oneCellAnchor>
  <xdr:twoCellAnchor>
    <xdr:from>
      <xdr:col>12</xdr:col>
      <xdr:colOff>205921</xdr:colOff>
      <xdr:row>2</xdr:row>
      <xdr:rowOff>47068</xdr:rowOff>
    </xdr:from>
    <xdr:to>
      <xdr:col>14</xdr:col>
      <xdr:colOff>433321</xdr:colOff>
      <xdr:row>12</xdr:row>
      <xdr:rowOff>37318</xdr:rowOff>
    </xdr:to>
    <xdr:graphicFrame macro="">
      <xdr:nvGraphicFramePr>
        <xdr:cNvPr id="144" name="Chart 143">
          <a:extLst>
            <a:ext uri="{FF2B5EF4-FFF2-40B4-BE49-F238E27FC236}">
              <a16:creationId xmlns:a16="http://schemas.microsoft.com/office/drawing/2014/main" id="{00000000-0008-0000-0400-00009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88764</xdr:colOff>
      <xdr:row>9</xdr:row>
      <xdr:rowOff>52044</xdr:rowOff>
    </xdr:from>
    <xdr:to>
      <xdr:col>13</xdr:col>
      <xdr:colOff>787119</xdr:colOff>
      <xdr:row>11</xdr:row>
      <xdr:rowOff>43803</xdr:rowOff>
    </xdr:to>
    <xdr:sp macro="" textlink="Financials!$I$62">
      <xdr:nvSpPr>
        <xdr:cNvPr id="148" name="TextBox 147">
          <a:extLst>
            <a:ext uri="{FF2B5EF4-FFF2-40B4-BE49-F238E27FC236}">
              <a16:creationId xmlns:a16="http://schemas.microsoft.com/office/drawing/2014/main" id="{00000000-0008-0000-0400-000094000000}"/>
            </a:ext>
          </a:extLst>
        </xdr:cNvPr>
        <xdr:cNvSpPr txBox="1"/>
      </xdr:nvSpPr>
      <xdr:spPr>
        <a:xfrm>
          <a:off x="8449597" y="1639544"/>
          <a:ext cx="1703772" cy="344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FA852DCB-DBC6-448C-9531-84A4F87A1BD6}" type="TxLink">
            <a:rPr lang="en-US" sz="1200" b="0" i="0" u="none" strike="noStrike">
              <a:solidFill>
                <a:schemeClr val="tx1">
                  <a:lumMod val="75000"/>
                  <a:lumOff val="25000"/>
                </a:schemeClr>
              </a:solidFill>
              <a:latin typeface="Arial Black" panose="020B0A04020102020204" pitchFamily="34" charset="0"/>
              <a:cs typeface="Calibri"/>
            </a:rPr>
            <a:pPr algn="l"/>
            <a:t> € 446,172.88 </a:t>
          </a:fld>
          <a:endParaRPr lang="en-GB" sz="1200">
            <a:solidFill>
              <a:schemeClr val="tx1">
                <a:lumMod val="75000"/>
                <a:lumOff val="25000"/>
              </a:schemeClr>
            </a:solidFill>
            <a:latin typeface="Arial Black" panose="020B0A04020102020204" pitchFamily="34" charset="0"/>
          </a:endParaRPr>
        </a:p>
      </xdr:txBody>
    </xdr:sp>
    <xdr:clientData/>
  </xdr:twoCellAnchor>
  <xdr:twoCellAnchor>
    <xdr:from>
      <xdr:col>17</xdr:col>
      <xdr:colOff>4513</xdr:colOff>
      <xdr:row>2</xdr:row>
      <xdr:rowOff>47068</xdr:rowOff>
    </xdr:from>
    <xdr:to>
      <xdr:col>21</xdr:col>
      <xdr:colOff>244160</xdr:colOff>
      <xdr:row>12</xdr:row>
      <xdr:rowOff>37318</xdr:rowOff>
    </xdr:to>
    <xdr:graphicFrame macro="">
      <xdr:nvGraphicFramePr>
        <xdr:cNvPr id="154" name="Chart 153">
          <a:extLst>
            <a:ext uri="{FF2B5EF4-FFF2-40B4-BE49-F238E27FC236}">
              <a16:creationId xmlns:a16="http://schemas.microsoft.com/office/drawing/2014/main" id="{00000000-0008-0000-0400-00009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22523</xdr:colOff>
      <xdr:row>9</xdr:row>
      <xdr:rowOff>45723</xdr:rowOff>
    </xdr:from>
    <xdr:to>
      <xdr:col>20</xdr:col>
      <xdr:colOff>134862</xdr:colOff>
      <xdr:row>11</xdr:row>
      <xdr:rowOff>37482</xdr:rowOff>
    </xdr:to>
    <xdr:sp macro="" textlink="Financials!$O$62">
      <xdr:nvSpPr>
        <xdr:cNvPr id="168" name="TextBox 167">
          <a:extLst>
            <a:ext uri="{FF2B5EF4-FFF2-40B4-BE49-F238E27FC236}">
              <a16:creationId xmlns:a16="http://schemas.microsoft.com/office/drawing/2014/main" id="{00000000-0008-0000-0400-0000A8000000}"/>
            </a:ext>
          </a:extLst>
        </xdr:cNvPr>
        <xdr:cNvSpPr txBox="1"/>
      </xdr:nvSpPr>
      <xdr:spPr>
        <a:xfrm>
          <a:off x="11575995" y="1633223"/>
          <a:ext cx="1691020" cy="344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3B77480E-58E2-44A5-A3EB-796B4AE76D0D}" type="TxLink">
            <a:rPr lang="en-US" sz="1200" b="0" i="0" u="none" strike="noStrike">
              <a:solidFill>
                <a:schemeClr val="tx1">
                  <a:lumMod val="75000"/>
                  <a:lumOff val="25000"/>
                </a:schemeClr>
              </a:solidFill>
              <a:latin typeface="Arial Black" panose="020B0A04020102020204" pitchFamily="34" charset="0"/>
              <a:cs typeface="Calibri"/>
            </a:rPr>
            <a:pPr algn="l"/>
            <a:t> € 390,859.83 </a:t>
          </a:fld>
          <a:endParaRPr lang="en-GB" sz="1200">
            <a:solidFill>
              <a:schemeClr val="tx1">
                <a:lumMod val="75000"/>
                <a:lumOff val="25000"/>
              </a:schemeClr>
            </a:solidFill>
            <a:latin typeface="Arial Black" panose="020B0A04020102020204" pitchFamily="34" charset="0"/>
          </a:endParaRPr>
        </a:p>
      </xdr:txBody>
    </xdr:sp>
    <xdr:clientData/>
  </xdr:twoCellAnchor>
  <xdr:twoCellAnchor>
    <xdr:from>
      <xdr:col>8</xdr:col>
      <xdr:colOff>533306</xdr:colOff>
      <xdr:row>2</xdr:row>
      <xdr:rowOff>60675</xdr:rowOff>
    </xdr:from>
    <xdr:to>
      <xdr:col>11</xdr:col>
      <xdr:colOff>469094</xdr:colOff>
      <xdr:row>12</xdr:row>
      <xdr:rowOff>50925</xdr:rowOff>
    </xdr:to>
    <xdr:graphicFrame macro="">
      <xdr:nvGraphicFramePr>
        <xdr:cNvPr id="174" name="Chart 173">
          <a:extLst>
            <a:ext uri="{FF2B5EF4-FFF2-40B4-BE49-F238E27FC236}">
              <a16:creationId xmlns:a16="http://schemas.microsoft.com/office/drawing/2014/main" id="{00000000-0008-0000-04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415972</xdr:colOff>
      <xdr:row>9</xdr:row>
      <xdr:rowOff>62607</xdr:rowOff>
    </xdr:from>
    <xdr:to>
      <xdr:col>10</xdr:col>
      <xdr:colOff>419100</xdr:colOff>
      <xdr:row>11</xdr:row>
      <xdr:rowOff>41864</xdr:rowOff>
    </xdr:to>
    <xdr:sp macro="" textlink="Financials!$C$62">
      <xdr:nvSpPr>
        <xdr:cNvPr id="175" name="TextBox 174">
          <a:extLst>
            <a:ext uri="{FF2B5EF4-FFF2-40B4-BE49-F238E27FC236}">
              <a16:creationId xmlns:a16="http://schemas.microsoft.com/office/drawing/2014/main" id="{00000000-0008-0000-0400-0000AF000000}"/>
            </a:ext>
          </a:extLst>
        </xdr:cNvPr>
        <xdr:cNvSpPr txBox="1"/>
      </xdr:nvSpPr>
      <xdr:spPr>
        <a:xfrm>
          <a:off x="4975272" y="1662807"/>
          <a:ext cx="1222328" cy="334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A872748B-D389-460F-9C59-3E028E7C784B}" type="TxLink">
            <a:rPr lang="en-US" sz="1200" b="0" i="0" u="none" strike="noStrike">
              <a:solidFill>
                <a:schemeClr val="tx1">
                  <a:lumMod val="75000"/>
                  <a:lumOff val="25000"/>
                </a:schemeClr>
              </a:solidFill>
              <a:latin typeface="Arial Black" panose="020B0A04020102020204" pitchFamily="34" charset="0"/>
              <a:cs typeface="Calibri"/>
            </a:rPr>
            <a:pPr algn="l"/>
            <a:t> € 55,313.05 </a:t>
          </a:fld>
          <a:endParaRPr lang="en-GB" sz="1200">
            <a:solidFill>
              <a:schemeClr val="tx1">
                <a:lumMod val="75000"/>
                <a:lumOff val="25000"/>
              </a:schemeClr>
            </a:solidFill>
            <a:latin typeface="Arial Black" panose="020B0A04020102020204" pitchFamily="34" charset="0"/>
          </a:endParaRPr>
        </a:p>
      </xdr:txBody>
    </xdr:sp>
    <xdr:clientData/>
  </xdr:twoCellAnchor>
  <xdr:twoCellAnchor>
    <xdr:from>
      <xdr:col>8</xdr:col>
      <xdr:colOff>415972</xdr:colOff>
      <xdr:row>8</xdr:row>
      <xdr:rowOff>9233</xdr:rowOff>
    </xdr:from>
    <xdr:to>
      <xdr:col>10</xdr:col>
      <xdr:colOff>173793</xdr:colOff>
      <xdr:row>9</xdr:row>
      <xdr:rowOff>156980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478333" y="1420344"/>
          <a:ext cx="1151293" cy="324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400">
              <a:solidFill>
                <a:schemeClr val="tx1">
                  <a:lumMod val="75000"/>
                  <a:lumOff val="25000"/>
                </a:schemeClr>
              </a:solidFill>
              <a:latin typeface="Arial Black" panose="020B0A04020102020204" pitchFamily="34" charset="0"/>
            </a:rPr>
            <a:t>PROFIT</a:t>
          </a:r>
        </a:p>
      </xdr:txBody>
    </xdr:sp>
    <xdr:clientData/>
  </xdr:twoCellAnchor>
  <xdr:twoCellAnchor>
    <xdr:from>
      <xdr:col>11</xdr:col>
      <xdr:colOff>53175</xdr:colOff>
      <xdr:row>9</xdr:row>
      <xdr:rowOff>90515</xdr:rowOff>
    </xdr:from>
    <xdr:to>
      <xdr:col>11</xdr:col>
      <xdr:colOff>585587</xdr:colOff>
      <xdr:row>11</xdr:row>
      <xdr:rowOff>26515</xdr:rowOff>
    </xdr:to>
    <xdr:sp macro="" textlink="Financials!$C$73">
      <xdr:nvSpPr>
        <xdr:cNvPr id="177" name="TextBox 176">
          <a:extLst>
            <a:ext uri="{FF2B5EF4-FFF2-40B4-BE49-F238E27FC236}">
              <a16:creationId xmlns:a16="http://schemas.microsoft.com/office/drawing/2014/main" id="{00000000-0008-0000-0400-0000B1000000}"/>
            </a:ext>
          </a:extLst>
        </xdr:cNvPr>
        <xdr:cNvSpPr txBox="1"/>
      </xdr:nvSpPr>
      <xdr:spPr>
        <a:xfrm>
          <a:off x="6734282" y="1682551"/>
          <a:ext cx="532412" cy="2897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BC2AA49E-7E69-4FF2-83E1-338AC73FCCAF}" type="TxLink">
            <a:rPr lang="en-US" sz="1200" b="0" i="0" u="none" strike="noStrike">
              <a:solidFill>
                <a:schemeClr val="tx1">
                  <a:lumMod val="75000"/>
                  <a:lumOff val="25000"/>
                </a:schemeClr>
              </a:solidFill>
              <a:latin typeface="Arial Black" panose="020B0A04020102020204" pitchFamily="34" charset="0"/>
              <a:cs typeface="Calibri"/>
            </a:rPr>
            <a:pPr algn="ctr"/>
            <a:t>4%</a:t>
          </a:fld>
          <a:endParaRPr lang="en-GB" sz="1200">
            <a:solidFill>
              <a:schemeClr val="tx1">
                <a:lumMod val="75000"/>
                <a:lumOff val="25000"/>
              </a:schemeClr>
            </a:solidFill>
            <a:latin typeface="Arial Black" panose="020B0A04020102020204" pitchFamily="34" charset="0"/>
          </a:endParaRPr>
        </a:p>
      </xdr:txBody>
    </xdr:sp>
    <xdr:clientData/>
  </xdr:twoCellAnchor>
  <xdr:twoCellAnchor>
    <xdr:from>
      <xdr:col>10</xdr:col>
      <xdr:colOff>314138</xdr:colOff>
      <xdr:row>9</xdr:row>
      <xdr:rowOff>74031</xdr:rowOff>
    </xdr:from>
    <xdr:to>
      <xdr:col>11</xdr:col>
      <xdr:colOff>245883</xdr:colOff>
      <xdr:row>11</xdr:row>
      <xdr:rowOff>43000</xdr:rowOff>
    </xdr:to>
    <xdr:sp macro="" textlink="">
      <xdr:nvSpPr>
        <xdr:cNvPr id="178" name="TextBox 177">
          <a:extLst>
            <a:ext uri="{FF2B5EF4-FFF2-40B4-BE49-F238E27FC236}">
              <a16:creationId xmlns:a16="http://schemas.microsoft.com/office/drawing/2014/main" id="{00000000-0008-0000-0400-0000B2000000}"/>
            </a:ext>
          </a:extLst>
        </xdr:cNvPr>
        <xdr:cNvSpPr txBox="1"/>
      </xdr:nvSpPr>
      <xdr:spPr>
        <a:xfrm>
          <a:off x="6178817" y="1666067"/>
          <a:ext cx="748173" cy="322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a:solidFill>
                <a:schemeClr val="tx1">
                  <a:lumMod val="75000"/>
                  <a:lumOff val="25000"/>
                </a:schemeClr>
              </a:solidFill>
              <a:latin typeface="Arial Black" panose="020B0A04020102020204" pitchFamily="34" charset="0"/>
            </a:rPr>
            <a:t>CAGR</a:t>
          </a:r>
        </a:p>
      </xdr:txBody>
    </xdr:sp>
    <xdr:clientData/>
  </xdr:twoCellAnchor>
  <xdr:oneCellAnchor>
    <xdr:from>
      <xdr:col>14</xdr:col>
      <xdr:colOff>164998</xdr:colOff>
      <xdr:row>9</xdr:row>
      <xdr:rowOff>66445</xdr:rowOff>
    </xdr:from>
    <xdr:ext cx="733425" cy="309315"/>
    <xdr:sp macro="" textlink="Financials!I73">
      <xdr:nvSpPr>
        <xdr:cNvPr id="179" name="TextBox 178">
          <a:extLst>
            <a:ext uri="{FF2B5EF4-FFF2-40B4-BE49-F238E27FC236}">
              <a16:creationId xmlns:a16="http://schemas.microsoft.com/office/drawing/2014/main" id="{00000000-0008-0000-0400-0000B3000000}"/>
            </a:ext>
          </a:extLst>
        </xdr:cNvPr>
        <xdr:cNvSpPr txBox="1"/>
      </xdr:nvSpPr>
      <xdr:spPr>
        <a:xfrm>
          <a:off x="10536665" y="1653945"/>
          <a:ext cx="733425"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ABE3FB35-C1BD-4686-8ADC-106BDCC38748}" type="TxLink">
            <a:rPr lang="en-US" sz="1200" b="0" i="0" u="none" strike="noStrike">
              <a:solidFill>
                <a:schemeClr val="tx1">
                  <a:lumMod val="75000"/>
                  <a:lumOff val="25000"/>
                </a:schemeClr>
              </a:solidFill>
              <a:latin typeface="Arial Black" panose="020B0A04020102020204" pitchFamily="34" charset="0"/>
              <a:cs typeface="Calibri"/>
            </a:rPr>
            <a:pPr algn="ctr"/>
            <a:t>-20%</a:t>
          </a:fld>
          <a:endParaRPr lang="en-GB" sz="1200">
            <a:solidFill>
              <a:schemeClr val="tx1">
                <a:lumMod val="75000"/>
                <a:lumOff val="25000"/>
              </a:schemeClr>
            </a:solidFill>
            <a:latin typeface="Arial Black" panose="020B0A04020102020204" pitchFamily="34" charset="0"/>
          </a:endParaRPr>
        </a:p>
      </xdr:txBody>
    </xdr:sp>
    <xdr:clientData/>
  </xdr:oneCellAnchor>
  <xdr:twoCellAnchor>
    <xdr:from>
      <xdr:col>13</xdr:col>
      <xdr:colOff>513170</xdr:colOff>
      <xdr:row>9</xdr:row>
      <xdr:rowOff>66750</xdr:rowOff>
    </xdr:from>
    <xdr:to>
      <xdr:col>14</xdr:col>
      <xdr:colOff>387800</xdr:colOff>
      <xdr:row>11</xdr:row>
      <xdr:rowOff>45565</xdr:rowOff>
    </xdr:to>
    <xdr:sp macro="" textlink="">
      <xdr:nvSpPr>
        <xdr:cNvPr id="180" name="TextBox 179">
          <a:extLst>
            <a:ext uri="{FF2B5EF4-FFF2-40B4-BE49-F238E27FC236}">
              <a16:creationId xmlns:a16="http://schemas.microsoft.com/office/drawing/2014/main" id="{00000000-0008-0000-0400-0000B4000000}"/>
            </a:ext>
          </a:extLst>
        </xdr:cNvPr>
        <xdr:cNvSpPr txBox="1"/>
      </xdr:nvSpPr>
      <xdr:spPr>
        <a:xfrm>
          <a:off x="8922384" y="1658786"/>
          <a:ext cx="745487" cy="332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a:solidFill>
                <a:schemeClr val="tx1">
                  <a:lumMod val="75000"/>
                  <a:lumOff val="25000"/>
                </a:schemeClr>
              </a:solidFill>
              <a:latin typeface="Arial Black" panose="020B0A04020102020204" pitchFamily="34" charset="0"/>
            </a:rPr>
            <a:t>CAGR</a:t>
          </a:r>
        </a:p>
      </xdr:txBody>
    </xdr:sp>
    <xdr:clientData/>
  </xdr:twoCellAnchor>
  <xdr:twoCellAnchor>
    <xdr:from>
      <xdr:col>19</xdr:col>
      <xdr:colOff>358586</xdr:colOff>
      <xdr:row>9</xdr:row>
      <xdr:rowOff>44579</xdr:rowOff>
    </xdr:from>
    <xdr:to>
      <xdr:col>21</xdr:col>
      <xdr:colOff>131447</xdr:colOff>
      <xdr:row>11</xdr:row>
      <xdr:rowOff>23394</xdr:rowOff>
    </xdr:to>
    <xdr:grpSp>
      <xdr:nvGrpSpPr>
        <xdr:cNvPr id="27" name="Group 26">
          <a:extLst>
            <a:ext uri="{FF2B5EF4-FFF2-40B4-BE49-F238E27FC236}">
              <a16:creationId xmlns:a16="http://schemas.microsoft.com/office/drawing/2014/main" id="{00000000-0008-0000-0400-00001B000000}"/>
            </a:ext>
          </a:extLst>
        </xdr:cNvPr>
        <xdr:cNvGrpSpPr/>
      </xdr:nvGrpSpPr>
      <xdr:grpSpPr>
        <a:xfrm>
          <a:off x="13204563" y="1621131"/>
          <a:ext cx="1407804" cy="329160"/>
          <a:chOff x="11038722" y="1700568"/>
          <a:chExt cx="1358548" cy="340765"/>
        </a:xfrm>
      </xdr:grpSpPr>
      <xdr:sp macro="" textlink="Financials!O73">
        <xdr:nvSpPr>
          <xdr:cNvPr id="181" name="TextBox 180">
            <a:extLst>
              <a:ext uri="{FF2B5EF4-FFF2-40B4-BE49-F238E27FC236}">
                <a16:creationId xmlns:a16="http://schemas.microsoft.com/office/drawing/2014/main" id="{00000000-0008-0000-0400-0000B5000000}"/>
              </a:ext>
            </a:extLst>
          </xdr:cNvPr>
          <xdr:cNvSpPr txBox="1"/>
        </xdr:nvSpPr>
        <xdr:spPr>
          <a:xfrm>
            <a:off x="11663845" y="1714051"/>
            <a:ext cx="733425" cy="3228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056C0753-5E22-40F1-9EDF-BCFA2FAEDAE2}" type="TxLink">
              <a:rPr lang="en-US" sz="1200" b="0" i="0" u="none" strike="noStrike">
                <a:solidFill>
                  <a:schemeClr val="tx1">
                    <a:lumMod val="75000"/>
                    <a:lumOff val="25000"/>
                  </a:schemeClr>
                </a:solidFill>
                <a:latin typeface="Arial Black" panose="020B0A04020102020204" pitchFamily="34" charset="0"/>
                <a:cs typeface="Calibri"/>
              </a:rPr>
              <a:pPr algn="ctr"/>
              <a:t>-23%</a:t>
            </a:fld>
            <a:endParaRPr lang="en-GB" sz="1200">
              <a:solidFill>
                <a:schemeClr val="tx1">
                  <a:lumMod val="75000"/>
                  <a:lumOff val="25000"/>
                </a:schemeClr>
              </a:solidFill>
              <a:latin typeface="Arial Black" panose="020B0A04020102020204" pitchFamily="34" charset="0"/>
            </a:endParaRPr>
          </a:p>
        </xdr:txBody>
      </xdr:sp>
      <xdr:sp macro="" textlink="">
        <xdr:nvSpPr>
          <xdr:cNvPr id="182" name="TextBox 181">
            <a:extLst>
              <a:ext uri="{FF2B5EF4-FFF2-40B4-BE49-F238E27FC236}">
                <a16:creationId xmlns:a16="http://schemas.microsoft.com/office/drawing/2014/main" id="{00000000-0008-0000-0400-0000B6000000}"/>
              </a:ext>
            </a:extLst>
          </xdr:cNvPr>
          <xdr:cNvSpPr txBox="1"/>
        </xdr:nvSpPr>
        <xdr:spPr>
          <a:xfrm>
            <a:off x="11038722" y="1700568"/>
            <a:ext cx="819342" cy="340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a:solidFill>
                  <a:schemeClr val="tx1">
                    <a:lumMod val="75000"/>
                    <a:lumOff val="25000"/>
                  </a:schemeClr>
                </a:solidFill>
                <a:latin typeface="Arial Black" panose="020B0A04020102020204" pitchFamily="34" charset="0"/>
              </a:rPr>
              <a:t>CAGR</a:t>
            </a:r>
          </a:p>
        </xdr:txBody>
      </xdr:sp>
    </xdr:grpSp>
    <xdr:clientData/>
  </xdr:twoCellAnchor>
  <xdr:twoCellAnchor>
    <xdr:from>
      <xdr:col>23</xdr:col>
      <xdr:colOff>489948</xdr:colOff>
      <xdr:row>2</xdr:row>
      <xdr:rowOff>118381</xdr:rowOff>
    </xdr:from>
    <xdr:to>
      <xdr:col>26</xdr:col>
      <xdr:colOff>355387</xdr:colOff>
      <xdr:row>12</xdr:row>
      <xdr:rowOff>108856</xdr:rowOff>
    </xdr:to>
    <xdr:grpSp>
      <xdr:nvGrpSpPr>
        <xdr:cNvPr id="4" name="Group 3">
          <a:extLst>
            <a:ext uri="{FF2B5EF4-FFF2-40B4-BE49-F238E27FC236}">
              <a16:creationId xmlns:a16="http://schemas.microsoft.com/office/drawing/2014/main" id="{00000000-0008-0000-0400-000004000000}"/>
            </a:ext>
          </a:extLst>
        </xdr:cNvPr>
        <xdr:cNvGrpSpPr/>
      </xdr:nvGrpSpPr>
      <xdr:grpSpPr>
        <a:xfrm>
          <a:off x="15671557" y="468726"/>
          <a:ext cx="2609807" cy="1800590"/>
          <a:chOff x="13356167" y="369357"/>
          <a:chExt cx="1685508" cy="1559906"/>
        </a:xfrm>
      </xdr:grpSpPr>
      <xdr:graphicFrame macro="">
        <xdr:nvGraphicFramePr>
          <xdr:cNvPr id="188" name="Chart 187">
            <a:extLst>
              <a:ext uri="{FF2B5EF4-FFF2-40B4-BE49-F238E27FC236}">
                <a16:creationId xmlns:a16="http://schemas.microsoft.com/office/drawing/2014/main" id="{00000000-0008-0000-0400-0000BC000000}"/>
              </a:ext>
            </a:extLst>
          </xdr:cNvPr>
          <xdr:cNvGraphicFramePr>
            <a:graphicFrameLocks/>
          </xdr:cNvGraphicFramePr>
        </xdr:nvGraphicFramePr>
        <xdr:xfrm>
          <a:off x="13356167" y="369357"/>
          <a:ext cx="1685508" cy="1559906"/>
        </xdr:xfrm>
        <a:graphic>
          <a:graphicData uri="http://schemas.openxmlformats.org/drawingml/2006/chart">
            <c:chart xmlns:c="http://schemas.openxmlformats.org/drawingml/2006/chart" xmlns:r="http://schemas.openxmlformats.org/officeDocument/2006/relationships" r:id="rId12"/>
          </a:graphicData>
        </a:graphic>
      </xdr:graphicFrame>
      <xdr:sp macro="" textlink="Financials!$D$90">
        <xdr:nvSpPr>
          <xdr:cNvPr id="187" name="TextBox 186">
            <a:extLst>
              <a:ext uri="{FF2B5EF4-FFF2-40B4-BE49-F238E27FC236}">
                <a16:creationId xmlns:a16="http://schemas.microsoft.com/office/drawing/2014/main" id="{00000000-0008-0000-0400-0000BB000000}"/>
              </a:ext>
            </a:extLst>
          </xdr:cNvPr>
          <xdr:cNvSpPr txBox="1"/>
        </xdr:nvSpPr>
        <xdr:spPr>
          <a:xfrm>
            <a:off x="13890556" y="958456"/>
            <a:ext cx="663515" cy="38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FBF0A0E9-C80E-4F4F-A3AB-F3031C9FE703}" type="TxLink">
              <a:rPr lang="en-US" sz="1800" b="0" i="0" u="none" strike="noStrike">
                <a:solidFill>
                  <a:schemeClr val="tx1">
                    <a:lumMod val="75000"/>
                    <a:lumOff val="25000"/>
                  </a:schemeClr>
                </a:solidFill>
                <a:latin typeface="Arial Black" panose="020B0A04020102020204" pitchFamily="34" charset="0"/>
                <a:cs typeface="Calibri"/>
              </a:rPr>
              <a:pPr algn="ctr"/>
              <a:t>12%</a:t>
            </a:fld>
            <a:endParaRPr lang="en-GB" sz="2800">
              <a:solidFill>
                <a:schemeClr val="tx1">
                  <a:lumMod val="75000"/>
                  <a:lumOff val="25000"/>
                </a:schemeClr>
              </a:solidFill>
              <a:latin typeface="Arial Black" panose="020B0A04020102020204" pitchFamily="34" charset="0"/>
            </a:endParaRPr>
          </a:p>
        </xdr:txBody>
      </xdr:sp>
    </xdr:grpSp>
    <xdr:clientData/>
  </xdr:twoCellAnchor>
  <xdr:twoCellAnchor>
    <xdr:from>
      <xdr:col>12</xdr:col>
      <xdr:colOff>88764</xdr:colOff>
      <xdr:row>7</xdr:row>
      <xdr:rowOff>158789</xdr:rowOff>
    </xdr:from>
    <xdr:to>
      <xdr:col>13</xdr:col>
      <xdr:colOff>446778</xdr:colOff>
      <xdr:row>9</xdr:row>
      <xdr:rowOff>146466</xdr:rowOff>
    </xdr:to>
    <xdr:sp macro="" textlink="">
      <xdr:nvSpPr>
        <xdr:cNvPr id="151" name="TextBox 150">
          <a:extLst>
            <a:ext uri="{FF2B5EF4-FFF2-40B4-BE49-F238E27FC236}">
              <a16:creationId xmlns:a16="http://schemas.microsoft.com/office/drawing/2014/main" id="{00000000-0008-0000-0400-000097000000}"/>
            </a:ext>
          </a:extLst>
        </xdr:cNvPr>
        <xdr:cNvSpPr txBox="1"/>
      </xdr:nvSpPr>
      <xdr:spPr>
        <a:xfrm>
          <a:off x="8449597" y="1393511"/>
          <a:ext cx="1363431" cy="3404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400">
              <a:solidFill>
                <a:schemeClr val="tx1">
                  <a:lumMod val="75000"/>
                  <a:lumOff val="25000"/>
                </a:schemeClr>
              </a:solidFill>
              <a:latin typeface="Arial Black" panose="020B0A04020102020204" pitchFamily="34" charset="0"/>
            </a:rPr>
            <a:t>REVENUE</a:t>
          </a:r>
        </a:p>
      </xdr:txBody>
    </xdr:sp>
    <xdr:clientData/>
  </xdr:twoCellAnchor>
  <xdr:twoCellAnchor>
    <xdr:from>
      <xdr:col>16</xdr:col>
      <xdr:colOff>22523</xdr:colOff>
      <xdr:row>7</xdr:row>
      <xdr:rowOff>139389</xdr:rowOff>
    </xdr:from>
    <xdr:to>
      <xdr:col>19</xdr:col>
      <xdr:colOff>145014</xdr:colOff>
      <xdr:row>9</xdr:row>
      <xdr:rowOff>131148</xdr:rowOff>
    </xdr:to>
    <xdr:sp macro="" textlink="">
      <xdr:nvSpPr>
        <xdr:cNvPr id="172" name="TextBox 171">
          <a:extLst>
            <a:ext uri="{FF2B5EF4-FFF2-40B4-BE49-F238E27FC236}">
              <a16:creationId xmlns:a16="http://schemas.microsoft.com/office/drawing/2014/main" id="{00000000-0008-0000-0400-0000AC000000}"/>
            </a:ext>
          </a:extLst>
        </xdr:cNvPr>
        <xdr:cNvSpPr txBox="1"/>
      </xdr:nvSpPr>
      <xdr:spPr>
        <a:xfrm>
          <a:off x="11575995" y="1374111"/>
          <a:ext cx="977977" cy="344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400">
              <a:solidFill>
                <a:schemeClr val="tx1">
                  <a:lumMod val="75000"/>
                  <a:lumOff val="25000"/>
                </a:schemeClr>
              </a:solidFill>
              <a:latin typeface="Arial Black" panose="020B0A04020102020204" pitchFamily="34" charset="0"/>
            </a:rPr>
            <a:t>COST</a:t>
          </a:r>
        </a:p>
      </xdr:txBody>
    </xdr:sp>
    <xdr:clientData/>
  </xdr:twoCellAnchor>
  <xdr:twoCellAnchor>
    <xdr:from>
      <xdr:col>8</xdr:col>
      <xdr:colOff>278546</xdr:colOff>
      <xdr:row>8</xdr:row>
      <xdr:rowOff>65634</xdr:rowOff>
    </xdr:from>
    <xdr:to>
      <xdr:col>8</xdr:col>
      <xdr:colOff>422546</xdr:colOff>
      <xdr:row>10</xdr:row>
      <xdr:rowOff>163280</xdr:rowOff>
    </xdr:to>
    <xdr:sp macro="" textlink="">
      <xdr:nvSpPr>
        <xdr:cNvPr id="12" name="Rectangle 11">
          <a:extLst>
            <a:ext uri="{FF2B5EF4-FFF2-40B4-BE49-F238E27FC236}">
              <a16:creationId xmlns:a16="http://schemas.microsoft.com/office/drawing/2014/main" id="{00000000-0008-0000-0400-00000C000000}"/>
            </a:ext>
          </a:extLst>
        </xdr:cNvPr>
        <xdr:cNvSpPr>
          <a:spLocks/>
        </xdr:cNvSpPr>
      </xdr:nvSpPr>
      <xdr:spPr>
        <a:xfrm>
          <a:off x="5340907" y="1476745"/>
          <a:ext cx="144000" cy="450424"/>
        </a:xfrm>
        <a:prstGeom prst="rect">
          <a:avLst/>
        </a:prstGeom>
        <a:solidFill>
          <a:srgbClr val="72C0C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924962</xdr:colOff>
      <xdr:row>8</xdr:row>
      <xdr:rowOff>54750</xdr:rowOff>
    </xdr:from>
    <xdr:to>
      <xdr:col>12</xdr:col>
      <xdr:colOff>90004</xdr:colOff>
      <xdr:row>10</xdr:row>
      <xdr:rowOff>149999</xdr:rowOff>
    </xdr:to>
    <xdr:sp macro="" textlink="">
      <xdr:nvSpPr>
        <xdr:cNvPr id="145" name="Rectangle 144">
          <a:extLst>
            <a:ext uri="{FF2B5EF4-FFF2-40B4-BE49-F238E27FC236}">
              <a16:creationId xmlns:a16="http://schemas.microsoft.com/office/drawing/2014/main" id="{00000000-0008-0000-0400-000091000000}"/>
            </a:ext>
          </a:extLst>
        </xdr:cNvPr>
        <xdr:cNvSpPr>
          <a:spLocks noChangeAspect="1"/>
        </xdr:cNvSpPr>
      </xdr:nvSpPr>
      <xdr:spPr>
        <a:xfrm>
          <a:off x="8306837" y="1465861"/>
          <a:ext cx="144000" cy="448027"/>
        </a:xfrm>
        <a:prstGeom prst="rect">
          <a:avLst/>
        </a:prstGeom>
        <a:solidFill>
          <a:srgbClr val="72C0C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263975</xdr:colOff>
      <xdr:row>8</xdr:row>
      <xdr:rowOff>46266</xdr:rowOff>
    </xdr:from>
    <xdr:to>
      <xdr:col>16</xdr:col>
      <xdr:colOff>64017</xdr:colOff>
      <xdr:row>10</xdr:row>
      <xdr:rowOff>141515</xdr:rowOff>
    </xdr:to>
    <xdr:sp macro="" textlink="">
      <xdr:nvSpPr>
        <xdr:cNvPr id="189" name="Rectangle 188">
          <a:extLst>
            <a:ext uri="{FF2B5EF4-FFF2-40B4-BE49-F238E27FC236}">
              <a16:creationId xmlns:a16="http://schemas.microsoft.com/office/drawing/2014/main" id="{00000000-0008-0000-0400-0000BD000000}"/>
            </a:ext>
          </a:extLst>
        </xdr:cNvPr>
        <xdr:cNvSpPr>
          <a:spLocks noChangeAspect="1"/>
        </xdr:cNvSpPr>
      </xdr:nvSpPr>
      <xdr:spPr>
        <a:xfrm>
          <a:off x="11473489" y="1457377"/>
          <a:ext cx="144000" cy="448027"/>
        </a:xfrm>
        <a:prstGeom prst="rect">
          <a:avLst/>
        </a:prstGeom>
        <a:solidFill>
          <a:srgbClr val="72C0C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22</xdr:col>
      <xdr:colOff>344550</xdr:colOff>
      <xdr:row>8</xdr:row>
      <xdr:rowOff>35380</xdr:rowOff>
    </xdr:from>
    <xdr:to>
      <xdr:col>23</xdr:col>
      <xdr:colOff>70575</xdr:colOff>
      <xdr:row>10</xdr:row>
      <xdr:rowOff>130629</xdr:rowOff>
    </xdr:to>
    <xdr:sp macro="" textlink="">
      <xdr:nvSpPr>
        <xdr:cNvPr id="192" name="Rectangle 191">
          <a:extLst>
            <a:ext uri="{FF2B5EF4-FFF2-40B4-BE49-F238E27FC236}">
              <a16:creationId xmlns:a16="http://schemas.microsoft.com/office/drawing/2014/main" id="{00000000-0008-0000-0400-0000C0000000}"/>
            </a:ext>
          </a:extLst>
        </xdr:cNvPr>
        <xdr:cNvSpPr/>
      </xdr:nvSpPr>
      <xdr:spPr>
        <a:xfrm>
          <a:off x="14636069" y="1450064"/>
          <a:ext cx="144000" cy="448919"/>
        </a:xfrm>
        <a:prstGeom prst="rect">
          <a:avLst/>
        </a:prstGeom>
        <a:solidFill>
          <a:srgbClr val="72C0C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198590</xdr:colOff>
      <xdr:row>12</xdr:row>
      <xdr:rowOff>221426</xdr:rowOff>
    </xdr:from>
    <xdr:to>
      <xdr:col>8</xdr:col>
      <xdr:colOff>248638</xdr:colOff>
      <xdr:row>15</xdr:row>
      <xdr:rowOff>4191</xdr:rowOff>
    </xdr:to>
    <xdr:sp macro="" textlink="">
      <xdr:nvSpPr>
        <xdr:cNvPr id="196" name="Rectangle 195">
          <a:extLst>
            <a:ext uri="{FF2B5EF4-FFF2-40B4-BE49-F238E27FC236}">
              <a16:creationId xmlns:a16="http://schemas.microsoft.com/office/drawing/2014/main" id="{00000000-0008-0000-0400-0000C4000000}"/>
            </a:ext>
          </a:extLst>
        </xdr:cNvPr>
        <xdr:cNvSpPr/>
      </xdr:nvSpPr>
      <xdr:spPr>
        <a:xfrm>
          <a:off x="3291414" y="2417779"/>
          <a:ext cx="1596459" cy="612000"/>
        </a:xfrm>
        <a:prstGeom prst="rect">
          <a:avLst/>
        </a:prstGeom>
        <a:solidFill>
          <a:srgbClr val="3D8A5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aseline="0">
              <a:solidFill>
                <a:srgbClr val="EDEADB"/>
              </a:solidFill>
              <a:latin typeface="Arial Black" panose="020B0A04020102020204" pitchFamily="34" charset="0"/>
            </a:rPr>
            <a:t>PRODUCT</a:t>
          </a:r>
        </a:p>
        <a:p>
          <a:pPr algn="l"/>
          <a:r>
            <a:rPr lang="en-GB" sz="1200" baseline="0">
              <a:solidFill>
                <a:srgbClr val="EDEADB"/>
              </a:solidFill>
              <a:latin typeface="Arial Black" panose="020B0A04020102020204" pitchFamily="34" charset="0"/>
            </a:rPr>
            <a:t>DIAGONOSTICS</a:t>
          </a:r>
          <a:endParaRPr lang="en-GB" sz="1200">
            <a:solidFill>
              <a:srgbClr val="EDEADB"/>
            </a:solidFill>
            <a:latin typeface="Arial Black" panose="020B0A04020102020204" pitchFamily="34" charset="0"/>
          </a:endParaRPr>
        </a:p>
      </xdr:txBody>
    </xdr:sp>
    <xdr:clientData/>
  </xdr:twoCellAnchor>
  <xdr:oneCellAnchor>
    <xdr:from>
      <xdr:col>9</xdr:col>
      <xdr:colOff>333374</xdr:colOff>
      <xdr:row>13</xdr:row>
      <xdr:rowOff>184897</xdr:rowOff>
    </xdr:from>
    <xdr:ext cx="1560421" cy="739588"/>
    <xdr:sp macro="" textlink="">
      <xdr:nvSpPr>
        <xdr:cNvPr id="24" name="TextBox 23">
          <a:extLst>
            <a:ext uri="{FF2B5EF4-FFF2-40B4-BE49-F238E27FC236}">
              <a16:creationId xmlns:a16="http://schemas.microsoft.com/office/drawing/2014/main" id="{00000000-0008-0000-0400-000018000000}"/>
            </a:ext>
          </a:extLst>
        </xdr:cNvPr>
        <xdr:cNvSpPr txBox="1"/>
      </xdr:nvSpPr>
      <xdr:spPr>
        <a:xfrm>
          <a:off x="5532903" y="2672603"/>
          <a:ext cx="1560421" cy="7395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tx1">
                  <a:lumMod val="75000"/>
                  <a:lumOff val="25000"/>
                </a:schemeClr>
              </a:solidFill>
              <a:effectLst/>
              <a:latin typeface="Arial Black" panose="020B0A04020102020204" pitchFamily="34" charset="0"/>
              <a:ea typeface="+mn-ea"/>
              <a:cs typeface="+mn-cs"/>
            </a:rPr>
            <a:t>STANDARD INVENTORY DISTRIBUTION</a:t>
          </a:r>
          <a:endParaRPr lang="en-GB">
            <a:solidFill>
              <a:schemeClr val="tx1">
                <a:lumMod val="75000"/>
                <a:lumOff val="25000"/>
              </a:schemeClr>
            </a:solidFill>
            <a:effectLst/>
            <a:latin typeface="Arial Black" panose="020B0A04020102020204" pitchFamily="34" charset="0"/>
          </a:endParaRPr>
        </a:p>
        <a:p>
          <a:pPr algn="l"/>
          <a:endParaRPr lang="en-GB" sz="1100">
            <a:solidFill>
              <a:schemeClr val="tx1">
                <a:lumMod val="75000"/>
                <a:lumOff val="25000"/>
              </a:schemeClr>
            </a:solidFill>
            <a:latin typeface="Arial Black" panose="020B0A04020102020204" pitchFamily="34" charset="0"/>
          </a:endParaRPr>
        </a:p>
      </xdr:txBody>
    </xdr:sp>
    <xdr:clientData/>
  </xdr:oneCellAnchor>
  <xdr:oneCellAnchor>
    <xdr:from>
      <xdr:col>9</xdr:col>
      <xdr:colOff>388032</xdr:colOff>
      <xdr:row>35</xdr:row>
      <xdr:rowOff>30700</xdr:rowOff>
    </xdr:from>
    <xdr:ext cx="2054850" cy="250486"/>
    <xdr:sp macro="" textlink="">
      <xdr:nvSpPr>
        <xdr:cNvPr id="200" name="TextBox 199">
          <a:extLst>
            <a:ext uri="{FF2B5EF4-FFF2-40B4-BE49-F238E27FC236}">
              <a16:creationId xmlns:a16="http://schemas.microsoft.com/office/drawing/2014/main" id="{00000000-0008-0000-0400-0000C8000000}"/>
            </a:ext>
          </a:extLst>
        </xdr:cNvPr>
        <xdr:cNvSpPr txBox="1"/>
      </xdr:nvSpPr>
      <xdr:spPr>
        <a:xfrm>
          <a:off x="6531288" y="6631747"/>
          <a:ext cx="2054850" cy="25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tx1">
                  <a:lumMod val="75000"/>
                  <a:lumOff val="25000"/>
                </a:schemeClr>
              </a:solidFill>
              <a:effectLst/>
              <a:latin typeface="Arial Black" panose="020B0A04020102020204" pitchFamily="34" charset="0"/>
              <a:ea typeface="+mn-ea"/>
              <a:cs typeface="+mn-cs"/>
            </a:rPr>
            <a:t>OPTIMAL</a:t>
          </a:r>
          <a:r>
            <a:rPr lang="en-GB" sz="1100" baseline="0">
              <a:solidFill>
                <a:schemeClr val="tx1">
                  <a:lumMod val="75000"/>
                  <a:lumOff val="25000"/>
                </a:schemeClr>
              </a:solidFill>
              <a:effectLst/>
              <a:latin typeface="Arial Black" panose="020B0A04020102020204" pitchFamily="34" charset="0"/>
              <a:ea typeface="+mn-ea"/>
              <a:cs typeface="+mn-cs"/>
            </a:rPr>
            <a:t> PRICE LEVEL</a:t>
          </a:r>
          <a:endParaRPr lang="en-GB">
            <a:solidFill>
              <a:schemeClr val="tx1">
                <a:lumMod val="75000"/>
                <a:lumOff val="25000"/>
              </a:schemeClr>
            </a:solidFill>
            <a:effectLst/>
            <a:latin typeface="Arial Black" panose="020B0A04020102020204" pitchFamily="34" charset="0"/>
          </a:endParaRPr>
        </a:p>
        <a:p>
          <a:pPr algn="l"/>
          <a:endParaRPr lang="en-GB" sz="1100">
            <a:solidFill>
              <a:schemeClr val="tx1">
                <a:lumMod val="75000"/>
                <a:lumOff val="25000"/>
              </a:schemeClr>
            </a:solidFill>
            <a:latin typeface="Arial Black" panose="020B0A04020102020204" pitchFamily="34" charset="0"/>
          </a:endParaRPr>
        </a:p>
      </xdr:txBody>
    </xdr:sp>
    <xdr:clientData/>
  </xdr:oneCellAnchor>
  <xdr:twoCellAnchor>
    <xdr:from>
      <xdr:col>16</xdr:col>
      <xdr:colOff>109258</xdr:colOff>
      <xdr:row>12</xdr:row>
      <xdr:rowOff>174812</xdr:rowOff>
    </xdr:from>
    <xdr:to>
      <xdr:col>20</xdr:col>
      <xdr:colOff>359331</xdr:colOff>
      <xdr:row>14</xdr:row>
      <xdr:rowOff>136871</xdr:rowOff>
    </xdr:to>
    <xdr:sp macro="" textlink="">
      <xdr:nvSpPr>
        <xdr:cNvPr id="201" name="Rectangle 200">
          <a:extLst>
            <a:ext uri="{FF2B5EF4-FFF2-40B4-BE49-F238E27FC236}">
              <a16:creationId xmlns:a16="http://schemas.microsoft.com/office/drawing/2014/main" id="{00000000-0008-0000-0400-0000C9000000}"/>
            </a:ext>
          </a:extLst>
        </xdr:cNvPr>
        <xdr:cNvSpPr/>
      </xdr:nvSpPr>
      <xdr:spPr>
        <a:xfrm>
          <a:off x="10407464" y="2371165"/>
          <a:ext cx="1628396" cy="612000"/>
        </a:xfrm>
        <a:prstGeom prst="rect">
          <a:avLst/>
        </a:prstGeom>
        <a:solidFill>
          <a:srgbClr val="3D8A5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aseline="0">
              <a:solidFill>
                <a:srgbClr val="EDEADB"/>
              </a:solidFill>
              <a:latin typeface="Arial Black" panose="020B0A04020102020204" pitchFamily="34" charset="0"/>
            </a:rPr>
            <a:t>INVENTORY</a:t>
          </a:r>
        </a:p>
        <a:p>
          <a:pPr algn="l"/>
          <a:r>
            <a:rPr lang="en-GB" sz="1200" baseline="0">
              <a:solidFill>
                <a:srgbClr val="EDEADB"/>
              </a:solidFill>
              <a:latin typeface="Arial Black" panose="020B0A04020102020204" pitchFamily="34" charset="0"/>
            </a:rPr>
            <a:t>DIAGONOSTICS</a:t>
          </a:r>
          <a:endParaRPr lang="en-GB" sz="1200">
            <a:solidFill>
              <a:srgbClr val="EDEADB"/>
            </a:solidFill>
            <a:latin typeface="Arial Black" panose="020B0A04020102020204" pitchFamily="34" charset="0"/>
          </a:endParaRPr>
        </a:p>
      </xdr:txBody>
    </xdr:sp>
    <xdr:clientData/>
  </xdr:twoCellAnchor>
  <xdr:twoCellAnchor>
    <xdr:from>
      <xdr:col>20</xdr:col>
      <xdr:colOff>260591</xdr:colOff>
      <xdr:row>18</xdr:row>
      <xdr:rowOff>91924</xdr:rowOff>
    </xdr:from>
    <xdr:to>
      <xdr:col>22</xdr:col>
      <xdr:colOff>56117</xdr:colOff>
      <xdr:row>19</xdr:row>
      <xdr:rowOff>132621</xdr:rowOff>
    </xdr:to>
    <xdr:sp macro="" textlink="">
      <xdr:nvSpPr>
        <xdr:cNvPr id="204" name="TextBox 203">
          <a:extLst>
            <a:ext uri="{FF2B5EF4-FFF2-40B4-BE49-F238E27FC236}">
              <a16:creationId xmlns:a16="http://schemas.microsoft.com/office/drawing/2014/main" id="{00000000-0008-0000-0400-0000CC000000}"/>
            </a:ext>
          </a:extLst>
        </xdr:cNvPr>
        <xdr:cNvSpPr txBox="1"/>
      </xdr:nvSpPr>
      <xdr:spPr>
        <a:xfrm>
          <a:off x="11847473" y="3655395"/>
          <a:ext cx="837673" cy="2087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r>
            <a:rPr lang="en-GB" sz="1000" b="1">
              <a:solidFill>
                <a:schemeClr val="tx1">
                  <a:lumMod val="75000"/>
                  <a:lumOff val="25000"/>
                </a:schemeClr>
              </a:solidFill>
              <a:latin typeface="Arial Black" panose="020B0A04020102020204" pitchFamily="34" charset="0"/>
            </a:rPr>
            <a:t>ROUND 2</a:t>
          </a:r>
        </a:p>
      </xdr:txBody>
    </xdr:sp>
    <xdr:clientData/>
  </xdr:twoCellAnchor>
  <xdr:twoCellAnchor>
    <xdr:from>
      <xdr:col>22</xdr:col>
      <xdr:colOff>295028</xdr:colOff>
      <xdr:row>18</xdr:row>
      <xdr:rowOff>120549</xdr:rowOff>
    </xdr:from>
    <xdr:to>
      <xdr:col>24</xdr:col>
      <xdr:colOff>276657</xdr:colOff>
      <xdr:row>19</xdr:row>
      <xdr:rowOff>132621</xdr:rowOff>
    </xdr:to>
    <xdr:sp macro="" textlink="">
      <xdr:nvSpPr>
        <xdr:cNvPr id="205" name="TextBox 204">
          <a:extLst>
            <a:ext uri="{FF2B5EF4-FFF2-40B4-BE49-F238E27FC236}">
              <a16:creationId xmlns:a16="http://schemas.microsoft.com/office/drawing/2014/main" id="{00000000-0008-0000-0400-0000CD000000}"/>
            </a:ext>
          </a:extLst>
        </xdr:cNvPr>
        <xdr:cNvSpPr txBox="1"/>
      </xdr:nvSpPr>
      <xdr:spPr>
        <a:xfrm>
          <a:off x="12924057" y="3684020"/>
          <a:ext cx="945335" cy="180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r>
            <a:rPr lang="en-GB" sz="1000" b="1">
              <a:solidFill>
                <a:schemeClr val="tx1">
                  <a:lumMod val="75000"/>
                  <a:lumOff val="25000"/>
                </a:schemeClr>
              </a:solidFill>
              <a:latin typeface="Arial Black" panose="020B0A04020102020204" pitchFamily="34" charset="0"/>
            </a:rPr>
            <a:t>ROUND 3</a:t>
          </a:r>
        </a:p>
      </xdr:txBody>
    </xdr:sp>
    <xdr:clientData/>
  </xdr:twoCellAnchor>
  <xdr:twoCellAnchor>
    <xdr:from>
      <xdr:col>24</xdr:col>
      <xdr:colOff>515566</xdr:colOff>
      <xdr:row>18</xdr:row>
      <xdr:rowOff>33619</xdr:rowOff>
    </xdr:from>
    <xdr:to>
      <xdr:col>25</xdr:col>
      <xdr:colOff>829235</xdr:colOff>
      <xdr:row>19</xdr:row>
      <xdr:rowOff>132620</xdr:rowOff>
    </xdr:to>
    <xdr:sp macro="" textlink="">
      <xdr:nvSpPr>
        <xdr:cNvPr id="206" name="TextBox 205">
          <a:extLst>
            <a:ext uri="{FF2B5EF4-FFF2-40B4-BE49-F238E27FC236}">
              <a16:creationId xmlns:a16="http://schemas.microsoft.com/office/drawing/2014/main" id="{00000000-0008-0000-0400-0000CE000000}"/>
            </a:ext>
          </a:extLst>
        </xdr:cNvPr>
        <xdr:cNvSpPr txBox="1"/>
      </xdr:nvSpPr>
      <xdr:spPr>
        <a:xfrm>
          <a:off x="14108301" y="3597090"/>
          <a:ext cx="918787" cy="2670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r>
            <a:rPr lang="en-GB" sz="1000" b="1">
              <a:solidFill>
                <a:schemeClr val="tx1">
                  <a:lumMod val="75000"/>
                  <a:lumOff val="25000"/>
                </a:schemeClr>
              </a:solidFill>
              <a:latin typeface="Arial Black" panose="020B0A04020102020204" pitchFamily="34" charset="0"/>
            </a:rPr>
            <a:t>ROUND 4</a:t>
          </a:r>
        </a:p>
      </xdr:txBody>
    </xdr:sp>
    <xdr:clientData/>
  </xdr:twoCellAnchor>
  <xdr:twoCellAnchor>
    <xdr:from>
      <xdr:col>3</xdr:col>
      <xdr:colOff>533529</xdr:colOff>
      <xdr:row>20</xdr:row>
      <xdr:rowOff>51780</xdr:rowOff>
    </xdr:from>
    <xdr:to>
      <xdr:col>4</xdr:col>
      <xdr:colOff>619538</xdr:colOff>
      <xdr:row>22</xdr:row>
      <xdr:rowOff>122059</xdr:rowOff>
    </xdr:to>
    <xdr:grpSp>
      <xdr:nvGrpSpPr>
        <xdr:cNvPr id="36" name="Group 35">
          <a:extLst>
            <a:ext uri="{FF2B5EF4-FFF2-40B4-BE49-F238E27FC236}">
              <a16:creationId xmlns:a16="http://schemas.microsoft.com/office/drawing/2014/main" id="{00000000-0008-0000-0400-000024000000}"/>
            </a:ext>
          </a:extLst>
        </xdr:cNvPr>
        <xdr:cNvGrpSpPr/>
      </xdr:nvGrpSpPr>
      <xdr:grpSpPr>
        <a:xfrm>
          <a:off x="2635598" y="3890975"/>
          <a:ext cx="845089" cy="420624"/>
          <a:chOff x="2368245" y="3178653"/>
          <a:chExt cx="684262" cy="436312"/>
        </a:xfrm>
      </xdr:grpSpPr>
      <xdr:sp macro="" textlink="Current_Stock!$C$33">
        <xdr:nvSpPr>
          <xdr:cNvPr id="211" name="TextBox 210">
            <a:extLst>
              <a:ext uri="{FF2B5EF4-FFF2-40B4-BE49-F238E27FC236}">
                <a16:creationId xmlns:a16="http://schemas.microsoft.com/office/drawing/2014/main" id="{00000000-0008-0000-0400-0000D3000000}"/>
              </a:ext>
            </a:extLst>
          </xdr:cNvPr>
          <xdr:cNvSpPr txBox="1"/>
        </xdr:nvSpPr>
        <xdr:spPr>
          <a:xfrm>
            <a:off x="2429609" y="3331625"/>
            <a:ext cx="530391" cy="283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425C5CF5-0E18-48D9-869F-5FB7C49E1E2E}" type="TxLink">
              <a:rPr lang="en-US" sz="1000" b="0" i="0" u="none" strike="noStrike">
                <a:solidFill>
                  <a:schemeClr val="tx1">
                    <a:lumMod val="75000"/>
                    <a:lumOff val="25000"/>
                  </a:schemeClr>
                </a:solidFill>
                <a:latin typeface="Arial Black" panose="020B0A04020102020204" pitchFamily="34" charset="0"/>
                <a:cs typeface="Calibri"/>
              </a:rPr>
              <a:pPr algn="ctr"/>
              <a:t> 17.03 </a:t>
            </a:fld>
            <a:endParaRPr lang="en-GB" sz="1000">
              <a:solidFill>
                <a:schemeClr val="tx1">
                  <a:lumMod val="75000"/>
                  <a:lumOff val="25000"/>
                </a:schemeClr>
              </a:solidFill>
              <a:latin typeface="Arial Black" panose="020B0A04020102020204" pitchFamily="34" charset="0"/>
            </a:endParaRPr>
          </a:p>
        </xdr:txBody>
      </xdr:sp>
      <xdr:sp macro="" textlink="">
        <xdr:nvSpPr>
          <xdr:cNvPr id="212" name="TextBox 211">
            <a:extLst>
              <a:ext uri="{FF2B5EF4-FFF2-40B4-BE49-F238E27FC236}">
                <a16:creationId xmlns:a16="http://schemas.microsoft.com/office/drawing/2014/main" id="{00000000-0008-0000-0400-0000D4000000}"/>
              </a:ext>
            </a:extLst>
          </xdr:cNvPr>
          <xdr:cNvSpPr txBox="1"/>
        </xdr:nvSpPr>
        <xdr:spPr>
          <a:xfrm>
            <a:off x="2368245" y="3178653"/>
            <a:ext cx="684262" cy="1770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00" b="0" i="0" u="none" strike="noStrike">
                <a:solidFill>
                  <a:schemeClr val="tx1">
                    <a:lumMod val="75000"/>
                    <a:lumOff val="25000"/>
                  </a:schemeClr>
                </a:solidFill>
                <a:latin typeface="Arial Black" panose="020B0A04020102020204" pitchFamily="34" charset="0"/>
                <a:cs typeface="Calibri"/>
              </a:rPr>
              <a:t>North</a:t>
            </a:r>
          </a:p>
        </xdr:txBody>
      </xdr:sp>
    </xdr:grpSp>
    <xdr:clientData/>
  </xdr:twoCellAnchor>
  <xdr:twoCellAnchor>
    <xdr:from>
      <xdr:col>3</xdr:col>
      <xdr:colOff>597024</xdr:colOff>
      <xdr:row>28</xdr:row>
      <xdr:rowOff>32850</xdr:rowOff>
    </xdr:from>
    <xdr:to>
      <xdr:col>4</xdr:col>
      <xdr:colOff>598490</xdr:colOff>
      <xdr:row>30</xdr:row>
      <xdr:rowOff>130983</xdr:rowOff>
    </xdr:to>
    <xdr:grpSp>
      <xdr:nvGrpSpPr>
        <xdr:cNvPr id="38" name="Group 37">
          <a:extLst>
            <a:ext uri="{FF2B5EF4-FFF2-40B4-BE49-F238E27FC236}">
              <a16:creationId xmlns:a16="http://schemas.microsoft.com/office/drawing/2014/main" id="{00000000-0008-0000-0400-000026000000}"/>
            </a:ext>
          </a:extLst>
        </xdr:cNvPr>
        <xdr:cNvGrpSpPr/>
      </xdr:nvGrpSpPr>
      <xdr:grpSpPr>
        <a:xfrm>
          <a:off x="2699093" y="5273425"/>
          <a:ext cx="760546" cy="448478"/>
          <a:chOff x="2350475" y="4804997"/>
          <a:chExt cx="668216" cy="471265"/>
        </a:xfrm>
      </xdr:grpSpPr>
      <xdr:sp macro="" textlink="">
        <xdr:nvSpPr>
          <xdr:cNvPr id="213" name="TextBox 212">
            <a:extLst>
              <a:ext uri="{FF2B5EF4-FFF2-40B4-BE49-F238E27FC236}">
                <a16:creationId xmlns:a16="http://schemas.microsoft.com/office/drawing/2014/main" id="{00000000-0008-0000-0400-0000D5000000}"/>
              </a:ext>
            </a:extLst>
          </xdr:cNvPr>
          <xdr:cNvSpPr txBox="1"/>
        </xdr:nvSpPr>
        <xdr:spPr>
          <a:xfrm>
            <a:off x="2350475" y="4804997"/>
            <a:ext cx="668216" cy="2851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00" b="0" i="0" u="none" strike="noStrike">
                <a:solidFill>
                  <a:schemeClr val="tx1">
                    <a:lumMod val="75000"/>
                    <a:lumOff val="25000"/>
                  </a:schemeClr>
                </a:solidFill>
                <a:latin typeface="Arial Black" panose="020B0A04020102020204" pitchFamily="34" charset="0"/>
                <a:cs typeface="Calibri"/>
              </a:rPr>
              <a:t>South</a:t>
            </a:r>
          </a:p>
        </xdr:txBody>
      </xdr:sp>
      <xdr:sp macro="" textlink="Current_Stock!$C$32">
        <xdr:nvSpPr>
          <xdr:cNvPr id="210" name="TextBox 209">
            <a:extLst>
              <a:ext uri="{FF2B5EF4-FFF2-40B4-BE49-F238E27FC236}">
                <a16:creationId xmlns:a16="http://schemas.microsoft.com/office/drawing/2014/main" id="{00000000-0008-0000-0400-0000D2000000}"/>
              </a:ext>
            </a:extLst>
          </xdr:cNvPr>
          <xdr:cNvSpPr txBox="1"/>
        </xdr:nvSpPr>
        <xdr:spPr>
          <a:xfrm>
            <a:off x="2380590" y="4985028"/>
            <a:ext cx="607987"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A3EEAE97-B9F0-43D5-A2B4-7C75C9244DC9}" type="TxLink">
              <a:rPr lang="en-US" sz="1000" b="0" i="0" u="none" strike="noStrike">
                <a:solidFill>
                  <a:schemeClr val="tx1">
                    <a:lumMod val="75000"/>
                    <a:lumOff val="25000"/>
                  </a:schemeClr>
                </a:solidFill>
                <a:latin typeface="Arial Black" panose="020B0A04020102020204" pitchFamily="34" charset="0"/>
                <a:cs typeface="Calibri"/>
              </a:rPr>
              <a:pPr algn="ctr"/>
              <a:t> 13.95 </a:t>
            </a:fld>
            <a:endParaRPr lang="en-GB" sz="1000">
              <a:solidFill>
                <a:schemeClr val="tx1">
                  <a:lumMod val="75000"/>
                  <a:lumOff val="25000"/>
                </a:schemeClr>
              </a:solidFill>
              <a:latin typeface="Arial Black" panose="020B0A04020102020204" pitchFamily="34" charset="0"/>
            </a:endParaRPr>
          </a:p>
        </xdr:txBody>
      </xdr:sp>
    </xdr:grpSp>
    <xdr:clientData/>
  </xdr:twoCellAnchor>
  <xdr:twoCellAnchor>
    <xdr:from>
      <xdr:col>1</xdr:col>
      <xdr:colOff>2120</xdr:colOff>
      <xdr:row>30</xdr:row>
      <xdr:rowOff>68561</xdr:rowOff>
    </xdr:from>
    <xdr:to>
      <xdr:col>2</xdr:col>
      <xdr:colOff>155909</xdr:colOff>
      <xdr:row>33</xdr:row>
      <xdr:rowOff>20</xdr:rowOff>
    </xdr:to>
    <xdr:grpSp>
      <xdr:nvGrpSpPr>
        <xdr:cNvPr id="40" name="Group 39">
          <a:extLst>
            <a:ext uri="{FF2B5EF4-FFF2-40B4-BE49-F238E27FC236}">
              <a16:creationId xmlns:a16="http://schemas.microsoft.com/office/drawing/2014/main" id="{00000000-0008-0000-0400-000028000000}"/>
            </a:ext>
          </a:extLst>
        </xdr:cNvPr>
        <xdr:cNvGrpSpPr/>
      </xdr:nvGrpSpPr>
      <xdr:grpSpPr>
        <a:xfrm>
          <a:off x="702810" y="5659481"/>
          <a:ext cx="854478" cy="456976"/>
          <a:chOff x="676970" y="4722936"/>
          <a:chExt cx="668216" cy="474194"/>
        </a:xfrm>
      </xdr:grpSpPr>
      <xdr:sp macro="" textlink="Current_Stock!$C$31">
        <xdr:nvSpPr>
          <xdr:cNvPr id="209" name="TextBox 208">
            <a:extLst>
              <a:ext uri="{FF2B5EF4-FFF2-40B4-BE49-F238E27FC236}">
                <a16:creationId xmlns:a16="http://schemas.microsoft.com/office/drawing/2014/main" id="{00000000-0008-0000-0400-0000D1000000}"/>
              </a:ext>
            </a:extLst>
          </xdr:cNvPr>
          <xdr:cNvSpPr txBox="1"/>
        </xdr:nvSpPr>
        <xdr:spPr>
          <a:xfrm>
            <a:off x="707085" y="4905896"/>
            <a:ext cx="607987"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982A7A5E-89C5-44F8-B2D9-7AA141B93F84}" type="TxLink">
              <a:rPr lang="en-US" sz="1000" b="0" i="0" u="none" strike="noStrike">
                <a:solidFill>
                  <a:schemeClr val="tx1">
                    <a:lumMod val="75000"/>
                    <a:lumOff val="25000"/>
                  </a:schemeClr>
                </a:solidFill>
                <a:latin typeface="Arial Black" panose="020B0A04020102020204" pitchFamily="34" charset="0"/>
                <a:cs typeface="Calibri"/>
              </a:rPr>
              <a:pPr algn="ctr"/>
              <a:t> 6.37 </a:t>
            </a:fld>
            <a:endParaRPr lang="en-GB" sz="1000">
              <a:solidFill>
                <a:schemeClr val="tx1">
                  <a:lumMod val="75000"/>
                  <a:lumOff val="25000"/>
                </a:schemeClr>
              </a:solidFill>
              <a:latin typeface="Arial Black" panose="020B0A04020102020204" pitchFamily="34" charset="0"/>
            </a:endParaRPr>
          </a:p>
        </xdr:txBody>
      </xdr:sp>
      <xdr:sp macro="" textlink="">
        <xdr:nvSpPr>
          <xdr:cNvPr id="214" name="TextBox 213">
            <a:extLst>
              <a:ext uri="{FF2B5EF4-FFF2-40B4-BE49-F238E27FC236}">
                <a16:creationId xmlns:a16="http://schemas.microsoft.com/office/drawing/2014/main" id="{00000000-0008-0000-0400-0000D6000000}"/>
              </a:ext>
            </a:extLst>
          </xdr:cNvPr>
          <xdr:cNvSpPr txBox="1"/>
        </xdr:nvSpPr>
        <xdr:spPr>
          <a:xfrm>
            <a:off x="676970" y="4722936"/>
            <a:ext cx="668216" cy="2851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00" b="0" i="0" u="none" strike="noStrike">
                <a:solidFill>
                  <a:schemeClr val="tx1">
                    <a:lumMod val="75000"/>
                    <a:lumOff val="25000"/>
                  </a:schemeClr>
                </a:solidFill>
                <a:latin typeface="Arial Black" panose="020B0A04020102020204" pitchFamily="34" charset="0"/>
                <a:cs typeface="Calibri"/>
              </a:rPr>
              <a:t>West</a:t>
            </a:r>
          </a:p>
        </xdr:txBody>
      </xdr:sp>
    </xdr:grpSp>
    <xdr:clientData/>
  </xdr:twoCellAnchor>
  <xdr:oneCellAnchor>
    <xdr:from>
      <xdr:col>1</xdr:col>
      <xdr:colOff>63659</xdr:colOff>
      <xdr:row>16</xdr:row>
      <xdr:rowOff>82345</xdr:rowOff>
    </xdr:from>
    <xdr:ext cx="1649364" cy="508354"/>
    <xdr:sp macro="" textlink="">
      <xdr:nvSpPr>
        <xdr:cNvPr id="215" name="TextBox 214">
          <a:extLst>
            <a:ext uri="{FF2B5EF4-FFF2-40B4-BE49-F238E27FC236}">
              <a16:creationId xmlns:a16="http://schemas.microsoft.com/office/drawing/2014/main" id="{00000000-0008-0000-0400-0000D7000000}"/>
            </a:ext>
          </a:extLst>
        </xdr:cNvPr>
        <xdr:cNvSpPr txBox="1"/>
      </xdr:nvSpPr>
      <xdr:spPr>
        <a:xfrm>
          <a:off x="757729" y="3257345"/>
          <a:ext cx="1649364" cy="508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lumMod val="75000"/>
                  <a:lumOff val="25000"/>
                </a:schemeClr>
              </a:solidFill>
              <a:effectLst/>
              <a:latin typeface="Arial Black" panose="020B0A04020102020204" pitchFamily="34" charset="0"/>
              <a:ea typeface="+mn-ea"/>
              <a:cs typeface="+mn-cs"/>
            </a:rPr>
            <a:t>AVERAGE</a:t>
          </a:r>
          <a:r>
            <a:rPr lang="en-GB" sz="1100" baseline="0">
              <a:solidFill>
                <a:schemeClr val="tx1">
                  <a:lumMod val="75000"/>
                  <a:lumOff val="25000"/>
                </a:schemeClr>
              </a:solidFill>
              <a:effectLst/>
              <a:latin typeface="Arial Black" panose="020B0A04020102020204" pitchFamily="34" charset="0"/>
              <a:ea typeface="+mn-ea"/>
              <a:cs typeface="+mn-cs"/>
            </a:rPr>
            <a:t> QUANTITY SOLD</a:t>
          </a:r>
          <a:endParaRPr lang="en-GB">
            <a:solidFill>
              <a:schemeClr val="tx1">
                <a:lumMod val="75000"/>
                <a:lumOff val="25000"/>
              </a:schemeClr>
            </a:solidFill>
            <a:effectLst/>
            <a:latin typeface="Arial Black" panose="020B0A04020102020204" pitchFamily="34" charset="0"/>
          </a:endParaRPr>
        </a:p>
        <a:p>
          <a:endParaRPr lang="en-GB" sz="1100">
            <a:solidFill>
              <a:schemeClr val="tx1">
                <a:lumMod val="75000"/>
                <a:lumOff val="25000"/>
              </a:schemeClr>
            </a:solidFill>
            <a:latin typeface="Arial Black" panose="020B0A04020102020204" pitchFamily="34" charset="0"/>
          </a:endParaRPr>
        </a:p>
      </xdr:txBody>
    </xdr:sp>
    <xdr:clientData/>
  </xdr:oneCellAnchor>
  <xdr:twoCellAnchor>
    <xdr:from>
      <xdr:col>25</xdr:col>
      <xdr:colOff>707012</xdr:colOff>
      <xdr:row>47</xdr:row>
      <xdr:rowOff>136289</xdr:rowOff>
    </xdr:from>
    <xdr:to>
      <xdr:col>25</xdr:col>
      <xdr:colOff>1101022</xdr:colOff>
      <xdr:row>49</xdr:row>
      <xdr:rowOff>558486</xdr:rowOff>
    </xdr:to>
    <xdr:sp macro="" textlink="Historical_Stock!$S$414">
      <xdr:nvSpPr>
        <xdr:cNvPr id="97" name="TextBox 96">
          <a:extLst>
            <a:ext uri="{FF2B5EF4-FFF2-40B4-BE49-F238E27FC236}">
              <a16:creationId xmlns:a16="http://schemas.microsoft.com/office/drawing/2014/main" id="{00000000-0008-0000-0400-000061000000}"/>
            </a:ext>
          </a:extLst>
        </xdr:cNvPr>
        <xdr:cNvSpPr txBox="1"/>
      </xdr:nvSpPr>
      <xdr:spPr>
        <a:xfrm>
          <a:off x="17276082" y="8863847"/>
          <a:ext cx="394010" cy="77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fld id="{062E6C32-1C15-4B4E-B76E-6FBC86544854}" type="TxLink">
            <a:rPr lang="en-US" sz="2000" b="0" i="0" u="none" strike="noStrike">
              <a:solidFill>
                <a:schemeClr val="tx1">
                  <a:lumMod val="75000"/>
                  <a:lumOff val="25000"/>
                </a:schemeClr>
              </a:solidFill>
              <a:latin typeface="Arial Black" panose="020B0A04020102020204" pitchFamily="34" charset="0"/>
              <a:cs typeface="Calibri"/>
            </a:rPr>
            <a:pPr/>
            <a:t>6</a:t>
          </a:fld>
          <a:endParaRPr lang="en-US" sz="2000" b="0" i="0" u="none" strike="noStrike">
            <a:solidFill>
              <a:schemeClr val="tx1">
                <a:lumMod val="75000"/>
                <a:lumOff val="25000"/>
              </a:schemeClr>
            </a:solidFill>
            <a:latin typeface="Arial Black" panose="020B0A04020102020204" pitchFamily="34" charset="0"/>
            <a:cs typeface="Calibri"/>
          </a:endParaRPr>
        </a:p>
        <a:p>
          <a:pPr algn="ctr"/>
          <a:r>
            <a:rPr lang="en-US" sz="1100" b="1" i="0" u="none" strike="noStrike">
              <a:solidFill>
                <a:schemeClr val="tx1">
                  <a:lumMod val="75000"/>
                  <a:lumOff val="25000"/>
                </a:schemeClr>
              </a:solidFill>
              <a:latin typeface="+mn-lt"/>
              <a:cs typeface="Calibri"/>
            </a:rPr>
            <a:t>times</a:t>
          </a:r>
          <a:endParaRPr lang="en-GB" sz="1100" b="1">
            <a:solidFill>
              <a:schemeClr val="tx1">
                <a:lumMod val="75000"/>
                <a:lumOff val="25000"/>
              </a:schemeClr>
            </a:solidFill>
            <a:latin typeface="+mn-lt"/>
          </a:endParaRPr>
        </a:p>
      </xdr:txBody>
    </xdr:sp>
    <xdr:clientData/>
  </xdr:twoCellAnchor>
  <xdr:twoCellAnchor>
    <xdr:from>
      <xdr:col>25</xdr:col>
      <xdr:colOff>309572</xdr:colOff>
      <xdr:row>13</xdr:row>
      <xdr:rowOff>265648</xdr:rowOff>
    </xdr:from>
    <xdr:to>
      <xdr:col>25</xdr:col>
      <xdr:colOff>431985</xdr:colOff>
      <xdr:row>14</xdr:row>
      <xdr:rowOff>27448</xdr:rowOff>
    </xdr:to>
    <xdr:sp macro="" textlink="">
      <xdr:nvSpPr>
        <xdr:cNvPr id="87" name="Rectangle 86">
          <a:extLst>
            <a:ext uri="{FF2B5EF4-FFF2-40B4-BE49-F238E27FC236}">
              <a16:creationId xmlns:a16="http://schemas.microsoft.com/office/drawing/2014/main" id="{00000000-0008-0000-0400-000057000000}"/>
            </a:ext>
          </a:extLst>
        </xdr:cNvPr>
        <xdr:cNvSpPr/>
      </xdr:nvSpPr>
      <xdr:spPr>
        <a:xfrm>
          <a:off x="14557658" y="2814407"/>
          <a:ext cx="122413" cy="123093"/>
        </a:xfrm>
        <a:prstGeom prst="rect">
          <a:avLst/>
        </a:prstGeom>
        <a:solidFill>
          <a:srgbClr val="5CA4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lumMod val="75000"/>
                <a:lumOff val="25000"/>
              </a:schemeClr>
            </a:solidFill>
          </a:endParaRPr>
        </a:p>
      </xdr:txBody>
    </xdr:sp>
    <xdr:clientData/>
  </xdr:twoCellAnchor>
  <xdr:twoCellAnchor>
    <xdr:from>
      <xdr:col>21</xdr:col>
      <xdr:colOff>10860</xdr:colOff>
      <xdr:row>13</xdr:row>
      <xdr:rowOff>175864</xdr:rowOff>
    </xdr:from>
    <xdr:to>
      <xdr:col>25</xdr:col>
      <xdr:colOff>240978</xdr:colOff>
      <xdr:row>14</xdr:row>
      <xdr:rowOff>79131</xdr:rowOff>
    </xdr:to>
    <xdr:sp macro="" textlink="">
      <xdr:nvSpPr>
        <xdr:cNvPr id="89" name="TextBox 88">
          <a:extLst>
            <a:ext uri="{FF2B5EF4-FFF2-40B4-BE49-F238E27FC236}">
              <a16:creationId xmlns:a16="http://schemas.microsoft.com/office/drawing/2014/main" id="{00000000-0008-0000-0400-000059000000}"/>
            </a:ext>
          </a:extLst>
        </xdr:cNvPr>
        <xdr:cNvSpPr txBox="1"/>
      </xdr:nvSpPr>
      <xdr:spPr>
        <a:xfrm>
          <a:off x="12426205" y="2724623"/>
          <a:ext cx="20628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r"/>
          <a:r>
            <a:rPr lang="en-GB" sz="1050">
              <a:solidFill>
                <a:schemeClr val="tx1">
                  <a:lumMod val="75000"/>
                  <a:lumOff val="25000"/>
                </a:schemeClr>
              </a:solidFill>
            </a:rPr>
            <a:t>Normal</a:t>
          </a:r>
          <a:r>
            <a:rPr lang="en-GB" sz="1050" baseline="0">
              <a:solidFill>
                <a:schemeClr val="tx1">
                  <a:lumMod val="75000"/>
                  <a:lumOff val="25000"/>
                </a:schemeClr>
              </a:solidFill>
            </a:rPr>
            <a:t> Inventory</a:t>
          </a:r>
          <a:endParaRPr lang="en-GB" sz="1050">
            <a:solidFill>
              <a:schemeClr val="tx1">
                <a:lumMod val="75000"/>
                <a:lumOff val="25000"/>
              </a:schemeClr>
            </a:solidFill>
          </a:endParaRPr>
        </a:p>
      </xdr:txBody>
    </xdr:sp>
    <xdr:clientData/>
  </xdr:twoCellAnchor>
  <xdr:twoCellAnchor>
    <xdr:from>
      <xdr:col>25</xdr:col>
      <xdr:colOff>309469</xdr:colOff>
      <xdr:row>14</xdr:row>
      <xdr:rowOff>143821</xdr:rowOff>
    </xdr:from>
    <xdr:to>
      <xdr:col>25</xdr:col>
      <xdr:colOff>432087</xdr:colOff>
      <xdr:row>15</xdr:row>
      <xdr:rowOff>84549</xdr:rowOff>
    </xdr:to>
    <xdr:sp macro="" textlink="">
      <xdr:nvSpPr>
        <xdr:cNvPr id="219" name="Rectangle 218">
          <a:extLst>
            <a:ext uri="{FF2B5EF4-FFF2-40B4-BE49-F238E27FC236}">
              <a16:creationId xmlns:a16="http://schemas.microsoft.com/office/drawing/2014/main" id="{00000000-0008-0000-0400-0000DB000000}"/>
            </a:ext>
          </a:extLst>
        </xdr:cNvPr>
        <xdr:cNvSpPr/>
      </xdr:nvSpPr>
      <xdr:spPr>
        <a:xfrm>
          <a:off x="14557555" y="3053873"/>
          <a:ext cx="122618" cy="124659"/>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lumMod val="75000"/>
                <a:lumOff val="25000"/>
              </a:schemeClr>
            </a:solidFill>
          </a:endParaRPr>
        </a:p>
      </xdr:txBody>
    </xdr:sp>
    <xdr:clientData/>
  </xdr:twoCellAnchor>
  <xdr:twoCellAnchor>
    <xdr:from>
      <xdr:col>20</xdr:col>
      <xdr:colOff>666085</xdr:colOff>
      <xdr:row>14</xdr:row>
      <xdr:rowOff>58080</xdr:rowOff>
    </xdr:from>
    <xdr:to>
      <xdr:col>25</xdr:col>
      <xdr:colOff>240978</xdr:colOff>
      <xdr:row>15</xdr:row>
      <xdr:rowOff>139884</xdr:rowOff>
    </xdr:to>
    <xdr:sp macro="" textlink="">
      <xdr:nvSpPr>
        <xdr:cNvPr id="221" name="TextBox 220">
          <a:extLst>
            <a:ext uri="{FF2B5EF4-FFF2-40B4-BE49-F238E27FC236}">
              <a16:creationId xmlns:a16="http://schemas.microsoft.com/office/drawing/2014/main" id="{00000000-0008-0000-0400-0000DD000000}"/>
            </a:ext>
          </a:extLst>
        </xdr:cNvPr>
        <xdr:cNvSpPr txBox="1"/>
      </xdr:nvSpPr>
      <xdr:spPr>
        <a:xfrm>
          <a:off x="12293154" y="2968132"/>
          <a:ext cx="2195910" cy="2657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r"/>
          <a:r>
            <a:rPr lang="en-GB" sz="1050">
              <a:solidFill>
                <a:schemeClr val="tx1">
                  <a:lumMod val="75000"/>
                  <a:lumOff val="25000"/>
                </a:schemeClr>
              </a:solidFill>
            </a:rPr>
            <a:t>Shortage ( Sales = Inventory</a:t>
          </a:r>
          <a:r>
            <a:rPr lang="en-GB" sz="1050" baseline="0">
              <a:solidFill>
                <a:schemeClr val="tx1">
                  <a:lumMod val="75000"/>
                  <a:lumOff val="25000"/>
                </a:schemeClr>
              </a:solidFill>
            </a:rPr>
            <a:t> level)</a:t>
          </a:r>
          <a:endParaRPr lang="en-GB" sz="1050">
            <a:solidFill>
              <a:schemeClr val="tx1">
                <a:lumMod val="75000"/>
                <a:lumOff val="25000"/>
              </a:schemeClr>
            </a:solidFill>
          </a:endParaRPr>
        </a:p>
      </xdr:txBody>
    </xdr:sp>
    <xdr:clientData/>
  </xdr:twoCellAnchor>
  <xdr:twoCellAnchor>
    <xdr:from>
      <xdr:col>25</xdr:col>
      <xdr:colOff>309470</xdr:colOff>
      <xdr:row>16</xdr:row>
      <xdr:rowOff>23133</xdr:rowOff>
    </xdr:from>
    <xdr:to>
      <xdr:col>25</xdr:col>
      <xdr:colOff>432087</xdr:colOff>
      <xdr:row>16</xdr:row>
      <xdr:rowOff>148441</xdr:rowOff>
    </xdr:to>
    <xdr:sp macro="" textlink="">
      <xdr:nvSpPr>
        <xdr:cNvPr id="220" name="Rectangle 219">
          <a:extLst>
            <a:ext uri="{FF2B5EF4-FFF2-40B4-BE49-F238E27FC236}">
              <a16:creationId xmlns:a16="http://schemas.microsoft.com/office/drawing/2014/main" id="{00000000-0008-0000-0400-0000DC000000}"/>
            </a:ext>
          </a:extLst>
        </xdr:cNvPr>
        <xdr:cNvSpPr/>
      </xdr:nvSpPr>
      <xdr:spPr>
        <a:xfrm>
          <a:off x="14557556" y="3301047"/>
          <a:ext cx="122617" cy="125308"/>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lumMod val="75000"/>
                <a:lumOff val="25000"/>
              </a:schemeClr>
            </a:solidFill>
          </a:endParaRPr>
        </a:p>
      </xdr:txBody>
    </xdr:sp>
    <xdr:clientData/>
  </xdr:twoCellAnchor>
  <xdr:twoCellAnchor>
    <xdr:from>
      <xdr:col>20</xdr:col>
      <xdr:colOff>666106</xdr:colOff>
      <xdr:row>15</xdr:row>
      <xdr:rowOff>118833</xdr:rowOff>
    </xdr:from>
    <xdr:to>
      <xdr:col>25</xdr:col>
      <xdr:colOff>240978</xdr:colOff>
      <xdr:row>17</xdr:row>
      <xdr:rowOff>14641</xdr:rowOff>
    </xdr:to>
    <xdr:sp macro="" textlink="">
      <xdr:nvSpPr>
        <xdr:cNvPr id="222" name="TextBox 221">
          <a:extLst>
            <a:ext uri="{FF2B5EF4-FFF2-40B4-BE49-F238E27FC236}">
              <a16:creationId xmlns:a16="http://schemas.microsoft.com/office/drawing/2014/main" id="{00000000-0008-0000-0400-0000DE000000}"/>
            </a:ext>
          </a:extLst>
        </xdr:cNvPr>
        <xdr:cNvSpPr txBox="1"/>
      </xdr:nvSpPr>
      <xdr:spPr>
        <a:xfrm>
          <a:off x="12293175" y="3212816"/>
          <a:ext cx="2195889" cy="263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r"/>
          <a:r>
            <a:rPr lang="en-GB" sz="1050">
              <a:solidFill>
                <a:schemeClr val="tx1">
                  <a:lumMod val="75000"/>
                  <a:lumOff val="25000"/>
                </a:schemeClr>
              </a:solidFill>
            </a:rPr>
            <a:t>No Inventory (Inventory</a:t>
          </a:r>
          <a:r>
            <a:rPr lang="en-GB" sz="1050" baseline="0">
              <a:solidFill>
                <a:schemeClr val="tx1">
                  <a:lumMod val="75000"/>
                  <a:lumOff val="25000"/>
                </a:schemeClr>
              </a:solidFill>
            </a:rPr>
            <a:t> level = 0)</a:t>
          </a:r>
          <a:endParaRPr lang="en-GB" sz="1050">
            <a:solidFill>
              <a:schemeClr val="tx1">
                <a:lumMod val="75000"/>
                <a:lumOff val="25000"/>
              </a:schemeClr>
            </a:solidFill>
          </a:endParaRPr>
        </a:p>
      </xdr:txBody>
    </xdr:sp>
    <xdr:clientData/>
  </xdr:twoCellAnchor>
  <xdr:twoCellAnchor>
    <xdr:from>
      <xdr:col>12</xdr:col>
      <xdr:colOff>504265</xdr:colOff>
      <xdr:row>22</xdr:row>
      <xdr:rowOff>145677</xdr:rowOff>
    </xdr:from>
    <xdr:to>
      <xdr:col>15</xdr:col>
      <xdr:colOff>100853</xdr:colOff>
      <xdr:row>32</xdr:row>
      <xdr:rowOff>87860</xdr:rowOff>
    </xdr:to>
    <xdr:grpSp>
      <xdr:nvGrpSpPr>
        <xdr:cNvPr id="9" name="Group 8">
          <a:extLst>
            <a:ext uri="{FF2B5EF4-FFF2-40B4-BE49-F238E27FC236}">
              <a16:creationId xmlns:a16="http://schemas.microsoft.com/office/drawing/2014/main" id="{00000000-0008-0000-0400-000009000000}"/>
            </a:ext>
          </a:extLst>
        </xdr:cNvPr>
        <xdr:cNvGrpSpPr/>
      </xdr:nvGrpSpPr>
      <xdr:grpSpPr>
        <a:xfrm>
          <a:off x="9306679" y="4335217"/>
          <a:ext cx="2443140" cy="1693907"/>
          <a:chOff x="9147321" y="4350788"/>
          <a:chExt cx="2439976" cy="1706072"/>
        </a:xfrm>
      </xdr:grpSpPr>
      <xdr:graphicFrame macro="">
        <xdr:nvGraphicFramePr>
          <xdr:cNvPr id="140" name="Chart 139">
            <a:extLst>
              <a:ext uri="{FF2B5EF4-FFF2-40B4-BE49-F238E27FC236}">
                <a16:creationId xmlns:a16="http://schemas.microsoft.com/office/drawing/2014/main" id="{00000000-0008-0000-0400-00008C000000}"/>
              </a:ext>
            </a:extLst>
          </xdr:cNvPr>
          <xdr:cNvGraphicFramePr>
            <a:graphicFrameLocks/>
          </xdr:cNvGraphicFramePr>
        </xdr:nvGraphicFramePr>
        <xdr:xfrm>
          <a:off x="9147321" y="4350788"/>
          <a:ext cx="2439976" cy="1411111"/>
        </xdr:xfrm>
        <a:graphic>
          <a:graphicData uri="http://schemas.openxmlformats.org/drawingml/2006/chart">
            <c:chart xmlns:c="http://schemas.openxmlformats.org/drawingml/2006/chart" xmlns:r="http://schemas.openxmlformats.org/officeDocument/2006/relationships" r:id="rId13"/>
          </a:graphicData>
        </a:graphic>
      </xdr:graphicFrame>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4"/>
          <a:stretch>
            <a:fillRect/>
          </a:stretch>
        </xdr:blipFill>
        <xdr:spPr>
          <a:xfrm>
            <a:off x="9355664" y="5714996"/>
            <a:ext cx="2095500" cy="341864"/>
          </a:xfrm>
          <a:prstGeom prst="rect">
            <a:avLst/>
          </a:prstGeom>
        </xdr:spPr>
      </xdr:pic>
    </xdr:grpSp>
    <xdr:clientData/>
  </xdr:twoCellAnchor>
  <xdr:twoCellAnchor>
    <xdr:from>
      <xdr:col>4</xdr:col>
      <xdr:colOff>69042</xdr:colOff>
      <xdr:row>6</xdr:row>
      <xdr:rowOff>19642</xdr:rowOff>
    </xdr:from>
    <xdr:to>
      <xdr:col>4</xdr:col>
      <xdr:colOff>247258</xdr:colOff>
      <xdr:row>7</xdr:row>
      <xdr:rowOff>19643</xdr:rowOff>
    </xdr:to>
    <xdr:sp macro="" textlink="">
      <xdr:nvSpPr>
        <xdr:cNvPr id="176" name="iconfont-11790-5634346">
          <a:extLst>
            <a:ext uri="{FF2B5EF4-FFF2-40B4-BE49-F238E27FC236}">
              <a16:creationId xmlns:a16="http://schemas.microsoft.com/office/drawing/2014/main" id="{00000000-0008-0000-0400-0000B0000000}"/>
            </a:ext>
          </a:extLst>
        </xdr:cNvPr>
        <xdr:cNvSpPr>
          <a:spLocks noChangeAspect="1"/>
        </xdr:cNvSpPr>
      </xdr:nvSpPr>
      <xdr:spPr>
        <a:xfrm>
          <a:off x="2930191" y="1070676"/>
          <a:ext cx="178216" cy="175174"/>
        </a:xfrm>
        <a:custGeom>
          <a:avLst/>
          <a:gdLst>
            <a:gd name="T0" fmla="*/ 12624 w 12857"/>
            <a:gd name="T1" fmla="*/ 11066 h 12859"/>
            <a:gd name="T2" fmla="*/ 10132 w 12857"/>
            <a:gd name="T3" fmla="*/ 8574 h 12859"/>
            <a:gd name="T4" fmla="*/ 9707 w 12857"/>
            <a:gd name="T5" fmla="*/ 8399 h 12859"/>
            <a:gd name="T6" fmla="*/ 9300 w 12857"/>
            <a:gd name="T7" fmla="*/ 8399 h 12859"/>
            <a:gd name="T8" fmla="*/ 10399 w 12857"/>
            <a:gd name="T9" fmla="*/ 5199 h 12859"/>
            <a:gd name="T10" fmla="*/ 5200 w 12857"/>
            <a:gd name="T11" fmla="*/ 0 h 12859"/>
            <a:gd name="T12" fmla="*/ 0 w 12857"/>
            <a:gd name="T13" fmla="*/ 5199 h 12859"/>
            <a:gd name="T14" fmla="*/ 5200 w 12857"/>
            <a:gd name="T15" fmla="*/ 10399 h 12859"/>
            <a:gd name="T16" fmla="*/ 8400 w 12857"/>
            <a:gd name="T17" fmla="*/ 9299 h 12859"/>
            <a:gd name="T18" fmla="*/ 8400 w 12857"/>
            <a:gd name="T19" fmla="*/ 9707 h 12859"/>
            <a:gd name="T20" fmla="*/ 8575 w 12857"/>
            <a:gd name="T21" fmla="*/ 10132 h 12859"/>
            <a:gd name="T22" fmla="*/ 11067 w 12857"/>
            <a:gd name="T23" fmla="*/ 12624 h 12859"/>
            <a:gd name="T24" fmla="*/ 11914 w 12857"/>
            <a:gd name="T25" fmla="*/ 12624 h 12859"/>
            <a:gd name="T26" fmla="*/ 12622 w 12857"/>
            <a:gd name="T27" fmla="*/ 11916 h 12859"/>
            <a:gd name="T28" fmla="*/ 12624 w 12857"/>
            <a:gd name="T29" fmla="*/ 11066 h 12859"/>
            <a:gd name="T30" fmla="*/ 5200 w 12857"/>
            <a:gd name="T31" fmla="*/ 8399 h 12859"/>
            <a:gd name="T32" fmla="*/ 2000 w 12857"/>
            <a:gd name="T33" fmla="*/ 5199 h 12859"/>
            <a:gd name="T34" fmla="*/ 5200 w 12857"/>
            <a:gd name="T35" fmla="*/ 2000 h 12859"/>
            <a:gd name="T36" fmla="*/ 8400 w 12857"/>
            <a:gd name="T37" fmla="*/ 5199 h 12859"/>
            <a:gd name="T38" fmla="*/ 5200 w 12857"/>
            <a:gd name="T39" fmla="*/ 8399 h 128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Lst>
          <a:rect l="0" t="0" r="r" b="b"/>
          <a:pathLst>
            <a:path w="12857" h="12859">
              <a:moveTo>
                <a:pt x="12624" y="11066"/>
              </a:moveTo>
              <a:lnTo>
                <a:pt x="10132" y="8574"/>
              </a:lnTo>
              <a:cubicBezTo>
                <a:pt x="10019" y="8462"/>
                <a:pt x="9867" y="8399"/>
                <a:pt x="9707" y="8399"/>
              </a:cubicBezTo>
              <a:lnTo>
                <a:pt x="9300" y="8399"/>
              </a:lnTo>
              <a:cubicBezTo>
                <a:pt x="9989" y="7517"/>
                <a:pt x="10399" y="6407"/>
                <a:pt x="10399" y="5199"/>
              </a:cubicBezTo>
              <a:cubicBezTo>
                <a:pt x="10399" y="2327"/>
                <a:pt x="8072" y="0"/>
                <a:pt x="5200" y="0"/>
              </a:cubicBezTo>
              <a:cubicBezTo>
                <a:pt x="2328" y="0"/>
                <a:pt x="0" y="2327"/>
                <a:pt x="0" y="5199"/>
              </a:cubicBezTo>
              <a:cubicBezTo>
                <a:pt x="0" y="8072"/>
                <a:pt x="2328" y="10399"/>
                <a:pt x="5200" y="10399"/>
              </a:cubicBezTo>
              <a:cubicBezTo>
                <a:pt x="6407" y="10399"/>
                <a:pt x="7517" y="9989"/>
                <a:pt x="8400" y="9299"/>
              </a:cubicBezTo>
              <a:lnTo>
                <a:pt x="8400" y="9707"/>
              </a:lnTo>
              <a:cubicBezTo>
                <a:pt x="8400" y="9867"/>
                <a:pt x="8462" y="10019"/>
                <a:pt x="8575" y="10132"/>
              </a:cubicBezTo>
              <a:lnTo>
                <a:pt x="11067" y="12624"/>
              </a:lnTo>
              <a:cubicBezTo>
                <a:pt x="11302" y="12859"/>
                <a:pt x="11682" y="12859"/>
                <a:pt x="11914" y="12624"/>
              </a:cubicBezTo>
              <a:lnTo>
                <a:pt x="12622" y="11916"/>
              </a:lnTo>
              <a:cubicBezTo>
                <a:pt x="12857" y="11681"/>
                <a:pt x="12857" y="11301"/>
                <a:pt x="12624" y="11066"/>
              </a:cubicBezTo>
              <a:close/>
              <a:moveTo>
                <a:pt x="5200" y="8399"/>
              </a:moveTo>
              <a:cubicBezTo>
                <a:pt x="3433" y="8399"/>
                <a:pt x="2000" y="6969"/>
                <a:pt x="2000" y="5199"/>
              </a:cubicBezTo>
              <a:cubicBezTo>
                <a:pt x="2000" y="3432"/>
                <a:pt x="3430" y="2000"/>
                <a:pt x="5200" y="2000"/>
              </a:cubicBezTo>
              <a:cubicBezTo>
                <a:pt x="6967" y="2000"/>
                <a:pt x="8400" y="3430"/>
                <a:pt x="8400" y="5199"/>
              </a:cubicBezTo>
              <a:cubicBezTo>
                <a:pt x="8400" y="6967"/>
                <a:pt x="6970" y="8399"/>
                <a:pt x="5200" y="8399"/>
              </a:cubicBezTo>
              <a:close/>
            </a:path>
          </a:pathLst>
        </a:cu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66763</xdr:colOff>
      <xdr:row>8</xdr:row>
      <xdr:rowOff>17363</xdr:rowOff>
    </xdr:from>
    <xdr:to>
      <xdr:col>4</xdr:col>
      <xdr:colOff>244979</xdr:colOff>
      <xdr:row>9</xdr:row>
      <xdr:rowOff>17363</xdr:rowOff>
    </xdr:to>
    <xdr:sp macro="" textlink="">
      <xdr:nvSpPr>
        <xdr:cNvPr id="183" name="iconfont-11790-5634346">
          <a:extLst>
            <a:ext uri="{FF2B5EF4-FFF2-40B4-BE49-F238E27FC236}">
              <a16:creationId xmlns:a16="http://schemas.microsoft.com/office/drawing/2014/main" id="{00000000-0008-0000-0400-0000B7000000}"/>
            </a:ext>
          </a:extLst>
        </xdr:cNvPr>
        <xdr:cNvSpPr>
          <a:spLocks noChangeAspect="1"/>
        </xdr:cNvSpPr>
      </xdr:nvSpPr>
      <xdr:spPr>
        <a:xfrm>
          <a:off x="2927912" y="1418742"/>
          <a:ext cx="178216" cy="175173"/>
        </a:xfrm>
        <a:custGeom>
          <a:avLst/>
          <a:gdLst>
            <a:gd name="T0" fmla="*/ 12624 w 12857"/>
            <a:gd name="T1" fmla="*/ 11066 h 12859"/>
            <a:gd name="T2" fmla="*/ 10132 w 12857"/>
            <a:gd name="T3" fmla="*/ 8574 h 12859"/>
            <a:gd name="T4" fmla="*/ 9707 w 12857"/>
            <a:gd name="T5" fmla="*/ 8399 h 12859"/>
            <a:gd name="T6" fmla="*/ 9300 w 12857"/>
            <a:gd name="T7" fmla="*/ 8399 h 12859"/>
            <a:gd name="T8" fmla="*/ 10399 w 12857"/>
            <a:gd name="T9" fmla="*/ 5199 h 12859"/>
            <a:gd name="T10" fmla="*/ 5200 w 12857"/>
            <a:gd name="T11" fmla="*/ 0 h 12859"/>
            <a:gd name="T12" fmla="*/ 0 w 12857"/>
            <a:gd name="T13" fmla="*/ 5199 h 12859"/>
            <a:gd name="T14" fmla="*/ 5200 w 12857"/>
            <a:gd name="T15" fmla="*/ 10399 h 12859"/>
            <a:gd name="T16" fmla="*/ 8400 w 12857"/>
            <a:gd name="T17" fmla="*/ 9299 h 12859"/>
            <a:gd name="T18" fmla="*/ 8400 w 12857"/>
            <a:gd name="T19" fmla="*/ 9707 h 12859"/>
            <a:gd name="T20" fmla="*/ 8575 w 12857"/>
            <a:gd name="T21" fmla="*/ 10132 h 12859"/>
            <a:gd name="T22" fmla="*/ 11067 w 12857"/>
            <a:gd name="T23" fmla="*/ 12624 h 12859"/>
            <a:gd name="T24" fmla="*/ 11914 w 12857"/>
            <a:gd name="T25" fmla="*/ 12624 h 12859"/>
            <a:gd name="T26" fmla="*/ 12622 w 12857"/>
            <a:gd name="T27" fmla="*/ 11916 h 12859"/>
            <a:gd name="T28" fmla="*/ 12624 w 12857"/>
            <a:gd name="T29" fmla="*/ 11066 h 12859"/>
            <a:gd name="T30" fmla="*/ 5200 w 12857"/>
            <a:gd name="T31" fmla="*/ 8399 h 12859"/>
            <a:gd name="T32" fmla="*/ 2000 w 12857"/>
            <a:gd name="T33" fmla="*/ 5199 h 12859"/>
            <a:gd name="T34" fmla="*/ 5200 w 12857"/>
            <a:gd name="T35" fmla="*/ 2000 h 12859"/>
            <a:gd name="T36" fmla="*/ 8400 w 12857"/>
            <a:gd name="T37" fmla="*/ 5199 h 12859"/>
            <a:gd name="T38" fmla="*/ 5200 w 12857"/>
            <a:gd name="T39" fmla="*/ 8399 h 128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Lst>
          <a:rect l="0" t="0" r="r" b="b"/>
          <a:pathLst>
            <a:path w="12857" h="12859">
              <a:moveTo>
                <a:pt x="12624" y="11066"/>
              </a:moveTo>
              <a:lnTo>
                <a:pt x="10132" y="8574"/>
              </a:lnTo>
              <a:cubicBezTo>
                <a:pt x="10019" y="8462"/>
                <a:pt x="9867" y="8399"/>
                <a:pt x="9707" y="8399"/>
              </a:cubicBezTo>
              <a:lnTo>
                <a:pt x="9300" y="8399"/>
              </a:lnTo>
              <a:cubicBezTo>
                <a:pt x="9989" y="7517"/>
                <a:pt x="10399" y="6407"/>
                <a:pt x="10399" y="5199"/>
              </a:cubicBezTo>
              <a:cubicBezTo>
                <a:pt x="10399" y="2327"/>
                <a:pt x="8072" y="0"/>
                <a:pt x="5200" y="0"/>
              </a:cubicBezTo>
              <a:cubicBezTo>
                <a:pt x="2328" y="0"/>
                <a:pt x="0" y="2327"/>
                <a:pt x="0" y="5199"/>
              </a:cubicBezTo>
              <a:cubicBezTo>
                <a:pt x="0" y="8072"/>
                <a:pt x="2328" y="10399"/>
                <a:pt x="5200" y="10399"/>
              </a:cubicBezTo>
              <a:cubicBezTo>
                <a:pt x="6407" y="10399"/>
                <a:pt x="7517" y="9989"/>
                <a:pt x="8400" y="9299"/>
              </a:cubicBezTo>
              <a:lnTo>
                <a:pt x="8400" y="9707"/>
              </a:lnTo>
              <a:cubicBezTo>
                <a:pt x="8400" y="9867"/>
                <a:pt x="8462" y="10019"/>
                <a:pt x="8575" y="10132"/>
              </a:cubicBezTo>
              <a:lnTo>
                <a:pt x="11067" y="12624"/>
              </a:lnTo>
              <a:cubicBezTo>
                <a:pt x="11302" y="12859"/>
                <a:pt x="11682" y="12859"/>
                <a:pt x="11914" y="12624"/>
              </a:cubicBezTo>
              <a:lnTo>
                <a:pt x="12622" y="11916"/>
              </a:lnTo>
              <a:cubicBezTo>
                <a:pt x="12857" y="11681"/>
                <a:pt x="12857" y="11301"/>
                <a:pt x="12624" y="11066"/>
              </a:cubicBezTo>
              <a:close/>
              <a:moveTo>
                <a:pt x="5200" y="8399"/>
              </a:moveTo>
              <a:cubicBezTo>
                <a:pt x="3433" y="8399"/>
                <a:pt x="2000" y="6969"/>
                <a:pt x="2000" y="5199"/>
              </a:cubicBezTo>
              <a:cubicBezTo>
                <a:pt x="2000" y="3432"/>
                <a:pt x="3430" y="2000"/>
                <a:pt x="5200" y="2000"/>
              </a:cubicBezTo>
              <a:cubicBezTo>
                <a:pt x="6967" y="2000"/>
                <a:pt x="8400" y="3430"/>
                <a:pt x="8400" y="5199"/>
              </a:cubicBezTo>
              <a:cubicBezTo>
                <a:pt x="8400" y="6967"/>
                <a:pt x="6970" y="8399"/>
                <a:pt x="5200" y="8399"/>
              </a:cubicBezTo>
              <a:close/>
            </a:path>
          </a:pathLst>
        </a:cu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56987</xdr:colOff>
      <xdr:row>17</xdr:row>
      <xdr:rowOff>170961</xdr:rowOff>
    </xdr:from>
    <xdr:to>
      <xdr:col>12</xdr:col>
      <xdr:colOff>235203</xdr:colOff>
      <xdr:row>19</xdr:row>
      <xdr:rowOff>8140</xdr:rowOff>
    </xdr:to>
    <xdr:sp macro="" textlink="">
      <xdr:nvSpPr>
        <xdr:cNvPr id="184" name="iconfont-11790-5634346">
          <a:extLst>
            <a:ext uri="{FF2B5EF4-FFF2-40B4-BE49-F238E27FC236}">
              <a16:creationId xmlns:a16="http://schemas.microsoft.com/office/drawing/2014/main" id="{00000000-0008-0000-0400-0000B8000000}"/>
            </a:ext>
          </a:extLst>
        </xdr:cNvPr>
        <xdr:cNvSpPr>
          <a:spLocks noChangeAspect="1"/>
        </xdr:cNvSpPr>
      </xdr:nvSpPr>
      <xdr:spPr>
        <a:xfrm>
          <a:off x="8458525" y="3557628"/>
          <a:ext cx="178216" cy="179102"/>
        </a:xfrm>
        <a:custGeom>
          <a:avLst/>
          <a:gdLst>
            <a:gd name="T0" fmla="*/ 12624 w 12857"/>
            <a:gd name="T1" fmla="*/ 11066 h 12859"/>
            <a:gd name="T2" fmla="*/ 10132 w 12857"/>
            <a:gd name="T3" fmla="*/ 8574 h 12859"/>
            <a:gd name="T4" fmla="*/ 9707 w 12857"/>
            <a:gd name="T5" fmla="*/ 8399 h 12859"/>
            <a:gd name="T6" fmla="*/ 9300 w 12857"/>
            <a:gd name="T7" fmla="*/ 8399 h 12859"/>
            <a:gd name="T8" fmla="*/ 10399 w 12857"/>
            <a:gd name="T9" fmla="*/ 5199 h 12859"/>
            <a:gd name="T10" fmla="*/ 5200 w 12857"/>
            <a:gd name="T11" fmla="*/ 0 h 12859"/>
            <a:gd name="T12" fmla="*/ 0 w 12857"/>
            <a:gd name="T13" fmla="*/ 5199 h 12859"/>
            <a:gd name="T14" fmla="*/ 5200 w 12857"/>
            <a:gd name="T15" fmla="*/ 10399 h 12859"/>
            <a:gd name="T16" fmla="*/ 8400 w 12857"/>
            <a:gd name="T17" fmla="*/ 9299 h 12859"/>
            <a:gd name="T18" fmla="*/ 8400 w 12857"/>
            <a:gd name="T19" fmla="*/ 9707 h 12859"/>
            <a:gd name="T20" fmla="*/ 8575 w 12857"/>
            <a:gd name="T21" fmla="*/ 10132 h 12859"/>
            <a:gd name="T22" fmla="*/ 11067 w 12857"/>
            <a:gd name="T23" fmla="*/ 12624 h 12859"/>
            <a:gd name="T24" fmla="*/ 11914 w 12857"/>
            <a:gd name="T25" fmla="*/ 12624 h 12859"/>
            <a:gd name="T26" fmla="*/ 12622 w 12857"/>
            <a:gd name="T27" fmla="*/ 11916 h 12859"/>
            <a:gd name="T28" fmla="*/ 12624 w 12857"/>
            <a:gd name="T29" fmla="*/ 11066 h 12859"/>
            <a:gd name="T30" fmla="*/ 5200 w 12857"/>
            <a:gd name="T31" fmla="*/ 8399 h 12859"/>
            <a:gd name="T32" fmla="*/ 2000 w 12857"/>
            <a:gd name="T33" fmla="*/ 5199 h 12859"/>
            <a:gd name="T34" fmla="*/ 5200 w 12857"/>
            <a:gd name="T35" fmla="*/ 2000 h 12859"/>
            <a:gd name="T36" fmla="*/ 8400 w 12857"/>
            <a:gd name="T37" fmla="*/ 5199 h 12859"/>
            <a:gd name="T38" fmla="*/ 5200 w 12857"/>
            <a:gd name="T39" fmla="*/ 8399 h 128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Lst>
          <a:rect l="0" t="0" r="r" b="b"/>
          <a:pathLst>
            <a:path w="12857" h="12859">
              <a:moveTo>
                <a:pt x="12624" y="11066"/>
              </a:moveTo>
              <a:lnTo>
                <a:pt x="10132" y="8574"/>
              </a:lnTo>
              <a:cubicBezTo>
                <a:pt x="10019" y="8462"/>
                <a:pt x="9867" y="8399"/>
                <a:pt x="9707" y="8399"/>
              </a:cubicBezTo>
              <a:lnTo>
                <a:pt x="9300" y="8399"/>
              </a:lnTo>
              <a:cubicBezTo>
                <a:pt x="9989" y="7517"/>
                <a:pt x="10399" y="6407"/>
                <a:pt x="10399" y="5199"/>
              </a:cubicBezTo>
              <a:cubicBezTo>
                <a:pt x="10399" y="2327"/>
                <a:pt x="8072" y="0"/>
                <a:pt x="5200" y="0"/>
              </a:cubicBezTo>
              <a:cubicBezTo>
                <a:pt x="2328" y="0"/>
                <a:pt x="0" y="2327"/>
                <a:pt x="0" y="5199"/>
              </a:cubicBezTo>
              <a:cubicBezTo>
                <a:pt x="0" y="8072"/>
                <a:pt x="2328" y="10399"/>
                <a:pt x="5200" y="10399"/>
              </a:cubicBezTo>
              <a:cubicBezTo>
                <a:pt x="6407" y="10399"/>
                <a:pt x="7517" y="9989"/>
                <a:pt x="8400" y="9299"/>
              </a:cubicBezTo>
              <a:lnTo>
                <a:pt x="8400" y="9707"/>
              </a:lnTo>
              <a:cubicBezTo>
                <a:pt x="8400" y="9867"/>
                <a:pt x="8462" y="10019"/>
                <a:pt x="8575" y="10132"/>
              </a:cubicBezTo>
              <a:lnTo>
                <a:pt x="11067" y="12624"/>
              </a:lnTo>
              <a:cubicBezTo>
                <a:pt x="11302" y="12859"/>
                <a:pt x="11682" y="12859"/>
                <a:pt x="11914" y="12624"/>
              </a:cubicBezTo>
              <a:lnTo>
                <a:pt x="12622" y="11916"/>
              </a:lnTo>
              <a:cubicBezTo>
                <a:pt x="12857" y="11681"/>
                <a:pt x="12857" y="11301"/>
                <a:pt x="12624" y="11066"/>
              </a:cubicBezTo>
              <a:close/>
              <a:moveTo>
                <a:pt x="5200" y="8399"/>
              </a:moveTo>
              <a:cubicBezTo>
                <a:pt x="3433" y="8399"/>
                <a:pt x="2000" y="6969"/>
                <a:pt x="2000" y="5199"/>
              </a:cubicBezTo>
              <a:cubicBezTo>
                <a:pt x="2000" y="3432"/>
                <a:pt x="3430" y="2000"/>
                <a:pt x="5200" y="2000"/>
              </a:cubicBezTo>
              <a:cubicBezTo>
                <a:pt x="6967" y="2000"/>
                <a:pt x="8400" y="3430"/>
                <a:pt x="8400" y="5199"/>
              </a:cubicBezTo>
              <a:cubicBezTo>
                <a:pt x="8400" y="6967"/>
                <a:pt x="6970" y="8399"/>
                <a:pt x="5200" y="8399"/>
              </a:cubicBezTo>
              <a:close/>
            </a:path>
          </a:pathLst>
        </a:cu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32564</xdr:colOff>
      <xdr:row>17</xdr:row>
      <xdr:rowOff>162820</xdr:rowOff>
    </xdr:from>
    <xdr:to>
      <xdr:col>15</xdr:col>
      <xdr:colOff>210780</xdr:colOff>
      <xdr:row>18</xdr:row>
      <xdr:rowOff>162820</xdr:rowOff>
    </xdr:to>
    <xdr:sp macro="" textlink="">
      <xdr:nvSpPr>
        <xdr:cNvPr id="185" name="iconfont-11790-5634346">
          <a:extLst>
            <a:ext uri="{FF2B5EF4-FFF2-40B4-BE49-F238E27FC236}">
              <a16:creationId xmlns:a16="http://schemas.microsoft.com/office/drawing/2014/main" id="{00000000-0008-0000-0400-0000B9000000}"/>
            </a:ext>
          </a:extLst>
        </xdr:cNvPr>
        <xdr:cNvSpPr>
          <a:spLocks noChangeAspect="1"/>
        </xdr:cNvSpPr>
      </xdr:nvSpPr>
      <xdr:spPr>
        <a:xfrm>
          <a:off x="11275320" y="3549487"/>
          <a:ext cx="178216" cy="179102"/>
        </a:xfrm>
        <a:custGeom>
          <a:avLst/>
          <a:gdLst>
            <a:gd name="T0" fmla="*/ 12624 w 12857"/>
            <a:gd name="T1" fmla="*/ 11066 h 12859"/>
            <a:gd name="T2" fmla="*/ 10132 w 12857"/>
            <a:gd name="T3" fmla="*/ 8574 h 12859"/>
            <a:gd name="T4" fmla="*/ 9707 w 12857"/>
            <a:gd name="T5" fmla="*/ 8399 h 12859"/>
            <a:gd name="T6" fmla="*/ 9300 w 12857"/>
            <a:gd name="T7" fmla="*/ 8399 h 12859"/>
            <a:gd name="T8" fmla="*/ 10399 w 12857"/>
            <a:gd name="T9" fmla="*/ 5199 h 12859"/>
            <a:gd name="T10" fmla="*/ 5200 w 12857"/>
            <a:gd name="T11" fmla="*/ 0 h 12859"/>
            <a:gd name="T12" fmla="*/ 0 w 12857"/>
            <a:gd name="T13" fmla="*/ 5199 h 12859"/>
            <a:gd name="T14" fmla="*/ 5200 w 12857"/>
            <a:gd name="T15" fmla="*/ 10399 h 12859"/>
            <a:gd name="T16" fmla="*/ 8400 w 12857"/>
            <a:gd name="T17" fmla="*/ 9299 h 12859"/>
            <a:gd name="T18" fmla="*/ 8400 w 12857"/>
            <a:gd name="T19" fmla="*/ 9707 h 12859"/>
            <a:gd name="T20" fmla="*/ 8575 w 12857"/>
            <a:gd name="T21" fmla="*/ 10132 h 12859"/>
            <a:gd name="T22" fmla="*/ 11067 w 12857"/>
            <a:gd name="T23" fmla="*/ 12624 h 12859"/>
            <a:gd name="T24" fmla="*/ 11914 w 12857"/>
            <a:gd name="T25" fmla="*/ 12624 h 12859"/>
            <a:gd name="T26" fmla="*/ 12622 w 12857"/>
            <a:gd name="T27" fmla="*/ 11916 h 12859"/>
            <a:gd name="T28" fmla="*/ 12624 w 12857"/>
            <a:gd name="T29" fmla="*/ 11066 h 12859"/>
            <a:gd name="T30" fmla="*/ 5200 w 12857"/>
            <a:gd name="T31" fmla="*/ 8399 h 12859"/>
            <a:gd name="T32" fmla="*/ 2000 w 12857"/>
            <a:gd name="T33" fmla="*/ 5199 h 12859"/>
            <a:gd name="T34" fmla="*/ 5200 w 12857"/>
            <a:gd name="T35" fmla="*/ 2000 h 12859"/>
            <a:gd name="T36" fmla="*/ 8400 w 12857"/>
            <a:gd name="T37" fmla="*/ 5199 h 12859"/>
            <a:gd name="T38" fmla="*/ 5200 w 12857"/>
            <a:gd name="T39" fmla="*/ 8399 h 128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Lst>
          <a:rect l="0" t="0" r="r" b="b"/>
          <a:pathLst>
            <a:path w="12857" h="12859">
              <a:moveTo>
                <a:pt x="12624" y="11066"/>
              </a:moveTo>
              <a:lnTo>
                <a:pt x="10132" y="8574"/>
              </a:lnTo>
              <a:cubicBezTo>
                <a:pt x="10019" y="8462"/>
                <a:pt x="9867" y="8399"/>
                <a:pt x="9707" y="8399"/>
              </a:cubicBezTo>
              <a:lnTo>
                <a:pt x="9300" y="8399"/>
              </a:lnTo>
              <a:cubicBezTo>
                <a:pt x="9989" y="7517"/>
                <a:pt x="10399" y="6407"/>
                <a:pt x="10399" y="5199"/>
              </a:cubicBezTo>
              <a:cubicBezTo>
                <a:pt x="10399" y="2327"/>
                <a:pt x="8072" y="0"/>
                <a:pt x="5200" y="0"/>
              </a:cubicBezTo>
              <a:cubicBezTo>
                <a:pt x="2328" y="0"/>
                <a:pt x="0" y="2327"/>
                <a:pt x="0" y="5199"/>
              </a:cubicBezTo>
              <a:cubicBezTo>
                <a:pt x="0" y="8072"/>
                <a:pt x="2328" y="10399"/>
                <a:pt x="5200" y="10399"/>
              </a:cubicBezTo>
              <a:cubicBezTo>
                <a:pt x="6407" y="10399"/>
                <a:pt x="7517" y="9989"/>
                <a:pt x="8400" y="9299"/>
              </a:cubicBezTo>
              <a:lnTo>
                <a:pt x="8400" y="9707"/>
              </a:lnTo>
              <a:cubicBezTo>
                <a:pt x="8400" y="9867"/>
                <a:pt x="8462" y="10019"/>
                <a:pt x="8575" y="10132"/>
              </a:cubicBezTo>
              <a:lnTo>
                <a:pt x="11067" y="12624"/>
              </a:lnTo>
              <a:cubicBezTo>
                <a:pt x="11302" y="12859"/>
                <a:pt x="11682" y="12859"/>
                <a:pt x="11914" y="12624"/>
              </a:cubicBezTo>
              <a:lnTo>
                <a:pt x="12622" y="11916"/>
              </a:lnTo>
              <a:cubicBezTo>
                <a:pt x="12857" y="11681"/>
                <a:pt x="12857" y="11301"/>
                <a:pt x="12624" y="11066"/>
              </a:cubicBezTo>
              <a:close/>
              <a:moveTo>
                <a:pt x="5200" y="8399"/>
              </a:moveTo>
              <a:cubicBezTo>
                <a:pt x="3433" y="8399"/>
                <a:pt x="2000" y="6969"/>
                <a:pt x="2000" y="5199"/>
              </a:cubicBezTo>
              <a:cubicBezTo>
                <a:pt x="2000" y="3432"/>
                <a:pt x="3430" y="2000"/>
                <a:pt x="5200" y="2000"/>
              </a:cubicBezTo>
              <a:cubicBezTo>
                <a:pt x="6967" y="2000"/>
                <a:pt x="8400" y="3430"/>
                <a:pt x="8400" y="5199"/>
              </a:cubicBezTo>
              <a:cubicBezTo>
                <a:pt x="8400" y="6967"/>
                <a:pt x="6970" y="8399"/>
                <a:pt x="5200" y="8399"/>
              </a:cubicBezTo>
              <a:close/>
            </a:path>
          </a:pathLst>
        </a:cu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25</xdr:col>
      <xdr:colOff>450117</xdr:colOff>
      <xdr:row>15</xdr:row>
      <xdr:rowOff>113188</xdr:rowOff>
    </xdr:from>
    <xdr:to>
      <xdr:col>25</xdr:col>
      <xdr:colOff>1002869</xdr:colOff>
      <xdr:row>17</xdr:row>
      <xdr:rowOff>16482</xdr:rowOff>
    </xdr:to>
    <xdr:sp macro="" textlink="Sales!Y61">
      <xdr:nvSpPr>
        <xdr:cNvPr id="197" name="TextBox 196">
          <a:extLst>
            <a:ext uri="{FF2B5EF4-FFF2-40B4-BE49-F238E27FC236}">
              <a16:creationId xmlns:a16="http://schemas.microsoft.com/office/drawing/2014/main" id="{00000000-0008-0000-0400-0000C5000000}"/>
            </a:ext>
          </a:extLst>
        </xdr:cNvPr>
        <xdr:cNvSpPr txBox="1"/>
      </xdr:nvSpPr>
      <xdr:spPr>
        <a:xfrm>
          <a:off x="14698203" y="3207171"/>
          <a:ext cx="552752" cy="2711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fld id="{54EA4FB0-F414-1A44-BD5F-E873B027E069}" type="TxLink">
            <a:rPr lang="en-US" sz="1100" b="0" i="0" u="none" strike="noStrike">
              <a:solidFill>
                <a:schemeClr val="accent2">
                  <a:lumMod val="60000"/>
                  <a:lumOff val="40000"/>
                </a:schemeClr>
              </a:solidFill>
              <a:latin typeface="Calibri"/>
              <a:cs typeface="Calibri"/>
            </a:rPr>
            <a:pPr algn="l"/>
            <a:t>0/40</a:t>
          </a:fld>
          <a:endParaRPr lang="en-GB" sz="1100" b="1">
            <a:solidFill>
              <a:schemeClr val="accent2">
                <a:lumMod val="60000"/>
                <a:lumOff val="40000"/>
              </a:schemeClr>
            </a:solidFill>
          </a:endParaRPr>
        </a:p>
      </xdr:txBody>
    </xdr:sp>
    <xdr:clientData/>
  </xdr:twoCellAnchor>
  <xdr:twoCellAnchor>
    <xdr:from>
      <xdr:col>25</xdr:col>
      <xdr:colOff>450117</xdr:colOff>
      <xdr:row>14</xdr:row>
      <xdr:rowOff>62338</xdr:rowOff>
    </xdr:from>
    <xdr:to>
      <xdr:col>25</xdr:col>
      <xdr:colOff>1017858</xdr:colOff>
      <xdr:row>15</xdr:row>
      <xdr:rowOff>137673</xdr:rowOff>
    </xdr:to>
    <xdr:sp macro="" textlink="Sales!Y60">
      <xdr:nvSpPr>
        <xdr:cNvPr id="208" name="TextBox 207">
          <a:extLst>
            <a:ext uri="{FF2B5EF4-FFF2-40B4-BE49-F238E27FC236}">
              <a16:creationId xmlns:a16="http://schemas.microsoft.com/office/drawing/2014/main" id="{00000000-0008-0000-0400-0000D0000000}"/>
            </a:ext>
          </a:extLst>
        </xdr:cNvPr>
        <xdr:cNvSpPr txBox="1"/>
      </xdr:nvSpPr>
      <xdr:spPr>
        <a:xfrm>
          <a:off x="14698203" y="2972390"/>
          <a:ext cx="567741" cy="259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fld id="{B0A71216-0AE0-624A-8C5A-D1D9C048C027}" type="TxLink">
            <a:rPr lang="en-US" sz="1100" b="0" i="0" u="none" strike="noStrike">
              <a:solidFill>
                <a:schemeClr val="accent2">
                  <a:lumMod val="40000"/>
                  <a:lumOff val="60000"/>
                </a:schemeClr>
              </a:solidFill>
              <a:latin typeface="Calibri"/>
              <a:cs typeface="Calibri"/>
            </a:rPr>
            <a:pPr algn="l"/>
            <a:t>0/40</a:t>
          </a:fld>
          <a:endParaRPr lang="en-GB" sz="1100" b="1">
            <a:solidFill>
              <a:schemeClr val="accent2">
                <a:lumMod val="40000"/>
                <a:lumOff val="60000"/>
              </a:schemeClr>
            </a:solidFill>
          </a:endParaRPr>
        </a:p>
      </xdr:txBody>
    </xdr:sp>
    <xdr:clientData/>
  </xdr:twoCellAnchor>
  <xdr:twoCellAnchor>
    <xdr:from>
      <xdr:col>25</xdr:col>
      <xdr:colOff>450117</xdr:colOff>
      <xdr:row>13</xdr:row>
      <xdr:rowOff>180635</xdr:rowOff>
    </xdr:from>
    <xdr:to>
      <xdr:col>25</xdr:col>
      <xdr:colOff>1063030</xdr:colOff>
      <xdr:row>14</xdr:row>
      <xdr:rowOff>86824</xdr:rowOff>
    </xdr:to>
    <xdr:sp macro="" textlink="Sales!Y59">
      <xdr:nvSpPr>
        <xdr:cNvPr id="218" name="TextBox 217">
          <a:extLst>
            <a:ext uri="{FF2B5EF4-FFF2-40B4-BE49-F238E27FC236}">
              <a16:creationId xmlns:a16="http://schemas.microsoft.com/office/drawing/2014/main" id="{00000000-0008-0000-0400-0000DA000000}"/>
            </a:ext>
          </a:extLst>
        </xdr:cNvPr>
        <xdr:cNvSpPr txBox="1"/>
      </xdr:nvSpPr>
      <xdr:spPr>
        <a:xfrm>
          <a:off x="14698203" y="2729394"/>
          <a:ext cx="612913" cy="2674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fld id="{778D596E-E6A7-D249-B985-100A3D65A83D}" type="TxLink">
            <a:rPr lang="en-US" sz="1100" b="0" i="0" u="none" strike="noStrike">
              <a:solidFill>
                <a:srgbClr val="3D8A56"/>
              </a:solidFill>
              <a:latin typeface="Calibri"/>
              <a:cs typeface="Calibri"/>
            </a:rPr>
            <a:pPr algn="l"/>
            <a:t>40/40</a:t>
          </a:fld>
          <a:endParaRPr lang="en-GB" sz="1100" b="1">
            <a:solidFill>
              <a:srgbClr val="3D8A56"/>
            </a:solidFill>
          </a:endParaRPr>
        </a:p>
      </xdr:txBody>
    </xdr:sp>
    <xdr:clientData/>
  </xdr:twoCellAnchor>
  <xdr:twoCellAnchor>
    <xdr:from>
      <xdr:col>10</xdr:col>
      <xdr:colOff>170164</xdr:colOff>
      <xdr:row>3</xdr:row>
      <xdr:rowOff>81657</xdr:rowOff>
    </xdr:from>
    <xdr:to>
      <xdr:col>11</xdr:col>
      <xdr:colOff>579139</xdr:colOff>
      <xdr:row>5</xdr:row>
      <xdr:rowOff>60914</xdr:rowOff>
    </xdr:to>
    <xdr:sp macro="" textlink="Financials!BO144">
      <xdr:nvSpPr>
        <xdr:cNvPr id="156" name="TextBox 155">
          <a:extLst>
            <a:ext uri="{FF2B5EF4-FFF2-40B4-BE49-F238E27FC236}">
              <a16:creationId xmlns:a16="http://schemas.microsoft.com/office/drawing/2014/main" id="{00000000-0008-0000-0400-00009C000000}"/>
            </a:ext>
          </a:extLst>
        </xdr:cNvPr>
        <xdr:cNvSpPr txBox="1"/>
      </xdr:nvSpPr>
      <xdr:spPr>
        <a:xfrm>
          <a:off x="6199489" y="624582"/>
          <a:ext cx="1218600" cy="3412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r"/>
          <a:fld id="{DAD4D4BB-E8C3-4425-B93B-F03E8698F143}" type="TxLink">
            <a:rPr lang="en-US" sz="1200" b="0" i="0" u="none" strike="noStrike">
              <a:solidFill>
                <a:schemeClr val="tx1">
                  <a:lumMod val="75000"/>
                  <a:lumOff val="25000"/>
                </a:schemeClr>
              </a:solidFill>
              <a:latin typeface="Arial Black" panose="020B0A04020102020204" pitchFamily="34" charset="0"/>
              <a:cs typeface="Calibri"/>
            </a:rPr>
            <a:pPr algn="r"/>
            <a:t> </a:t>
          </a:fld>
          <a:endParaRPr lang="en-GB" sz="1200">
            <a:solidFill>
              <a:schemeClr val="tx1">
                <a:lumMod val="75000"/>
                <a:lumOff val="25000"/>
              </a:schemeClr>
            </a:solidFill>
            <a:latin typeface="Arial Black" panose="020B0A04020102020204" pitchFamily="34" charset="0"/>
          </a:endParaRPr>
        </a:p>
      </xdr:txBody>
    </xdr:sp>
    <xdr:clientData/>
  </xdr:twoCellAnchor>
  <xdr:twoCellAnchor>
    <xdr:from>
      <xdr:col>9</xdr:col>
      <xdr:colOff>623796</xdr:colOff>
      <xdr:row>2</xdr:row>
      <xdr:rowOff>77677</xdr:rowOff>
    </xdr:from>
    <xdr:to>
      <xdr:col>11</xdr:col>
      <xdr:colOff>579139</xdr:colOff>
      <xdr:row>4</xdr:row>
      <xdr:rowOff>41493</xdr:rowOff>
    </xdr:to>
    <xdr:sp macro="" textlink="">
      <xdr:nvSpPr>
        <xdr:cNvPr id="157" name="TextBox 156">
          <a:extLst>
            <a:ext uri="{FF2B5EF4-FFF2-40B4-BE49-F238E27FC236}">
              <a16:creationId xmlns:a16="http://schemas.microsoft.com/office/drawing/2014/main" id="{00000000-0008-0000-0400-00009D000000}"/>
            </a:ext>
          </a:extLst>
        </xdr:cNvPr>
        <xdr:cNvSpPr txBox="1"/>
      </xdr:nvSpPr>
      <xdr:spPr>
        <a:xfrm>
          <a:off x="5995896" y="439627"/>
          <a:ext cx="1422193" cy="325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r>
            <a:rPr lang="en-GB" sz="1400">
              <a:solidFill>
                <a:schemeClr val="tx1">
                  <a:lumMod val="75000"/>
                  <a:lumOff val="25000"/>
                </a:schemeClr>
              </a:solidFill>
              <a:latin typeface="Arial Black" panose="020B0A04020102020204" pitchFamily="34" charset="0"/>
            </a:rPr>
            <a:t>R5</a:t>
          </a:r>
          <a:r>
            <a:rPr lang="en-GB" sz="1400" baseline="0">
              <a:solidFill>
                <a:schemeClr val="tx1">
                  <a:lumMod val="75000"/>
                  <a:lumOff val="25000"/>
                </a:schemeClr>
              </a:solidFill>
              <a:latin typeface="Arial Black" panose="020B0A04020102020204" pitchFamily="34" charset="0"/>
            </a:rPr>
            <a:t> PREDICT </a:t>
          </a:r>
          <a:endParaRPr lang="en-GB" sz="1400">
            <a:solidFill>
              <a:schemeClr val="tx1">
                <a:lumMod val="75000"/>
                <a:lumOff val="25000"/>
              </a:schemeClr>
            </a:solidFill>
            <a:latin typeface="Arial Black" panose="020B0A04020102020204" pitchFamily="34" charset="0"/>
          </a:endParaRPr>
        </a:p>
      </xdr:txBody>
    </xdr:sp>
    <xdr:clientData/>
  </xdr:twoCellAnchor>
  <xdr:twoCellAnchor>
    <xdr:from>
      <xdr:col>13</xdr:col>
      <xdr:colOff>539568</xdr:colOff>
      <xdr:row>3</xdr:row>
      <xdr:rowOff>79172</xdr:rowOff>
    </xdr:from>
    <xdr:to>
      <xdr:col>15</xdr:col>
      <xdr:colOff>145130</xdr:colOff>
      <xdr:row>5</xdr:row>
      <xdr:rowOff>58429</xdr:rowOff>
    </xdr:to>
    <xdr:sp macro="" textlink="Financials!C84">
      <xdr:nvSpPr>
        <xdr:cNvPr id="158" name="TextBox 157">
          <a:extLst>
            <a:ext uri="{FF2B5EF4-FFF2-40B4-BE49-F238E27FC236}">
              <a16:creationId xmlns:a16="http://schemas.microsoft.com/office/drawing/2014/main" id="{00000000-0008-0000-0400-00009E000000}"/>
            </a:ext>
          </a:extLst>
        </xdr:cNvPr>
        <xdr:cNvSpPr txBox="1"/>
      </xdr:nvSpPr>
      <xdr:spPr>
        <a:xfrm>
          <a:off x="9136916" y="625824"/>
          <a:ext cx="1220671" cy="343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r"/>
          <a:fld id="{FC490502-4B60-4140-9237-2E039BEFA835}" type="TxLink">
            <a:rPr lang="en-US" sz="1200" b="0" i="0" u="none" strike="noStrike">
              <a:solidFill>
                <a:schemeClr val="tx1">
                  <a:lumMod val="75000"/>
                  <a:lumOff val="25000"/>
                </a:schemeClr>
              </a:solidFill>
              <a:latin typeface="Arial Black" panose="020B0A04020102020204" pitchFamily="34" charset="0"/>
              <a:cs typeface="Calibri"/>
            </a:rPr>
            <a:pPr algn="r"/>
            <a:t> € 60,351.56 </a:t>
          </a:fld>
          <a:endParaRPr lang="en-GB" sz="1400">
            <a:solidFill>
              <a:schemeClr val="tx1">
                <a:lumMod val="75000"/>
                <a:lumOff val="25000"/>
              </a:schemeClr>
            </a:solidFill>
            <a:latin typeface="Arial Black" panose="020B0A04020102020204" pitchFamily="34" charset="0"/>
          </a:endParaRPr>
        </a:p>
      </xdr:txBody>
    </xdr:sp>
    <xdr:clientData/>
  </xdr:twoCellAnchor>
  <xdr:twoCellAnchor>
    <xdr:from>
      <xdr:col>13</xdr:col>
      <xdr:colOff>338874</xdr:colOff>
      <xdr:row>2</xdr:row>
      <xdr:rowOff>75192</xdr:rowOff>
    </xdr:from>
    <xdr:to>
      <xdr:col>15</xdr:col>
      <xdr:colOff>145130</xdr:colOff>
      <xdr:row>4</xdr:row>
      <xdr:rowOff>39008</xdr:rowOff>
    </xdr:to>
    <xdr:sp macro="" textlink="">
      <xdr:nvSpPr>
        <xdr:cNvPr id="159" name="TextBox 158">
          <a:extLst>
            <a:ext uri="{FF2B5EF4-FFF2-40B4-BE49-F238E27FC236}">
              <a16:creationId xmlns:a16="http://schemas.microsoft.com/office/drawing/2014/main" id="{00000000-0008-0000-0400-00009F000000}"/>
            </a:ext>
          </a:extLst>
        </xdr:cNvPr>
        <xdr:cNvSpPr txBox="1"/>
      </xdr:nvSpPr>
      <xdr:spPr>
        <a:xfrm>
          <a:off x="8936222" y="439627"/>
          <a:ext cx="1421365" cy="328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r>
            <a:rPr lang="en-GB" sz="1400">
              <a:solidFill>
                <a:schemeClr val="tx1">
                  <a:lumMod val="75000"/>
                  <a:lumOff val="25000"/>
                </a:schemeClr>
              </a:solidFill>
              <a:latin typeface="Arial Black" panose="020B0A04020102020204" pitchFamily="34" charset="0"/>
            </a:rPr>
            <a:t>R5</a:t>
          </a:r>
          <a:r>
            <a:rPr lang="en-GB" sz="1400" baseline="0">
              <a:solidFill>
                <a:schemeClr val="tx1">
                  <a:lumMod val="75000"/>
                  <a:lumOff val="25000"/>
                </a:schemeClr>
              </a:solidFill>
              <a:latin typeface="Arial Black" panose="020B0A04020102020204" pitchFamily="34" charset="0"/>
            </a:rPr>
            <a:t> PREDICT </a:t>
          </a:r>
          <a:endParaRPr lang="en-GB" sz="1400">
            <a:solidFill>
              <a:schemeClr val="tx1">
                <a:lumMod val="75000"/>
                <a:lumOff val="25000"/>
              </a:schemeClr>
            </a:solidFill>
            <a:latin typeface="Arial Black" panose="020B0A04020102020204" pitchFamily="34" charset="0"/>
          </a:endParaRPr>
        </a:p>
      </xdr:txBody>
    </xdr:sp>
    <xdr:clientData/>
  </xdr:twoCellAnchor>
  <xdr:twoCellAnchor>
    <xdr:from>
      <xdr:col>19</xdr:col>
      <xdr:colOff>435207</xdr:colOff>
      <xdr:row>3</xdr:row>
      <xdr:rowOff>65919</xdr:rowOff>
    </xdr:from>
    <xdr:to>
      <xdr:col>21</xdr:col>
      <xdr:colOff>239552</xdr:colOff>
      <xdr:row>5</xdr:row>
      <xdr:rowOff>45176</xdr:rowOff>
    </xdr:to>
    <xdr:sp macro="" textlink="Financials!C85">
      <xdr:nvSpPr>
        <xdr:cNvPr id="160" name="TextBox 159">
          <a:extLst>
            <a:ext uri="{FF2B5EF4-FFF2-40B4-BE49-F238E27FC236}">
              <a16:creationId xmlns:a16="http://schemas.microsoft.com/office/drawing/2014/main" id="{00000000-0008-0000-0400-0000A0000000}"/>
            </a:ext>
          </a:extLst>
        </xdr:cNvPr>
        <xdr:cNvSpPr txBox="1"/>
      </xdr:nvSpPr>
      <xdr:spPr>
        <a:xfrm>
          <a:off x="11699555" y="612571"/>
          <a:ext cx="1220671" cy="343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r"/>
          <a:fld id="{E95390E7-4136-4547-8A09-D3F6C020D8A3}" type="TxLink">
            <a:rPr lang="en-US" sz="1200" b="0" i="0" u="none" strike="noStrike">
              <a:solidFill>
                <a:schemeClr val="tx1">
                  <a:lumMod val="75000"/>
                  <a:lumOff val="25000"/>
                </a:schemeClr>
              </a:solidFill>
              <a:latin typeface="Arial Black" panose="020B0A04020102020204" pitchFamily="34" charset="0"/>
              <a:cs typeface="Calibri"/>
            </a:rPr>
            <a:pPr algn="r"/>
            <a:t> € 44,234.57 </a:t>
          </a:fld>
          <a:endParaRPr lang="en-GB" sz="1600">
            <a:solidFill>
              <a:schemeClr val="tx1">
                <a:lumMod val="75000"/>
                <a:lumOff val="25000"/>
              </a:schemeClr>
            </a:solidFill>
            <a:latin typeface="Arial Black" panose="020B0A04020102020204" pitchFamily="34" charset="0"/>
          </a:endParaRPr>
        </a:p>
      </xdr:txBody>
    </xdr:sp>
    <xdr:clientData/>
  </xdr:twoCellAnchor>
  <xdr:twoCellAnchor>
    <xdr:from>
      <xdr:col>19</xdr:col>
      <xdr:colOff>234513</xdr:colOff>
      <xdr:row>2</xdr:row>
      <xdr:rowOff>61939</xdr:rowOff>
    </xdr:from>
    <xdr:to>
      <xdr:col>21</xdr:col>
      <xdr:colOff>239552</xdr:colOff>
      <xdr:row>4</xdr:row>
      <xdr:rowOff>25755</xdr:rowOff>
    </xdr:to>
    <xdr:sp macro="" textlink="">
      <xdr:nvSpPr>
        <xdr:cNvPr id="161" name="TextBox 160">
          <a:extLst>
            <a:ext uri="{FF2B5EF4-FFF2-40B4-BE49-F238E27FC236}">
              <a16:creationId xmlns:a16="http://schemas.microsoft.com/office/drawing/2014/main" id="{00000000-0008-0000-0400-0000A1000000}"/>
            </a:ext>
          </a:extLst>
        </xdr:cNvPr>
        <xdr:cNvSpPr txBox="1"/>
      </xdr:nvSpPr>
      <xdr:spPr>
        <a:xfrm>
          <a:off x="11498861" y="426374"/>
          <a:ext cx="1421365" cy="328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r>
            <a:rPr lang="en-GB" sz="1400">
              <a:solidFill>
                <a:schemeClr val="tx1">
                  <a:lumMod val="75000"/>
                  <a:lumOff val="25000"/>
                </a:schemeClr>
              </a:solidFill>
              <a:latin typeface="Arial Black" panose="020B0A04020102020204" pitchFamily="34" charset="0"/>
            </a:rPr>
            <a:t>R5</a:t>
          </a:r>
          <a:r>
            <a:rPr lang="en-GB" sz="1400" baseline="0">
              <a:solidFill>
                <a:schemeClr val="tx1">
                  <a:lumMod val="75000"/>
                  <a:lumOff val="25000"/>
                </a:schemeClr>
              </a:solidFill>
              <a:latin typeface="Arial Black" panose="020B0A04020102020204" pitchFamily="34" charset="0"/>
            </a:rPr>
            <a:t> PREDICT </a:t>
          </a:r>
          <a:endParaRPr lang="en-GB" sz="1400">
            <a:solidFill>
              <a:schemeClr val="tx1">
                <a:lumMod val="75000"/>
                <a:lumOff val="25000"/>
              </a:schemeClr>
            </a:solidFill>
            <a:latin typeface="Arial Black" panose="020B0A04020102020204" pitchFamily="34" charset="0"/>
          </a:endParaRPr>
        </a:p>
      </xdr:txBody>
    </xdr:sp>
    <xdr:clientData/>
  </xdr:twoCellAnchor>
  <xdr:twoCellAnchor>
    <xdr:from>
      <xdr:col>24</xdr:col>
      <xdr:colOff>471651</xdr:colOff>
      <xdr:row>3</xdr:row>
      <xdr:rowOff>60949</xdr:rowOff>
    </xdr:from>
    <xdr:to>
      <xdr:col>25</xdr:col>
      <xdr:colOff>1079409</xdr:colOff>
      <xdr:row>5</xdr:row>
      <xdr:rowOff>40206</xdr:rowOff>
    </xdr:to>
    <xdr:sp macro="" textlink="Financials!D86">
      <xdr:nvSpPr>
        <xdr:cNvPr id="162" name="TextBox 161">
          <a:extLst>
            <a:ext uri="{FF2B5EF4-FFF2-40B4-BE49-F238E27FC236}">
              <a16:creationId xmlns:a16="http://schemas.microsoft.com/office/drawing/2014/main" id="{00000000-0008-0000-0400-0000A2000000}"/>
            </a:ext>
          </a:extLst>
        </xdr:cNvPr>
        <xdr:cNvSpPr txBox="1"/>
      </xdr:nvSpPr>
      <xdr:spPr>
        <a:xfrm>
          <a:off x="14378151" y="607601"/>
          <a:ext cx="1220671" cy="343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r"/>
          <a:fld id="{D3C2F927-3D9B-40D7-9A1E-04B26F59B9EE}" type="TxLink">
            <a:rPr lang="en-US" sz="1200" b="0" i="0" u="none" strike="noStrike">
              <a:solidFill>
                <a:schemeClr val="tx1">
                  <a:lumMod val="75000"/>
                  <a:lumOff val="25000"/>
                </a:schemeClr>
              </a:solidFill>
              <a:latin typeface="Arial Black" panose="020B0A04020102020204" pitchFamily="34" charset="0"/>
              <a:cs typeface="Calibri"/>
            </a:rPr>
            <a:pPr algn="r"/>
            <a:t>27%</a:t>
          </a:fld>
          <a:endParaRPr lang="en-GB" sz="1800">
            <a:solidFill>
              <a:schemeClr val="tx1">
                <a:lumMod val="75000"/>
                <a:lumOff val="25000"/>
              </a:schemeClr>
            </a:solidFill>
            <a:latin typeface="Arial Black" panose="020B0A04020102020204" pitchFamily="34" charset="0"/>
          </a:endParaRPr>
        </a:p>
      </xdr:txBody>
    </xdr:sp>
    <xdr:clientData/>
  </xdr:twoCellAnchor>
  <xdr:twoCellAnchor>
    <xdr:from>
      <xdr:col>24</xdr:col>
      <xdr:colOff>270957</xdr:colOff>
      <xdr:row>2</xdr:row>
      <xdr:rowOff>56969</xdr:rowOff>
    </xdr:from>
    <xdr:to>
      <xdr:col>25</xdr:col>
      <xdr:colOff>1079409</xdr:colOff>
      <xdr:row>4</xdr:row>
      <xdr:rowOff>20785</xdr:rowOff>
    </xdr:to>
    <xdr:sp macro="" textlink="">
      <xdr:nvSpPr>
        <xdr:cNvPr id="163" name="TextBox 162">
          <a:extLst>
            <a:ext uri="{FF2B5EF4-FFF2-40B4-BE49-F238E27FC236}">
              <a16:creationId xmlns:a16="http://schemas.microsoft.com/office/drawing/2014/main" id="{00000000-0008-0000-0400-0000A3000000}"/>
            </a:ext>
          </a:extLst>
        </xdr:cNvPr>
        <xdr:cNvSpPr txBox="1"/>
      </xdr:nvSpPr>
      <xdr:spPr>
        <a:xfrm>
          <a:off x="14177457" y="421404"/>
          <a:ext cx="1421365" cy="328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r>
            <a:rPr lang="en-GB" sz="1400">
              <a:solidFill>
                <a:schemeClr val="tx1">
                  <a:lumMod val="75000"/>
                  <a:lumOff val="25000"/>
                </a:schemeClr>
              </a:solidFill>
              <a:latin typeface="Arial Black" panose="020B0A04020102020204" pitchFamily="34" charset="0"/>
            </a:rPr>
            <a:t>R5</a:t>
          </a:r>
          <a:r>
            <a:rPr lang="en-GB" sz="1400" baseline="0">
              <a:solidFill>
                <a:schemeClr val="tx1">
                  <a:lumMod val="75000"/>
                  <a:lumOff val="25000"/>
                </a:schemeClr>
              </a:solidFill>
              <a:latin typeface="Arial Black" panose="020B0A04020102020204" pitchFamily="34" charset="0"/>
            </a:rPr>
            <a:t> PREDICT </a:t>
          </a:r>
          <a:endParaRPr lang="en-GB" sz="1400">
            <a:solidFill>
              <a:schemeClr val="tx1">
                <a:lumMod val="75000"/>
                <a:lumOff val="25000"/>
              </a:schemeClr>
            </a:solidFill>
            <a:latin typeface="Arial Black" panose="020B0A04020102020204" pitchFamily="34" charset="0"/>
          </a:endParaRPr>
        </a:p>
      </xdr:txBody>
    </xdr:sp>
    <xdr:clientData/>
  </xdr:twoCellAnchor>
  <xdr:twoCellAnchor>
    <xdr:from>
      <xdr:col>23</xdr:col>
      <xdr:colOff>86933</xdr:colOff>
      <xdr:row>7</xdr:row>
      <xdr:rowOff>78440</xdr:rowOff>
    </xdr:from>
    <xdr:to>
      <xdr:col>25</xdr:col>
      <xdr:colOff>82982</xdr:colOff>
      <xdr:row>11</xdr:row>
      <xdr:rowOff>69237</xdr:rowOff>
    </xdr:to>
    <xdr:sp macro="" textlink="">
      <xdr:nvSpPr>
        <xdr:cNvPr id="186" name="TextBox 185">
          <a:extLst>
            <a:ext uri="{FF2B5EF4-FFF2-40B4-BE49-F238E27FC236}">
              <a16:creationId xmlns:a16="http://schemas.microsoft.com/office/drawing/2014/main" id="{00000000-0008-0000-0400-0000BA000000}"/>
            </a:ext>
          </a:extLst>
        </xdr:cNvPr>
        <xdr:cNvSpPr txBox="1"/>
      </xdr:nvSpPr>
      <xdr:spPr>
        <a:xfrm>
          <a:off x="13321080" y="1333499"/>
          <a:ext cx="1206284" cy="707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400">
              <a:solidFill>
                <a:schemeClr val="tx1">
                  <a:lumMod val="75000"/>
                  <a:lumOff val="25000"/>
                </a:schemeClr>
              </a:solidFill>
              <a:latin typeface="Arial Black" panose="020B0A04020102020204" pitchFamily="34" charset="0"/>
            </a:rPr>
            <a:t>PROFIT</a:t>
          </a:r>
          <a:r>
            <a:rPr lang="en-GB" sz="1400" baseline="0">
              <a:solidFill>
                <a:schemeClr val="tx1">
                  <a:lumMod val="75000"/>
                  <a:lumOff val="25000"/>
                </a:schemeClr>
              </a:solidFill>
              <a:latin typeface="Arial Black" panose="020B0A04020102020204" pitchFamily="34" charset="0"/>
            </a:rPr>
            <a:t> MARGIN</a:t>
          </a:r>
          <a:endParaRPr lang="en-GB" sz="1400">
            <a:solidFill>
              <a:schemeClr val="tx1">
                <a:lumMod val="75000"/>
                <a:lumOff val="25000"/>
              </a:schemeClr>
            </a:solidFill>
            <a:latin typeface="Arial Black" panose="020B0A04020102020204" pitchFamily="34" charset="0"/>
          </a:endParaRPr>
        </a:p>
      </xdr:txBody>
    </xdr:sp>
    <xdr:clientData/>
  </xdr:twoCellAnchor>
  <xdr:twoCellAnchor>
    <xdr:from>
      <xdr:col>0</xdr:col>
      <xdr:colOff>517771</xdr:colOff>
      <xdr:row>1</xdr:row>
      <xdr:rowOff>43794</xdr:rowOff>
    </xdr:from>
    <xdr:to>
      <xdr:col>1</xdr:col>
      <xdr:colOff>642299</xdr:colOff>
      <xdr:row>3</xdr:row>
      <xdr:rowOff>43296</xdr:rowOff>
    </xdr:to>
    <xdr:sp macro="" textlink="">
      <xdr:nvSpPr>
        <xdr:cNvPr id="164" name="Rectangle 163">
          <a:extLst>
            <a:ext uri="{FF2B5EF4-FFF2-40B4-BE49-F238E27FC236}">
              <a16:creationId xmlns:a16="http://schemas.microsoft.com/office/drawing/2014/main" id="{00000000-0008-0000-0400-0000A4000000}"/>
            </a:ext>
          </a:extLst>
        </xdr:cNvPr>
        <xdr:cNvSpPr/>
      </xdr:nvSpPr>
      <xdr:spPr>
        <a:xfrm>
          <a:off x="517771" y="218966"/>
          <a:ext cx="825218" cy="349847"/>
        </a:xfrm>
        <a:prstGeom prst="rect">
          <a:avLst/>
        </a:prstGeom>
        <a:solidFill>
          <a:srgbClr val="3D8A5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a:solidFill>
                <a:srgbClr val="EDEADB"/>
              </a:solidFill>
              <a:latin typeface="Arial Black" panose="020B0A04020102020204" pitchFamily="34" charset="0"/>
            </a:rPr>
            <a:t>FILTER </a:t>
          </a:r>
        </a:p>
      </xdr:txBody>
    </xdr:sp>
    <xdr:clientData/>
  </xdr:twoCellAnchor>
  <xdr:twoCellAnchor>
    <xdr:from>
      <xdr:col>7</xdr:col>
      <xdr:colOff>313107</xdr:colOff>
      <xdr:row>24</xdr:row>
      <xdr:rowOff>119516</xdr:rowOff>
    </xdr:from>
    <xdr:to>
      <xdr:col>9</xdr:col>
      <xdr:colOff>410764</xdr:colOff>
      <xdr:row>30</xdr:row>
      <xdr:rowOff>44155</xdr:rowOff>
    </xdr:to>
    <xdr:grpSp>
      <xdr:nvGrpSpPr>
        <xdr:cNvPr id="30" name="Group 29">
          <a:extLst>
            <a:ext uri="{FF2B5EF4-FFF2-40B4-BE49-F238E27FC236}">
              <a16:creationId xmlns:a16="http://schemas.microsoft.com/office/drawing/2014/main" id="{00000000-0008-0000-0400-00001E000000}"/>
            </a:ext>
          </a:extLst>
        </xdr:cNvPr>
        <xdr:cNvGrpSpPr/>
      </xdr:nvGrpSpPr>
      <xdr:grpSpPr>
        <a:xfrm>
          <a:off x="5028164" y="4659401"/>
          <a:ext cx="1528232" cy="975674"/>
          <a:chOff x="4294029" y="4702342"/>
          <a:chExt cx="1346578" cy="1008457"/>
        </a:xfrm>
      </xdr:grpSpPr>
      <xdr:grpSp>
        <xdr:nvGrpSpPr>
          <xdr:cNvPr id="122" name="Group 121">
            <a:extLst>
              <a:ext uri="{FF2B5EF4-FFF2-40B4-BE49-F238E27FC236}">
                <a16:creationId xmlns:a16="http://schemas.microsoft.com/office/drawing/2014/main" id="{00000000-0008-0000-0400-00007A000000}"/>
              </a:ext>
            </a:extLst>
          </xdr:cNvPr>
          <xdr:cNvGrpSpPr/>
        </xdr:nvGrpSpPr>
        <xdr:grpSpPr>
          <a:xfrm>
            <a:off x="4294029" y="5103348"/>
            <a:ext cx="1346578" cy="607451"/>
            <a:chOff x="7547103" y="38889824"/>
            <a:chExt cx="4619257" cy="891586"/>
          </a:xfrm>
        </xdr:grpSpPr>
        <xdr:sp macro="" textlink="Sales!L165">
          <xdr:nvSpPr>
            <xdr:cNvPr id="124" name="TextBox 123">
              <a:extLst>
                <a:ext uri="{FF2B5EF4-FFF2-40B4-BE49-F238E27FC236}">
                  <a16:creationId xmlns:a16="http://schemas.microsoft.com/office/drawing/2014/main" id="{00000000-0008-0000-0400-00007C000000}"/>
                </a:ext>
              </a:extLst>
            </xdr:cNvPr>
            <xdr:cNvSpPr txBox="1"/>
          </xdr:nvSpPr>
          <xdr:spPr>
            <a:xfrm>
              <a:off x="8875413" y="38889824"/>
              <a:ext cx="1864180" cy="4317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2FE698AC-7DF8-424E-B516-B308664BA78B}" type="TxLink">
                <a:rPr lang="en-US" sz="1050" b="0" i="0" u="none" strike="noStrike">
                  <a:solidFill>
                    <a:schemeClr val="tx1">
                      <a:lumMod val="75000"/>
                      <a:lumOff val="25000"/>
                    </a:schemeClr>
                  </a:solidFill>
                  <a:latin typeface="Arial Black" panose="020B0A04020102020204" pitchFamily="34" charset="0"/>
                  <a:cs typeface="Calibri"/>
                </a:rPr>
                <a:pPr algn="ctr"/>
                <a:t>Milk</a:t>
              </a:fld>
              <a:endParaRPr lang="en-GB" sz="1050">
                <a:solidFill>
                  <a:schemeClr val="tx1">
                    <a:lumMod val="75000"/>
                    <a:lumOff val="25000"/>
                  </a:schemeClr>
                </a:solidFill>
                <a:latin typeface="Arial Black" panose="020B0A04020102020204" pitchFamily="34" charset="0"/>
              </a:endParaRPr>
            </a:p>
          </xdr:txBody>
        </xdr:sp>
        <xdr:sp macro="" textlink="">
          <xdr:nvSpPr>
            <xdr:cNvPr id="125" name="TextBox 124">
              <a:extLst>
                <a:ext uri="{FF2B5EF4-FFF2-40B4-BE49-F238E27FC236}">
                  <a16:creationId xmlns:a16="http://schemas.microsoft.com/office/drawing/2014/main" id="{00000000-0008-0000-0400-00007D000000}"/>
                </a:ext>
              </a:extLst>
            </xdr:cNvPr>
            <xdr:cNvSpPr txBox="1"/>
          </xdr:nvSpPr>
          <xdr:spPr>
            <a:xfrm>
              <a:off x="7547103" y="39070421"/>
              <a:ext cx="4619257" cy="5891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800" b="0" i="0" u="none" strike="noStrike" baseline="0">
                  <a:solidFill>
                    <a:schemeClr val="tx1">
                      <a:lumMod val="75000"/>
                      <a:lumOff val="25000"/>
                    </a:schemeClr>
                  </a:solidFill>
                  <a:latin typeface="Arial Black" panose="020B0A04020102020204" pitchFamily="34" charset="0"/>
                  <a:cs typeface="Calibri"/>
                </a:rPr>
                <a:t>MIN UNIT COST</a:t>
              </a:r>
              <a:endParaRPr lang="en-US" sz="800" b="0" i="0" u="none" strike="noStrike">
                <a:solidFill>
                  <a:schemeClr val="tx1">
                    <a:lumMod val="75000"/>
                    <a:lumOff val="25000"/>
                  </a:schemeClr>
                </a:solidFill>
                <a:latin typeface="Arial Black" panose="020B0A04020102020204" pitchFamily="34" charset="0"/>
                <a:cs typeface="Calibri"/>
              </a:endParaRPr>
            </a:p>
          </xdr:txBody>
        </xdr:sp>
        <xdr:sp macro="" textlink="Sales!$L$164">
          <xdr:nvSpPr>
            <xdr:cNvPr id="126" name="TextBox 125">
              <a:extLst>
                <a:ext uri="{FF2B5EF4-FFF2-40B4-BE49-F238E27FC236}">
                  <a16:creationId xmlns:a16="http://schemas.microsoft.com/office/drawing/2014/main" id="{00000000-0008-0000-0400-00007E000000}"/>
                </a:ext>
              </a:extLst>
            </xdr:cNvPr>
            <xdr:cNvSpPr txBox="1"/>
          </xdr:nvSpPr>
          <xdr:spPr>
            <a:xfrm>
              <a:off x="8499268" y="39418898"/>
              <a:ext cx="2425343" cy="3625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41DAEB78-8021-4667-9551-294D22FFFF4F}" type="TxLink">
                <a:rPr lang="en-US" sz="800" b="0" i="0" u="none" strike="noStrike">
                  <a:solidFill>
                    <a:schemeClr val="tx1">
                      <a:lumMod val="75000"/>
                      <a:lumOff val="25000"/>
                    </a:schemeClr>
                  </a:solidFill>
                  <a:latin typeface="Arial Black" panose="020B0A04020102020204" pitchFamily="34" charset="0"/>
                  <a:cs typeface="Calibri"/>
                </a:rPr>
                <a:pPr algn="ctr"/>
                <a:t> € 23.16 </a:t>
              </a:fld>
              <a:endParaRPr lang="en-US" sz="800" b="0" i="0" u="none" strike="noStrike">
                <a:solidFill>
                  <a:schemeClr val="tx1">
                    <a:lumMod val="75000"/>
                    <a:lumOff val="25000"/>
                  </a:schemeClr>
                </a:solidFill>
                <a:latin typeface="Arial Black" panose="020B0A04020102020204" pitchFamily="34" charset="0"/>
                <a:cs typeface="Calibri"/>
              </a:endParaRPr>
            </a:p>
          </xdr:txBody>
        </xdr:sp>
      </xdr:grpSp>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l="6848" t="11166" r="67707" b="7670"/>
          <a:stretch/>
        </xdr:blipFill>
        <xdr:spPr>
          <a:xfrm>
            <a:off x="4820788" y="4702342"/>
            <a:ext cx="264356" cy="420418"/>
          </a:xfrm>
          <a:prstGeom prst="rect">
            <a:avLst/>
          </a:prstGeom>
        </xdr:spPr>
      </xdr:pic>
    </xdr:grpSp>
    <xdr:clientData/>
  </xdr:twoCellAnchor>
  <xdr:twoCellAnchor>
    <xdr:from>
      <xdr:col>5</xdr:col>
      <xdr:colOff>48563</xdr:colOff>
      <xdr:row>24</xdr:row>
      <xdr:rowOff>87729</xdr:rowOff>
    </xdr:from>
    <xdr:to>
      <xdr:col>8</xdr:col>
      <xdr:colOff>51938</xdr:colOff>
      <xdr:row>30</xdr:row>
      <xdr:rowOff>63097</xdr:rowOff>
    </xdr:to>
    <xdr:grpSp>
      <xdr:nvGrpSpPr>
        <xdr:cNvPr id="29" name="Group 28">
          <a:extLst>
            <a:ext uri="{FF2B5EF4-FFF2-40B4-BE49-F238E27FC236}">
              <a16:creationId xmlns:a16="http://schemas.microsoft.com/office/drawing/2014/main" id="{00000000-0008-0000-0400-00001D000000}"/>
            </a:ext>
          </a:extLst>
        </xdr:cNvPr>
        <xdr:cNvGrpSpPr/>
      </xdr:nvGrpSpPr>
      <xdr:grpSpPr>
        <a:xfrm>
          <a:off x="3785574" y="4627614"/>
          <a:ext cx="1769697" cy="1026403"/>
          <a:chOff x="3116615" y="4667250"/>
          <a:chExt cx="1547428" cy="1058953"/>
        </a:xfrm>
      </xdr:grpSpPr>
      <xdr:grpSp>
        <xdr:nvGrpSpPr>
          <xdr:cNvPr id="116" name="Group 115">
            <a:extLst>
              <a:ext uri="{FF2B5EF4-FFF2-40B4-BE49-F238E27FC236}">
                <a16:creationId xmlns:a16="http://schemas.microsoft.com/office/drawing/2014/main" id="{00000000-0008-0000-0400-000074000000}"/>
              </a:ext>
            </a:extLst>
          </xdr:cNvPr>
          <xdr:cNvGrpSpPr/>
        </xdr:nvGrpSpPr>
        <xdr:grpSpPr>
          <a:xfrm>
            <a:off x="3116615" y="5086563"/>
            <a:ext cx="1547428" cy="639640"/>
            <a:chOff x="7813516" y="38887850"/>
            <a:chExt cx="3212681" cy="949537"/>
          </a:xfrm>
        </xdr:grpSpPr>
        <xdr:sp macro="" textlink="Sales!K165">
          <xdr:nvSpPr>
            <xdr:cNvPr id="118" name="TextBox 117">
              <a:extLst>
                <a:ext uri="{FF2B5EF4-FFF2-40B4-BE49-F238E27FC236}">
                  <a16:creationId xmlns:a16="http://schemas.microsoft.com/office/drawing/2014/main" id="{00000000-0008-0000-0400-000076000000}"/>
                </a:ext>
              </a:extLst>
            </xdr:cNvPr>
            <xdr:cNvSpPr txBox="1"/>
          </xdr:nvSpPr>
          <xdr:spPr>
            <a:xfrm>
              <a:off x="8425178" y="38887850"/>
              <a:ext cx="1864176" cy="4357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19F8AAA0-0B9E-4961-AFF5-B7BD552C72D5}" type="TxLink">
                <a:rPr lang="en-US" sz="1050" b="0" i="0" u="none" strike="noStrike">
                  <a:solidFill>
                    <a:schemeClr val="tx1">
                      <a:lumMod val="75000"/>
                      <a:lumOff val="25000"/>
                    </a:schemeClr>
                  </a:solidFill>
                  <a:latin typeface="Arial Black" panose="020B0A04020102020204" pitchFamily="34" charset="0"/>
                  <a:cs typeface="Calibri"/>
                </a:rPr>
                <a:pPr algn="ctr"/>
                <a:t>Yoghurt</a:t>
              </a:fld>
              <a:endParaRPr lang="en-GB" sz="1050">
                <a:solidFill>
                  <a:schemeClr val="tx1">
                    <a:lumMod val="75000"/>
                    <a:lumOff val="25000"/>
                  </a:schemeClr>
                </a:solidFill>
                <a:latin typeface="Arial Black" panose="020B0A04020102020204" pitchFamily="34" charset="0"/>
              </a:endParaRPr>
            </a:p>
          </xdr:txBody>
        </xdr:sp>
        <xdr:sp macro="" textlink="">
          <xdr:nvSpPr>
            <xdr:cNvPr id="119" name="TextBox 118">
              <a:extLst>
                <a:ext uri="{FF2B5EF4-FFF2-40B4-BE49-F238E27FC236}">
                  <a16:creationId xmlns:a16="http://schemas.microsoft.com/office/drawing/2014/main" id="{00000000-0008-0000-0400-000077000000}"/>
                </a:ext>
              </a:extLst>
            </xdr:cNvPr>
            <xdr:cNvSpPr txBox="1"/>
          </xdr:nvSpPr>
          <xdr:spPr>
            <a:xfrm>
              <a:off x="7813516" y="39225473"/>
              <a:ext cx="3212681" cy="343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800" b="0" i="0" u="none" strike="noStrike" baseline="0">
                  <a:solidFill>
                    <a:schemeClr val="tx1">
                      <a:lumMod val="75000"/>
                      <a:lumOff val="25000"/>
                    </a:schemeClr>
                  </a:solidFill>
                  <a:latin typeface="Arial Black" panose="020B0A04020102020204" pitchFamily="34" charset="0"/>
                  <a:cs typeface="Calibri"/>
                </a:rPr>
                <a:t>MAX MARGIN</a:t>
              </a:r>
              <a:endParaRPr lang="en-US" sz="800" b="0" i="0" u="none" strike="noStrike">
                <a:solidFill>
                  <a:schemeClr val="tx1">
                    <a:lumMod val="75000"/>
                    <a:lumOff val="25000"/>
                  </a:schemeClr>
                </a:solidFill>
                <a:latin typeface="Arial Black" panose="020B0A04020102020204" pitchFamily="34" charset="0"/>
                <a:cs typeface="Calibri"/>
              </a:endParaRPr>
            </a:p>
          </xdr:txBody>
        </xdr:sp>
        <xdr:sp macro="" textlink="Sales!K164">
          <xdr:nvSpPr>
            <xdr:cNvPr id="120" name="TextBox 119">
              <a:extLst>
                <a:ext uri="{FF2B5EF4-FFF2-40B4-BE49-F238E27FC236}">
                  <a16:creationId xmlns:a16="http://schemas.microsoft.com/office/drawing/2014/main" id="{00000000-0008-0000-0400-000078000000}"/>
                </a:ext>
              </a:extLst>
            </xdr:cNvPr>
            <xdr:cNvSpPr txBox="1"/>
          </xdr:nvSpPr>
          <xdr:spPr>
            <a:xfrm>
              <a:off x="8329020" y="39471565"/>
              <a:ext cx="2098231" cy="36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BFEA23CE-5FA5-4C4C-B637-5E2CE112BAC0}" type="TxLink">
                <a:rPr lang="en-US" sz="800" b="0" i="0" u="none" strike="noStrike">
                  <a:solidFill>
                    <a:schemeClr val="tx1">
                      <a:lumMod val="75000"/>
                      <a:lumOff val="25000"/>
                    </a:schemeClr>
                  </a:solidFill>
                  <a:latin typeface="Arial Black" panose="020B0A04020102020204" pitchFamily="34" charset="0"/>
                  <a:cs typeface="Calibri"/>
                </a:rPr>
                <a:pPr algn="ctr"/>
                <a:t>19%</a:t>
              </a:fld>
              <a:endParaRPr lang="en-US" sz="800" b="0" i="0" u="none" strike="noStrike">
                <a:solidFill>
                  <a:schemeClr val="tx1">
                    <a:lumMod val="75000"/>
                    <a:lumOff val="25000"/>
                  </a:schemeClr>
                </a:solidFill>
                <a:latin typeface="Arial Black" panose="020B0A04020102020204" pitchFamily="34" charset="0"/>
                <a:cs typeface="Calibri"/>
              </a:endParaRPr>
            </a:p>
          </xdr:txBody>
        </xdr:sp>
      </xdr:grpSp>
      <xdr:pic>
        <xdr:nvPicPr>
          <xdr:cNvPr id="18" name="Picture 17">
            <a:extLst>
              <a:ext uri="{FF2B5EF4-FFF2-40B4-BE49-F238E27FC236}">
                <a16:creationId xmlns:a16="http://schemas.microsoft.com/office/drawing/2014/main" id="{00000000-0008-0000-0400-000012000000}"/>
              </a:ext>
            </a:extLst>
          </xdr:cNvPr>
          <xdr:cNvPicPr>
            <a:picLocks noChangeAspect="1"/>
          </xdr:cNvPicPr>
        </xdr:nvPicPr>
        <xdr:blipFill rotWithShape="1">
          <a:blip xmlns:r="http://schemas.openxmlformats.org/officeDocument/2006/relationships" r:embed="rId16" cstate="print">
            <a:extLst>
              <a:ext uri="{28A0092B-C50C-407E-A947-70E740481C1C}">
                <a14:useLocalDpi xmlns:a14="http://schemas.microsoft.com/office/drawing/2010/main" val="0"/>
              </a:ext>
            </a:extLst>
          </a:blip>
          <a:srcRect l="13709" t="12682" r="62029" b="9721"/>
          <a:stretch/>
        </xdr:blipFill>
        <xdr:spPr>
          <a:xfrm>
            <a:off x="3736236" y="4667250"/>
            <a:ext cx="308186" cy="491982"/>
          </a:xfrm>
          <a:prstGeom prst="rect">
            <a:avLst/>
          </a:prstGeom>
        </xdr:spPr>
      </xdr:pic>
    </xdr:grpSp>
    <xdr:clientData/>
  </xdr:twoCellAnchor>
  <xdr:twoCellAnchor>
    <xdr:from>
      <xdr:col>7</xdr:col>
      <xdr:colOff>358736</xdr:colOff>
      <xdr:row>16</xdr:row>
      <xdr:rowOff>160423</xdr:rowOff>
    </xdr:from>
    <xdr:to>
      <xdr:col>9</xdr:col>
      <xdr:colOff>264647</xdr:colOff>
      <xdr:row>22</xdr:row>
      <xdr:rowOff>125417</xdr:rowOff>
    </xdr:to>
    <xdr:grpSp>
      <xdr:nvGrpSpPr>
        <xdr:cNvPr id="28" name="Group 27">
          <a:extLst>
            <a:ext uri="{FF2B5EF4-FFF2-40B4-BE49-F238E27FC236}">
              <a16:creationId xmlns:a16="http://schemas.microsoft.com/office/drawing/2014/main" id="{00000000-0008-0000-0400-00001C000000}"/>
            </a:ext>
          </a:extLst>
        </xdr:cNvPr>
        <xdr:cNvGrpSpPr/>
      </xdr:nvGrpSpPr>
      <xdr:grpSpPr>
        <a:xfrm>
          <a:off x="5073793" y="3313526"/>
          <a:ext cx="1336486" cy="1001431"/>
          <a:chOff x="4458780" y="3393907"/>
          <a:chExt cx="1154187" cy="1028170"/>
        </a:xfrm>
      </xdr:grpSpPr>
      <xdr:grpSp>
        <xdr:nvGrpSpPr>
          <xdr:cNvPr id="77" name="Group 76">
            <a:extLst>
              <a:ext uri="{FF2B5EF4-FFF2-40B4-BE49-F238E27FC236}">
                <a16:creationId xmlns:a16="http://schemas.microsoft.com/office/drawing/2014/main" id="{00000000-0008-0000-0400-00004D000000}"/>
              </a:ext>
            </a:extLst>
          </xdr:cNvPr>
          <xdr:cNvGrpSpPr/>
        </xdr:nvGrpSpPr>
        <xdr:grpSpPr>
          <a:xfrm>
            <a:off x="4458780" y="3800072"/>
            <a:ext cx="1154187" cy="622005"/>
            <a:chOff x="7733943" y="38890840"/>
            <a:chExt cx="3212681" cy="916082"/>
          </a:xfrm>
        </xdr:grpSpPr>
        <xdr:sp macro="" textlink="Sales!J165">
          <xdr:nvSpPr>
            <xdr:cNvPr id="85" name="TextBox 84">
              <a:extLst>
                <a:ext uri="{FF2B5EF4-FFF2-40B4-BE49-F238E27FC236}">
                  <a16:creationId xmlns:a16="http://schemas.microsoft.com/office/drawing/2014/main" id="{00000000-0008-0000-0400-000055000000}"/>
                </a:ext>
              </a:extLst>
            </xdr:cNvPr>
            <xdr:cNvSpPr txBox="1"/>
          </xdr:nvSpPr>
          <xdr:spPr>
            <a:xfrm>
              <a:off x="8425185" y="38890840"/>
              <a:ext cx="1864173" cy="429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A2C71A82-4BDC-49EC-9D70-C24EF81D5D4E}" type="TxLink">
                <a:rPr lang="en-US" sz="1050" b="0" i="0" u="none" strike="noStrike">
                  <a:solidFill>
                    <a:schemeClr val="tx1">
                      <a:lumMod val="75000"/>
                      <a:lumOff val="25000"/>
                    </a:schemeClr>
                  </a:solidFill>
                  <a:latin typeface="Arial Black" panose="020B0A04020102020204" pitchFamily="34" charset="0"/>
                  <a:cs typeface="Calibri"/>
                </a:rPr>
                <a:pPr algn="ctr"/>
                <a:t>Butter</a:t>
              </a:fld>
              <a:endParaRPr lang="en-GB" sz="1050">
                <a:solidFill>
                  <a:schemeClr val="tx1">
                    <a:lumMod val="75000"/>
                    <a:lumOff val="25000"/>
                  </a:schemeClr>
                </a:solidFill>
                <a:latin typeface="Arial Black" panose="020B0A04020102020204" pitchFamily="34" charset="0"/>
              </a:endParaRPr>
            </a:p>
          </xdr:txBody>
        </xdr:sp>
        <xdr:sp macro="" textlink="">
          <xdr:nvSpPr>
            <xdr:cNvPr id="86" name="TextBox 85">
              <a:extLst>
                <a:ext uri="{FF2B5EF4-FFF2-40B4-BE49-F238E27FC236}">
                  <a16:creationId xmlns:a16="http://schemas.microsoft.com/office/drawing/2014/main" id="{00000000-0008-0000-0400-000056000000}"/>
                </a:ext>
              </a:extLst>
            </xdr:cNvPr>
            <xdr:cNvSpPr txBox="1"/>
          </xdr:nvSpPr>
          <xdr:spPr>
            <a:xfrm>
              <a:off x="7733943" y="39211495"/>
              <a:ext cx="3212681" cy="3434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800" b="0" i="0" u="none" strike="noStrike" baseline="0">
                  <a:solidFill>
                    <a:schemeClr val="tx1">
                      <a:lumMod val="75000"/>
                      <a:lumOff val="25000"/>
                    </a:schemeClr>
                  </a:solidFill>
                  <a:latin typeface="Arial Black" panose="020B0A04020102020204" pitchFamily="34" charset="0"/>
                  <a:cs typeface="Calibri"/>
                </a:rPr>
                <a:t>MAX REVENUE</a:t>
              </a:r>
              <a:endParaRPr lang="en-US" sz="800" b="0" i="0" u="none" strike="noStrike">
                <a:solidFill>
                  <a:schemeClr val="tx1">
                    <a:lumMod val="75000"/>
                    <a:lumOff val="25000"/>
                  </a:schemeClr>
                </a:solidFill>
                <a:latin typeface="Arial Black" panose="020B0A04020102020204" pitchFamily="34" charset="0"/>
                <a:cs typeface="Calibri"/>
              </a:endParaRPr>
            </a:p>
          </xdr:txBody>
        </xdr:sp>
        <xdr:sp macro="" textlink="Sales!J164">
          <xdr:nvSpPr>
            <xdr:cNvPr id="88" name="TextBox 87">
              <a:extLst>
                <a:ext uri="{FF2B5EF4-FFF2-40B4-BE49-F238E27FC236}">
                  <a16:creationId xmlns:a16="http://schemas.microsoft.com/office/drawing/2014/main" id="{00000000-0008-0000-0400-000058000000}"/>
                </a:ext>
              </a:extLst>
            </xdr:cNvPr>
            <xdr:cNvSpPr txBox="1"/>
          </xdr:nvSpPr>
          <xdr:spPr>
            <a:xfrm>
              <a:off x="7961275" y="39446119"/>
              <a:ext cx="2651635" cy="360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C139F976-9FA5-4255-89DC-795C145ED0D4}" type="TxLink">
                <a:rPr lang="en-US" sz="800" b="0" i="0" u="none" strike="noStrike">
                  <a:solidFill>
                    <a:schemeClr val="tx1">
                      <a:lumMod val="75000"/>
                      <a:lumOff val="25000"/>
                    </a:schemeClr>
                  </a:solidFill>
                  <a:latin typeface="Arial Black" panose="020B0A04020102020204" pitchFamily="34" charset="0"/>
                  <a:cs typeface="Calibri"/>
                </a:rPr>
                <a:pPr algn="ctr"/>
                <a:t> € 93,732.89 </a:t>
              </a:fld>
              <a:endParaRPr lang="en-US" sz="800" b="0" i="0" u="none" strike="noStrike">
                <a:solidFill>
                  <a:schemeClr val="tx1">
                    <a:lumMod val="75000"/>
                    <a:lumOff val="25000"/>
                  </a:schemeClr>
                </a:solidFill>
                <a:latin typeface="Arial Black" panose="020B0A04020102020204" pitchFamily="34" charset="0"/>
                <a:cs typeface="Calibri"/>
              </a:endParaRPr>
            </a:p>
          </xdr:txBody>
        </xdr:sp>
      </xdr:grpSp>
      <xdr:pic>
        <xdr:nvPicPr>
          <xdr:cNvPr id="25" name="Picture 24">
            <a:extLst>
              <a:ext uri="{FF2B5EF4-FFF2-40B4-BE49-F238E27FC236}">
                <a16:creationId xmlns:a16="http://schemas.microsoft.com/office/drawing/2014/main" id="{00000000-0008-0000-0400-000019000000}"/>
              </a:ext>
            </a:extLst>
          </xdr:cNvPr>
          <xdr:cNvPicPr>
            <a:picLocks noChangeAspect="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l="75698" t="12067" r="5364" b="10037"/>
          <a:stretch/>
        </xdr:blipFill>
        <xdr:spPr>
          <a:xfrm>
            <a:off x="4883530" y="3393907"/>
            <a:ext cx="304686" cy="438742"/>
          </a:xfrm>
          <a:prstGeom prst="rect">
            <a:avLst/>
          </a:prstGeom>
        </xdr:spPr>
      </xdr:pic>
    </xdr:grpSp>
    <xdr:clientData/>
  </xdr:twoCellAnchor>
  <xdr:twoCellAnchor>
    <xdr:from>
      <xdr:col>5</xdr:col>
      <xdr:colOff>78193</xdr:colOff>
      <xdr:row>16</xdr:row>
      <xdr:rowOff>141397</xdr:rowOff>
    </xdr:from>
    <xdr:to>
      <xdr:col>8</xdr:col>
      <xdr:colOff>22308</xdr:colOff>
      <xdr:row>22</xdr:row>
      <xdr:rowOff>141363</xdr:rowOff>
    </xdr:to>
    <xdr:grpSp>
      <xdr:nvGrpSpPr>
        <xdr:cNvPr id="26" name="Group 25">
          <a:extLst>
            <a:ext uri="{FF2B5EF4-FFF2-40B4-BE49-F238E27FC236}">
              <a16:creationId xmlns:a16="http://schemas.microsoft.com/office/drawing/2014/main" id="{00000000-0008-0000-0400-00001A000000}"/>
            </a:ext>
          </a:extLst>
        </xdr:cNvPr>
        <xdr:cNvGrpSpPr/>
      </xdr:nvGrpSpPr>
      <xdr:grpSpPr>
        <a:xfrm>
          <a:off x="3815204" y="3294500"/>
          <a:ext cx="1710437" cy="1036403"/>
          <a:chOff x="3323942" y="3374883"/>
          <a:chExt cx="1488168" cy="1063138"/>
        </a:xfrm>
      </xdr:grpSpPr>
      <xdr:grpSp>
        <xdr:nvGrpSpPr>
          <xdr:cNvPr id="70" name="Group 69">
            <a:extLst>
              <a:ext uri="{FF2B5EF4-FFF2-40B4-BE49-F238E27FC236}">
                <a16:creationId xmlns:a16="http://schemas.microsoft.com/office/drawing/2014/main" id="{00000000-0008-0000-0400-000046000000}"/>
              </a:ext>
            </a:extLst>
          </xdr:cNvPr>
          <xdr:cNvGrpSpPr/>
        </xdr:nvGrpSpPr>
        <xdr:grpSpPr>
          <a:xfrm>
            <a:off x="3323942" y="3800366"/>
            <a:ext cx="1488168" cy="637655"/>
            <a:chOff x="7813516" y="38889320"/>
            <a:chExt cx="3212681" cy="946836"/>
          </a:xfrm>
        </xdr:grpSpPr>
        <xdr:sp macro="" textlink="Sales!I165">
          <xdr:nvSpPr>
            <xdr:cNvPr id="74" name="TextBox 73">
              <a:extLst>
                <a:ext uri="{FF2B5EF4-FFF2-40B4-BE49-F238E27FC236}">
                  <a16:creationId xmlns:a16="http://schemas.microsoft.com/office/drawing/2014/main" id="{00000000-0008-0000-0400-00004A000000}"/>
                </a:ext>
              </a:extLst>
            </xdr:cNvPr>
            <xdr:cNvSpPr txBox="1"/>
          </xdr:nvSpPr>
          <xdr:spPr>
            <a:xfrm>
              <a:off x="8425179" y="38889320"/>
              <a:ext cx="1864175" cy="432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7B22C94B-CA7B-476F-BF53-224ED8D780AF}" type="TxLink">
                <a:rPr lang="en-US" sz="1050" b="0" i="0" u="none" strike="noStrike">
                  <a:solidFill>
                    <a:schemeClr val="tx1">
                      <a:lumMod val="75000"/>
                      <a:lumOff val="25000"/>
                    </a:schemeClr>
                  </a:solidFill>
                  <a:latin typeface="Arial Black" panose="020B0A04020102020204" pitchFamily="34" charset="0"/>
                  <a:cs typeface="Calibri"/>
                </a:rPr>
                <a:pPr algn="ctr"/>
                <a:t>Yoghurt</a:t>
              </a:fld>
              <a:endParaRPr lang="en-GB" sz="1050">
                <a:solidFill>
                  <a:schemeClr val="tx1">
                    <a:lumMod val="75000"/>
                    <a:lumOff val="25000"/>
                  </a:schemeClr>
                </a:solidFill>
                <a:latin typeface="Arial Black" panose="020B0A04020102020204" pitchFamily="34" charset="0"/>
              </a:endParaRPr>
            </a:p>
          </xdr:txBody>
        </xdr:sp>
        <xdr:sp macro="" textlink="">
          <xdr:nvSpPr>
            <xdr:cNvPr id="75" name="TextBox 74">
              <a:extLst>
                <a:ext uri="{FF2B5EF4-FFF2-40B4-BE49-F238E27FC236}">
                  <a16:creationId xmlns:a16="http://schemas.microsoft.com/office/drawing/2014/main" id="{00000000-0008-0000-0400-00004B000000}"/>
                </a:ext>
              </a:extLst>
            </xdr:cNvPr>
            <xdr:cNvSpPr txBox="1"/>
          </xdr:nvSpPr>
          <xdr:spPr>
            <a:xfrm>
              <a:off x="7813516" y="39225473"/>
              <a:ext cx="3212681" cy="343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800" b="0" i="0" u="none" strike="noStrike" baseline="0">
                  <a:solidFill>
                    <a:schemeClr val="tx1">
                      <a:lumMod val="75000"/>
                      <a:lumOff val="25000"/>
                    </a:schemeClr>
                  </a:solidFill>
                  <a:latin typeface="Arial Black" panose="020B0A04020102020204" pitchFamily="34" charset="0"/>
                  <a:cs typeface="Calibri"/>
                </a:rPr>
                <a:t>BEST SELLER</a:t>
              </a:r>
              <a:endParaRPr lang="en-US" sz="800" b="0" i="0" u="none" strike="noStrike">
                <a:solidFill>
                  <a:schemeClr val="tx1">
                    <a:lumMod val="75000"/>
                    <a:lumOff val="25000"/>
                  </a:schemeClr>
                </a:solidFill>
                <a:latin typeface="Arial Black" panose="020B0A04020102020204" pitchFamily="34" charset="0"/>
                <a:cs typeface="Calibri"/>
              </a:endParaRPr>
            </a:p>
          </xdr:txBody>
        </xdr:sp>
        <xdr:sp macro="" textlink="Sales!I164">
          <xdr:nvSpPr>
            <xdr:cNvPr id="76" name="TextBox 75">
              <a:extLst>
                <a:ext uri="{FF2B5EF4-FFF2-40B4-BE49-F238E27FC236}">
                  <a16:creationId xmlns:a16="http://schemas.microsoft.com/office/drawing/2014/main" id="{00000000-0008-0000-0400-00004C000000}"/>
                </a:ext>
              </a:extLst>
            </xdr:cNvPr>
            <xdr:cNvSpPr txBox="1"/>
          </xdr:nvSpPr>
          <xdr:spPr>
            <a:xfrm>
              <a:off x="8235121" y="39472801"/>
              <a:ext cx="2192122" cy="3633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84C9C22C-9C4A-4862-A2C0-06DB9018D99D}" type="TxLink">
                <a:rPr lang="en-US" sz="800" b="0" i="0" u="none" strike="noStrike">
                  <a:solidFill>
                    <a:schemeClr val="tx1">
                      <a:lumMod val="75000"/>
                      <a:lumOff val="25000"/>
                    </a:schemeClr>
                  </a:solidFill>
                  <a:latin typeface="Arial Black" panose="020B0A04020102020204" pitchFamily="34" charset="0"/>
                  <a:cs typeface="Calibri"/>
                </a:rPr>
                <a:pPr algn="ctr"/>
                <a:t> 2,208 </a:t>
              </a:fld>
              <a:endParaRPr lang="en-US" sz="800" b="0" i="0" u="none" strike="noStrike">
                <a:solidFill>
                  <a:schemeClr val="tx1">
                    <a:lumMod val="75000"/>
                    <a:lumOff val="25000"/>
                  </a:schemeClr>
                </a:solidFill>
                <a:latin typeface="Arial Black" panose="020B0A04020102020204" pitchFamily="34" charset="0"/>
                <a:cs typeface="Calibri"/>
              </a:endParaRPr>
            </a:p>
          </xdr:txBody>
        </xdr:sp>
      </xdr:grpSp>
      <xdr:pic>
        <xdr:nvPicPr>
          <xdr:cNvPr id="165" name="Picture 164">
            <a:extLst>
              <a:ext uri="{FF2B5EF4-FFF2-40B4-BE49-F238E27FC236}">
                <a16:creationId xmlns:a16="http://schemas.microsoft.com/office/drawing/2014/main" id="{00000000-0008-0000-0400-0000A5000000}"/>
              </a:ext>
            </a:extLst>
          </xdr:cNvPr>
          <xdr:cNvPicPr>
            <a:picLocks noChangeAspect="1"/>
          </xdr:cNvPicPr>
        </xdr:nvPicPr>
        <xdr:blipFill rotWithShape="1">
          <a:blip xmlns:r="http://schemas.openxmlformats.org/officeDocument/2006/relationships" r:embed="rId18" cstate="print">
            <a:extLst>
              <a:ext uri="{28A0092B-C50C-407E-A947-70E740481C1C}">
                <a14:useLocalDpi xmlns:a14="http://schemas.microsoft.com/office/drawing/2010/main" val="0"/>
              </a:ext>
            </a:extLst>
          </a:blip>
          <a:srcRect l="13709" t="12682" r="62029" b="9721"/>
          <a:stretch/>
        </xdr:blipFill>
        <xdr:spPr>
          <a:xfrm>
            <a:off x="3913933" y="3374883"/>
            <a:ext cx="308186" cy="491982"/>
          </a:xfrm>
          <a:prstGeom prst="rect">
            <a:avLst/>
          </a:prstGeom>
        </xdr:spPr>
      </xdr:pic>
    </xdr:grpSp>
    <xdr:clientData/>
  </xdr:twoCellAnchor>
  <xdr:oneCellAnchor>
    <xdr:from>
      <xdr:col>3</xdr:col>
      <xdr:colOff>761195</xdr:colOff>
      <xdr:row>35</xdr:row>
      <xdr:rowOff>60524</xdr:rowOff>
    </xdr:from>
    <xdr:ext cx="730318" cy="264560"/>
    <xdr:sp macro="" textlink="Current_Stock!G16">
      <xdr:nvSpPr>
        <xdr:cNvPr id="3" name="TextBox 2">
          <a:extLst>
            <a:ext uri="{FF2B5EF4-FFF2-40B4-BE49-F238E27FC236}">
              <a16:creationId xmlns:a16="http://schemas.microsoft.com/office/drawing/2014/main" id="{00000000-0008-0000-0400-000003000000}"/>
            </a:ext>
          </a:extLst>
        </xdr:cNvPr>
        <xdr:cNvSpPr txBox="1"/>
      </xdr:nvSpPr>
      <xdr:spPr>
        <a:xfrm>
          <a:off x="2843404" y="6661571"/>
          <a:ext cx="730318" cy="264560"/>
        </a:xfrm>
        <a:prstGeom prst="rect">
          <a:avLst/>
        </a:prstGeom>
        <a:noFill/>
        <a:ln w="1905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9D252F68-ADB0-794D-B2F9-31605ADDB875}" type="TxLink">
            <a:rPr lang="en-US" sz="1100" b="1" i="0" u="none" strike="noStrike">
              <a:solidFill>
                <a:schemeClr val="tx1">
                  <a:lumMod val="75000"/>
                  <a:lumOff val="25000"/>
                </a:schemeClr>
              </a:solidFill>
              <a:latin typeface="+mn-lt"/>
              <a:cs typeface="Arial Black" panose="020B0604020202020204" pitchFamily="34" charset="0"/>
            </a:rPr>
            <a:pPr algn="l"/>
            <a:t>North</a:t>
          </a:fld>
          <a:endParaRPr lang="en-GB" sz="1100" b="1" i="0">
            <a:solidFill>
              <a:schemeClr val="tx1">
                <a:lumMod val="75000"/>
                <a:lumOff val="25000"/>
              </a:schemeClr>
            </a:solidFill>
            <a:latin typeface="+mn-lt"/>
            <a:cs typeface="Arial Black" panose="020B0604020202020204" pitchFamily="34" charset="0"/>
          </a:endParaRPr>
        </a:p>
      </xdr:txBody>
    </xdr:sp>
    <xdr:clientData/>
  </xdr:oneCellAnchor>
  <xdr:twoCellAnchor>
    <xdr:from>
      <xdr:col>17</xdr:col>
      <xdr:colOff>42469</xdr:colOff>
      <xdr:row>33</xdr:row>
      <xdr:rowOff>183141</xdr:rowOff>
    </xdr:from>
    <xdr:to>
      <xdr:col>22</xdr:col>
      <xdr:colOff>94343</xdr:colOff>
      <xdr:row>41</xdr:row>
      <xdr:rowOff>169958</xdr:rowOff>
    </xdr:to>
    <xdr:graphicFrame macro="">
      <xdr:nvGraphicFramePr>
        <xdr:cNvPr id="198" name="Chart 197">
          <a:extLst>
            <a:ext uri="{FF2B5EF4-FFF2-40B4-BE49-F238E27FC236}">
              <a16:creationId xmlns:a16="http://schemas.microsoft.com/office/drawing/2014/main" id="{00000000-0008-0000-0400-0000C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309186</xdr:colOff>
      <xdr:row>41</xdr:row>
      <xdr:rowOff>176911</xdr:rowOff>
    </xdr:from>
    <xdr:to>
      <xdr:col>24</xdr:col>
      <xdr:colOff>374561</xdr:colOff>
      <xdr:row>45</xdr:row>
      <xdr:rowOff>97479</xdr:rowOff>
    </xdr:to>
    <xdr:sp macro="" textlink="">
      <xdr:nvSpPr>
        <xdr:cNvPr id="226" name="TextBox 225">
          <a:extLst>
            <a:ext uri="{FF2B5EF4-FFF2-40B4-BE49-F238E27FC236}">
              <a16:creationId xmlns:a16="http://schemas.microsoft.com/office/drawing/2014/main" id="{00000000-0008-0000-0400-0000E2000000}"/>
            </a:ext>
          </a:extLst>
        </xdr:cNvPr>
        <xdr:cNvSpPr txBox="1"/>
      </xdr:nvSpPr>
      <xdr:spPr>
        <a:xfrm>
          <a:off x="15112306" y="8040751"/>
          <a:ext cx="1182975" cy="65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solidFill>
                <a:schemeClr val="tx1">
                  <a:lumMod val="75000"/>
                  <a:lumOff val="25000"/>
                </a:schemeClr>
              </a:solidFill>
              <a:latin typeface="Arial Black" panose="020B0A04020102020204" pitchFamily="34" charset="0"/>
            </a:rPr>
            <a:t>PURCHASE</a:t>
          </a:r>
        </a:p>
        <a:p>
          <a:pPr algn="l"/>
          <a:r>
            <a:rPr lang="en-GB" sz="1100">
              <a:solidFill>
                <a:schemeClr val="tx1">
                  <a:lumMod val="75000"/>
                  <a:lumOff val="25000"/>
                </a:schemeClr>
              </a:solidFill>
              <a:latin typeface="Arial Black" panose="020B0A04020102020204" pitchFamily="34" charset="0"/>
            </a:rPr>
            <a:t>ORDER</a:t>
          </a:r>
        </a:p>
      </xdr:txBody>
    </xdr:sp>
    <xdr:clientData/>
  </xdr:twoCellAnchor>
  <xdr:twoCellAnchor>
    <xdr:from>
      <xdr:col>22</xdr:col>
      <xdr:colOff>230655</xdr:colOff>
      <xdr:row>31</xdr:row>
      <xdr:rowOff>173404</xdr:rowOff>
    </xdr:from>
    <xdr:to>
      <xdr:col>24</xdr:col>
      <xdr:colOff>338668</xdr:colOff>
      <xdr:row>34</xdr:row>
      <xdr:rowOff>186269</xdr:rowOff>
    </xdr:to>
    <xdr:sp macro="" textlink="">
      <xdr:nvSpPr>
        <xdr:cNvPr id="228" name="TextBox 227">
          <a:extLst>
            <a:ext uri="{FF2B5EF4-FFF2-40B4-BE49-F238E27FC236}">
              <a16:creationId xmlns:a16="http://schemas.microsoft.com/office/drawing/2014/main" id="{00000000-0008-0000-0400-0000E4000000}"/>
            </a:ext>
          </a:extLst>
        </xdr:cNvPr>
        <xdr:cNvSpPr txBox="1"/>
      </xdr:nvSpPr>
      <xdr:spPr>
        <a:xfrm>
          <a:off x="15072722" y="6023871"/>
          <a:ext cx="1234079" cy="588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baseline="0">
              <a:solidFill>
                <a:schemeClr val="tx1">
                  <a:lumMod val="75000"/>
                  <a:lumOff val="25000"/>
                </a:schemeClr>
              </a:solidFill>
              <a:latin typeface="Arial Black" panose="020B0A04020102020204" pitchFamily="34" charset="0"/>
            </a:rPr>
            <a:t>ESTIMATED LOSS</a:t>
          </a:r>
        </a:p>
        <a:p>
          <a:pPr algn="l"/>
          <a:endParaRPr lang="en-GB" sz="1100">
            <a:solidFill>
              <a:schemeClr val="tx1">
                <a:lumMod val="75000"/>
                <a:lumOff val="25000"/>
              </a:schemeClr>
            </a:solidFill>
            <a:latin typeface="Arial Black" panose="020B0A04020102020204" pitchFamily="34" charset="0"/>
          </a:endParaRPr>
        </a:p>
      </xdr:txBody>
    </xdr:sp>
    <xdr:clientData/>
  </xdr:twoCellAnchor>
  <xdr:twoCellAnchor>
    <xdr:from>
      <xdr:col>17</xdr:col>
      <xdr:colOff>112122</xdr:colOff>
      <xdr:row>31</xdr:row>
      <xdr:rowOff>156471</xdr:rowOff>
    </xdr:from>
    <xdr:to>
      <xdr:col>20</xdr:col>
      <xdr:colOff>76201</xdr:colOff>
      <xdr:row>34</xdr:row>
      <xdr:rowOff>169335</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12439589" y="6006938"/>
          <a:ext cx="1293345" cy="588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solidFill>
                <a:schemeClr val="tx1">
                  <a:lumMod val="75000"/>
                  <a:lumOff val="25000"/>
                </a:schemeClr>
              </a:solidFill>
              <a:latin typeface="Arial Black" panose="020B0A04020102020204" pitchFamily="34" charset="0"/>
            </a:rPr>
            <a:t>INVENTORY</a:t>
          </a:r>
          <a:r>
            <a:rPr lang="en-GB" sz="1100" baseline="0">
              <a:solidFill>
                <a:schemeClr val="tx1">
                  <a:lumMod val="75000"/>
                  <a:lumOff val="25000"/>
                </a:schemeClr>
              </a:solidFill>
              <a:latin typeface="Arial Black" panose="020B0A04020102020204" pitchFamily="34" charset="0"/>
            </a:rPr>
            <a:t> STATUS</a:t>
          </a:r>
        </a:p>
        <a:p>
          <a:pPr algn="l"/>
          <a:endParaRPr lang="en-GB" sz="1100">
            <a:solidFill>
              <a:schemeClr val="tx1">
                <a:lumMod val="75000"/>
                <a:lumOff val="25000"/>
              </a:schemeClr>
            </a:solidFill>
            <a:latin typeface="Arial Black" panose="020B0A04020102020204" pitchFamily="34" charset="0"/>
          </a:endParaRPr>
        </a:p>
      </xdr:txBody>
    </xdr:sp>
    <xdr:clientData/>
  </xdr:twoCellAnchor>
  <xdr:oneCellAnchor>
    <xdr:from>
      <xdr:col>17</xdr:col>
      <xdr:colOff>189553</xdr:colOff>
      <xdr:row>37</xdr:row>
      <xdr:rowOff>56866</xdr:rowOff>
    </xdr:from>
    <xdr:ext cx="4833582" cy="264560"/>
    <xdr:sp macro="" textlink="Sales!$V$65">
      <xdr:nvSpPr>
        <xdr:cNvPr id="230" name="TextBox 229">
          <a:extLst>
            <a:ext uri="{FF2B5EF4-FFF2-40B4-BE49-F238E27FC236}">
              <a16:creationId xmlns:a16="http://schemas.microsoft.com/office/drawing/2014/main" id="{00000000-0008-0000-0400-0000E6000000}"/>
            </a:ext>
          </a:extLst>
        </xdr:cNvPr>
        <xdr:cNvSpPr txBox="1"/>
      </xdr:nvSpPr>
      <xdr:spPr>
        <a:xfrm>
          <a:off x="12472538" y="6804926"/>
          <a:ext cx="483358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765E7F5-4D76-C64A-B41D-563E0FEDED85}" type="TxLink">
            <a:rPr lang="en-US" sz="1100" b="1" i="0" u="none" strike="noStrike">
              <a:solidFill>
                <a:schemeClr val="tx1">
                  <a:lumMod val="75000"/>
                  <a:lumOff val="25000"/>
                </a:schemeClr>
              </a:solidFill>
              <a:latin typeface="Calibri"/>
              <a:cs typeface="Calibri"/>
            </a:rPr>
            <a:pPr/>
            <a:t>Inventory status looks good for all rounds and no potential revenue could gain.</a:t>
          </a:fld>
          <a:endParaRPr lang="en-GB" sz="1100" b="1">
            <a:solidFill>
              <a:schemeClr val="tx1">
                <a:lumMod val="75000"/>
                <a:lumOff val="25000"/>
              </a:schemeClr>
            </a:solidFill>
          </a:endParaRPr>
        </a:p>
      </xdr:txBody>
    </xdr:sp>
    <xdr:clientData/>
  </xdr:oneCellAnchor>
  <xdr:twoCellAnchor>
    <xdr:from>
      <xdr:col>1</xdr:col>
      <xdr:colOff>116261</xdr:colOff>
      <xdr:row>41</xdr:row>
      <xdr:rowOff>166163</xdr:rowOff>
    </xdr:from>
    <xdr:to>
      <xdr:col>4</xdr:col>
      <xdr:colOff>595507</xdr:colOff>
      <xdr:row>49</xdr:row>
      <xdr:rowOff>132907</xdr:rowOff>
    </xdr:to>
    <xdr:graphicFrame macro="">
      <xdr:nvGraphicFramePr>
        <xdr:cNvPr id="231" name="Chart 230">
          <a:extLst>
            <a:ext uri="{FF2B5EF4-FFF2-40B4-BE49-F238E27FC236}">
              <a16:creationId xmlns:a16="http://schemas.microsoft.com/office/drawing/2014/main" id="{00000000-0008-0000-0400-0000E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oneCellAnchor>
    <xdr:from>
      <xdr:col>1</xdr:col>
      <xdr:colOff>133683</xdr:colOff>
      <xdr:row>36</xdr:row>
      <xdr:rowOff>155961</xdr:rowOff>
    </xdr:from>
    <xdr:ext cx="2540000" cy="436530"/>
    <xdr:sp macro="" textlink="Current_Stock!G15">
      <xdr:nvSpPr>
        <xdr:cNvPr id="232" name="TextBox 231">
          <a:extLst>
            <a:ext uri="{FF2B5EF4-FFF2-40B4-BE49-F238E27FC236}">
              <a16:creationId xmlns:a16="http://schemas.microsoft.com/office/drawing/2014/main" id="{00000000-0008-0000-0400-0000E8000000}"/>
            </a:ext>
          </a:extLst>
        </xdr:cNvPr>
        <xdr:cNvSpPr txBox="1"/>
      </xdr:nvSpPr>
      <xdr:spPr>
        <a:xfrm>
          <a:off x="835525" y="6962715"/>
          <a:ext cx="2540000"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A6F14EE-421D-364A-B837-E1E40B3ED85C}" type="TxLink">
            <a:rPr lang="en-US" sz="1100" b="0" i="0" u="none" strike="noStrike">
              <a:solidFill>
                <a:schemeClr val="tx1">
                  <a:lumMod val="75000"/>
                  <a:lumOff val="25000"/>
                </a:schemeClr>
              </a:solidFill>
              <a:latin typeface="Calibri"/>
              <a:cs typeface="Calibri"/>
            </a:rPr>
            <a:pPr/>
            <a:t>Evidence shows slight different regional preference exists.</a:t>
          </a:fld>
          <a:endParaRPr lang="en-GB" sz="1100">
            <a:solidFill>
              <a:schemeClr val="tx1">
                <a:lumMod val="75000"/>
                <a:lumOff val="25000"/>
              </a:schemeClr>
            </a:solidFill>
          </a:endParaRPr>
        </a:p>
      </xdr:txBody>
    </xdr:sp>
    <xdr:clientData/>
  </xdr:oneCellAnchor>
  <xdr:oneCellAnchor>
    <xdr:from>
      <xdr:col>1</xdr:col>
      <xdr:colOff>71234</xdr:colOff>
      <xdr:row>20</xdr:row>
      <xdr:rowOff>145622</xdr:rowOff>
    </xdr:from>
    <xdr:ext cx="1187626" cy="288852"/>
    <xdr:sp macro="" textlink="">
      <xdr:nvSpPr>
        <xdr:cNvPr id="233" name="TextBox 232">
          <a:extLst>
            <a:ext uri="{FF2B5EF4-FFF2-40B4-BE49-F238E27FC236}">
              <a16:creationId xmlns:a16="http://schemas.microsoft.com/office/drawing/2014/main" id="{00000000-0008-0000-0400-0000E9000000}"/>
            </a:ext>
          </a:extLst>
        </xdr:cNvPr>
        <xdr:cNvSpPr txBox="1"/>
      </xdr:nvSpPr>
      <xdr:spPr>
        <a:xfrm>
          <a:off x="773076" y="4044745"/>
          <a:ext cx="1187626" cy="288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lumMod val="75000"/>
                  <a:lumOff val="25000"/>
                </a:schemeClr>
              </a:solidFill>
              <a:latin typeface="Arial Black" panose="020B0A04020102020204" pitchFamily="34" charset="0"/>
            </a:rPr>
            <a:t>BY</a:t>
          </a:r>
          <a:r>
            <a:rPr lang="en-GB" sz="1100" baseline="0">
              <a:solidFill>
                <a:schemeClr val="tx1">
                  <a:lumMod val="75000"/>
                  <a:lumOff val="25000"/>
                </a:schemeClr>
              </a:solidFill>
              <a:latin typeface="Arial Black" panose="020B0A04020102020204" pitchFamily="34" charset="0"/>
            </a:rPr>
            <a:t> REGION</a:t>
          </a:r>
          <a:endParaRPr lang="en-GB" sz="1100">
            <a:solidFill>
              <a:schemeClr val="tx1">
                <a:lumMod val="75000"/>
                <a:lumOff val="25000"/>
              </a:schemeClr>
            </a:solidFill>
            <a:latin typeface="Arial Black" panose="020B0A04020102020204" pitchFamily="34" charset="0"/>
          </a:endParaRPr>
        </a:p>
      </xdr:txBody>
    </xdr:sp>
    <xdr:clientData/>
  </xdr:oneCellAnchor>
  <xdr:oneCellAnchor>
    <xdr:from>
      <xdr:col>1</xdr:col>
      <xdr:colOff>145651</xdr:colOff>
      <xdr:row>40</xdr:row>
      <xdr:rowOff>64074</xdr:rowOff>
    </xdr:from>
    <xdr:ext cx="1536541" cy="288852"/>
    <xdr:sp macro="" textlink="">
      <xdr:nvSpPr>
        <xdr:cNvPr id="234" name="TextBox 233">
          <a:extLst>
            <a:ext uri="{FF2B5EF4-FFF2-40B4-BE49-F238E27FC236}">
              <a16:creationId xmlns:a16="http://schemas.microsoft.com/office/drawing/2014/main" id="{00000000-0008-0000-0400-0000EA000000}"/>
            </a:ext>
          </a:extLst>
        </xdr:cNvPr>
        <xdr:cNvSpPr txBox="1"/>
      </xdr:nvSpPr>
      <xdr:spPr>
        <a:xfrm>
          <a:off x="847493" y="7583811"/>
          <a:ext cx="1536541" cy="288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lumMod val="75000"/>
                  <a:lumOff val="25000"/>
                </a:schemeClr>
              </a:solidFill>
              <a:latin typeface="Arial Black" panose="020B0A04020102020204" pitchFamily="34" charset="0"/>
            </a:rPr>
            <a:t>BY</a:t>
          </a:r>
          <a:r>
            <a:rPr lang="en-GB" sz="1100" baseline="0">
              <a:solidFill>
                <a:schemeClr val="tx1">
                  <a:lumMod val="75000"/>
                  <a:lumOff val="25000"/>
                </a:schemeClr>
              </a:solidFill>
              <a:latin typeface="Arial Black" panose="020B0A04020102020204" pitchFamily="34" charset="0"/>
            </a:rPr>
            <a:t> PRODUCT</a:t>
          </a:r>
          <a:endParaRPr lang="en-GB" sz="1100">
            <a:solidFill>
              <a:schemeClr val="tx1">
                <a:lumMod val="75000"/>
                <a:lumOff val="25000"/>
              </a:schemeClr>
            </a:solidFill>
            <a:latin typeface="Arial Black" panose="020B0A04020102020204" pitchFamily="34" charset="0"/>
          </a:endParaRPr>
        </a:p>
      </xdr:txBody>
    </xdr:sp>
    <xdr:clientData/>
  </xdr:oneCellAnchor>
  <xdr:oneCellAnchor>
    <xdr:from>
      <xdr:col>1</xdr:col>
      <xdr:colOff>133966</xdr:colOff>
      <xdr:row>35</xdr:row>
      <xdr:rowOff>61337</xdr:rowOff>
    </xdr:from>
    <xdr:ext cx="2152033" cy="264560"/>
    <xdr:sp macro="" textlink="$D$7">
      <xdr:nvSpPr>
        <xdr:cNvPr id="237" name="TextBox 236">
          <a:extLst>
            <a:ext uri="{FF2B5EF4-FFF2-40B4-BE49-F238E27FC236}">
              <a16:creationId xmlns:a16="http://schemas.microsoft.com/office/drawing/2014/main" id="{00000000-0008-0000-0400-0000ED000000}"/>
            </a:ext>
          </a:extLst>
        </xdr:cNvPr>
        <xdr:cNvSpPr txBox="1"/>
      </xdr:nvSpPr>
      <xdr:spPr>
        <a:xfrm>
          <a:off x="829124" y="6558390"/>
          <a:ext cx="2152033" cy="264560"/>
        </a:xfrm>
        <a:prstGeom prst="rect">
          <a:avLst/>
        </a:prstGeom>
        <a:noFill/>
        <a:ln w="1905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100" b="1" i="0" u="none" strike="noStrike">
              <a:solidFill>
                <a:srgbClr val="404040"/>
              </a:solidFill>
              <a:latin typeface="+mn-lt"/>
              <a:cs typeface="Arial Black" panose="020B0604020202020204" pitchFamily="34" charset="0"/>
            </a:rPr>
            <a:t>Best</a:t>
          </a:r>
          <a:r>
            <a:rPr lang="en-US" sz="1100" b="1" i="0" u="none" strike="noStrike" baseline="0">
              <a:solidFill>
                <a:srgbClr val="404040"/>
              </a:solidFill>
              <a:latin typeface="+mn-lt"/>
              <a:cs typeface="Arial Black" panose="020B0604020202020204" pitchFamily="34" charset="0"/>
            </a:rPr>
            <a:t> Selling Region for </a:t>
          </a:r>
          <a:fld id="{484ED269-55FF-3B42-80AF-60B476BDD53F}" type="TxLink">
            <a:rPr lang="en-US" sz="1100" b="1" i="0" u="none" strike="noStrike">
              <a:solidFill>
                <a:srgbClr val="404040"/>
              </a:solidFill>
              <a:latin typeface="+mn-lt"/>
              <a:cs typeface="Arial Black" panose="020B0604020202020204" pitchFamily="34" charset="0"/>
            </a:rPr>
            <a:pPr algn="l"/>
            <a:t>Butter</a:t>
          </a:fld>
          <a:endParaRPr lang="en-GB" sz="1100" b="1" i="0">
            <a:solidFill>
              <a:schemeClr val="tx1">
                <a:lumMod val="75000"/>
                <a:lumOff val="25000"/>
              </a:schemeClr>
            </a:solidFill>
            <a:latin typeface="+mn-lt"/>
            <a:cs typeface="Arial Black" panose="020B0604020202020204" pitchFamily="34" charset="0"/>
          </a:endParaRPr>
        </a:p>
      </xdr:txBody>
    </xdr:sp>
    <xdr:clientData/>
  </xdr:oneCellAnchor>
  <xdr:oneCellAnchor>
    <xdr:from>
      <xdr:col>1</xdr:col>
      <xdr:colOff>197762</xdr:colOff>
      <xdr:row>49</xdr:row>
      <xdr:rowOff>243269</xdr:rowOff>
    </xdr:from>
    <xdr:ext cx="1963010" cy="264560"/>
    <xdr:sp macro="" textlink="$D$9">
      <xdr:nvSpPr>
        <xdr:cNvPr id="238" name="TextBox 237">
          <a:extLst>
            <a:ext uri="{FF2B5EF4-FFF2-40B4-BE49-F238E27FC236}">
              <a16:creationId xmlns:a16="http://schemas.microsoft.com/office/drawing/2014/main" id="{00000000-0008-0000-0400-0000EE000000}"/>
            </a:ext>
          </a:extLst>
        </xdr:cNvPr>
        <xdr:cNvSpPr txBox="1"/>
      </xdr:nvSpPr>
      <xdr:spPr>
        <a:xfrm>
          <a:off x="891832" y="9325246"/>
          <a:ext cx="1963010" cy="264560"/>
        </a:xfrm>
        <a:prstGeom prst="rect">
          <a:avLst/>
        </a:prstGeom>
        <a:noFill/>
        <a:ln w="1905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100" b="1" i="0" u="none" strike="noStrike">
              <a:solidFill>
                <a:srgbClr val="404040"/>
              </a:solidFill>
              <a:latin typeface="Calibri"/>
              <a:cs typeface="Calibri"/>
            </a:rPr>
            <a:t>Best</a:t>
          </a:r>
          <a:r>
            <a:rPr lang="en-US" sz="1100" b="1" i="0" u="none" strike="noStrike" baseline="0">
              <a:solidFill>
                <a:srgbClr val="404040"/>
              </a:solidFill>
              <a:latin typeface="Calibri"/>
              <a:cs typeface="Calibri"/>
            </a:rPr>
            <a:t> Selling Product in </a:t>
          </a:r>
          <a:fld id="{B397046B-6C38-964C-8BD0-A36544EDA014}" type="TxLink">
            <a:rPr lang="en-US" sz="1100" b="1" i="0" u="none" strike="noStrike">
              <a:solidFill>
                <a:srgbClr val="404040"/>
              </a:solidFill>
              <a:latin typeface="Calibri"/>
              <a:cs typeface="Calibri"/>
            </a:rPr>
            <a:pPr algn="l"/>
            <a:t>North</a:t>
          </a:fld>
          <a:endParaRPr lang="en-GB" sz="1100" b="1" i="0">
            <a:solidFill>
              <a:schemeClr val="tx1">
                <a:lumMod val="75000"/>
                <a:lumOff val="25000"/>
              </a:schemeClr>
            </a:solidFill>
            <a:latin typeface="+mn-lt"/>
            <a:cs typeface="Arial Black" panose="020B0604020202020204" pitchFamily="34" charset="0"/>
          </a:endParaRPr>
        </a:p>
      </xdr:txBody>
    </xdr:sp>
    <xdr:clientData/>
  </xdr:oneCellAnchor>
  <xdr:oneCellAnchor>
    <xdr:from>
      <xdr:col>4</xdr:col>
      <xdr:colOff>12782</xdr:colOff>
      <xdr:row>49</xdr:row>
      <xdr:rowOff>242459</xdr:rowOff>
    </xdr:from>
    <xdr:ext cx="730318" cy="264560"/>
    <xdr:sp macro="" textlink="Current_Stock!G17">
      <xdr:nvSpPr>
        <xdr:cNvPr id="239" name="TextBox 238">
          <a:extLst>
            <a:ext uri="{FF2B5EF4-FFF2-40B4-BE49-F238E27FC236}">
              <a16:creationId xmlns:a16="http://schemas.microsoft.com/office/drawing/2014/main" id="{00000000-0008-0000-0400-0000EF000000}"/>
            </a:ext>
          </a:extLst>
        </xdr:cNvPr>
        <xdr:cNvSpPr txBox="1"/>
      </xdr:nvSpPr>
      <xdr:spPr>
        <a:xfrm>
          <a:off x="2862898" y="9324436"/>
          <a:ext cx="730318" cy="264560"/>
        </a:xfrm>
        <a:prstGeom prst="rect">
          <a:avLst/>
        </a:prstGeom>
        <a:noFill/>
        <a:ln w="1905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FDD515D5-FF72-D74C-AB3F-9962CDAA0A88}" type="TxLink">
            <a:rPr lang="en-US" sz="1100" b="1" i="0" u="none" strike="noStrike">
              <a:solidFill>
                <a:schemeClr val="tx1">
                  <a:lumMod val="75000"/>
                  <a:lumOff val="25000"/>
                </a:schemeClr>
              </a:solidFill>
              <a:latin typeface="Calibri"/>
              <a:cs typeface="Calibri"/>
            </a:rPr>
            <a:pPr algn="l"/>
            <a:t>Yoghurt</a:t>
          </a:fld>
          <a:endParaRPr lang="en-GB" sz="1100" b="1" i="0">
            <a:solidFill>
              <a:schemeClr val="tx1">
                <a:lumMod val="75000"/>
                <a:lumOff val="25000"/>
              </a:schemeClr>
            </a:solidFill>
            <a:latin typeface="+mn-lt"/>
            <a:cs typeface="Arial Black" panose="020B0604020202020204" pitchFamily="34"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microsoft.com/office/2006/relationships/xlExternalLinkPath/xlPathMissing" Target="A2_Dashboard-Dev_Pivots-with-Data23.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Moeini Aghkariz" refreshedDate="43257.631104976848" createdVersion="6" refreshedVersion="6" minRefreshableVersion="3" recordCount="24" xr:uid="{00000000-000A-0000-FFFF-FFFF00000000}">
  <cacheSource type="external" connectionId="1"/>
  <cacheFields count="11">
    <cacheField name="PRODUCT_ID" numFmtId="0">
      <sharedItems count="6">
        <s v="ZZ-T01"/>
        <s v="ZZ-T03"/>
        <s v="ZZ-T06"/>
        <s v="ZZ-T05"/>
        <s v="ZZ-T02"/>
        <s v="ZZ-T04"/>
      </sharedItems>
    </cacheField>
    <cacheField name="PRODUCT_DESCRIPTION" numFmtId="0">
      <sharedItems count="6">
        <s v="Milk"/>
        <s v="Yoghurt"/>
        <s v="Ice Cream"/>
        <s v="Butter"/>
        <s v="Cream"/>
        <s v="Cheese"/>
      </sharedItems>
    </cacheField>
    <cacheField name="STORAGE_LOCATION_ID" numFmtId="0">
      <sharedItems count="4">
        <s v="03W"/>
        <s v="03S"/>
        <s v="03N"/>
        <s v="03"/>
      </sharedItems>
    </cacheField>
    <cacheField name="STORAGE_LOCATION_DESC" numFmtId="0">
      <sharedItems count="4">
        <s v="Refrigerated Storage West"/>
        <s v="Refrigerated Storage South"/>
        <s v="Refrigerated Storage North"/>
        <s v="Refrigerated Product Storage"/>
      </sharedItems>
    </cacheField>
    <cacheField name="LOCATION" numFmtId="0">
      <sharedItems count="4">
        <s v="Regional West"/>
        <s v="Regional South"/>
        <s v="Regional North"/>
        <s v="Plant"/>
      </sharedItems>
    </cacheField>
    <cacheField name="CURRENT_STOCK" numFmtId="0">
      <sharedItems containsSemiMixedTypes="0" containsString="0" containsNumber="1" containsInteger="1" minValue="30" maxValue="512" count="21">
        <n v="30"/>
        <n v="31"/>
        <n v="61"/>
        <n v="67"/>
        <n v="73"/>
        <n v="82"/>
        <n v="94"/>
        <n v="109"/>
        <n v="112"/>
        <n v="134"/>
        <n v="145"/>
        <n v="149"/>
        <n v="161"/>
        <n v="172"/>
        <n v="198"/>
        <n v="200"/>
        <n v="202"/>
        <n v="271"/>
        <n v="300"/>
        <n v="399"/>
        <n v="512"/>
      </sharedItems>
    </cacheField>
    <cacheField name="QTY_SOLD" numFmtId="0">
      <sharedItems containsString="0" containsBlank="1" containsNumber="1" containsInteger="1" minValue="105" maxValue="1310" count="19">
        <n v="241"/>
        <n v="992"/>
        <n v="364"/>
        <n v="596"/>
        <m/>
        <n v="762"/>
        <n v="530"/>
        <n v="242"/>
        <n v="290"/>
        <n v="840"/>
        <n v="313"/>
        <n v="238"/>
        <n v="233"/>
        <n v="376"/>
        <n v="138"/>
        <n v="105"/>
        <n v="632"/>
        <n v="1310"/>
        <n v="504"/>
      </sharedItems>
    </cacheField>
    <cacheField name="NB_DAYS_AVAILABILITY" numFmtId="0">
      <sharedItems containsSemiMixedTypes="0" containsString="0" containsNumber="1" containsInteger="1" minValue="24" maxValue="38" count="10">
        <n v="34"/>
        <n v="31"/>
        <n v="36"/>
        <n v="35"/>
        <n v="28"/>
        <n v="38"/>
        <n v="24"/>
        <n v="25"/>
        <n v="33"/>
        <n v="32"/>
      </sharedItems>
    </cacheField>
    <cacheField name="NB_DAYS" numFmtId="0">
      <sharedItems containsSemiMixedTypes="0" containsString="0" containsNumber="1" containsInteger="1" minValue="40" maxValue="40" count="1">
        <n v="40"/>
      </sharedItems>
    </cacheField>
    <cacheField name="DAILY_SALES" numFmtId="0" formula="QTY_SOLD/NB_DAYS_AVAILABILITY" databaseField="0"/>
    <cacheField name="OUT_OF_STOCK" numFmtId="0" formula="NB_DAYS-NB_DAYS_AVAILABILITY"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Moeini Aghkariz" refreshedDate="43257.631382060186" createdVersion="6" refreshedVersion="6" minRefreshableVersion="3" recordCount="1056" xr:uid="{00000000-000A-0000-FFFF-FFFF02000000}">
  <cacheSource type="external" connectionId="3"/>
  <cacheFields count="7">
    <cacheField name="SIM_ROUND" numFmtId="0">
      <sharedItems containsSemiMixedTypes="0" containsString="0" containsNumber="1" containsInteger="1" minValue="1" maxValue="4" count="4">
        <n v="1"/>
        <n v="2"/>
        <n v="3"/>
        <n v="4"/>
      </sharedItems>
    </cacheField>
    <cacheField name="VDAY" numFmtId="0">
      <sharedItems containsSemiMixedTypes="0" containsString="0" containsNumber="1" containsInteger="1" minValue="1" maxValue="11" count="11">
        <n v="1"/>
        <n v="2"/>
        <n v="3"/>
        <n v="4"/>
        <n v="5"/>
        <n v="6"/>
        <n v="7"/>
        <n v="8"/>
        <n v="9"/>
        <n v="10"/>
        <n v="11"/>
      </sharedItems>
    </cacheField>
    <cacheField name="WEEK" numFmtId="0">
      <sharedItems containsSemiMixedTypes="0" containsString="0" containsNumber="1" containsInteger="1" minValue="1" maxValue="8" count="8">
        <n v="1"/>
        <n v="2"/>
        <n v="3"/>
        <n v="4"/>
        <n v="5"/>
        <n v="6"/>
        <n v="7"/>
        <n v="8"/>
      </sharedItems>
    </cacheField>
    <cacheField name="INVENTORY_DATE" numFmtId="0">
      <sharedItems count="77">
        <s v="01/01"/>
        <s v="01/02"/>
        <s v="01/03"/>
        <s v="01/04"/>
        <s v="01/05"/>
        <s v="01/06"/>
        <s v="01/07"/>
        <s v="01/08"/>
        <s v="01/09"/>
        <s v="01/10"/>
        <s v="01/11"/>
        <s v="02/01"/>
        <s v="02/02"/>
        <s v="02/03"/>
        <s v="02/04"/>
        <s v="02/05"/>
        <s v="02/06"/>
        <s v="02/07"/>
        <s v="02/08"/>
        <s v="02/09"/>
        <s v="02/10"/>
        <s v="02/11"/>
        <s v="03/01"/>
        <s v="03/02"/>
        <s v="03/03"/>
        <s v="03/04"/>
        <s v="03/05"/>
        <s v="03/06"/>
        <s v="03/07"/>
        <s v="03/08"/>
        <s v="03/09"/>
        <s v="03/10"/>
        <s v="03/11"/>
        <s v="04/01"/>
        <s v="04/02"/>
        <s v="04/03"/>
        <s v="04/04"/>
        <s v="04/05"/>
        <s v="04/06"/>
        <s v="04/07"/>
        <s v="04/08"/>
        <s v="04/09"/>
        <s v="04/10"/>
        <s v="04/11"/>
        <s v="07/07" u="1"/>
        <s v="07/05" u="1"/>
        <s v="05/10" u="1"/>
        <s v="07/03" u="1"/>
        <s v="07/01" u="1"/>
        <s v="06/09" u="1"/>
        <s v="06/07" u="1"/>
        <s v="06/05" u="1"/>
        <s v="06/03" u="1"/>
        <s v="06/01" u="1"/>
        <s v="07/11" u="1"/>
        <s v="05/09" u="1"/>
        <s v="05/07" u="1"/>
        <s v="05/05" u="1"/>
        <s v="05/03" u="1"/>
        <s v="05/01" u="1"/>
        <s v="06/11" u="1"/>
        <s v="07/08" u="1"/>
        <s v="07/06" u="1"/>
        <s v="05/11" u="1"/>
        <s v="07/04" u="1"/>
        <s v="07/02" u="1"/>
        <s v="06/08" u="1"/>
        <s v="06/06" u="1"/>
        <s v="06/04" u="1"/>
        <s v="06/02" u="1"/>
        <s v="07/10" u="1"/>
        <s v="05/08" u="1"/>
        <s v="05/06" u="1"/>
        <s v="05/04" u="1"/>
        <s v="05/02" u="1"/>
        <s v="06/10" u="1"/>
        <s v="07/09" u="1"/>
      </sharedItems>
    </cacheField>
    <cacheField name="PRODUCT" numFmtId="0">
      <sharedItems count="6">
        <s v="Butter"/>
        <s v="Cheese"/>
        <s v="Cream"/>
        <s v="Ice Cream"/>
        <s v="Milk"/>
        <s v="Yoghurt"/>
      </sharedItems>
    </cacheField>
    <cacheField name="STORAGE_LOCATION_ID" numFmtId="0">
      <sharedItems count="4">
        <s v="03"/>
        <s v="03N"/>
        <s v="03S"/>
        <s v="03W"/>
      </sharedItems>
    </cacheField>
    <cacheField name="STOCK_LEVEL" numFmtId="0">
      <sharedItems containsSemiMixedTypes="0" containsString="0" containsNumber="1" containsInteger="1" minValue="0" maxValue="903"/>
    </cacheField>
  </cacheFields>
  <extLst>
    <ext xmlns:x14="http://schemas.microsoft.com/office/spreadsheetml/2009/9/main" uri="{725AE2AE-9491-48be-B2B4-4EB974FC3084}">
      <x14:pivotCacheDefinition pivotCacheId="179496161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 Services" refreshedDate="44266.47062615741" createdVersion="6" refreshedVersion="6" minRefreshableVersion="3" recordCount="225" xr:uid="{7FDC087B-67D4-CE41-B190-F474ADC9CEAB}">
  <cacheSource type="external" connectionId="6"/>
  <cacheFields count="16">
    <cacheField name="PRODUCT_DESCRIPTION" numFmtId="0">
      <sharedItems count="6">
        <s v="Yoghurt"/>
        <s v="Butter"/>
        <s v="Ice Cream"/>
        <s v="Milk"/>
        <s v="Cream"/>
        <s v="Cheese"/>
      </sharedItems>
    </cacheField>
    <cacheField name="PRODUCT_ID" numFmtId="0">
      <sharedItems count="6">
        <s v="ZZ-T03"/>
        <s v="ZZ-T05"/>
        <s v="ZZ-T06"/>
        <s v="ZZ-T01"/>
        <s v="ZZ-T02"/>
        <s v="ZZ-T04"/>
      </sharedItems>
    </cacheField>
    <cacheField name="AREA_NAME" numFmtId="0">
      <sharedItems count="3">
        <s v="North"/>
        <s v="West"/>
        <s v="South"/>
      </sharedItems>
    </cacheField>
    <cacheField name="SIM_ROUND" numFmtId="0">
      <sharedItems containsSemiMixedTypes="0" containsString="0" containsNumber="1" containsInteger="1" minValue="1" maxValue="4" count="4">
        <n v="1"/>
        <n v="2"/>
        <n v="3"/>
        <n v="4"/>
      </sharedItems>
    </cacheField>
    <cacheField name="VDAY" numFmtId="0">
      <sharedItems containsSemiMixedTypes="0" containsString="0" containsNumber="1" containsInteger="1" minValue="1" maxValue="10" count="10">
        <n v="3"/>
        <n v="4"/>
        <n v="5"/>
        <n v="6"/>
        <n v="7"/>
        <n v="8"/>
        <n v="9"/>
        <n v="10"/>
        <n v="1"/>
        <n v="2"/>
      </sharedItems>
    </cacheField>
    <cacheField name="WEEK" numFmtId="0">
      <sharedItems containsSemiMixedTypes="0" containsString="0" containsNumber="1" containsInteger="1" minValue="1" maxValue="8" count="8">
        <n v="1"/>
        <n v="2"/>
        <n v="3"/>
        <n v="4"/>
        <n v="5"/>
        <n v="6"/>
        <n v="7"/>
        <n v="8"/>
      </sharedItems>
    </cacheField>
    <cacheField name="SALES_ORDER_DATE" numFmtId="0">
      <sharedItems count="68">
        <s v="01/03"/>
        <s v="01/04"/>
        <s v="01/05"/>
        <s v="01/06"/>
        <s v="01/07"/>
        <s v="01/08"/>
        <s v="01/09"/>
        <s v="01/10"/>
        <s v="02/01"/>
        <s v="02/02"/>
        <s v="02/03"/>
        <s v="02/04"/>
        <s v="02/05"/>
        <s v="02/06"/>
        <s v="02/07"/>
        <s v="02/08"/>
        <s v="02/09"/>
        <s v="02/10"/>
        <s v="03/01"/>
        <s v="03/02"/>
        <s v="03/03"/>
        <s v="03/04"/>
        <s v="03/05"/>
        <s v="03/06"/>
        <s v="03/07"/>
        <s v="03/08"/>
        <s v="03/09"/>
        <s v="03/10"/>
        <s v="04/01"/>
        <s v="04/02"/>
        <s v="04/03"/>
        <s v="04/04"/>
        <s v="04/05"/>
        <s v="04/06"/>
        <s v="04/07"/>
        <s v="04/08"/>
        <s v="04/09"/>
        <s v="04/10"/>
        <s v="07/07" u="1"/>
        <s v="07/05" u="1"/>
        <s v="05/10" u="1"/>
        <s v="07/03" u="1"/>
        <s v="07/01" u="1"/>
        <s v="06/09" u="1"/>
        <s v="06/07" u="1"/>
        <s v="06/05" u="1"/>
        <s v="06/03" u="1"/>
        <s v="06/01" u="1"/>
        <s v="05/09" u="1"/>
        <s v="05/07" u="1"/>
        <s v="05/05" u="1"/>
        <s v="05/03" u="1"/>
        <s v="05/01" u="1"/>
        <s v="07/08" u="1"/>
        <s v="07/06" u="1"/>
        <s v="07/04" u="1"/>
        <s v="07/02" u="1"/>
        <s v="06/08" u="1"/>
        <s v="06/06" u="1"/>
        <s v="06/04" u="1"/>
        <s v="06/02" u="1"/>
        <s v="07/10" u="1"/>
        <s v="05/08" u="1"/>
        <s v="05/06" u="1"/>
        <s v="05/04" u="1"/>
        <s v="05/02" u="1"/>
        <s v="06/10" u="1"/>
        <s v="07/09" u="1"/>
      </sharedItems>
    </cacheField>
    <cacheField name="PRICE" numFmtId="0">
      <sharedItems containsSemiMixedTypes="0" containsString="0" containsNumber="1" minValue="25.25" maxValue="98" count="44">
        <n v="28.43"/>
        <n v="65.87"/>
        <n v="47.47"/>
        <n v="25.25"/>
        <n v="79.28"/>
        <n v="90.95"/>
        <n v="67"/>
        <n v="81"/>
        <n v="30"/>
        <n v="92"/>
        <n v="27"/>
        <n v="49"/>
        <n v="28"/>
        <n v="31"/>
        <n v="68"/>
        <n v="93"/>
        <n v="82"/>
        <n v="50"/>
        <n v="94"/>
        <n v="83"/>
        <n v="32"/>
        <n v="69"/>
        <n v="29"/>
        <n v="51"/>
        <n v="70"/>
        <n v="52"/>
        <n v="33"/>
        <n v="95"/>
        <n v="84"/>
        <n v="71"/>
        <n v="34"/>
        <n v="96"/>
        <n v="35"/>
        <n v="54"/>
        <n v="97"/>
        <n v="72"/>
        <n v="87"/>
        <n v="36"/>
        <n v="73"/>
        <n v="55"/>
        <n v="98"/>
        <n v="37"/>
        <n v="74"/>
        <n v="56"/>
      </sharedItems>
    </cacheField>
    <cacheField name="QTY" numFmtId="0">
      <sharedItems containsSemiMixedTypes="0" containsString="0" containsNumber="1" containsInteger="1" minValue="1" maxValue="162"/>
    </cacheField>
    <cacheField name="REVENUE" numFmtId="0">
      <sharedItems containsSemiMixedTypes="0" containsString="0" containsNumber="1" minValue="92" maxValue="5820.8" count="182">
        <n v="2843"/>
        <n v="4149.8100000000004"/>
        <n v="1708.92"/>
        <n v="2525"/>
        <n v="3038.08"/>
        <n v="1902.72"/>
        <n v="3910.85"/>
        <n v="1819"/>
        <n v="1778.49"/>
        <n v="1982"/>
        <n v="658.7"/>
        <n v="2107.84"/>
        <n v="1641.25"/>
        <n v="2299.12"/>
        <n v="1728.05"/>
        <n v="2173.71"/>
        <n v="2140.56"/>
        <n v="1646.75"/>
        <n v="883.75"/>
        <n v="1637.1"/>
        <n v="757.5"/>
        <n v="151.5"/>
        <n v="2061.2800000000002"/>
        <n v="2132.25"/>
        <n v="2041.97"/>
        <n v="2278.56"/>
        <n v="2373.5"/>
        <n v="710.75"/>
        <n v="2378.4"/>
        <n v="3728.95"/>
        <n v="1909.95"/>
        <n v="1664.88"/>
        <n v="1519.04"/>
        <n v="1712.62"/>
        <n v="1823.44"/>
        <n v="1976.1"/>
        <n v="949.4"/>
        <n v="2091.85"/>
        <n v="3171.2"/>
        <n v="1767.5"/>
        <n v="713.52"/>
        <n v="1421.5"/>
        <n v="2364.6999999999998"/>
        <n v="3797.6"/>
        <n v="1580.88"/>
        <n v="1546.15"/>
        <n v="606"/>
        <n v="5820.8"/>
        <n v="2144"/>
        <n v="268"/>
        <n v="1539"/>
        <n v="1680"/>
        <n v="2300"/>
        <n v="737"/>
        <n v="1944"/>
        <n v="162"/>
        <n v="3864"/>
        <n v="1500"/>
        <n v="2392"/>
        <n v="1666"/>
        <n v="1608"/>
        <n v="2450"/>
        <n v="1932"/>
        <n v="1078"/>
        <n v="368"/>
        <n v="1960"/>
        <n v="1840"/>
        <n v="1458"/>
        <n v="92"/>
        <n v="2268"/>
        <n v="1519"/>
        <n v="1904"/>
        <n v="2720"/>
        <n v="1581"/>
        <n v="3534"/>
        <n v="1596"/>
        <n v="2050"/>
        <n v="2350"/>
        <n v="4536"/>
        <n v="3100"/>
        <n v="3906"/>
        <n v="1950"/>
        <n v="2214"/>
        <n v="1700"/>
        <n v="2072"/>
        <n v="1804"/>
        <n v="1767"/>
        <n v="364"/>
        <n v="1550"/>
        <n v="2418"/>
        <n v="1568"/>
        <n v="1886"/>
        <n v="2380"/>
        <n v="4185"/>
        <n v="2448"/>
        <n v="700"/>
        <n v="3468"/>
        <n v="1600"/>
        <n v="1722"/>
        <n v="1829"/>
        <n v="2232"/>
        <n v="1116"/>
        <n v="2068"/>
        <n v="1992"/>
        <n v="1248"/>
        <n v="754"/>
        <n v="1880"/>
        <n v="2415"/>
        <n v="2240"/>
        <n v="1794"/>
        <n v="2324"/>
        <n v="864"/>
        <n v="1656"/>
        <n v="1734"/>
        <n v="1798"/>
        <n v="1692"/>
        <n v="1826"/>
        <n v="1590"/>
        <n v="2490"/>
        <n v="1750"/>
        <n v="1664"/>
        <n v="99"/>
        <n v="1710"/>
        <n v="2310"/>
        <n v="2288"/>
        <n v="1425"/>
        <n v="1520"/>
        <n v="1820"/>
        <n v="2250"/>
        <n v="3465"/>
        <n v="2170"/>
        <n v="1650"/>
        <n v="4085"/>
        <n v="1530"/>
        <n v="1848"/>
        <n v="2184"/>
        <n v="2178"/>
        <n v="4116"/>
        <n v="1980"/>
        <n v="1610"/>
        <n v="1815"/>
        <n v="1615"/>
        <n v="1995"/>
        <n v="2400"/>
        <n v="3900"/>
        <n v="1508"/>
        <n v="2871"/>
        <n v="2444"/>
        <n v="4440"/>
        <n v="1764"/>
        <n v="1782"/>
        <n v="1890"/>
        <n v="93"/>
        <n v="4899"/>
        <n v="217"/>
        <n v="1984"/>
        <n v="1836"/>
        <n v="1633"/>
        <n v="3840"/>
        <n v="2208"/>
        <n v="1785"/>
        <n v="1365"/>
        <n v="1540"/>
        <n v="2160"/>
        <n v="2328"/>
        <n v="1800"/>
        <n v="1746"/>
        <n v="1512"/>
        <n v="1485"/>
        <n v="2088"/>
        <n v="3996"/>
        <n v="2336"/>
        <n v="2436"/>
        <n v="1404"/>
        <n v="1825"/>
        <n v="1705"/>
        <n v="2001"/>
        <n v="1971"/>
        <n v="2352"/>
        <n v="2263"/>
        <n v="2146"/>
        <n v="1998"/>
      </sharedItems>
    </cacheField>
    <cacheField name="COST" numFmtId="0">
      <sharedItems containsSemiMixedTypes="0" containsString="0" containsNumber="1" minValue="69.900000000000006" maxValue="5320.29" count="189">
        <n v="2599.0500000000002"/>
        <n v="3792.95"/>
        <n v="1561.84"/>
        <n v="2307.48"/>
        <n v="2776.62"/>
        <n v="1739.08"/>
        <n v="3574.57"/>
        <n v="1662.59"/>
        <n v="1625.55"/>
        <n v="1811.55"/>
        <n v="602.05999999999995"/>
        <n v="1926.58"/>
        <n v="1499.86"/>
        <n v="2101.39"/>
        <n v="2599.06"/>
        <n v="1579.46"/>
        <n v="1986.78"/>
        <n v="1956.47"/>
        <n v="1505.14"/>
        <n v="807.62"/>
        <n v="1496.33"/>
        <n v="692.24"/>
        <n v="138.44999999999999"/>
        <n v="1884.01"/>
        <n v="1949.29"/>
        <n v="1866.37"/>
        <n v="2082.46"/>
        <n v="2169.02"/>
        <n v="649.76"/>
        <n v="2173.85"/>
        <n v="3408.31"/>
        <n v="1745.72"/>
        <n v="1521.7"/>
        <n v="1388.31"/>
        <n v="1565.34"/>
        <n v="1666.62"/>
        <n v="1811.54"/>
        <n v="1806.17"/>
        <n v="867.69"/>
        <n v="1911.98"/>
        <n v="2898.47"/>
        <n v="1615.23"/>
        <n v="652.16"/>
        <n v="1299.53"/>
        <n v="2161.37"/>
        <n v="3470.77"/>
        <n v="1444.93"/>
        <n v="1413.2"/>
        <n v="553.79999999999995"/>
        <n v="5320.29"/>
        <n v="1930.23"/>
        <n v="241.28"/>
        <n v="1378.85"/>
        <n v="1458.25"/>
        <n v="2081.31"/>
        <n v="663.52"/>
        <n v="1741.7"/>
        <n v="138.80000000000001"/>
        <n v="3496.6"/>
        <n v="1302"/>
        <n v="2164.56"/>
        <n v="1477.77"/>
        <n v="1447.67"/>
        <n v="2173.1999999999998"/>
        <n v="1748.3"/>
        <n v="956.21"/>
        <n v="333.01"/>
        <n v="1738.56"/>
        <n v="1665.05"/>
        <n v="1306.27"/>
        <n v="83.25"/>
        <n v="1873.76"/>
        <n v="1275.96"/>
        <n v="1688.95"/>
        <n v="2412.7800000000002"/>
        <n v="1328.05"/>
        <n v="3163.6"/>
        <n v="1318.57"/>
        <n v="1814.27"/>
        <n v="2042.81"/>
        <n v="3747.52"/>
        <n v="2604.0100000000002"/>
        <n v="1695.09"/>
        <n v="1959.41"/>
        <n v="1711.83"/>
        <n v="1596.56"/>
        <n v="1581.8"/>
        <n v="300.73"/>
        <n v="1302.01"/>
        <n v="1477.78"/>
        <n v="1295.44"/>
        <n v="1669.13"/>
        <n v="2111.1799999999998"/>
        <n v="3746.36"/>
        <n v="2171.5"/>
        <n v="578.32000000000005"/>
        <n v="3076.3"/>
        <n v="1390.85"/>
        <n v="2111.19"/>
        <n v="1523.99"/>
        <n v="1536.37"/>
        <n v="1998.06"/>
        <n v="999.03"/>
        <n v="1831.55"/>
        <n v="1015.56"/>
        <n v="1689.5"/>
        <n v="601.48"/>
        <n v="1666.15"/>
        <n v="2111.88"/>
        <n v="1823.88"/>
        <n v="1568.82"/>
        <n v="2032.93"/>
        <n v="703.5"/>
        <n v="1448.15"/>
        <n v="1478.37"/>
        <n v="1434.29"/>
        <n v="1499.53"/>
        <n v="1597.3"/>
        <n v="1226.0899999999999"/>
        <n v="1920.1"/>
        <n v="1508.48"/>
        <n v="1391.41"/>
        <n v="78.17"/>
        <n v="1991.2"/>
        <n v="1913.19"/>
        <n v="1249.6099999999999"/>
        <n v="1332.92"/>
        <n v="1735.03"/>
        <n v="2735.83"/>
        <n v="1870.52"/>
        <n v="1302.77"/>
        <n v="3582.22"/>
        <n v="1185.6600000000001"/>
        <n v="1600.1"/>
        <n v="1462.65"/>
        <n v="1833.18"/>
        <n v="1723.83"/>
        <n v="1162.4100000000001"/>
        <n v="3563.86"/>
        <n v="1567.12"/>
        <n v="1398.79"/>
        <n v="1436.53"/>
        <n v="1253.68"/>
        <n v="1325.15"/>
        <n v="1462.64"/>
        <n v="1420.84"/>
        <n v="1755.16"/>
        <n v="1859.86"/>
        <n v="1946.15"/>
        <n v="3273.53"/>
        <n v="1265.77"/>
        <n v="2272.33"/>
        <n v="2051.41"/>
        <n v="3448.4"/>
        <n v="1529.16"/>
        <n v="1416.97"/>
        <n v="1704.29"/>
        <n v="1467.9"/>
        <n v="69.900000000000006"/>
        <n v="4199.8500000000004"/>
        <n v="163.1"/>
        <n v="1491.2"/>
        <n v="1399.95"/>
        <n v="3347.56"/>
        <n v="1607.7"/>
        <n v="1338.25"/>
        <n v="1023.37"/>
        <n v="1793.89"/>
        <n v="1154.57"/>
        <n v="1312.01"/>
        <n v="1750.14"/>
        <n v="2008.53"/>
        <n v="1836.82"/>
        <n v="1521.69"/>
        <n v="1506.4"/>
        <n v="1225.0999999999999"/>
        <n v="1048.5"/>
        <n v="1747.61"/>
        <n v="2912.66"/>
        <n v="1947.76"/>
        <n v="2038.88"/>
        <n v="1357.7"/>
        <n v="1676.64"/>
        <n v="1645.07"/>
        <n v="2010.52"/>
        <n v="1888.78"/>
        <n v="1314.94"/>
        <n v="1525.33"/>
        <n v="1182.51"/>
      </sharedItems>
    </cacheField>
    <cacheField name="PROFIT" numFmtId="0" formula="REVENUE-COST" databaseField="0"/>
    <cacheField name="COST_UNIT" numFmtId="0" formula="COST/QTY" databaseField="0"/>
    <cacheField name="MARGIN" numFmtId="0" formula="#NAME?*QTY" databaseField="0"/>
    <cacheField name="PROFIT_MARGIN" numFmtId="0" formula="(REVENUE-COST)/REVENUE" databaseField="0"/>
    <cacheField name="PROFIT_UNIT" numFmtId="0" formula="PRICE-COST_UNIT" databaseField="0"/>
  </cacheFields>
  <extLst>
    <ext xmlns:x14="http://schemas.microsoft.com/office/spreadsheetml/2009/9/main" uri="{725AE2AE-9491-48be-B2B4-4EB974FC3084}">
      <x14:pivotCacheDefinition pivotCacheId="201427882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 Services" refreshedDate="44291.730562500001" createdVersion="6" refreshedVersion="6" minRefreshableVersion="3" recordCount="36" xr:uid="{FC8E59D0-0D95-43E3-BE12-6167A448A2AC}">
  <cacheSource type="worksheet">
    <worksheetSource ref="B413:G449" sheet="Historical_Stock" r:id="rId2"/>
  </cacheSource>
  <cacheFields count="6">
    <cacheField name="Round" numFmtId="166">
      <sharedItems containsSemiMixedTypes="0" containsString="0" containsNumber="1" containsInteger="1" minValue="1" maxValue="4" count="4">
        <n v="1"/>
        <n v="2"/>
        <n v="3"/>
        <n v="4"/>
      </sharedItems>
    </cacheField>
    <cacheField name="Day" numFmtId="166">
      <sharedItems containsSemiMixedTypes="0" containsString="0" containsNumber="1" containsInteger="1" minValue="1" maxValue="10" count="4">
        <n v="1"/>
        <n v="6"/>
        <n v="10"/>
        <n v="8"/>
      </sharedItems>
    </cacheField>
    <cacheField name="Product" numFmtId="0">
      <sharedItems count="6">
        <s v="Butter"/>
        <s v="Cheese"/>
        <s v="Cream"/>
        <s v="Ice Cream"/>
        <s v="Milk"/>
        <s v="Yoghurt"/>
      </sharedItems>
    </cacheField>
    <cacheField name="Date" numFmtId="0">
      <sharedItems count="6">
        <s v="01/01"/>
        <s v="02/01"/>
        <s v="03/01"/>
        <s v="03/06"/>
        <s v="03/10"/>
        <s v="04/08"/>
      </sharedItems>
    </cacheField>
    <cacheField name="Real Purchase" numFmtId="165">
      <sharedItems containsSemiMixedTypes="0" containsString="0" containsNumber="1" containsInteger="1" minValue="50" maxValue="903"/>
    </cacheField>
    <cacheField name="Target Pruchase Level" numFmtId="165">
      <sharedItems containsSemiMixedTypes="0" containsString="0" containsNumber="1" containsInteger="1" minValue="600" maxValue="115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 Services" refreshedDate="44295.901953587963" createdVersion="6" refreshedVersion="7" minRefreshableVersion="3" recordCount="1668" xr:uid="{00000000-000A-0000-FFFF-FFFF03000000}">
  <cacheSource type="external" connectionId="4"/>
  <cacheFields count="16">
    <cacheField name="DOC_DATE" numFmtId="0">
      <sharedItems/>
    </cacheField>
    <cacheField name="DOCUMENT_ID" numFmtId="0">
      <sharedItems/>
    </cacheField>
    <cacheField name="SIM_ROUND" numFmtId="0">
      <sharedItems containsSemiMixedTypes="0" containsString="0" containsNumber="1" containsInteger="1" minValue="0" maxValue="7" count="8">
        <n v="1"/>
        <n v="0"/>
        <n v="2"/>
        <n v="3"/>
        <n v="4"/>
        <n v="6" u="1"/>
        <n v="7" u="1"/>
        <n v="5" u="1"/>
      </sharedItems>
    </cacheField>
    <cacheField name="VDAY" numFmtId="0">
      <sharedItems containsSemiMixedTypes="0" containsString="0" containsNumber="1" containsInteger="1" minValue="1" maxValue="11" count="11">
        <n v="4"/>
        <n v="9"/>
        <n v="11"/>
        <n v="3"/>
        <n v="1"/>
        <n v="7"/>
        <n v="10"/>
        <n v="6"/>
        <n v="8"/>
        <n v="2"/>
        <n v="5"/>
      </sharedItems>
    </cacheField>
    <cacheField name="WEEK" numFmtId="0">
      <sharedItems containsSemiMixedTypes="0" containsString="0" containsNumber="1" containsInteger="1" minValue="0" maxValue="8" count="9">
        <n v="1"/>
        <n v="2"/>
        <n v="0"/>
        <n v="4"/>
        <n v="3"/>
        <n v="5"/>
        <n v="6"/>
        <n v="7"/>
        <n v="8"/>
      </sharedItems>
    </cacheField>
    <cacheField name="ACCOUNT_ID" numFmtId="0">
      <sharedItems count="12">
        <s v="0000792000"/>
        <s v="0000400020"/>
        <s v="0000140000"/>
        <s v="0000800000"/>
        <s v="0000113300"/>
        <s v="0000011000"/>
        <s v="0000070000"/>
        <s v="0000191100"/>
        <s v="0000192100"/>
        <s v="0000160000"/>
        <s v="0000472000"/>
        <s v="0000478100"/>
      </sharedItems>
    </cacheField>
    <cacheField name="ACCOUNT_TYPE_1" numFmtId="0">
      <sharedItems count="3">
        <s v="Assets"/>
        <s v="P&amp;L"/>
        <s v="Liabilities "/>
      </sharedItems>
    </cacheField>
    <cacheField name="ACCOUNT_TYPE_2" numFmtId="0">
      <sharedItems count="8">
        <s v="Current Assets"/>
        <s v="Goods Sold"/>
        <s v="Sales Revenues "/>
        <s v="Long-term assets"/>
        <s v="Equity"/>
        <s v="Current liabilities"/>
        <s v="Operating expenses"/>
        <s v="SG&amp;A" u="1"/>
      </sharedItems>
    </cacheField>
    <cacheField name="ACCOUNT_TYPE_3" numFmtId="0">
      <sharedItems count="9">
        <s v="Inventory"/>
        <s v="Cost of Goods Sold"/>
        <s v="Receivables Customers "/>
        <s v="Sales Revenues "/>
        <s v="Cash "/>
        <s v="Machinery"/>
        <s v="Common stock "/>
        <s v="Account Payable"/>
        <s v="Operating expenses"/>
      </sharedItems>
    </cacheField>
    <cacheField name="ACCOUNT_NAME" numFmtId="0">
      <sharedItems count="12">
        <s v="Finished Goods"/>
        <s v="Consumption Trading Goods"/>
        <s v="Domestic Receivables"/>
        <s v="Sales Revenues - Domestic"/>
        <s v="WeizenBank Cash Account"/>
        <s v="Machinery and equipment"/>
        <s v="Common stock"/>
        <s v="GR/IR Clearing - External procurement"/>
        <s v="Freight Clearing"/>
        <s v="Accounts payable - Domestic"/>
        <s v="Transportation Cost"/>
        <s v="Warehousing costs"/>
      </sharedItems>
    </cacheField>
    <cacheField name="POSTING_DESC" numFmtId="0">
      <sharedItems count="9">
        <s v="Stock outwd movement"/>
        <s v="Costs"/>
        <s v="Invoice"/>
        <s v="Credit entry"/>
        <s v="Debit entry"/>
        <s v="Credit memo"/>
        <s v="Stock inwrd movement"/>
        <s v="GR/IR credit"/>
        <s v="GR/IR debit"/>
      </sharedItems>
    </cacheField>
    <cacheField name="CREDIT_OR_DEBIT" numFmtId="0">
      <sharedItems count="2">
        <s v="C"/>
        <s v="D"/>
      </sharedItems>
    </cacheField>
    <cacheField name="AMOUNT" numFmtId="0">
      <sharedItems containsSemiMixedTypes="0" containsString="0" containsNumber="1" minValue="0.01" maxValue="500000"/>
    </cacheField>
    <cacheField name="EUROS" numFmtId="0">
      <sharedItems containsSemiMixedTypes="0" containsString="0" containsNumber="1" minValue="-500000" maxValue="500000"/>
    </cacheField>
    <cacheField name="NEGATIVE_EUROS" numFmtId="0" formula=" -EUROS" databaseField="0"/>
    <cacheField name="ABS_EUROS" numFmtId="0" formula=" ABS(EUROS)" databaseField="0"/>
  </cacheFields>
  <extLst>
    <ext xmlns:x14="http://schemas.microsoft.com/office/spreadsheetml/2009/9/main" uri="{725AE2AE-9491-48be-B2B4-4EB974FC3084}">
      <x14:pivotCacheDefinition pivotCacheId="2"/>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glin YANG" refreshedDate="44305.347220023148" createdVersion="6" refreshedVersion="6" minRefreshableVersion="3" recordCount="222" xr:uid="{CC33E1AF-6FEA-41EC-94F3-6D42D1D5992C}">
  <cacheSource type="worksheet">
    <worksheetSource name="Table20"/>
  </cacheSource>
  <cacheFields count="4">
    <cacheField name="Date" numFmtId="0">
      <sharedItems containsDate="1" containsMixedTypes="1" minDate="2021-03-06T00:00:00" maxDate="2021-03-07T00:00:00" count="14">
        <s v="01/02"/>
        <s v="01/05"/>
        <s v="01/08"/>
        <s v="02/01"/>
        <s v="02/04"/>
        <s v="02/07"/>
        <s v="02/10"/>
        <s v="03/03"/>
        <s v="03/06"/>
        <s v="03/09"/>
        <s v="04/02"/>
        <s v="04/05"/>
        <s v="04/08"/>
        <d v="2021-03-06T00:00:00" u="1"/>
      </sharedItems>
    </cacheField>
    <cacheField name="Product" numFmtId="0">
      <sharedItems count="6">
        <s v="Butter"/>
        <s v="Cheese"/>
        <s v="Cream"/>
        <s v="Ice Cream"/>
        <s v="Milk"/>
        <s v="Yoghurt"/>
      </sharedItems>
    </cacheField>
    <cacheField name="Region" numFmtId="0">
      <sharedItems count="3">
        <s v="North"/>
        <s v="South"/>
        <s v="West"/>
      </sharedItems>
    </cacheField>
    <cacheField name="Quantity" numFmtId="0">
      <sharedItems containsSemiMixedTypes="0" containsString="0" containsNumber="1" containsInteger="1" minValue="0" maxValue="300"/>
    </cacheField>
  </cacheFields>
  <extLst>
    <ext xmlns:x14="http://schemas.microsoft.com/office/spreadsheetml/2009/9/main" uri="{725AE2AE-9491-48be-B2B4-4EB974FC3084}">
      <x14:pivotCacheDefinition pivotCacheId="10082397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x v="0"/>
    <x v="0"/>
    <x v="0"/>
    <x v="0"/>
    <x v="0"/>
    <x v="0"/>
  </r>
  <r>
    <x v="1"/>
    <x v="1"/>
    <x v="1"/>
    <x v="1"/>
    <x v="1"/>
    <x v="1"/>
    <x v="1"/>
    <x v="1"/>
    <x v="0"/>
  </r>
  <r>
    <x v="2"/>
    <x v="2"/>
    <x v="1"/>
    <x v="1"/>
    <x v="1"/>
    <x v="2"/>
    <x v="2"/>
    <x v="2"/>
    <x v="0"/>
  </r>
  <r>
    <x v="3"/>
    <x v="3"/>
    <x v="2"/>
    <x v="2"/>
    <x v="2"/>
    <x v="3"/>
    <x v="3"/>
    <x v="3"/>
    <x v="0"/>
  </r>
  <r>
    <x v="4"/>
    <x v="4"/>
    <x v="3"/>
    <x v="3"/>
    <x v="3"/>
    <x v="4"/>
    <x v="4"/>
    <x v="4"/>
    <x v="0"/>
  </r>
  <r>
    <x v="5"/>
    <x v="5"/>
    <x v="3"/>
    <x v="3"/>
    <x v="3"/>
    <x v="5"/>
    <x v="4"/>
    <x v="4"/>
    <x v="0"/>
  </r>
  <r>
    <x v="5"/>
    <x v="5"/>
    <x v="0"/>
    <x v="0"/>
    <x v="0"/>
    <x v="6"/>
    <x v="5"/>
    <x v="3"/>
    <x v="0"/>
  </r>
  <r>
    <x v="2"/>
    <x v="2"/>
    <x v="3"/>
    <x v="3"/>
    <x v="3"/>
    <x v="7"/>
    <x v="4"/>
    <x v="4"/>
    <x v="0"/>
  </r>
  <r>
    <x v="3"/>
    <x v="3"/>
    <x v="1"/>
    <x v="1"/>
    <x v="1"/>
    <x v="8"/>
    <x v="6"/>
    <x v="5"/>
    <x v="0"/>
  </r>
  <r>
    <x v="3"/>
    <x v="3"/>
    <x v="0"/>
    <x v="0"/>
    <x v="0"/>
    <x v="9"/>
    <x v="7"/>
    <x v="5"/>
    <x v="0"/>
  </r>
  <r>
    <x v="4"/>
    <x v="4"/>
    <x v="1"/>
    <x v="1"/>
    <x v="1"/>
    <x v="10"/>
    <x v="8"/>
    <x v="5"/>
    <x v="0"/>
  </r>
  <r>
    <x v="1"/>
    <x v="1"/>
    <x v="2"/>
    <x v="2"/>
    <x v="2"/>
    <x v="11"/>
    <x v="9"/>
    <x v="6"/>
    <x v="0"/>
  </r>
  <r>
    <x v="4"/>
    <x v="4"/>
    <x v="2"/>
    <x v="2"/>
    <x v="2"/>
    <x v="12"/>
    <x v="10"/>
    <x v="5"/>
    <x v="0"/>
  </r>
  <r>
    <x v="2"/>
    <x v="2"/>
    <x v="0"/>
    <x v="0"/>
    <x v="0"/>
    <x v="13"/>
    <x v="11"/>
    <x v="5"/>
    <x v="0"/>
  </r>
  <r>
    <x v="4"/>
    <x v="4"/>
    <x v="0"/>
    <x v="0"/>
    <x v="0"/>
    <x v="14"/>
    <x v="12"/>
    <x v="5"/>
    <x v="0"/>
  </r>
  <r>
    <x v="1"/>
    <x v="1"/>
    <x v="0"/>
    <x v="0"/>
    <x v="0"/>
    <x v="15"/>
    <x v="13"/>
    <x v="3"/>
    <x v="0"/>
  </r>
  <r>
    <x v="5"/>
    <x v="5"/>
    <x v="2"/>
    <x v="2"/>
    <x v="2"/>
    <x v="15"/>
    <x v="14"/>
    <x v="5"/>
    <x v="0"/>
  </r>
  <r>
    <x v="5"/>
    <x v="5"/>
    <x v="1"/>
    <x v="1"/>
    <x v="1"/>
    <x v="15"/>
    <x v="15"/>
    <x v="5"/>
    <x v="0"/>
  </r>
  <r>
    <x v="2"/>
    <x v="2"/>
    <x v="2"/>
    <x v="2"/>
    <x v="2"/>
    <x v="15"/>
    <x v="16"/>
    <x v="1"/>
    <x v="0"/>
  </r>
  <r>
    <x v="3"/>
    <x v="3"/>
    <x v="3"/>
    <x v="3"/>
    <x v="3"/>
    <x v="16"/>
    <x v="4"/>
    <x v="7"/>
    <x v="0"/>
  </r>
  <r>
    <x v="0"/>
    <x v="0"/>
    <x v="2"/>
    <x v="2"/>
    <x v="2"/>
    <x v="17"/>
    <x v="17"/>
    <x v="6"/>
    <x v="0"/>
  </r>
  <r>
    <x v="0"/>
    <x v="0"/>
    <x v="1"/>
    <x v="1"/>
    <x v="1"/>
    <x v="18"/>
    <x v="18"/>
    <x v="8"/>
    <x v="0"/>
  </r>
  <r>
    <x v="0"/>
    <x v="0"/>
    <x v="3"/>
    <x v="3"/>
    <x v="3"/>
    <x v="19"/>
    <x v="4"/>
    <x v="9"/>
    <x v="0"/>
  </r>
  <r>
    <x v="1"/>
    <x v="1"/>
    <x v="3"/>
    <x v="3"/>
    <x v="3"/>
    <x v="20"/>
    <x v="4"/>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6">
  <r>
    <x v="0"/>
    <x v="0"/>
    <x v="0"/>
    <x v="0"/>
    <x v="0"/>
    <x v="0"/>
    <n v="0"/>
  </r>
  <r>
    <x v="0"/>
    <x v="0"/>
    <x v="0"/>
    <x v="0"/>
    <x v="0"/>
    <x v="1"/>
    <n v="0"/>
  </r>
  <r>
    <x v="0"/>
    <x v="0"/>
    <x v="0"/>
    <x v="0"/>
    <x v="0"/>
    <x v="2"/>
    <n v="0"/>
  </r>
  <r>
    <x v="0"/>
    <x v="0"/>
    <x v="0"/>
    <x v="0"/>
    <x v="0"/>
    <x v="3"/>
    <n v="0"/>
  </r>
  <r>
    <x v="0"/>
    <x v="0"/>
    <x v="0"/>
    <x v="0"/>
    <x v="1"/>
    <x v="0"/>
    <n v="0"/>
  </r>
  <r>
    <x v="0"/>
    <x v="0"/>
    <x v="0"/>
    <x v="0"/>
    <x v="1"/>
    <x v="1"/>
    <n v="0"/>
  </r>
  <r>
    <x v="0"/>
    <x v="0"/>
    <x v="0"/>
    <x v="0"/>
    <x v="1"/>
    <x v="2"/>
    <n v="0"/>
  </r>
  <r>
    <x v="0"/>
    <x v="0"/>
    <x v="0"/>
    <x v="0"/>
    <x v="1"/>
    <x v="3"/>
    <n v="0"/>
  </r>
  <r>
    <x v="0"/>
    <x v="0"/>
    <x v="0"/>
    <x v="0"/>
    <x v="2"/>
    <x v="0"/>
    <n v="0"/>
  </r>
  <r>
    <x v="0"/>
    <x v="0"/>
    <x v="0"/>
    <x v="0"/>
    <x v="2"/>
    <x v="1"/>
    <n v="0"/>
  </r>
  <r>
    <x v="0"/>
    <x v="0"/>
    <x v="0"/>
    <x v="0"/>
    <x v="2"/>
    <x v="2"/>
    <n v="0"/>
  </r>
  <r>
    <x v="0"/>
    <x v="0"/>
    <x v="0"/>
    <x v="0"/>
    <x v="2"/>
    <x v="3"/>
    <n v="0"/>
  </r>
  <r>
    <x v="0"/>
    <x v="0"/>
    <x v="0"/>
    <x v="0"/>
    <x v="3"/>
    <x v="0"/>
    <n v="0"/>
  </r>
  <r>
    <x v="0"/>
    <x v="0"/>
    <x v="0"/>
    <x v="0"/>
    <x v="3"/>
    <x v="1"/>
    <n v="0"/>
  </r>
  <r>
    <x v="0"/>
    <x v="0"/>
    <x v="0"/>
    <x v="0"/>
    <x v="3"/>
    <x v="2"/>
    <n v="0"/>
  </r>
  <r>
    <x v="0"/>
    <x v="0"/>
    <x v="0"/>
    <x v="0"/>
    <x v="3"/>
    <x v="3"/>
    <n v="0"/>
  </r>
  <r>
    <x v="0"/>
    <x v="0"/>
    <x v="0"/>
    <x v="0"/>
    <x v="4"/>
    <x v="0"/>
    <n v="0"/>
  </r>
  <r>
    <x v="0"/>
    <x v="0"/>
    <x v="0"/>
    <x v="0"/>
    <x v="4"/>
    <x v="1"/>
    <n v="0"/>
  </r>
  <r>
    <x v="0"/>
    <x v="0"/>
    <x v="0"/>
    <x v="0"/>
    <x v="4"/>
    <x v="2"/>
    <n v="0"/>
  </r>
  <r>
    <x v="0"/>
    <x v="0"/>
    <x v="0"/>
    <x v="0"/>
    <x v="4"/>
    <x v="3"/>
    <n v="0"/>
  </r>
  <r>
    <x v="0"/>
    <x v="0"/>
    <x v="0"/>
    <x v="0"/>
    <x v="5"/>
    <x v="0"/>
    <n v="0"/>
  </r>
  <r>
    <x v="0"/>
    <x v="0"/>
    <x v="0"/>
    <x v="0"/>
    <x v="5"/>
    <x v="1"/>
    <n v="0"/>
  </r>
  <r>
    <x v="0"/>
    <x v="0"/>
    <x v="0"/>
    <x v="0"/>
    <x v="5"/>
    <x v="2"/>
    <n v="0"/>
  </r>
  <r>
    <x v="0"/>
    <x v="0"/>
    <x v="0"/>
    <x v="0"/>
    <x v="5"/>
    <x v="3"/>
    <n v="0"/>
  </r>
  <r>
    <x v="0"/>
    <x v="1"/>
    <x v="0"/>
    <x v="1"/>
    <x v="0"/>
    <x v="0"/>
    <n v="600"/>
  </r>
  <r>
    <x v="0"/>
    <x v="1"/>
    <x v="0"/>
    <x v="1"/>
    <x v="0"/>
    <x v="1"/>
    <n v="0"/>
  </r>
  <r>
    <x v="0"/>
    <x v="1"/>
    <x v="0"/>
    <x v="1"/>
    <x v="0"/>
    <x v="2"/>
    <n v="0"/>
  </r>
  <r>
    <x v="0"/>
    <x v="1"/>
    <x v="0"/>
    <x v="1"/>
    <x v="0"/>
    <x v="3"/>
    <n v="0"/>
  </r>
  <r>
    <x v="0"/>
    <x v="1"/>
    <x v="0"/>
    <x v="1"/>
    <x v="1"/>
    <x v="0"/>
    <n v="600"/>
  </r>
  <r>
    <x v="0"/>
    <x v="1"/>
    <x v="0"/>
    <x v="1"/>
    <x v="1"/>
    <x v="1"/>
    <n v="0"/>
  </r>
  <r>
    <x v="0"/>
    <x v="1"/>
    <x v="0"/>
    <x v="1"/>
    <x v="1"/>
    <x v="2"/>
    <n v="0"/>
  </r>
  <r>
    <x v="0"/>
    <x v="1"/>
    <x v="0"/>
    <x v="1"/>
    <x v="1"/>
    <x v="3"/>
    <n v="0"/>
  </r>
  <r>
    <x v="0"/>
    <x v="1"/>
    <x v="0"/>
    <x v="1"/>
    <x v="2"/>
    <x v="0"/>
    <n v="600"/>
  </r>
  <r>
    <x v="0"/>
    <x v="1"/>
    <x v="0"/>
    <x v="1"/>
    <x v="2"/>
    <x v="1"/>
    <n v="0"/>
  </r>
  <r>
    <x v="0"/>
    <x v="1"/>
    <x v="0"/>
    <x v="1"/>
    <x v="2"/>
    <x v="2"/>
    <n v="0"/>
  </r>
  <r>
    <x v="0"/>
    <x v="1"/>
    <x v="0"/>
    <x v="1"/>
    <x v="2"/>
    <x v="3"/>
    <n v="0"/>
  </r>
  <r>
    <x v="0"/>
    <x v="1"/>
    <x v="0"/>
    <x v="1"/>
    <x v="3"/>
    <x v="0"/>
    <n v="600"/>
  </r>
  <r>
    <x v="0"/>
    <x v="1"/>
    <x v="0"/>
    <x v="1"/>
    <x v="3"/>
    <x v="1"/>
    <n v="0"/>
  </r>
  <r>
    <x v="0"/>
    <x v="1"/>
    <x v="0"/>
    <x v="1"/>
    <x v="3"/>
    <x v="2"/>
    <n v="0"/>
  </r>
  <r>
    <x v="0"/>
    <x v="1"/>
    <x v="0"/>
    <x v="1"/>
    <x v="3"/>
    <x v="3"/>
    <n v="0"/>
  </r>
  <r>
    <x v="0"/>
    <x v="1"/>
    <x v="0"/>
    <x v="1"/>
    <x v="4"/>
    <x v="0"/>
    <n v="600"/>
  </r>
  <r>
    <x v="0"/>
    <x v="1"/>
    <x v="0"/>
    <x v="1"/>
    <x v="4"/>
    <x v="1"/>
    <n v="0"/>
  </r>
  <r>
    <x v="0"/>
    <x v="1"/>
    <x v="0"/>
    <x v="1"/>
    <x v="4"/>
    <x v="2"/>
    <n v="0"/>
  </r>
  <r>
    <x v="0"/>
    <x v="1"/>
    <x v="0"/>
    <x v="1"/>
    <x v="4"/>
    <x v="3"/>
    <n v="0"/>
  </r>
  <r>
    <x v="0"/>
    <x v="1"/>
    <x v="0"/>
    <x v="1"/>
    <x v="5"/>
    <x v="0"/>
    <n v="600"/>
  </r>
  <r>
    <x v="0"/>
    <x v="1"/>
    <x v="0"/>
    <x v="1"/>
    <x v="5"/>
    <x v="1"/>
    <n v="0"/>
  </r>
  <r>
    <x v="0"/>
    <x v="1"/>
    <x v="0"/>
    <x v="1"/>
    <x v="5"/>
    <x v="2"/>
    <n v="0"/>
  </r>
  <r>
    <x v="0"/>
    <x v="1"/>
    <x v="0"/>
    <x v="1"/>
    <x v="5"/>
    <x v="3"/>
    <n v="0"/>
  </r>
  <r>
    <x v="0"/>
    <x v="2"/>
    <x v="0"/>
    <x v="2"/>
    <x v="0"/>
    <x v="0"/>
    <n v="300"/>
  </r>
  <r>
    <x v="0"/>
    <x v="2"/>
    <x v="0"/>
    <x v="2"/>
    <x v="0"/>
    <x v="1"/>
    <n v="100"/>
  </r>
  <r>
    <x v="0"/>
    <x v="2"/>
    <x v="0"/>
    <x v="2"/>
    <x v="0"/>
    <x v="2"/>
    <n v="100"/>
  </r>
  <r>
    <x v="0"/>
    <x v="2"/>
    <x v="0"/>
    <x v="2"/>
    <x v="0"/>
    <x v="3"/>
    <n v="100"/>
  </r>
  <r>
    <x v="0"/>
    <x v="2"/>
    <x v="0"/>
    <x v="2"/>
    <x v="1"/>
    <x v="0"/>
    <n v="300"/>
  </r>
  <r>
    <x v="0"/>
    <x v="2"/>
    <x v="0"/>
    <x v="2"/>
    <x v="1"/>
    <x v="1"/>
    <n v="100"/>
  </r>
  <r>
    <x v="0"/>
    <x v="2"/>
    <x v="0"/>
    <x v="2"/>
    <x v="1"/>
    <x v="2"/>
    <n v="100"/>
  </r>
  <r>
    <x v="0"/>
    <x v="2"/>
    <x v="0"/>
    <x v="2"/>
    <x v="1"/>
    <x v="3"/>
    <n v="100"/>
  </r>
  <r>
    <x v="0"/>
    <x v="2"/>
    <x v="0"/>
    <x v="2"/>
    <x v="2"/>
    <x v="0"/>
    <n v="300"/>
  </r>
  <r>
    <x v="0"/>
    <x v="2"/>
    <x v="0"/>
    <x v="2"/>
    <x v="2"/>
    <x v="1"/>
    <n v="100"/>
  </r>
  <r>
    <x v="0"/>
    <x v="2"/>
    <x v="0"/>
    <x v="2"/>
    <x v="2"/>
    <x v="2"/>
    <n v="100"/>
  </r>
  <r>
    <x v="0"/>
    <x v="2"/>
    <x v="0"/>
    <x v="2"/>
    <x v="2"/>
    <x v="3"/>
    <n v="100"/>
  </r>
  <r>
    <x v="0"/>
    <x v="2"/>
    <x v="0"/>
    <x v="2"/>
    <x v="3"/>
    <x v="0"/>
    <n v="300"/>
  </r>
  <r>
    <x v="0"/>
    <x v="2"/>
    <x v="0"/>
    <x v="2"/>
    <x v="3"/>
    <x v="1"/>
    <n v="100"/>
  </r>
  <r>
    <x v="0"/>
    <x v="2"/>
    <x v="0"/>
    <x v="2"/>
    <x v="3"/>
    <x v="2"/>
    <n v="100"/>
  </r>
  <r>
    <x v="0"/>
    <x v="2"/>
    <x v="0"/>
    <x v="2"/>
    <x v="3"/>
    <x v="3"/>
    <n v="100"/>
  </r>
  <r>
    <x v="0"/>
    <x v="2"/>
    <x v="0"/>
    <x v="2"/>
    <x v="4"/>
    <x v="0"/>
    <n v="300"/>
  </r>
  <r>
    <x v="0"/>
    <x v="2"/>
    <x v="0"/>
    <x v="2"/>
    <x v="4"/>
    <x v="1"/>
    <n v="100"/>
  </r>
  <r>
    <x v="0"/>
    <x v="2"/>
    <x v="0"/>
    <x v="2"/>
    <x v="4"/>
    <x v="2"/>
    <n v="100"/>
  </r>
  <r>
    <x v="0"/>
    <x v="2"/>
    <x v="0"/>
    <x v="2"/>
    <x v="4"/>
    <x v="3"/>
    <n v="100"/>
  </r>
  <r>
    <x v="0"/>
    <x v="2"/>
    <x v="0"/>
    <x v="2"/>
    <x v="5"/>
    <x v="0"/>
    <n v="300"/>
  </r>
  <r>
    <x v="0"/>
    <x v="2"/>
    <x v="0"/>
    <x v="2"/>
    <x v="5"/>
    <x v="1"/>
    <n v="100"/>
  </r>
  <r>
    <x v="0"/>
    <x v="2"/>
    <x v="0"/>
    <x v="2"/>
    <x v="5"/>
    <x v="2"/>
    <n v="100"/>
  </r>
  <r>
    <x v="0"/>
    <x v="2"/>
    <x v="0"/>
    <x v="2"/>
    <x v="5"/>
    <x v="3"/>
    <n v="100"/>
  </r>
  <r>
    <x v="0"/>
    <x v="3"/>
    <x v="0"/>
    <x v="3"/>
    <x v="0"/>
    <x v="0"/>
    <n v="300"/>
  </r>
  <r>
    <x v="0"/>
    <x v="3"/>
    <x v="0"/>
    <x v="3"/>
    <x v="0"/>
    <x v="1"/>
    <n v="37"/>
  </r>
  <r>
    <x v="0"/>
    <x v="3"/>
    <x v="0"/>
    <x v="3"/>
    <x v="0"/>
    <x v="2"/>
    <n v="90"/>
  </r>
  <r>
    <x v="0"/>
    <x v="3"/>
    <x v="0"/>
    <x v="3"/>
    <x v="0"/>
    <x v="3"/>
    <n v="73"/>
  </r>
  <r>
    <x v="0"/>
    <x v="3"/>
    <x v="0"/>
    <x v="3"/>
    <x v="1"/>
    <x v="0"/>
    <n v="300"/>
  </r>
  <r>
    <x v="0"/>
    <x v="3"/>
    <x v="0"/>
    <x v="3"/>
    <x v="1"/>
    <x v="1"/>
    <n v="100"/>
  </r>
  <r>
    <x v="0"/>
    <x v="3"/>
    <x v="0"/>
    <x v="3"/>
    <x v="1"/>
    <x v="2"/>
    <n v="100"/>
  </r>
  <r>
    <x v="0"/>
    <x v="3"/>
    <x v="0"/>
    <x v="3"/>
    <x v="1"/>
    <x v="3"/>
    <n v="37"/>
  </r>
  <r>
    <x v="0"/>
    <x v="3"/>
    <x v="0"/>
    <x v="3"/>
    <x v="2"/>
    <x v="0"/>
    <n v="300"/>
  </r>
  <r>
    <x v="0"/>
    <x v="3"/>
    <x v="0"/>
    <x v="3"/>
    <x v="2"/>
    <x v="1"/>
    <n v="100"/>
  </r>
  <r>
    <x v="0"/>
    <x v="3"/>
    <x v="0"/>
    <x v="3"/>
    <x v="2"/>
    <x v="2"/>
    <n v="75"/>
  </r>
  <r>
    <x v="0"/>
    <x v="3"/>
    <x v="0"/>
    <x v="3"/>
    <x v="2"/>
    <x v="3"/>
    <n v="76"/>
  </r>
  <r>
    <x v="0"/>
    <x v="3"/>
    <x v="0"/>
    <x v="3"/>
    <x v="3"/>
    <x v="0"/>
    <n v="300"/>
  </r>
  <r>
    <x v="0"/>
    <x v="3"/>
    <x v="0"/>
    <x v="3"/>
    <x v="3"/>
    <x v="1"/>
    <n v="0"/>
  </r>
  <r>
    <x v="0"/>
    <x v="3"/>
    <x v="0"/>
    <x v="3"/>
    <x v="3"/>
    <x v="2"/>
    <n v="100"/>
  </r>
  <r>
    <x v="0"/>
    <x v="3"/>
    <x v="0"/>
    <x v="3"/>
    <x v="3"/>
    <x v="3"/>
    <n v="100"/>
  </r>
  <r>
    <x v="0"/>
    <x v="3"/>
    <x v="0"/>
    <x v="3"/>
    <x v="4"/>
    <x v="0"/>
    <n v="300"/>
  </r>
  <r>
    <x v="0"/>
    <x v="3"/>
    <x v="0"/>
    <x v="3"/>
    <x v="4"/>
    <x v="1"/>
    <n v="0"/>
  </r>
  <r>
    <x v="0"/>
    <x v="3"/>
    <x v="0"/>
    <x v="3"/>
    <x v="4"/>
    <x v="2"/>
    <n v="100"/>
  </r>
  <r>
    <x v="0"/>
    <x v="3"/>
    <x v="0"/>
    <x v="3"/>
    <x v="4"/>
    <x v="3"/>
    <n v="100"/>
  </r>
  <r>
    <x v="0"/>
    <x v="3"/>
    <x v="0"/>
    <x v="3"/>
    <x v="5"/>
    <x v="0"/>
    <n v="300"/>
  </r>
  <r>
    <x v="0"/>
    <x v="3"/>
    <x v="0"/>
    <x v="3"/>
    <x v="5"/>
    <x v="1"/>
    <n v="0"/>
  </r>
  <r>
    <x v="0"/>
    <x v="3"/>
    <x v="0"/>
    <x v="3"/>
    <x v="5"/>
    <x v="2"/>
    <n v="100"/>
  </r>
  <r>
    <x v="0"/>
    <x v="3"/>
    <x v="0"/>
    <x v="3"/>
    <x v="5"/>
    <x v="3"/>
    <n v="100"/>
  </r>
  <r>
    <x v="0"/>
    <x v="4"/>
    <x v="0"/>
    <x v="4"/>
    <x v="0"/>
    <x v="0"/>
    <n v="300"/>
  </r>
  <r>
    <x v="0"/>
    <x v="4"/>
    <x v="0"/>
    <x v="4"/>
    <x v="0"/>
    <x v="1"/>
    <n v="5"/>
  </r>
  <r>
    <x v="0"/>
    <x v="4"/>
    <x v="0"/>
    <x v="4"/>
    <x v="0"/>
    <x v="2"/>
    <n v="32"/>
  </r>
  <r>
    <x v="0"/>
    <x v="4"/>
    <x v="0"/>
    <x v="4"/>
    <x v="0"/>
    <x v="3"/>
    <n v="73"/>
  </r>
  <r>
    <x v="0"/>
    <x v="4"/>
    <x v="0"/>
    <x v="4"/>
    <x v="1"/>
    <x v="0"/>
    <n v="300"/>
  </r>
  <r>
    <x v="0"/>
    <x v="4"/>
    <x v="0"/>
    <x v="4"/>
    <x v="1"/>
    <x v="1"/>
    <n v="100"/>
  </r>
  <r>
    <x v="0"/>
    <x v="4"/>
    <x v="0"/>
    <x v="4"/>
    <x v="1"/>
    <x v="2"/>
    <n v="81"/>
  </r>
  <r>
    <x v="0"/>
    <x v="4"/>
    <x v="0"/>
    <x v="4"/>
    <x v="1"/>
    <x v="3"/>
    <n v="19"/>
  </r>
  <r>
    <x v="0"/>
    <x v="4"/>
    <x v="0"/>
    <x v="4"/>
    <x v="2"/>
    <x v="0"/>
    <n v="300"/>
  </r>
  <r>
    <x v="0"/>
    <x v="4"/>
    <x v="0"/>
    <x v="4"/>
    <x v="2"/>
    <x v="1"/>
    <n v="100"/>
  </r>
  <r>
    <x v="0"/>
    <x v="4"/>
    <x v="0"/>
    <x v="4"/>
    <x v="2"/>
    <x v="2"/>
    <n v="46"/>
  </r>
  <r>
    <x v="0"/>
    <x v="4"/>
    <x v="0"/>
    <x v="4"/>
    <x v="2"/>
    <x v="3"/>
    <n v="49"/>
  </r>
  <r>
    <x v="0"/>
    <x v="4"/>
    <x v="0"/>
    <x v="4"/>
    <x v="3"/>
    <x v="0"/>
    <n v="300"/>
  </r>
  <r>
    <x v="0"/>
    <x v="4"/>
    <x v="0"/>
    <x v="4"/>
    <x v="3"/>
    <x v="1"/>
    <n v="0"/>
  </r>
  <r>
    <x v="0"/>
    <x v="4"/>
    <x v="0"/>
    <x v="4"/>
    <x v="3"/>
    <x v="2"/>
    <n v="100"/>
  </r>
  <r>
    <x v="0"/>
    <x v="4"/>
    <x v="0"/>
    <x v="4"/>
    <x v="3"/>
    <x v="3"/>
    <n v="100"/>
  </r>
  <r>
    <x v="0"/>
    <x v="4"/>
    <x v="0"/>
    <x v="4"/>
    <x v="4"/>
    <x v="0"/>
    <n v="300"/>
  </r>
  <r>
    <x v="0"/>
    <x v="4"/>
    <x v="0"/>
    <x v="4"/>
    <x v="4"/>
    <x v="1"/>
    <n v="0"/>
  </r>
  <r>
    <x v="0"/>
    <x v="4"/>
    <x v="0"/>
    <x v="4"/>
    <x v="4"/>
    <x v="2"/>
    <n v="35"/>
  </r>
  <r>
    <x v="0"/>
    <x v="4"/>
    <x v="0"/>
    <x v="4"/>
    <x v="4"/>
    <x v="3"/>
    <n v="65"/>
  </r>
  <r>
    <x v="0"/>
    <x v="4"/>
    <x v="0"/>
    <x v="4"/>
    <x v="5"/>
    <x v="0"/>
    <n v="300"/>
  </r>
  <r>
    <x v="0"/>
    <x v="4"/>
    <x v="0"/>
    <x v="4"/>
    <x v="5"/>
    <x v="1"/>
    <n v="0"/>
  </r>
  <r>
    <x v="0"/>
    <x v="4"/>
    <x v="0"/>
    <x v="4"/>
    <x v="5"/>
    <x v="2"/>
    <n v="0"/>
  </r>
  <r>
    <x v="0"/>
    <x v="4"/>
    <x v="0"/>
    <x v="4"/>
    <x v="5"/>
    <x v="3"/>
    <n v="100"/>
  </r>
  <r>
    <x v="0"/>
    <x v="5"/>
    <x v="1"/>
    <x v="5"/>
    <x v="0"/>
    <x v="0"/>
    <n v="110"/>
  </r>
  <r>
    <x v="0"/>
    <x v="5"/>
    <x v="1"/>
    <x v="5"/>
    <x v="0"/>
    <x v="1"/>
    <n v="100"/>
  </r>
  <r>
    <x v="0"/>
    <x v="5"/>
    <x v="1"/>
    <x v="5"/>
    <x v="0"/>
    <x v="2"/>
    <n v="100"/>
  </r>
  <r>
    <x v="0"/>
    <x v="5"/>
    <x v="1"/>
    <x v="5"/>
    <x v="0"/>
    <x v="3"/>
    <n v="100"/>
  </r>
  <r>
    <x v="0"/>
    <x v="5"/>
    <x v="1"/>
    <x v="5"/>
    <x v="1"/>
    <x v="0"/>
    <n v="200"/>
  </r>
  <r>
    <x v="0"/>
    <x v="5"/>
    <x v="1"/>
    <x v="5"/>
    <x v="1"/>
    <x v="1"/>
    <n v="100"/>
  </r>
  <r>
    <x v="0"/>
    <x v="5"/>
    <x v="1"/>
    <x v="5"/>
    <x v="1"/>
    <x v="2"/>
    <n v="100"/>
  </r>
  <r>
    <x v="0"/>
    <x v="5"/>
    <x v="1"/>
    <x v="5"/>
    <x v="1"/>
    <x v="3"/>
    <n v="81"/>
  </r>
  <r>
    <x v="0"/>
    <x v="5"/>
    <x v="1"/>
    <x v="5"/>
    <x v="2"/>
    <x v="0"/>
    <n v="195"/>
  </r>
  <r>
    <x v="0"/>
    <x v="5"/>
    <x v="1"/>
    <x v="5"/>
    <x v="2"/>
    <x v="1"/>
    <n v="100"/>
  </r>
  <r>
    <x v="0"/>
    <x v="5"/>
    <x v="1"/>
    <x v="5"/>
    <x v="2"/>
    <x v="2"/>
    <n v="100"/>
  </r>
  <r>
    <x v="0"/>
    <x v="5"/>
    <x v="1"/>
    <x v="5"/>
    <x v="2"/>
    <x v="3"/>
    <n v="100"/>
  </r>
  <r>
    <x v="0"/>
    <x v="5"/>
    <x v="1"/>
    <x v="5"/>
    <x v="3"/>
    <x v="0"/>
    <n v="200"/>
  </r>
  <r>
    <x v="0"/>
    <x v="5"/>
    <x v="1"/>
    <x v="5"/>
    <x v="3"/>
    <x v="1"/>
    <n v="100"/>
  </r>
  <r>
    <x v="0"/>
    <x v="5"/>
    <x v="1"/>
    <x v="5"/>
    <x v="3"/>
    <x v="2"/>
    <n v="100"/>
  </r>
  <r>
    <x v="0"/>
    <x v="5"/>
    <x v="1"/>
    <x v="5"/>
    <x v="3"/>
    <x v="3"/>
    <n v="64"/>
  </r>
  <r>
    <x v="0"/>
    <x v="5"/>
    <x v="1"/>
    <x v="5"/>
    <x v="4"/>
    <x v="0"/>
    <n v="100"/>
  </r>
  <r>
    <x v="0"/>
    <x v="5"/>
    <x v="1"/>
    <x v="5"/>
    <x v="4"/>
    <x v="1"/>
    <n v="100"/>
  </r>
  <r>
    <x v="0"/>
    <x v="5"/>
    <x v="1"/>
    <x v="5"/>
    <x v="4"/>
    <x v="2"/>
    <n v="65"/>
  </r>
  <r>
    <x v="0"/>
    <x v="5"/>
    <x v="1"/>
    <x v="5"/>
    <x v="4"/>
    <x v="3"/>
    <n v="70"/>
  </r>
  <r>
    <x v="0"/>
    <x v="5"/>
    <x v="1"/>
    <x v="5"/>
    <x v="5"/>
    <x v="0"/>
    <n v="100"/>
  </r>
  <r>
    <x v="0"/>
    <x v="5"/>
    <x v="1"/>
    <x v="5"/>
    <x v="5"/>
    <x v="1"/>
    <n v="100"/>
  </r>
  <r>
    <x v="0"/>
    <x v="5"/>
    <x v="1"/>
    <x v="5"/>
    <x v="5"/>
    <x v="2"/>
    <n v="100"/>
  </r>
  <r>
    <x v="0"/>
    <x v="5"/>
    <x v="1"/>
    <x v="5"/>
    <x v="5"/>
    <x v="3"/>
    <n v="100"/>
  </r>
  <r>
    <x v="0"/>
    <x v="6"/>
    <x v="1"/>
    <x v="6"/>
    <x v="0"/>
    <x v="0"/>
    <n v="110"/>
  </r>
  <r>
    <x v="0"/>
    <x v="6"/>
    <x v="1"/>
    <x v="6"/>
    <x v="0"/>
    <x v="1"/>
    <n v="69"/>
  </r>
  <r>
    <x v="0"/>
    <x v="6"/>
    <x v="1"/>
    <x v="6"/>
    <x v="0"/>
    <x v="2"/>
    <n v="100"/>
  </r>
  <r>
    <x v="0"/>
    <x v="6"/>
    <x v="1"/>
    <x v="6"/>
    <x v="0"/>
    <x v="3"/>
    <n v="100"/>
  </r>
  <r>
    <x v="0"/>
    <x v="6"/>
    <x v="1"/>
    <x v="6"/>
    <x v="1"/>
    <x v="0"/>
    <n v="200"/>
  </r>
  <r>
    <x v="0"/>
    <x v="6"/>
    <x v="1"/>
    <x v="6"/>
    <x v="1"/>
    <x v="1"/>
    <n v="100"/>
  </r>
  <r>
    <x v="0"/>
    <x v="6"/>
    <x v="1"/>
    <x v="6"/>
    <x v="1"/>
    <x v="2"/>
    <n v="100"/>
  </r>
  <r>
    <x v="0"/>
    <x v="6"/>
    <x v="1"/>
    <x v="6"/>
    <x v="1"/>
    <x v="3"/>
    <n v="19"/>
  </r>
  <r>
    <x v="0"/>
    <x v="6"/>
    <x v="1"/>
    <x v="6"/>
    <x v="2"/>
    <x v="0"/>
    <n v="195"/>
  </r>
  <r>
    <x v="0"/>
    <x v="6"/>
    <x v="1"/>
    <x v="6"/>
    <x v="2"/>
    <x v="1"/>
    <n v="74"/>
  </r>
  <r>
    <x v="0"/>
    <x v="6"/>
    <x v="1"/>
    <x v="6"/>
    <x v="2"/>
    <x v="2"/>
    <n v="70"/>
  </r>
  <r>
    <x v="0"/>
    <x v="6"/>
    <x v="1"/>
    <x v="6"/>
    <x v="2"/>
    <x v="3"/>
    <n v="74"/>
  </r>
  <r>
    <x v="0"/>
    <x v="6"/>
    <x v="1"/>
    <x v="6"/>
    <x v="3"/>
    <x v="0"/>
    <n v="200"/>
  </r>
  <r>
    <x v="0"/>
    <x v="6"/>
    <x v="1"/>
    <x v="6"/>
    <x v="3"/>
    <x v="1"/>
    <n v="52"/>
  </r>
  <r>
    <x v="0"/>
    <x v="6"/>
    <x v="1"/>
    <x v="6"/>
    <x v="3"/>
    <x v="2"/>
    <n v="100"/>
  </r>
  <r>
    <x v="0"/>
    <x v="6"/>
    <x v="1"/>
    <x v="6"/>
    <x v="3"/>
    <x v="3"/>
    <n v="64"/>
  </r>
  <r>
    <x v="0"/>
    <x v="6"/>
    <x v="1"/>
    <x v="6"/>
    <x v="4"/>
    <x v="0"/>
    <n v="100"/>
  </r>
  <r>
    <x v="0"/>
    <x v="6"/>
    <x v="1"/>
    <x v="6"/>
    <x v="4"/>
    <x v="1"/>
    <n v="0"/>
  </r>
  <r>
    <x v="0"/>
    <x v="6"/>
    <x v="1"/>
    <x v="6"/>
    <x v="4"/>
    <x v="2"/>
    <n v="65"/>
  </r>
  <r>
    <x v="0"/>
    <x v="6"/>
    <x v="1"/>
    <x v="6"/>
    <x v="4"/>
    <x v="3"/>
    <n v="70"/>
  </r>
  <r>
    <x v="0"/>
    <x v="6"/>
    <x v="1"/>
    <x v="6"/>
    <x v="5"/>
    <x v="0"/>
    <n v="100"/>
  </r>
  <r>
    <x v="0"/>
    <x v="6"/>
    <x v="1"/>
    <x v="6"/>
    <x v="5"/>
    <x v="1"/>
    <n v="0"/>
  </r>
  <r>
    <x v="0"/>
    <x v="6"/>
    <x v="1"/>
    <x v="6"/>
    <x v="5"/>
    <x v="2"/>
    <n v="100"/>
  </r>
  <r>
    <x v="0"/>
    <x v="6"/>
    <x v="1"/>
    <x v="6"/>
    <x v="5"/>
    <x v="3"/>
    <n v="100"/>
  </r>
  <r>
    <x v="0"/>
    <x v="7"/>
    <x v="1"/>
    <x v="7"/>
    <x v="0"/>
    <x v="0"/>
    <n v="110"/>
  </r>
  <r>
    <x v="0"/>
    <x v="7"/>
    <x v="1"/>
    <x v="7"/>
    <x v="0"/>
    <x v="1"/>
    <n v="69"/>
  </r>
  <r>
    <x v="0"/>
    <x v="7"/>
    <x v="1"/>
    <x v="7"/>
    <x v="0"/>
    <x v="2"/>
    <n v="41"/>
  </r>
  <r>
    <x v="0"/>
    <x v="7"/>
    <x v="1"/>
    <x v="7"/>
    <x v="0"/>
    <x v="3"/>
    <n v="70"/>
  </r>
  <r>
    <x v="0"/>
    <x v="7"/>
    <x v="1"/>
    <x v="7"/>
    <x v="1"/>
    <x v="0"/>
    <n v="200"/>
  </r>
  <r>
    <x v="0"/>
    <x v="7"/>
    <x v="1"/>
    <x v="7"/>
    <x v="1"/>
    <x v="1"/>
    <n v="100"/>
  </r>
  <r>
    <x v="0"/>
    <x v="7"/>
    <x v="1"/>
    <x v="7"/>
    <x v="1"/>
    <x v="2"/>
    <n v="100"/>
  </r>
  <r>
    <x v="0"/>
    <x v="7"/>
    <x v="1"/>
    <x v="7"/>
    <x v="1"/>
    <x v="3"/>
    <n v="0"/>
  </r>
  <r>
    <x v="0"/>
    <x v="7"/>
    <x v="1"/>
    <x v="7"/>
    <x v="2"/>
    <x v="0"/>
    <n v="195"/>
  </r>
  <r>
    <x v="0"/>
    <x v="7"/>
    <x v="1"/>
    <x v="7"/>
    <x v="2"/>
    <x v="1"/>
    <n v="53"/>
  </r>
  <r>
    <x v="0"/>
    <x v="7"/>
    <x v="1"/>
    <x v="7"/>
    <x v="2"/>
    <x v="2"/>
    <n v="47"/>
  </r>
  <r>
    <x v="0"/>
    <x v="7"/>
    <x v="1"/>
    <x v="7"/>
    <x v="2"/>
    <x v="3"/>
    <n v="49"/>
  </r>
  <r>
    <x v="0"/>
    <x v="7"/>
    <x v="1"/>
    <x v="7"/>
    <x v="3"/>
    <x v="0"/>
    <n v="200"/>
  </r>
  <r>
    <x v="0"/>
    <x v="7"/>
    <x v="1"/>
    <x v="7"/>
    <x v="3"/>
    <x v="1"/>
    <n v="20"/>
  </r>
  <r>
    <x v="0"/>
    <x v="7"/>
    <x v="1"/>
    <x v="7"/>
    <x v="3"/>
    <x v="2"/>
    <n v="52"/>
  </r>
  <r>
    <x v="0"/>
    <x v="7"/>
    <x v="1"/>
    <x v="7"/>
    <x v="3"/>
    <x v="3"/>
    <n v="64"/>
  </r>
  <r>
    <x v="0"/>
    <x v="7"/>
    <x v="1"/>
    <x v="7"/>
    <x v="4"/>
    <x v="0"/>
    <n v="100"/>
  </r>
  <r>
    <x v="0"/>
    <x v="7"/>
    <x v="1"/>
    <x v="7"/>
    <x v="4"/>
    <x v="1"/>
    <n v="0"/>
  </r>
  <r>
    <x v="0"/>
    <x v="7"/>
    <x v="1"/>
    <x v="7"/>
    <x v="4"/>
    <x v="2"/>
    <n v="0"/>
  </r>
  <r>
    <x v="0"/>
    <x v="7"/>
    <x v="1"/>
    <x v="7"/>
    <x v="4"/>
    <x v="3"/>
    <n v="70"/>
  </r>
  <r>
    <x v="0"/>
    <x v="7"/>
    <x v="1"/>
    <x v="7"/>
    <x v="5"/>
    <x v="0"/>
    <n v="100"/>
  </r>
  <r>
    <x v="0"/>
    <x v="7"/>
    <x v="1"/>
    <x v="7"/>
    <x v="5"/>
    <x v="1"/>
    <n v="0"/>
  </r>
  <r>
    <x v="0"/>
    <x v="7"/>
    <x v="1"/>
    <x v="7"/>
    <x v="5"/>
    <x v="2"/>
    <n v="0"/>
  </r>
  <r>
    <x v="0"/>
    <x v="7"/>
    <x v="1"/>
    <x v="7"/>
    <x v="5"/>
    <x v="3"/>
    <n v="100"/>
  </r>
  <r>
    <x v="0"/>
    <x v="8"/>
    <x v="1"/>
    <x v="8"/>
    <x v="0"/>
    <x v="0"/>
    <n v="0"/>
  </r>
  <r>
    <x v="0"/>
    <x v="8"/>
    <x v="1"/>
    <x v="8"/>
    <x v="0"/>
    <x v="1"/>
    <n v="67"/>
  </r>
  <r>
    <x v="0"/>
    <x v="8"/>
    <x v="1"/>
    <x v="8"/>
    <x v="0"/>
    <x v="2"/>
    <n v="95"/>
  </r>
  <r>
    <x v="0"/>
    <x v="8"/>
    <x v="1"/>
    <x v="8"/>
    <x v="0"/>
    <x v="3"/>
    <n v="70"/>
  </r>
  <r>
    <x v="0"/>
    <x v="8"/>
    <x v="1"/>
    <x v="8"/>
    <x v="1"/>
    <x v="0"/>
    <n v="100"/>
  </r>
  <r>
    <x v="0"/>
    <x v="8"/>
    <x v="1"/>
    <x v="8"/>
    <x v="1"/>
    <x v="1"/>
    <n v="77"/>
  </r>
  <r>
    <x v="0"/>
    <x v="8"/>
    <x v="1"/>
    <x v="8"/>
    <x v="1"/>
    <x v="2"/>
    <n v="100"/>
  </r>
  <r>
    <x v="0"/>
    <x v="8"/>
    <x v="1"/>
    <x v="8"/>
    <x v="1"/>
    <x v="3"/>
    <n v="100"/>
  </r>
  <r>
    <x v="0"/>
    <x v="8"/>
    <x v="1"/>
    <x v="8"/>
    <x v="2"/>
    <x v="0"/>
    <n v="44"/>
  </r>
  <r>
    <x v="0"/>
    <x v="8"/>
    <x v="1"/>
    <x v="8"/>
    <x v="2"/>
    <x v="1"/>
    <n v="100"/>
  </r>
  <r>
    <x v="0"/>
    <x v="8"/>
    <x v="1"/>
    <x v="8"/>
    <x v="2"/>
    <x v="2"/>
    <n v="60"/>
  </r>
  <r>
    <x v="0"/>
    <x v="8"/>
    <x v="1"/>
    <x v="8"/>
    <x v="2"/>
    <x v="3"/>
    <n v="91"/>
  </r>
  <r>
    <x v="0"/>
    <x v="8"/>
    <x v="1"/>
    <x v="8"/>
    <x v="3"/>
    <x v="0"/>
    <n v="36"/>
  </r>
  <r>
    <x v="0"/>
    <x v="8"/>
    <x v="1"/>
    <x v="8"/>
    <x v="3"/>
    <x v="1"/>
    <n v="80"/>
  </r>
  <r>
    <x v="0"/>
    <x v="8"/>
    <x v="1"/>
    <x v="8"/>
    <x v="3"/>
    <x v="2"/>
    <n v="100"/>
  </r>
  <r>
    <x v="0"/>
    <x v="8"/>
    <x v="1"/>
    <x v="8"/>
    <x v="3"/>
    <x v="3"/>
    <n v="100"/>
  </r>
  <r>
    <x v="0"/>
    <x v="8"/>
    <x v="1"/>
    <x v="8"/>
    <x v="4"/>
    <x v="0"/>
    <n v="0"/>
  </r>
  <r>
    <x v="0"/>
    <x v="8"/>
    <x v="1"/>
    <x v="8"/>
    <x v="4"/>
    <x v="1"/>
    <n v="70"/>
  </r>
  <r>
    <x v="0"/>
    <x v="8"/>
    <x v="1"/>
    <x v="8"/>
    <x v="4"/>
    <x v="2"/>
    <n v="24"/>
  </r>
  <r>
    <x v="0"/>
    <x v="8"/>
    <x v="1"/>
    <x v="8"/>
    <x v="4"/>
    <x v="3"/>
    <n v="6"/>
  </r>
  <r>
    <x v="0"/>
    <x v="8"/>
    <x v="1"/>
    <x v="8"/>
    <x v="5"/>
    <x v="0"/>
    <n v="0"/>
  </r>
  <r>
    <x v="0"/>
    <x v="8"/>
    <x v="1"/>
    <x v="8"/>
    <x v="5"/>
    <x v="1"/>
    <n v="50"/>
  </r>
  <r>
    <x v="0"/>
    <x v="8"/>
    <x v="1"/>
    <x v="8"/>
    <x v="5"/>
    <x v="2"/>
    <n v="50"/>
  </r>
  <r>
    <x v="0"/>
    <x v="8"/>
    <x v="1"/>
    <x v="8"/>
    <x v="5"/>
    <x v="3"/>
    <n v="100"/>
  </r>
  <r>
    <x v="0"/>
    <x v="9"/>
    <x v="1"/>
    <x v="9"/>
    <x v="0"/>
    <x v="0"/>
    <n v="0"/>
  </r>
  <r>
    <x v="0"/>
    <x v="9"/>
    <x v="1"/>
    <x v="9"/>
    <x v="0"/>
    <x v="1"/>
    <n v="36"/>
  </r>
  <r>
    <x v="0"/>
    <x v="9"/>
    <x v="1"/>
    <x v="9"/>
    <x v="0"/>
    <x v="2"/>
    <n v="71"/>
  </r>
  <r>
    <x v="0"/>
    <x v="9"/>
    <x v="1"/>
    <x v="9"/>
    <x v="0"/>
    <x v="3"/>
    <n v="70"/>
  </r>
  <r>
    <x v="0"/>
    <x v="9"/>
    <x v="1"/>
    <x v="9"/>
    <x v="1"/>
    <x v="0"/>
    <n v="100"/>
  </r>
  <r>
    <x v="0"/>
    <x v="9"/>
    <x v="1"/>
    <x v="9"/>
    <x v="1"/>
    <x v="1"/>
    <n v="51"/>
  </r>
  <r>
    <x v="0"/>
    <x v="9"/>
    <x v="1"/>
    <x v="9"/>
    <x v="1"/>
    <x v="2"/>
    <n v="100"/>
  </r>
  <r>
    <x v="0"/>
    <x v="9"/>
    <x v="1"/>
    <x v="9"/>
    <x v="1"/>
    <x v="3"/>
    <n v="83"/>
  </r>
  <r>
    <x v="0"/>
    <x v="9"/>
    <x v="1"/>
    <x v="9"/>
    <x v="2"/>
    <x v="0"/>
    <n v="44"/>
  </r>
  <r>
    <x v="0"/>
    <x v="9"/>
    <x v="1"/>
    <x v="9"/>
    <x v="2"/>
    <x v="1"/>
    <n v="73"/>
  </r>
  <r>
    <x v="0"/>
    <x v="9"/>
    <x v="1"/>
    <x v="9"/>
    <x v="2"/>
    <x v="2"/>
    <n v="60"/>
  </r>
  <r>
    <x v="0"/>
    <x v="9"/>
    <x v="1"/>
    <x v="9"/>
    <x v="2"/>
    <x v="3"/>
    <n v="91"/>
  </r>
  <r>
    <x v="0"/>
    <x v="9"/>
    <x v="1"/>
    <x v="9"/>
    <x v="3"/>
    <x v="0"/>
    <n v="36"/>
  </r>
  <r>
    <x v="0"/>
    <x v="9"/>
    <x v="1"/>
    <x v="9"/>
    <x v="3"/>
    <x v="1"/>
    <n v="0"/>
  </r>
  <r>
    <x v="0"/>
    <x v="9"/>
    <x v="1"/>
    <x v="9"/>
    <x v="3"/>
    <x v="2"/>
    <n v="80"/>
  </r>
  <r>
    <x v="0"/>
    <x v="9"/>
    <x v="1"/>
    <x v="9"/>
    <x v="3"/>
    <x v="3"/>
    <n v="100"/>
  </r>
  <r>
    <x v="0"/>
    <x v="9"/>
    <x v="1"/>
    <x v="9"/>
    <x v="4"/>
    <x v="0"/>
    <n v="0"/>
  </r>
  <r>
    <x v="0"/>
    <x v="9"/>
    <x v="1"/>
    <x v="9"/>
    <x v="4"/>
    <x v="1"/>
    <n v="0"/>
  </r>
  <r>
    <x v="0"/>
    <x v="9"/>
    <x v="1"/>
    <x v="9"/>
    <x v="4"/>
    <x v="2"/>
    <n v="24"/>
  </r>
  <r>
    <x v="0"/>
    <x v="9"/>
    <x v="1"/>
    <x v="9"/>
    <x v="4"/>
    <x v="3"/>
    <n v="6"/>
  </r>
  <r>
    <x v="0"/>
    <x v="9"/>
    <x v="1"/>
    <x v="9"/>
    <x v="5"/>
    <x v="0"/>
    <n v="0"/>
  </r>
  <r>
    <x v="0"/>
    <x v="9"/>
    <x v="1"/>
    <x v="9"/>
    <x v="5"/>
    <x v="1"/>
    <n v="0"/>
  </r>
  <r>
    <x v="0"/>
    <x v="9"/>
    <x v="1"/>
    <x v="9"/>
    <x v="5"/>
    <x v="2"/>
    <n v="50"/>
  </r>
  <r>
    <x v="0"/>
    <x v="9"/>
    <x v="1"/>
    <x v="9"/>
    <x v="5"/>
    <x v="3"/>
    <n v="100"/>
  </r>
  <r>
    <x v="0"/>
    <x v="10"/>
    <x v="1"/>
    <x v="10"/>
    <x v="0"/>
    <x v="0"/>
    <n v="0"/>
  </r>
  <r>
    <x v="0"/>
    <x v="10"/>
    <x v="1"/>
    <x v="10"/>
    <x v="0"/>
    <x v="1"/>
    <n v="36"/>
  </r>
  <r>
    <x v="0"/>
    <x v="10"/>
    <x v="1"/>
    <x v="10"/>
    <x v="0"/>
    <x v="2"/>
    <n v="47"/>
  </r>
  <r>
    <x v="0"/>
    <x v="10"/>
    <x v="1"/>
    <x v="10"/>
    <x v="0"/>
    <x v="3"/>
    <n v="70"/>
  </r>
  <r>
    <x v="0"/>
    <x v="10"/>
    <x v="1"/>
    <x v="10"/>
    <x v="1"/>
    <x v="0"/>
    <n v="100"/>
  </r>
  <r>
    <x v="0"/>
    <x v="10"/>
    <x v="1"/>
    <x v="10"/>
    <x v="1"/>
    <x v="1"/>
    <n v="51"/>
  </r>
  <r>
    <x v="0"/>
    <x v="10"/>
    <x v="1"/>
    <x v="10"/>
    <x v="1"/>
    <x v="2"/>
    <n v="100"/>
  </r>
  <r>
    <x v="0"/>
    <x v="10"/>
    <x v="1"/>
    <x v="10"/>
    <x v="1"/>
    <x v="3"/>
    <n v="0"/>
  </r>
  <r>
    <x v="0"/>
    <x v="10"/>
    <x v="1"/>
    <x v="10"/>
    <x v="2"/>
    <x v="0"/>
    <n v="44"/>
  </r>
  <r>
    <x v="0"/>
    <x v="10"/>
    <x v="1"/>
    <x v="10"/>
    <x v="2"/>
    <x v="1"/>
    <n v="73"/>
  </r>
  <r>
    <x v="0"/>
    <x v="10"/>
    <x v="1"/>
    <x v="10"/>
    <x v="2"/>
    <x v="2"/>
    <n v="60"/>
  </r>
  <r>
    <x v="0"/>
    <x v="10"/>
    <x v="1"/>
    <x v="10"/>
    <x v="2"/>
    <x v="3"/>
    <n v="68"/>
  </r>
  <r>
    <x v="0"/>
    <x v="10"/>
    <x v="1"/>
    <x v="10"/>
    <x v="3"/>
    <x v="0"/>
    <n v="36"/>
  </r>
  <r>
    <x v="0"/>
    <x v="10"/>
    <x v="1"/>
    <x v="10"/>
    <x v="3"/>
    <x v="1"/>
    <n v="0"/>
  </r>
  <r>
    <x v="0"/>
    <x v="10"/>
    <x v="1"/>
    <x v="10"/>
    <x v="3"/>
    <x v="2"/>
    <n v="80"/>
  </r>
  <r>
    <x v="0"/>
    <x v="10"/>
    <x v="1"/>
    <x v="10"/>
    <x v="3"/>
    <x v="3"/>
    <n v="52"/>
  </r>
  <r>
    <x v="0"/>
    <x v="10"/>
    <x v="1"/>
    <x v="10"/>
    <x v="4"/>
    <x v="0"/>
    <n v="0"/>
  </r>
  <r>
    <x v="0"/>
    <x v="10"/>
    <x v="1"/>
    <x v="10"/>
    <x v="4"/>
    <x v="1"/>
    <n v="0"/>
  </r>
  <r>
    <x v="0"/>
    <x v="10"/>
    <x v="1"/>
    <x v="10"/>
    <x v="4"/>
    <x v="2"/>
    <n v="0"/>
  </r>
  <r>
    <x v="0"/>
    <x v="10"/>
    <x v="1"/>
    <x v="10"/>
    <x v="4"/>
    <x v="3"/>
    <n v="6"/>
  </r>
  <r>
    <x v="0"/>
    <x v="10"/>
    <x v="1"/>
    <x v="10"/>
    <x v="5"/>
    <x v="0"/>
    <n v="0"/>
  </r>
  <r>
    <x v="0"/>
    <x v="10"/>
    <x v="1"/>
    <x v="10"/>
    <x v="5"/>
    <x v="1"/>
    <n v="0"/>
  </r>
  <r>
    <x v="0"/>
    <x v="10"/>
    <x v="1"/>
    <x v="10"/>
    <x v="5"/>
    <x v="2"/>
    <n v="50"/>
  </r>
  <r>
    <x v="0"/>
    <x v="10"/>
    <x v="1"/>
    <x v="10"/>
    <x v="5"/>
    <x v="3"/>
    <n v="100"/>
  </r>
  <r>
    <x v="1"/>
    <x v="0"/>
    <x v="2"/>
    <x v="11"/>
    <x v="0"/>
    <x v="0"/>
    <n v="0"/>
  </r>
  <r>
    <x v="1"/>
    <x v="0"/>
    <x v="2"/>
    <x v="11"/>
    <x v="0"/>
    <x v="1"/>
    <n v="36"/>
  </r>
  <r>
    <x v="1"/>
    <x v="0"/>
    <x v="2"/>
    <x v="11"/>
    <x v="0"/>
    <x v="2"/>
    <n v="47"/>
  </r>
  <r>
    <x v="1"/>
    <x v="0"/>
    <x v="2"/>
    <x v="11"/>
    <x v="0"/>
    <x v="3"/>
    <n v="70"/>
  </r>
  <r>
    <x v="1"/>
    <x v="0"/>
    <x v="2"/>
    <x v="11"/>
    <x v="1"/>
    <x v="0"/>
    <n v="100"/>
  </r>
  <r>
    <x v="1"/>
    <x v="0"/>
    <x v="2"/>
    <x v="11"/>
    <x v="1"/>
    <x v="1"/>
    <n v="51"/>
  </r>
  <r>
    <x v="1"/>
    <x v="0"/>
    <x v="2"/>
    <x v="11"/>
    <x v="1"/>
    <x v="2"/>
    <n v="100"/>
  </r>
  <r>
    <x v="1"/>
    <x v="0"/>
    <x v="2"/>
    <x v="11"/>
    <x v="1"/>
    <x v="3"/>
    <n v="0"/>
  </r>
  <r>
    <x v="1"/>
    <x v="0"/>
    <x v="2"/>
    <x v="11"/>
    <x v="2"/>
    <x v="0"/>
    <n v="44"/>
  </r>
  <r>
    <x v="1"/>
    <x v="0"/>
    <x v="2"/>
    <x v="11"/>
    <x v="2"/>
    <x v="1"/>
    <n v="73"/>
  </r>
  <r>
    <x v="1"/>
    <x v="0"/>
    <x v="2"/>
    <x v="11"/>
    <x v="2"/>
    <x v="2"/>
    <n v="60"/>
  </r>
  <r>
    <x v="1"/>
    <x v="0"/>
    <x v="2"/>
    <x v="11"/>
    <x v="2"/>
    <x v="3"/>
    <n v="68"/>
  </r>
  <r>
    <x v="1"/>
    <x v="0"/>
    <x v="2"/>
    <x v="11"/>
    <x v="3"/>
    <x v="0"/>
    <n v="36"/>
  </r>
  <r>
    <x v="1"/>
    <x v="0"/>
    <x v="2"/>
    <x v="11"/>
    <x v="3"/>
    <x v="1"/>
    <n v="0"/>
  </r>
  <r>
    <x v="1"/>
    <x v="0"/>
    <x v="2"/>
    <x v="11"/>
    <x v="3"/>
    <x v="2"/>
    <n v="80"/>
  </r>
  <r>
    <x v="1"/>
    <x v="0"/>
    <x v="2"/>
    <x v="11"/>
    <x v="3"/>
    <x v="3"/>
    <n v="52"/>
  </r>
  <r>
    <x v="1"/>
    <x v="0"/>
    <x v="2"/>
    <x v="11"/>
    <x v="4"/>
    <x v="0"/>
    <n v="0"/>
  </r>
  <r>
    <x v="1"/>
    <x v="0"/>
    <x v="2"/>
    <x v="11"/>
    <x v="4"/>
    <x v="1"/>
    <n v="0"/>
  </r>
  <r>
    <x v="1"/>
    <x v="0"/>
    <x v="2"/>
    <x v="11"/>
    <x v="4"/>
    <x v="2"/>
    <n v="0"/>
  </r>
  <r>
    <x v="1"/>
    <x v="0"/>
    <x v="2"/>
    <x v="11"/>
    <x v="4"/>
    <x v="3"/>
    <n v="6"/>
  </r>
  <r>
    <x v="1"/>
    <x v="0"/>
    <x v="2"/>
    <x v="11"/>
    <x v="5"/>
    <x v="0"/>
    <n v="0"/>
  </r>
  <r>
    <x v="1"/>
    <x v="0"/>
    <x v="2"/>
    <x v="11"/>
    <x v="5"/>
    <x v="1"/>
    <n v="0"/>
  </r>
  <r>
    <x v="1"/>
    <x v="0"/>
    <x v="2"/>
    <x v="11"/>
    <x v="5"/>
    <x v="2"/>
    <n v="50"/>
  </r>
  <r>
    <x v="1"/>
    <x v="0"/>
    <x v="2"/>
    <x v="11"/>
    <x v="5"/>
    <x v="3"/>
    <n v="100"/>
  </r>
  <r>
    <x v="1"/>
    <x v="1"/>
    <x v="2"/>
    <x v="12"/>
    <x v="0"/>
    <x v="0"/>
    <n v="447"/>
  </r>
  <r>
    <x v="1"/>
    <x v="1"/>
    <x v="2"/>
    <x v="12"/>
    <x v="0"/>
    <x v="1"/>
    <n v="0"/>
  </r>
  <r>
    <x v="1"/>
    <x v="1"/>
    <x v="2"/>
    <x v="12"/>
    <x v="0"/>
    <x v="2"/>
    <n v="36"/>
  </r>
  <r>
    <x v="1"/>
    <x v="1"/>
    <x v="2"/>
    <x v="12"/>
    <x v="0"/>
    <x v="3"/>
    <n v="70"/>
  </r>
  <r>
    <x v="1"/>
    <x v="1"/>
    <x v="2"/>
    <x v="12"/>
    <x v="1"/>
    <x v="0"/>
    <n v="349"/>
  </r>
  <r>
    <x v="1"/>
    <x v="1"/>
    <x v="2"/>
    <x v="12"/>
    <x v="1"/>
    <x v="1"/>
    <n v="84"/>
  </r>
  <r>
    <x v="1"/>
    <x v="1"/>
    <x v="2"/>
    <x v="12"/>
    <x v="1"/>
    <x v="2"/>
    <n v="75"/>
  </r>
  <r>
    <x v="1"/>
    <x v="1"/>
    <x v="2"/>
    <x v="12"/>
    <x v="1"/>
    <x v="3"/>
    <n v="67"/>
  </r>
  <r>
    <x v="1"/>
    <x v="1"/>
    <x v="2"/>
    <x v="12"/>
    <x v="2"/>
    <x v="0"/>
    <n v="355"/>
  </r>
  <r>
    <x v="1"/>
    <x v="1"/>
    <x v="2"/>
    <x v="12"/>
    <x v="2"/>
    <x v="1"/>
    <n v="85"/>
  </r>
  <r>
    <x v="1"/>
    <x v="1"/>
    <x v="2"/>
    <x v="12"/>
    <x v="2"/>
    <x v="2"/>
    <n v="78"/>
  </r>
  <r>
    <x v="1"/>
    <x v="1"/>
    <x v="2"/>
    <x v="12"/>
    <x v="2"/>
    <x v="3"/>
    <n v="63"/>
  </r>
  <r>
    <x v="1"/>
    <x v="1"/>
    <x v="2"/>
    <x v="12"/>
    <x v="3"/>
    <x v="0"/>
    <n v="432"/>
  </r>
  <r>
    <x v="1"/>
    <x v="1"/>
    <x v="2"/>
    <x v="12"/>
    <x v="3"/>
    <x v="1"/>
    <n v="22"/>
  </r>
  <r>
    <x v="1"/>
    <x v="1"/>
    <x v="2"/>
    <x v="12"/>
    <x v="3"/>
    <x v="2"/>
    <n v="84"/>
  </r>
  <r>
    <x v="1"/>
    <x v="1"/>
    <x v="2"/>
    <x v="12"/>
    <x v="3"/>
    <x v="3"/>
    <n v="62"/>
  </r>
  <r>
    <x v="1"/>
    <x v="1"/>
    <x v="2"/>
    <x v="12"/>
    <x v="4"/>
    <x v="0"/>
    <n v="594"/>
  </r>
  <r>
    <x v="1"/>
    <x v="1"/>
    <x v="2"/>
    <x v="12"/>
    <x v="4"/>
    <x v="1"/>
    <n v="0"/>
  </r>
  <r>
    <x v="1"/>
    <x v="1"/>
    <x v="2"/>
    <x v="12"/>
    <x v="4"/>
    <x v="2"/>
    <n v="0"/>
  </r>
  <r>
    <x v="1"/>
    <x v="1"/>
    <x v="2"/>
    <x v="12"/>
    <x v="4"/>
    <x v="3"/>
    <n v="6"/>
  </r>
  <r>
    <x v="1"/>
    <x v="1"/>
    <x v="2"/>
    <x v="12"/>
    <x v="5"/>
    <x v="0"/>
    <n v="450"/>
  </r>
  <r>
    <x v="1"/>
    <x v="1"/>
    <x v="2"/>
    <x v="12"/>
    <x v="5"/>
    <x v="1"/>
    <n v="0"/>
  </r>
  <r>
    <x v="1"/>
    <x v="1"/>
    <x v="2"/>
    <x v="12"/>
    <x v="5"/>
    <x v="2"/>
    <n v="50"/>
  </r>
  <r>
    <x v="1"/>
    <x v="1"/>
    <x v="2"/>
    <x v="12"/>
    <x v="5"/>
    <x v="3"/>
    <n v="44"/>
  </r>
  <r>
    <x v="1"/>
    <x v="2"/>
    <x v="2"/>
    <x v="13"/>
    <x v="0"/>
    <x v="0"/>
    <n v="447"/>
  </r>
  <r>
    <x v="1"/>
    <x v="2"/>
    <x v="2"/>
    <x v="13"/>
    <x v="0"/>
    <x v="1"/>
    <n v="0"/>
  </r>
  <r>
    <x v="1"/>
    <x v="2"/>
    <x v="2"/>
    <x v="13"/>
    <x v="0"/>
    <x v="2"/>
    <n v="12"/>
  </r>
  <r>
    <x v="1"/>
    <x v="2"/>
    <x v="2"/>
    <x v="13"/>
    <x v="0"/>
    <x v="3"/>
    <n v="70"/>
  </r>
  <r>
    <x v="1"/>
    <x v="2"/>
    <x v="2"/>
    <x v="13"/>
    <x v="1"/>
    <x v="0"/>
    <n v="349"/>
  </r>
  <r>
    <x v="1"/>
    <x v="2"/>
    <x v="2"/>
    <x v="13"/>
    <x v="1"/>
    <x v="1"/>
    <n v="84"/>
  </r>
  <r>
    <x v="1"/>
    <x v="2"/>
    <x v="2"/>
    <x v="13"/>
    <x v="1"/>
    <x v="2"/>
    <n v="49"/>
  </r>
  <r>
    <x v="1"/>
    <x v="2"/>
    <x v="2"/>
    <x v="13"/>
    <x v="1"/>
    <x v="3"/>
    <n v="25"/>
  </r>
  <r>
    <x v="1"/>
    <x v="2"/>
    <x v="2"/>
    <x v="13"/>
    <x v="2"/>
    <x v="0"/>
    <n v="355"/>
  </r>
  <r>
    <x v="1"/>
    <x v="2"/>
    <x v="2"/>
    <x v="13"/>
    <x v="2"/>
    <x v="1"/>
    <n v="61"/>
  </r>
  <r>
    <x v="1"/>
    <x v="2"/>
    <x v="2"/>
    <x v="13"/>
    <x v="2"/>
    <x v="2"/>
    <n v="78"/>
  </r>
  <r>
    <x v="1"/>
    <x v="2"/>
    <x v="2"/>
    <x v="13"/>
    <x v="2"/>
    <x v="3"/>
    <n v="63"/>
  </r>
  <r>
    <x v="1"/>
    <x v="2"/>
    <x v="2"/>
    <x v="13"/>
    <x v="3"/>
    <x v="0"/>
    <n v="432"/>
  </r>
  <r>
    <x v="1"/>
    <x v="2"/>
    <x v="2"/>
    <x v="13"/>
    <x v="3"/>
    <x v="1"/>
    <n v="22"/>
  </r>
  <r>
    <x v="1"/>
    <x v="2"/>
    <x v="2"/>
    <x v="13"/>
    <x v="3"/>
    <x v="2"/>
    <n v="0"/>
  </r>
  <r>
    <x v="1"/>
    <x v="2"/>
    <x v="2"/>
    <x v="13"/>
    <x v="3"/>
    <x v="3"/>
    <n v="62"/>
  </r>
  <r>
    <x v="1"/>
    <x v="2"/>
    <x v="2"/>
    <x v="13"/>
    <x v="4"/>
    <x v="0"/>
    <n v="594"/>
  </r>
  <r>
    <x v="1"/>
    <x v="2"/>
    <x v="2"/>
    <x v="13"/>
    <x v="4"/>
    <x v="1"/>
    <n v="0"/>
  </r>
  <r>
    <x v="1"/>
    <x v="2"/>
    <x v="2"/>
    <x v="13"/>
    <x v="4"/>
    <x v="2"/>
    <n v="0"/>
  </r>
  <r>
    <x v="1"/>
    <x v="2"/>
    <x v="2"/>
    <x v="13"/>
    <x v="4"/>
    <x v="3"/>
    <n v="0"/>
  </r>
  <r>
    <x v="1"/>
    <x v="2"/>
    <x v="2"/>
    <x v="13"/>
    <x v="5"/>
    <x v="0"/>
    <n v="450"/>
  </r>
  <r>
    <x v="1"/>
    <x v="2"/>
    <x v="2"/>
    <x v="13"/>
    <x v="5"/>
    <x v="1"/>
    <n v="0"/>
  </r>
  <r>
    <x v="1"/>
    <x v="2"/>
    <x v="2"/>
    <x v="13"/>
    <x v="5"/>
    <x v="2"/>
    <n v="0"/>
  </r>
  <r>
    <x v="1"/>
    <x v="2"/>
    <x v="2"/>
    <x v="13"/>
    <x v="5"/>
    <x v="3"/>
    <n v="44"/>
  </r>
  <r>
    <x v="1"/>
    <x v="3"/>
    <x v="2"/>
    <x v="14"/>
    <x v="0"/>
    <x v="0"/>
    <n v="447"/>
  </r>
  <r>
    <x v="1"/>
    <x v="3"/>
    <x v="2"/>
    <x v="14"/>
    <x v="0"/>
    <x v="1"/>
    <n v="0"/>
  </r>
  <r>
    <x v="1"/>
    <x v="3"/>
    <x v="2"/>
    <x v="14"/>
    <x v="0"/>
    <x v="2"/>
    <n v="12"/>
  </r>
  <r>
    <x v="1"/>
    <x v="3"/>
    <x v="2"/>
    <x v="14"/>
    <x v="0"/>
    <x v="3"/>
    <n v="70"/>
  </r>
  <r>
    <x v="1"/>
    <x v="3"/>
    <x v="2"/>
    <x v="14"/>
    <x v="1"/>
    <x v="0"/>
    <n v="349"/>
  </r>
  <r>
    <x v="1"/>
    <x v="3"/>
    <x v="2"/>
    <x v="14"/>
    <x v="1"/>
    <x v="1"/>
    <n v="63"/>
  </r>
  <r>
    <x v="1"/>
    <x v="3"/>
    <x v="2"/>
    <x v="14"/>
    <x v="1"/>
    <x v="2"/>
    <n v="49"/>
  </r>
  <r>
    <x v="1"/>
    <x v="3"/>
    <x v="2"/>
    <x v="14"/>
    <x v="1"/>
    <x v="3"/>
    <n v="21"/>
  </r>
  <r>
    <x v="1"/>
    <x v="3"/>
    <x v="2"/>
    <x v="14"/>
    <x v="2"/>
    <x v="0"/>
    <n v="355"/>
  </r>
  <r>
    <x v="1"/>
    <x v="3"/>
    <x v="2"/>
    <x v="14"/>
    <x v="2"/>
    <x v="1"/>
    <n v="61"/>
  </r>
  <r>
    <x v="1"/>
    <x v="3"/>
    <x v="2"/>
    <x v="14"/>
    <x v="2"/>
    <x v="2"/>
    <n v="59"/>
  </r>
  <r>
    <x v="1"/>
    <x v="3"/>
    <x v="2"/>
    <x v="14"/>
    <x v="2"/>
    <x v="3"/>
    <n v="63"/>
  </r>
  <r>
    <x v="1"/>
    <x v="3"/>
    <x v="2"/>
    <x v="14"/>
    <x v="3"/>
    <x v="0"/>
    <n v="432"/>
  </r>
  <r>
    <x v="1"/>
    <x v="3"/>
    <x v="2"/>
    <x v="14"/>
    <x v="3"/>
    <x v="1"/>
    <n v="0"/>
  </r>
  <r>
    <x v="1"/>
    <x v="3"/>
    <x v="2"/>
    <x v="14"/>
    <x v="3"/>
    <x v="2"/>
    <n v="0"/>
  </r>
  <r>
    <x v="1"/>
    <x v="3"/>
    <x v="2"/>
    <x v="14"/>
    <x v="3"/>
    <x v="3"/>
    <n v="22"/>
  </r>
  <r>
    <x v="1"/>
    <x v="3"/>
    <x v="2"/>
    <x v="14"/>
    <x v="4"/>
    <x v="0"/>
    <n v="594"/>
  </r>
  <r>
    <x v="1"/>
    <x v="3"/>
    <x v="2"/>
    <x v="14"/>
    <x v="4"/>
    <x v="1"/>
    <n v="0"/>
  </r>
  <r>
    <x v="1"/>
    <x v="3"/>
    <x v="2"/>
    <x v="14"/>
    <x v="4"/>
    <x v="2"/>
    <n v="0"/>
  </r>
  <r>
    <x v="1"/>
    <x v="3"/>
    <x v="2"/>
    <x v="14"/>
    <x v="4"/>
    <x v="3"/>
    <n v="0"/>
  </r>
  <r>
    <x v="1"/>
    <x v="3"/>
    <x v="2"/>
    <x v="14"/>
    <x v="5"/>
    <x v="0"/>
    <n v="450"/>
  </r>
  <r>
    <x v="1"/>
    <x v="3"/>
    <x v="2"/>
    <x v="14"/>
    <x v="5"/>
    <x v="1"/>
    <n v="0"/>
  </r>
  <r>
    <x v="1"/>
    <x v="3"/>
    <x v="2"/>
    <x v="14"/>
    <x v="5"/>
    <x v="2"/>
    <n v="0"/>
  </r>
  <r>
    <x v="1"/>
    <x v="3"/>
    <x v="2"/>
    <x v="14"/>
    <x v="5"/>
    <x v="3"/>
    <n v="44"/>
  </r>
  <r>
    <x v="1"/>
    <x v="4"/>
    <x v="2"/>
    <x v="15"/>
    <x v="0"/>
    <x v="0"/>
    <n v="229"/>
  </r>
  <r>
    <x v="1"/>
    <x v="4"/>
    <x v="2"/>
    <x v="15"/>
    <x v="0"/>
    <x v="1"/>
    <n v="100"/>
  </r>
  <r>
    <x v="1"/>
    <x v="4"/>
    <x v="2"/>
    <x v="15"/>
    <x v="0"/>
    <x v="2"/>
    <n v="100"/>
  </r>
  <r>
    <x v="1"/>
    <x v="4"/>
    <x v="2"/>
    <x v="15"/>
    <x v="0"/>
    <x v="3"/>
    <n v="100"/>
  </r>
  <r>
    <x v="1"/>
    <x v="4"/>
    <x v="2"/>
    <x v="15"/>
    <x v="1"/>
    <x v="0"/>
    <n v="182"/>
  </r>
  <r>
    <x v="1"/>
    <x v="4"/>
    <x v="2"/>
    <x v="15"/>
    <x v="1"/>
    <x v="1"/>
    <n v="80"/>
  </r>
  <r>
    <x v="1"/>
    <x v="4"/>
    <x v="2"/>
    <x v="15"/>
    <x v="1"/>
    <x v="2"/>
    <n v="100"/>
  </r>
  <r>
    <x v="1"/>
    <x v="4"/>
    <x v="2"/>
    <x v="15"/>
    <x v="1"/>
    <x v="3"/>
    <n v="99"/>
  </r>
  <r>
    <x v="1"/>
    <x v="4"/>
    <x v="2"/>
    <x v="15"/>
    <x v="2"/>
    <x v="0"/>
    <n v="238"/>
  </r>
  <r>
    <x v="1"/>
    <x v="4"/>
    <x v="2"/>
    <x v="15"/>
    <x v="2"/>
    <x v="1"/>
    <n v="100"/>
  </r>
  <r>
    <x v="1"/>
    <x v="4"/>
    <x v="2"/>
    <x v="15"/>
    <x v="2"/>
    <x v="2"/>
    <n v="100"/>
  </r>
  <r>
    <x v="1"/>
    <x v="4"/>
    <x v="2"/>
    <x v="15"/>
    <x v="2"/>
    <x v="3"/>
    <n v="63"/>
  </r>
  <r>
    <x v="1"/>
    <x v="4"/>
    <x v="2"/>
    <x v="15"/>
    <x v="3"/>
    <x v="0"/>
    <n v="154"/>
  </r>
  <r>
    <x v="1"/>
    <x v="4"/>
    <x v="2"/>
    <x v="15"/>
    <x v="3"/>
    <x v="1"/>
    <n v="100"/>
  </r>
  <r>
    <x v="1"/>
    <x v="4"/>
    <x v="2"/>
    <x v="15"/>
    <x v="3"/>
    <x v="2"/>
    <n v="100"/>
  </r>
  <r>
    <x v="1"/>
    <x v="4"/>
    <x v="2"/>
    <x v="15"/>
    <x v="3"/>
    <x v="3"/>
    <n v="100"/>
  </r>
  <r>
    <x v="1"/>
    <x v="4"/>
    <x v="2"/>
    <x v="15"/>
    <x v="4"/>
    <x v="0"/>
    <n v="94"/>
  </r>
  <r>
    <x v="1"/>
    <x v="4"/>
    <x v="2"/>
    <x v="15"/>
    <x v="4"/>
    <x v="1"/>
    <n v="300"/>
  </r>
  <r>
    <x v="1"/>
    <x v="4"/>
    <x v="2"/>
    <x v="15"/>
    <x v="4"/>
    <x v="2"/>
    <n v="100"/>
  </r>
  <r>
    <x v="1"/>
    <x v="4"/>
    <x v="2"/>
    <x v="15"/>
    <x v="4"/>
    <x v="3"/>
    <n v="100"/>
  </r>
  <r>
    <x v="1"/>
    <x v="4"/>
    <x v="2"/>
    <x v="15"/>
    <x v="5"/>
    <x v="0"/>
    <n v="194"/>
  </r>
  <r>
    <x v="1"/>
    <x v="4"/>
    <x v="2"/>
    <x v="15"/>
    <x v="5"/>
    <x v="1"/>
    <n v="100"/>
  </r>
  <r>
    <x v="1"/>
    <x v="4"/>
    <x v="2"/>
    <x v="15"/>
    <x v="5"/>
    <x v="2"/>
    <n v="100"/>
  </r>
  <r>
    <x v="1"/>
    <x v="4"/>
    <x v="2"/>
    <x v="15"/>
    <x v="5"/>
    <x v="3"/>
    <n v="100"/>
  </r>
  <r>
    <x v="1"/>
    <x v="5"/>
    <x v="3"/>
    <x v="16"/>
    <x v="0"/>
    <x v="0"/>
    <n v="229"/>
  </r>
  <r>
    <x v="1"/>
    <x v="5"/>
    <x v="3"/>
    <x v="16"/>
    <x v="0"/>
    <x v="1"/>
    <n v="72"/>
  </r>
  <r>
    <x v="1"/>
    <x v="5"/>
    <x v="3"/>
    <x v="16"/>
    <x v="0"/>
    <x v="2"/>
    <n v="60"/>
  </r>
  <r>
    <x v="1"/>
    <x v="5"/>
    <x v="3"/>
    <x v="16"/>
    <x v="0"/>
    <x v="3"/>
    <n v="100"/>
  </r>
  <r>
    <x v="1"/>
    <x v="5"/>
    <x v="3"/>
    <x v="16"/>
    <x v="1"/>
    <x v="0"/>
    <n v="182"/>
  </r>
  <r>
    <x v="1"/>
    <x v="5"/>
    <x v="3"/>
    <x v="16"/>
    <x v="1"/>
    <x v="1"/>
    <n v="80"/>
  </r>
  <r>
    <x v="1"/>
    <x v="5"/>
    <x v="3"/>
    <x v="16"/>
    <x v="1"/>
    <x v="2"/>
    <n v="100"/>
  </r>
  <r>
    <x v="1"/>
    <x v="5"/>
    <x v="3"/>
    <x v="16"/>
    <x v="1"/>
    <x v="3"/>
    <n v="61"/>
  </r>
  <r>
    <x v="1"/>
    <x v="5"/>
    <x v="3"/>
    <x v="16"/>
    <x v="2"/>
    <x v="0"/>
    <n v="238"/>
  </r>
  <r>
    <x v="1"/>
    <x v="5"/>
    <x v="3"/>
    <x v="16"/>
    <x v="2"/>
    <x v="1"/>
    <n v="100"/>
  </r>
  <r>
    <x v="1"/>
    <x v="5"/>
    <x v="3"/>
    <x v="16"/>
    <x v="2"/>
    <x v="2"/>
    <n v="100"/>
  </r>
  <r>
    <x v="1"/>
    <x v="5"/>
    <x v="3"/>
    <x v="16"/>
    <x v="2"/>
    <x v="3"/>
    <n v="63"/>
  </r>
  <r>
    <x v="1"/>
    <x v="5"/>
    <x v="3"/>
    <x v="16"/>
    <x v="3"/>
    <x v="0"/>
    <n v="154"/>
  </r>
  <r>
    <x v="1"/>
    <x v="5"/>
    <x v="3"/>
    <x v="16"/>
    <x v="3"/>
    <x v="1"/>
    <n v="100"/>
  </r>
  <r>
    <x v="1"/>
    <x v="5"/>
    <x v="3"/>
    <x v="16"/>
    <x v="3"/>
    <x v="2"/>
    <n v="100"/>
  </r>
  <r>
    <x v="1"/>
    <x v="5"/>
    <x v="3"/>
    <x v="16"/>
    <x v="3"/>
    <x v="3"/>
    <n v="100"/>
  </r>
  <r>
    <x v="1"/>
    <x v="5"/>
    <x v="3"/>
    <x v="16"/>
    <x v="4"/>
    <x v="0"/>
    <n v="94"/>
  </r>
  <r>
    <x v="1"/>
    <x v="5"/>
    <x v="3"/>
    <x v="16"/>
    <x v="4"/>
    <x v="1"/>
    <n v="219"/>
  </r>
  <r>
    <x v="1"/>
    <x v="5"/>
    <x v="3"/>
    <x v="16"/>
    <x v="4"/>
    <x v="2"/>
    <n v="100"/>
  </r>
  <r>
    <x v="1"/>
    <x v="5"/>
    <x v="3"/>
    <x v="16"/>
    <x v="4"/>
    <x v="3"/>
    <n v="100"/>
  </r>
  <r>
    <x v="1"/>
    <x v="5"/>
    <x v="3"/>
    <x v="16"/>
    <x v="5"/>
    <x v="0"/>
    <n v="194"/>
  </r>
  <r>
    <x v="1"/>
    <x v="5"/>
    <x v="3"/>
    <x v="16"/>
    <x v="5"/>
    <x v="1"/>
    <n v="51"/>
  </r>
  <r>
    <x v="1"/>
    <x v="5"/>
    <x v="3"/>
    <x v="16"/>
    <x v="5"/>
    <x v="2"/>
    <n v="100"/>
  </r>
  <r>
    <x v="1"/>
    <x v="5"/>
    <x v="3"/>
    <x v="16"/>
    <x v="5"/>
    <x v="3"/>
    <n v="49"/>
  </r>
  <r>
    <x v="1"/>
    <x v="6"/>
    <x v="3"/>
    <x v="17"/>
    <x v="0"/>
    <x v="0"/>
    <n v="229"/>
  </r>
  <r>
    <x v="1"/>
    <x v="6"/>
    <x v="3"/>
    <x v="17"/>
    <x v="0"/>
    <x v="1"/>
    <n v="72"/>
  </r>
  <r>
    <x v="1"/>
    <x v="6"/>
    <x v="3"/>
    <x v="17"/>
    <x v="0"/>
    <x v="2"/>
    <n v="60"/>
  </r>
  <r>
    <x v="1"/>
    <x v="6"/>
    <x v="3"/>
    <x v="17"/>
    <x v="0"/>
    <x v="3"/>
    <n v="100"/>
  </r>
  <r>
    <x v="1"/>
    <x v="6"/>
    <x v="3"/>
    <x v="17"/>
    <x v="1"/>
    <x v="0"/>
    <n v="182"/>
  </r>
  <r>
    <x v="1"/>
    <x v="6"/>
    <x v="3"/>
    <x v="17"/>
    <x v="1"/>
    <x v="1"/>
    <n v="80"/>
  </r>
  <r>
    <x v="1"/>
    <x v="6"/>
    <x v="3"/>
    <x v="17"/>
    <x v="1"/>
    <x v="2"/>
    <n v="100"/>
  </r>
  <r>
    <x v="1"/>
    <x v="6"/>
    <x v="3"/>
    <x v="17"/>
    <x v="1"/>
    <x v="3"/>
    <n v="19"/>
  </r>
  <r>
    <x v="1"/>
    <x v="6"/>
    <x v="3"/>
    <x v="17"/>
    <x v="2"/>
    <x v="0"/>
    <n v="238"/>
  </r>
  <r>
    <x v="1"/>
    <x v="6"/>
    <x v="3"/>
    <x v="17"/>
    <x v="2"/>
    <x v="1"/>
    <n v="75"/>
  </r>
  <r>
    <x v="1"/>
    <x v="6"/>
    <x v="3"/>
    <x v="17"/>
    <x v="2"/>
    <x v="2"/>
    <n v="100"/>
  </r>
  <r>
    <x v="1"/>
    <x v="6"/>
    <x v="3"/>
    <x v="17"/>
    <x v="2"/>
    <x v="3"/>
    <n v="63"/>
  </r>
  <r>
    <x v="1"/>
    <x v="6"/>
    <x v="3"/>
    <x v="17"/>
    <x v="3"/>
    <x v="0"/>
    <n v="154"/>
  </r>
  <r>
    <x v="1"/>
    <x v="6"/>
    <x v="3"/>
    <x v="17"/>
    <x v="3"/>
    <x v="1"/>
    <n v="53"/>
  </r>
  <r>
    <x v="1"/>
    <x v="6"/>
    <x v="3"/>
    <x v="17"/>
    <x v="3"/>
    <x v="2"/>
    <n v="100"/>
  </r>
  <r>
    <x v="1"/>
    <x v="6"/>
    <x v="3"/>
    <x v="17"/>
    <x v="3"/>
    <x v="3"/>
    <n v="61"/>
  </r>
  <r>
    <x v="1"/>
    <x v="6"/>
    <x v="3"/>
    <x v="17"/>
    <x v="4"/>
    <x v="0"/>
    <n v="94"/>
  </r>
  <r>
    <x v="1"/>
    <x v="6"/>
    <x v="3"/>
    <x v="17"/>
    <x v="4"/>
    <x v="1"/>
    <n v="0"/>
  </r>
  <r>
    <x v="1"/>
    <x v="6"/>
    <x v="3"/>
    <x v="17"/>
    <x v="4"/>
    <x v="2"/>
    <n v="100"/>
  </r>
  <r>
    <x v="1"/>
    <x v="6"/>
    <x v="3"/>
    <x v="17"/>
    <x v="4"/>
    <x v="3"/>
    <n v="100"/>
  </r>
  <r>
    <x v="1"/>
    <x v="6"/>
    <x v="3"/>
    <x v="17"/>
    <x v="5"/>
    <x v="0"/>
    <n v="194"/>
  </r>
  <r>
    <x v="1"/>
    <x v="6"/>
    <x v="3"/>
    <x v="17"/>
    <x v="5"/>
    <x v="1"/>
    <n v="51"/>
  </r>
  <r>
    <x v="1"/>
    <x v="6"/>
    <x v="3"/>
    <x v="17"/>
    <x v="5"/>
    <x v="2"/>
    <n v="0"/>
  </r>
  <r>
    <x v="1"/>
    <x v="6"/>
    <x v="3"/>
    <x v="17"/>
    <x v="5"/>
    <x v="3"/>
    <n v="49"/>
  </r>
  <r>
    <x v="1"/>
    <x v="7"/>
    <x v="3"/>
    <x v="18"/>
    <x v="0"/>
    <x v="0"/>
    <n v="161"/>
  </r>
  <r>
    <x v="1"/>
    <x v="7"/>
    <x v="3"/>
    <x v="18"/>
    <x v="0"/>
    <x v="1"/>
    <n v="100"/>
  </r>
  <r>
    <x v="1"/>
    <x v="7"/>
    <x v="3"/>
    <x v="18"/>
    <x v="0"/>
    <x v="2"/>
    <n v="100"/>
  </r>
  <r>
    <x v="1"/>
    <x v="7"/>
    <x v="3"/>
    <x v="18"/>
    <x v="0"/>
    <x v="3"/>
    <n v="100"/>
  </r>
  <r>
    <x v="1"/>
    <x v="7"/>
    <x v="3"/>
    <x v="18"/>
    <x v="1"/>
    <x v="0"/>
    <n v="81"/>
  </r>
  <r>
    <x v="1"/>
    <x v="7"/>
    <x v="3"/>
    <x v="18"/>
    <x v="1"/>
    <x v="1"/>
    <n v="100"/>
  </r>
  <r>
    <x v="1"/>
    <x v="7"/>
    <x v="3"/>
    <x v="18"/>
    <x v="1"/>
    <x v="2"/>
    <n v="100"/>
  </r>
  <r>
    <x v="1"/>
    <x v="7"/>
    <x v="3"/>
    <x v="18"/>
    <x v="1"/>
    <x v="3"/>
    <n v="81"/>
  </r>
  <r>
    <x v="1"/>
    <x v="7"/>
    <x v="3"/>
    <x v="18"/>
    <x v="2"/>
    <x v="0"/>
    <n v="176"/>
  </r>
  <r>
    <x v="1"/>
    <x v="7"/>
    <x v="3"/>
    <x v="18"/>
    <x v="2"/>
    <x v="1"/>
    <n v="73"/>
  </r>
  <r>
    <x v="1"/>
    <x v="7"/>
    <x v="3"/>
    <x v="18"/>
    <x v="2"/>
    <x v="2"/>
    <n v="100"/>
  </r>
  <r>
    <x v="1"/>
    <x v="7"/>
    <x v="3"/>
    <x v="18"/>
    <x v="2"/>
    <x v="3"/>
    <n v="78"/>
  </r>
  <r>
    <x v="1"/>
    <x v="7"/>
    <x v="3"/>
    <x v="18"/>
    <x v="3"/>
    <x v="0"/>
    <n v="68"/>
  </r>
  <r>
    <x v="1"/>
    <x v="7"/>
    <x v="3"/>
    <x v="18"/>
    <x v="3"/>
    <x v="1"/>
    <n v="66"/>
  </r>
  <r>
    <x v="1"/>
    <x v="7"/>
    <x v="3"/>
    <x v="18"/>
    <x v="3"/>
    <x v="2"/>
    <n v="100"/>
  </r>
  <r>
    <x v="1"/>
    <x v="7"/>
    <x v="3"/>
    <x v="18"/>
    <x v="3"/>
    <x v="3"/>
    <n v="100"/>
  </r>
  <r>
    <x v="1"/>
    <x v="7"/>
    <x v="3"/>
    <x v="18"/>
    <x v="4"/>
    <x v="0"/>
    <n v="0"/>
  </r>
  <r>
    <x v="1"/>
    <x v="7"/>
    <x v="3"/>
    <x v="18"/>
    <x v="4"/>
    <x v="1"/>
    <n v="94"/>
  </r>
  <r>
    <x v="1"/>
    <x v="7"/>
    <x v="3"/>
    <x v="18"/>
    <x v="4"/>
    <x v="2"/>
    <n v="100"/>
  </r>
  <r>
    <x v="1"/>
    <x v="7"/>
    <x v="3"/>
    <x v="18"/>
    <x v="4"/>
    <x v="3"/>
    <n v="26"/>
  </r>
  <r>
    <x v="1"/>
    <x v="7"/>
    <x v="3"/>
    <x v="18"/>
    <x v="5"/>
    <x v="0"/>
    <n v="0"/>
  </r>
  <r>
    <x v="1"/>
    <x v="7"/>
    <x v="3"/>
    <x v="18"/>
    <x v="5"/>
    <x v="1"/>
    <n v="99"/>
  </r>
  <r>
    <x v="1"/>
    <x v="7"/>
    <x v="3"/>
    <x v="18"/>
    <x v="5"/>
    <x v="2"/>
    <n v="97"/>
  </r>
  <r>
    <x v="1"/>
    <x v="7"/>
    <x v="3"/>
    <x v="18"/>
    <x v="5"/>
    <x v="3"/>
    <n v="98"/>
  </r>
  <r>
    <x v="1"/>
    <x v="8"/>
    <x v="3"/>
    <x v="19"/>
    <x v="0"/>
    <x v="0"/>
    <n v="161"/>
  </r>
  <r>
    <x v="1"/>
    <x v="8"/>
    <x v="3"/>
    <x v="19"/>
    <x v="0"/>
    <x v="1"/>
    <n v="65"/>
  </r>
  <r>
    <x v="1"/>
    <x v="8"/>
    <x v="3"/>
    <x v="19"/>
    <x v="0"/>
    <x v="2"/>
    <n v="100"/>
  </r>
  <r>
    <x v="1"/>
    <x v="8"/>
    <x v="3"/>
    <x v="19"/>
    <x v="0"/>
    <x v="3"/>
    <n v="64"/>
  </r>
  <r>
    <x v="1"/>
    <x v="8"/>
    <x v="3"/>
    <x v="19"/>
    <x v="1"/>
    <x v="0"/>
    <n v="81"/>
  </r>
  <r>
    <x v="1"/>
    <x v="8"/>
    <x v="3"/>
    <x v="19"/>
    <x v="1"/>
    <x v="1"/>
    <n v="74"/>
  </r>
  <r>
    <x v="1"/>
    <x v="8"/>
    <x v="3"/>
    <x v="19"/>
    <x v="1"/>
    <x v="2"/>
    <n v="100"/>
  </r>
  <r>
    <x v="1"/>
    <x v="8"/>
    <x v="3"/>
    <x v="19"/>
    <x v="1"/>
    <x v="3"/>
    <n v="36"/>
  </r>
  <r>
    <x v="1"/>
    <x v="8"/>
    <x v="3"/>
    <x v="19"/>
    <x v="2"/>
    <x v="0"/>
    <n v="176"/>
  </r>
  <r>
    <x v="1"/>
    <x v="8"/>
    <x v="3"/>
    <x v="19"/>
    <x v="2"/>
    <x v="1"/>
    <n v="50"/>
  </r>
  <r>
    <x v="1"/>
    <x v="8"/>
    <x v="3"/>
    <x v="19"/>
    <x v="2"/>
    <x v="2"/>
    <n v="100"/>
  </r>
  <r>
    <x v="1"/>
    <x v="8"/>
    <x v="3"/>
    <x v="19"/>
    <x v="2"/>
    <x v="3"/>
    <n v="78"/>
  </r>
  <r>
    <x v="1"/>
    <x v="8"/>
    <x v="3"/>
    <x v="19"/>
    <x v="3"/>
    <x v="0"/>
    <n v="68"/>
  </r>
  <r>
    <x v="1"/>
    <x v="8"/>
    <x v="3"/>
    <x v="19"/>
    <x v="3"/>
    <x v="1"/>
    <n v="32"/>
  </r>
  <r>
    <x v="1"/>
    <x v="8"/>
    <x v="3"/>
    <x v="19"/>
    <x v="3"/>
    <x v="2"/>
    <n v="100"/>
  </r>
  <r>
    <x v="1"/>
    <x v="8"/>
    <x v="3"/>
    <x v="19"/>
    <x v="3"/>
    <x v="3"/>
    <n v="100"/>
  </r>
  <r>
    <x v="1"/>
    <x v="8"/>
    <x v="3"/>
    <x v="19"/>
    <x v="4"/>
    <x v="0"/>
    <n v="0"/>
  </r>
  <r>
    <x v="1"/>
    <x v="8"/>
    <x v="3"/>
    <x v="19"/>
    <x v="4"/>
    <x v="1"/>
    <n v="25"/>
  </r>
  <r>
    <x v="1"/>
    <x v="8"/>
    <x v="3"/>
    <x v="19"/>
    <x v="4"/>
    <x v="2"/>
    <n v="100"/>
  </r>
  <r>
    <x v="1"/>
    <x v="8"/>
    <x v="3"/>
    <x v="19"/>
    <x v="4"/>
    <x v="3"/>
    <n v="26"/>
  </r>
  <r>
    <x v="1"/>
    <x v="8"/>
    <x v="3"/>
    <x v="19"/>
    <x v="5"/>
    <x v="0"/>
    <n v="0"/>
  </r>
  <r>
    <x v="1"/>
    <x v="8"/>
    <x v="3"/>
    <x v="19"/>
    <x v="5"/>
    <x v="1"/>
    <n v="0"/>
  </r>
  <r>
    <x v="1"/>
    <x v="8"/>
    <x v="3"/>
    <x v="19"/>
    <x v="5"/>
    <x v="2"/>
    <n v="97"/>
  </r>
  <r>
    <x v="1"/>
    <x v="8"/>
    <x v="3"/>
    <x v="19"/>
    <x v="5"/>
    <x v="3"/>
    <n v="98"/>
  </r>
  <r>
    <x v="1"/>
    <x v="9"/>
    <x v="3"/>
    <x v="20"/>
    <x v="0"/>
    <x v="0"/>
    <n v="161"/>
  </r>
  <r>
    <x v="1"/>
    <x v="9"/>
    <x v="3"/>
    <x v="20"/>
    <x v="0"/>
    <x v="1"/>
    <n v="14"/>
  </r>
  <r>
    <x v="1"/>
    <x v="9"/>
    <x v="3"/>
    <x v="20"/>
    <x v="0"/>
    <x v="2"/>
    <n v="65"/>
  </r>
  <r>
    <x v="1"/>
    <x v="9"/>
    <x v="3"/>
    <x v="20"/>
    <x v="0"/>
    <x v="3"/>
    <n v="64"/>
  </r>
  <r>
    <x v="1"/>
    <x v="9"/>
    <x v="3"/>
    <x v="20"/>
    <x v="1"/>
    <x v="0"/>
    <n v="81"/>
  </r>
  <r>
    <x v="1"/>
    <x v="9"/>
    <x v="3"/>
    <x v="20"/>
    <x v="1"/>
    <x v="1"/>
    <n v="74"/>
  </r>
  <r>
    <x v="1"/>
    <x v="9"/>
    <x v="3"/>
    <x v="20"/>
    <x v="1"/>
    <x v="2"/>
    <n v="100"/>
  </r>
  <r>
    <x v="1"/>
    <x v="9"/>
    <x v="3"/>
    <x v="20"/>
    <x v="1"/>
    <x v="3"/>
    <n v="0"/>
  </r>
  <r>
    <x v="1"/>
    <x v="9"/>
    <x v="3"/>
    <x v="20"/>
    <x v="2"/>
    <x v="0"/>
    <n v="176"/>
  </r>
  <r>
    <x v="1"/>
    <x v="9"/>
    <x v="3"/>
    <x v="20"/>
    <x v="2"/>
    <x v="1"/>
    <n v="50"/>
  </r>
  <r>
    <x v="1"/>
    <x v="9"/>
    <x v="3"/>
    <x v="20"/>
    <x v="2"/>
    <x v="2"/>
    <n v="77"/>
  </r>
  <r>
    <x v="1"/>
    <x v="9"/>
    <x v="3"/>
    <x v="20"/>
    <x v="2"/>
    <x v="3"/>
    <n v="57"/>
  </r>
  <r>
    <x v="1"/>
    <x v="9"/>
    <x v="3"/>
    <x v="20"/>
    <x v="3"/>
    <x v="0"/>
    <n v="68"/>
  </r>
  <r>
    <x v="1"/>
    <x v="9"/>
    <x v="3"/>
    <x v="20"/>
    <x v="3"/>
    <x v="1"/>
    <n v="0"/>
  </r>
  <r>
    <x v="1"/>
    <x v="9"/>
    <x v="3"/>
    <x v="20"/>
    <x v="3"/>
    <x v="2"/>
    <n v="100"/>
  </r>
  <r>
    <x v="1"/>
    <x v="9"/>
    <x v="3"/>
    <x v="20"/>
    <x v="3"/>
    <x v="3"/>
    <n v="100"/>
  </r>
  <r>
    <x v="1"/>
    <x v="9"/>
    <x v="3"/>
    <x v="20"/>
    <x v="4"/>
    <x v="0"/>
    <n v="0"/>
  </r>
  <r>
    <x v="1"/>
    <x v="9"/>
    <x v="3"/>
    <x v="20"/>
    <x v="4"/>
    <x v="1"/>
    <n v="0"/>
  </r>
  <r>
    <x v="1"/>
    <x v="9"/>
    <x v="3"/>
    <x v="20"/>
    <x v="4"/>
    <x v="2"/>
    <n v="100"/>
  </r>
  <r>
    <x v="1"/>
    <x v="9"/>
    <x v="3"/>
    <x v="20"/>
    <x v="4"/>
    <x v="3"/>
    <n v="26"/>
  </r>
  <r>
    <x v="1"/>
    <x v="9"/>
    <x v="3"/>
    <x v="20"/>
    <x v="5"/>
    <x v="0"/>
    <n v="0"/>
  </r>
  <r>
    <x v="1"/>
    <x v="9"/>
    <x v="3"/>
    <x v="20"/>
    <x v="5"/>
    <x v="1"/>
    <n v="0"/>
  </r>
  <r>
    <x v="1"/>
    <x v="9"/>
    <x v="3"/>
    <x v="20"/>
    <x v="5"/>
    <x v="2"/>
    <n v="97"/>
  </r>
  <r>
    <x v="1"/>
    <x v="9"/>
    <x v="3"/>
    <x v="20"/>
    <x v="5"/>
    <x v="3"/>
    <n v="39"/>
  </r>
  <r>
    <x v="1"/>
    <x v="10"/>
    <x v="3"/>
    <x v="21"/>
    <x v="0"/>
    <x v="0"/>
    <n v="0"/>
  </r>
  <r>
    <x v="1"/>
    <x v="10"/>
    <x v="3"/>
    <x v="21"/>
    <x v="0"/>
    <x v="1"/>
    <n v="80"/>
  </r>
  <r>
    <x v="1"/>
    <x v="10"/>
    <x v="3"/>
    <x v="21"/>
    <x v="0"/>
    <x v="2"/>
    <n v="113"/>
  </r>
  <r>
    <x v="1"/>
    <x v="10"/>
    <x v="3"/>
    <x v="21"/>
    <x v="0"/>
    <x v="3"/>
    <n v="111"/>
  </r>
  <r>
    <x v="1"/>
    <x v="10"/>
    <x v="3"/>
    <x v="21"/>
    <x v="1"/>
    <x v="0"/>
    <n v="0"/>
  </r>
  <r>
    <x v="1"/>
    <x v="10"/>
    <x v="3"/>
    <x v="21"/>
    <x v="1"/>
    <x v="1"/>
    <n v="76"/>
  </r>
  <r>
    <x v="1"/>
    <x v="10"/>
    <x v="3"/>
    <x v="21"/>
    <x v="1"/>
    <x v="2"/>
    <n v="119"/>
  </r>
  <r>
    <x v="1"/>
    <x v="10"/>
    <x v="3"/>
    <x v="21"/>
    <x v="1"/>
    <x v="3"/>
    <n v="38"/>
  </r>
  <r>
    <x v="1"/>
    <x v="10"/>
    <x v="3"/>
    <x v="21"/>
    <x v="2"/>
    <x v="0"/>
    <n v="0"/>
  </r>
  <r>
    <x v="1"/>
    <x v="10"/>
    <x v="3"/>
    <x v="21"/>
    <x v="2"/>
    <x v="1"/>
    <n v="90"/>
  </r>
  <r>
    <x v="1"/>
    <x v="10"/>
    <x v="3"/>
    <x v="21"/>
    <x v="2"/>
    <x v="2"/>
    <n v="129"/>
  </r>
  <r>
    <x v="1"/>
    <x v="10"/>
    <x v="3"/>
    <x v="21"/>
    <x v="2"/>
    <x v="3"/>
    <n v="117"/>
  </r>
  <r>
    <x v="1"/>
    <x v="10"/>
    <x v="3"/>
    <x v="21"/>
    <x v="3"/>
    <x v="0"/>
    <n v="0"/>
  </r>
  <r>
    <x v="1"/>
    <x v="10"/>
    <x v="3"/>
    <x v="21"/>
    <x v="3"/>
    <x v="1"/>
    <n v="34"/>
  </r>
  <r>
    <x v="1"/>
    <x v="10"/>
    <x v="3"/>
    <x v="21"/>
    <x v="3"/>
    <x v="2"/>
    <n v="117"/>
  </r>
  <r>
    <x v="1"/>
    <x v="10"/>
    <x v="3"/>
    <x v="21"/>
    <x v="3"/>
    <x v="3"/>
    <n v="117"/>
  </r>
  <r>
    <x v="1"/>
    <x v="10"/>
    <x v="3"/>
    <x v="21"/>
    <x v="4"/>
    <x v="0"/>
    <n v="0"/>
  </r>
  <r>
    <x v="1"/>
    <x v="10"/>
    <x v="3"/>
    <x v="21"/>
    <x v="4"/>
    <x v="1"/>
    <n v="0"/>
  </r>
  <r>
    <x v="1"/>
    <x v="10"/>
    <x v="3"/>
    <x v="21"/>
    <x v="4"/>
    <x v="2"/>
    <n v="100"/>
  </r>
  <r>
    <x v="1"/>
    <x v="10"/>
    <x v="3"/>
    <x v="21"/>
    <x v="4"/>
    <x v="3"/>
    <n v="26"/>
  </r>
  <r>
    <x v="1"/>
    <x v="10"/>
    <x v="3"/>
    <x v="21"/>
    <x v="5"/>
    <x v="0"/>
    <n v="0"/>
  </r>
  <r>
    <x v="1"/>
    <x v="10"/>
    <x v="3"/>
    <x v="21"/>
    <x v="5"/>
    <x v="1"/>
    <n v="0"/>
  </r>
  <r>
    <x v="1"/>
    <x v="10"/>
    <x v="3"/>
    <x v="21"/>
    <x v="5"/>
    <x v="2"/>
    <n v="97"/>
  </r>
  <r>
    <x v="1"/>
    <x v="10"/>
    <x v="3"/>
    <x v="21"/>
    <x v="5"/>
    <x v="3"/>
    <n v="0"/>
  </r>
  <r>
    <x v="2"/>
    <x v="0"/>
    <x v="4"/>
    <x v="22"/>
    <x v="0"/>
    <x v="0"/>
    <n v="0"/>
  </r>
  <r>
    <x v="2"/>
    <x v="0"/>
    <x v="4"/>
    <x v="22"/>
    <x v="0"/>
    <x v="1"/>
    <n v="80"/>
  </r>
  <r>
    <x v="2"/>
    <x v="0"/>
    <x v="4"/>
    <x v="22"/>
    <x v="0"/>
    <x v="2"/>
    <n v="113"/>
  </r>
  <r>
    <x v="2"/>
    <x v="0"/>
    <x v="4"/>
    <x v="22"/>
    <x v="0"/>
    <x v="3"/>
    <n v="111"/>
  </r>
  <r>
    <x v="2"/>
    <x v="0"/>
    <x v="4"/>
    <x v="22"/>
    <x v="1"/>
    <x v="0"/>
    <n v="0"/>
  </r>
  <r>
    <x v="2"/>
    <x v="0"/>
    <x v="4"/>
    <x v="22"/>
    <x v="1"/>
    <x v="1"/>
    <n v="76"/>
  </r>
  <r>
    <x v="2"/>
    <x v="0"/>
    <x v="4"/>
    <x v="22"/>
    <x v="1"/>
    <x v="2"/>
    <n v="119"/>
  </r>
  <r>
    <x v="2"/>
    <x v="0"/>
    <x v="4"/>
    <x v="22"/>
    <x v="1"/>
    <x v="3"/>
    <n v="38"/>
  </r>
  <r>
    <x v="2"/>
    <x v="0"/>
    <x v="4"/>
    <x v="22"/>
    <x v="2"/>
    <x v="0"/>
    <n v="0"/>
  </r>
  <r>
    <x v="2"/>
    <x v="0"/>
    <x v="4"/>
    <x v="22"/>
    <x v="2"/>
    <x v="1"/>
    <n v="90"/>
  </r>
  <r>
    <x v="2"/>
    <x v="0"/>
    <x v="4"/>
    <x v="22"/>
    <x v="2"/>
    <x v="2"/>
    <n v="129"/>
  </r>
  <r>
    <x v="2"/>
    <x v="0"/>
    <x v="4"/>
    <x v="22"/>
    <x v="2"/>
    <x v="3"/>
    <n v="117"/>
  </r>
  <r>
    <x v="2"/>
    <x v="0"/>
    <x v="4"/>
    <x v="22"/>
    <x v="3"/>
    <x v="0"/>
    <n v="0"/>
  </r>
  <r>
    <x v="2"/>
    <x v="0"/>
    <x v="4"/>
    <x v="22"/>
    <x v="3"/>
    <x v="1"/>
    <n v="34"/>
  </r>
  <r>
    <x v="2"/>
    <x v="0"/>
    <x v="4"/>
    <x v="22"/>
    <x v="3"/>
    <x v="2"/>
    <n v="117"/>
  </r>
  <r>
    <x v="2"/>
    <x v="0"/>
    <x v="4"/>
    <x v="22"/>
    <x v="3"/>
    <x v="3"/>
    <n v="117"/>
  </r>
  <r>
    <x v="2"/>
    <x v="0"/>
    <x v="4"/>
    <x v="22"/>
    <x v="4"/>
    <x v="0"/>
    <n v="0"/>
  </r>
  <r>
    <x v="2"/>
    <x v="0"/>
    <x v="4"/>
    <x v="22"/>
    <x v="4"/>
    <x v="1"/>
    <n v="0"/>
  </r>
  <r>
    <x v="2"/>
    <x v="0"/>
    <x v="4"/>
    <x v="22"/>
    <x v="4"/>
    <x v="2"/>
    <n v="100"/>
  </r>
  <r>
    <x v="2"/>
    <x v="0"/>
    <x v="4"/>
    <x v="22"/>
    <x v="4"/>
    <x v="3"/>
    <n v="26"/>
  </r>
  <r>
    <x v="2"/>
    <x v="0"/>
    <x v="4"/>
    <x v="22"/>
    <x v="5"/>
    <x v="0"/>
    <n v="0"/>
  </r>
  <r>
    <x v="2"/>
    <x v="0"/>
    <x v="4"/>
    <x v="22"/>
    <x v="5"/>
    <x v="1"/>
    <n v="0"/>
  </r>
  <r>
    <x v="2"/>
    <x v="0"/>
    <x v="4"/>
    <x v="22"/>
    <x v="5"/>
    <x v="2"/>
    <n v="97"/>
  </r>
  <r>
    <x v="2"/>
    <x v="0"/>
    <x v="4"/>
    <x v="22"/>
    <x v="5"/>
    <x v="3"/>
    <n v="0"/>
  </r>
  <r>
    <x v="2"/>
    <x v="1"/>
    <x v="4"/>
    <x v="23"/>
    <x v="0"/>
    <x v="0"/>
    <n v="296"/>
  </r>
  <r>
    <x v="2"/>
    <x v="1"/>
    <x v="4"/>
    <x v="23"/>
    <x v="0"/>
    <x v="1"/>
    <n v="52"/>
  </r>
  <r>
    <x v="2"/>
    <x v="1"/>
    <x v="4"/>
    <x v="23"/>
    <x v="0"/>
    <x v="2"/>
    <n v="63"/>
  </r>
  <r>
    <x v="2"/>
    <x v="1"/>
    <x v="4"/>
    <x v="23"/>
    <x v="0"/>
    <x v="3"/>
    <n v="76"/>
  </r>
  <r>
    <x v="2"/>
    <x v="1"/>
    <x v="4"/>
    <x v="23"/>
    <x v="1"/>
    <x v="0"/>
    <n v="367"/>
  </r>
  <r>
    <x v="2"/>
    <x v="1"/>
    <x v="4"/>
    <x v="23"/>
    <x v="1"/>
    <x v="1"/>
    <n v="76"/>
  </r>
  <r>
    <x v="2"/>
    <x v="1"/>
    <x v="4"/>
    <x v="23"/>
    <x v="1"/>
    <x v="2"/>
    <n v="119"/>
  </r>
  <r>
    <x v="2"/>
    <x v="1"/>
    <x v="4"/>
    <x v="23"/>
    <x v="1"/>
    <x v="3"/>
    <n v="18"/>
  </r>
  <r>
    <x v="2"/>
    <x v="1"/>
    <x v="4"/>
    <x v="23"/>
    <x v="2"/>
    <x v="0"/>
    <n v="264"/>
  </r>
  <r>
    <x v="2"/>
    <x v="1"/>
    <x v="4"/>
    <x v="23"/>
    <x v="2"/>
    <x v="1"/>
    <n v="90"/>
  </r>
  <r>
    <x v="2"/>
    <x v="1"/>
    <x v="4"/>
    <x v="23"/>
    <x v="2"/>
    <x v="2"/>
    <n v="101"/>
  </r>
  <r>
    <x v="2"/>
    <x v="1"/>
    <x v="4"/>
    <x v="23"/>
    <x v="2"/>
    <x v="3"/>
    <n v="117"/>
  </r>
  <r>
    <x v="2"/>
    <x v="1"/>
    <x v="4"/>
    <x v="23"/>
    <x v="3"/>
    <x v="0"/>
    <n v="332"/>
  </r>
  <r>
    <x v="2"/>
    <x v="1"/>
    <x v="4"/>
    <x v="23"/>
    <x v="3"/>
    <x v="1"/>
    <n v="34"/>
  </r>
  <r>
    <x v="2"/>
    <x v="1"/>
    <x v="4"/>
    <x v="23"/>
    <x v="3"/>
    <x v="2"/>
    <n v="117"/>
  </r>
  <r>
    <x v="2"/>
    <x v="1"/>
    <x v="4"/>
    <x v="23"/>
    <x v="3"/>
    <x v="3"/>
    <n v="117"/>
  </r>
  <r>
    <x v="2"/>
    <x v="1"/>
    <x v="4"/>
    <x v="23"/>
    <x v="4"/>
    <x v="0"/>
    <n v="874"/>
  </r>
  <r>
    <x v="2"/>
    <x v="1"/>
    <x v="4"/>
    <x v="23"/>
    <x v="4"/>
    <x v="1"/>
    <n v="0"/>
  </r>
  <r>
    <x v="2"/>
    <x v="1"/>
    <x v="4"/>
    <x v="23"/>
    <x v="4"/>
    <x v="2"/>
    <n v="100"/>
  </r>
  <r>
    <x v="2"/>
    <x v="1"/>
    <x v="4"/>
    <x v="23"/>
    <x v="4"/>
    <x v="3"/>
    <n v="0"/>
  </r>
  <r>
    <x v="2"/>
    <x v="1"/>
    <x v="4"/>
    <x v="23"/>
    <x v="5"/>
    <x v="0"/>
    <n v="903"/>
  </r>
  <r>
    <x v="2"/>
    <x v="1"/>
    <x v="4"/>
    <x v="23"/>
    <x v="5"/>
    <x v="1"/>
    <n v="0"/>
  </r>
  <r>
    <x v="2"/>
    <x v="1"/>
    <x v="4"/>
    <x v="23"/>
    <x v="5"/>
    <x v="2"/>
    <n v="0"/>
  </r>
  <r>
    <x v="2"/>
    <x v="1"/>
    <x v="4"/>
    <x v="23"/>
    <x v="5"/>
    <x v="3"/>
    <n v="0"/>
  </r>
  <r>
    <x v="2"/>
    <x v="2"/>
    <x v="4"/>
    <x v="24"/>
    <x v="0"/>
    <x v="0"/>
    <n v="296"/>
  </r>
  <r>
    <x v="2"/>
    <x v="2"/>
    <x v="4"/>
    <x v="24"/>
    <x v="0"/>
    <x v="1"/>
    <n v="52"/>
  </r>
  <r>
    <x v="2"/>
    <x v="2"/>
    <x v="4"/>
    <x v="24"/>
    <x v="0"/>
    <x v="2"/>
    <n v="63"/>
  </r>
  <r>
    <x v="2"/>
    <x v="2"/>
    <x v="4"/>
    <x v="24"/>
    <x v="0"/>
    <x v="3"/>
    <n v="76"/>
  </r>
  <r>
    <x v="2"/>
    <x v="2"/>
    <x v="4"/>
    <x v="24"/>
    <x v="1"/>
    <x v="0"/>
    <n v="367"/>
  </r>
  <r>
    <x v="2"/>
    <x v="2"/>
    <x v="4"/>
    <x v="24"/>
    <x v="1"/>
    <x v="1"/>
    <n v="76"/>
  </r>
  <r>
    <x v="2"/>
    <x v="2"/>
    <x v="4"/>
    <x v="24"/>
    <x v="1"/>
    <x v="2"/>
    <n v="119"/>
  </r>
  <r>
    <x v="2"/>
    <x v="2"/>
    <x v="4"/>
    <x v="24"/>
    <x v="1"/>
    <x v="3"/>
    <n v="18"/>
  </r>
  <r>
    <x v="2"/>
    <x v="2"/>
    <x v="4"/>
    <x v="24"/>
    <x v="2"/>
    <x v="0"/>
    <n v="264"/>
  </r>
  <r>
    <x v="2"/>
    <x v="2"/>
    <x v="4"/>
    <x v="24"/>
    <x v="2"/>
    <x v="1"/>
    <n v="90"/>
  </r>
  <r>
    <x v="2"/>
    <x v="2"/>
    <x v="4"/>
    <x v="24"/>
    <x v="2"/>
    <x v="2"/>
    <n v="101"/>
  </r>
  <r>
    <x v="2"/>
    <x v="2"/>
    <x v="4"/>
    <x v="24"/>
    <x v="2"/>
    <x v="3"/>
    <n v="117"/>
  </r>
  <r>
    <x v="2"/>
    <x v="2"/>
    <x v="4"/>
    <x v="24"/>
    <x v="3"/>
    <x v="0"/>
    <n v="332"/>
  </r>
  <r>
    <x v="2"/>
    <x v="2"/>
    <x v="4"/>
    <x v="24"/>
    <x v="3"/>
    <x v="1"/>
    <n v="0"/>
  </r>
  <r>
    <x v="2"/>
    <x v="2"/>
    <x v="4"/>
    <x v="24"/>
    <x v="3"/>
    <x v="2"/>
    <n v="117"/>
  </r>
  <r>
    <x v="2"/>
    <x v="2"/>
    <x v="4"/>
    <x v="24"/>
    <x v="3"/>
    <x v="3"/>
    <n v="117"/>
  </r>
  <r>
    <x v="2"/>
    <x v="2"/>
    <x v="4"/>
    <x v="24"/>
    <x v="4"/>
    <x v="0"/>
    <n v="874"/>
  </r>
  <r>
    <x v="2"/>
    <x v="2"/>
    <x v="4"/>
    <x v="24"/>
    <x v="4"/>
    <x v="1"/>
    <n v="0"/>
  </r>
  <r>
    <x v="2"/>
    <x v="2"/>
    <x v="4"/>
    <x v="24"/>
    <x v="4"/>
    <x v="2"/>
    <n v="38"/>
  </r>
  <r>
    <x v="2"/>
    <x v="2"/>
    <x v="4"/>
    <x v="24"/>
    <x v="4"/>
    <x v="3"/>
    <n v="0"/>
  </r>
  <r>
    <x v="2"/>
    <x v="2"/>
    <x v="4"/>
    <x v="24"/>
    <x v="5"/>
    <x v="0"/>
    <n v="903"/>
  </r>
  <r>
    <x v="2"/>
    <x v="2"/>
    <x v="4"/>
    <x v="24"/>
    <x v="5"/>
    <x v="1"/>
    <n v="0"/>
  </r>
  <r>
    <x v="2"/>
    <x v="2"/>
    <x v="4"/>
    <x v="24"/>
    <x v="5"/>
    <x v="2"/>
    <n v="0"/>
  </r>
  <r>
    <x v="2"/>
    <x v="2"/>
    <x v="4"/>
    <x v="24"/>
    <x v="5"/>
    <x v="3"/>
    <n v="0"/>
  </r>
  <r>
    <x v="2"/>
    <x v="3"/>
    <x v="4"/>
    <x v="25"/>
    <x v="0"/>
    <x v="0"/>
    <n v="0"/>
  </r>
  <r>
    <x v="2"/>
    <x v="3"/>
    <x v="4"/>
    <x v="25"/>
    <x v="0"/>
    <x v="1"/>
    <n v="160"/>
  </r>
  <r>
    <x v="2"/>
    <x v="3"/>
    <x v="4"/>
    <x v="25"/>
    <x v="0"/>
    <x v="2"/>
    <n v="162"/>
  </r>
  <r>
    <x v="2"/>
    <x v="3"/>
    <x v="4"/>
    <x v="25"/>
    <x v="0"/>
    <x v="3"/>
    <n v="165"/>
  </r>
  <r>
    <x v="2"/>
    <x v="3"/>
    <x v="4"/>
    <x v="25"/>
    <x v="1"/>
    <x v="0"/>
    <n v="0"/>
  </r>
  <r>
    <x v="2"/>
    <x v="3"/>
    <x v="4"/>
    <x v="25"/>
    <x v="1"/>
    <x v="1"/>
    <n v="194"/>
  </r>
  <r>
    <x v="2"/>
    <x v="3"/>
    <x v="4"/>
    <x v="25"/>
    <x v="1"/>
    <x v="2"/>
    <n v="196"/>
  </r>
  <r>
    <x v="2"/>
    <x v="3"/>
    <x v="4"/>
    <x v="25"/>
    <x v="1"/>
    <x v="3"/>
    <n v="172"/>
  </r>
  <r>
    <x v="2"/>
    <x v="3"/>
    <x v="4"/>
    <x v="25"/>
    <x v="2"/>
    <x v="0"/>
    <n v="0"/>
  </r>
  <r>
    <x v="2"/>
    <x v="3"/>
    <x v="4"/>
    <x v="25"/>
    <x v="2"/>
    <x v="1"/>
    <n v="190"/>
  </r>
  <r>
    <x v="2"/>
    <x v="3"/>
    <x v="4"/>
    <x v="25"/>
    <x v="2"/>
    <x v="2"/>
    <n v="168"/>
  </r>
  <r>
    <x v="2"/>
    <x v="3"/>
    <x v="4"/>
    <x v="25"/>
    <x v="2"/>
    <x v="3"/>
    <n v="192"/>
  </r>
  <r>
    <x v="2"/>
    <x v="3"/>
    <x v="4"/>
    <x v="25"/>
    <x v="3"/>
    <x v="0"/>
    <n v="0"/>
  </r>
  <r>
    <x v="2"/>
    <x v="3"/>
    <x v="4"/>
    <x v="25"/>
    <x v="3"/>
    <x v="1"/>
    <n v="182"/>
  </r>
  <r>
    <x v="2"/>
    <x v="3"/>
    <x v="4"/>
    <x v="25"/>
    <x v="3"/>
    <x v="2"/>
    <n v="192"/>
  </r>
  <r>
    <x v="2"/>
    <x v="3"/>
    <x v="4"/>
    <x v="25"/>
    <x v="3"/>
    <x v="3"/>
    <n v="192"/>
  </r>
  <r>
    <x v="2"/>
    <x v="3"/>
    <x v="4"/>
    <x v="25"/>
    <x v="4"/>
    <x v="0"/>
    <n v="282"/>
  </r>
  <r>
    <x v="2"/>
    <x v="3"/>
    <x v="4"/>
    <x v="25"/>
    <x v="4"/>
    <x v="1"/>
    <n v="300"/>
  </r>
  <r>
    <x v="2"/>
    <x v="3"/>
    <x v="4"/>
    <x v="25"/>
    <x v="4"/>
    <x v="2"/>
    <n v="300"/>
  </r>
  <r>
    <x v="2"/>
    <x v="3"/>
    <x v="4"/>
    <x v="25"/>
    <x v="4"/>
    <x v="3"/>
    <n v="30"/>
  </r>
  <r>
    <x v="2"/>
    <x v="3"/>
    <x v="4"/>
    <x v="25"/>
    <x v="5"/>
    <x v="0"/>
    <n v="203"/>
  </r>
  <r>
    <x v="2"/>
    <x v="3"/>
    <x v="4"/>
    <x v="25"/>
    <x v="5"/>
    <x v="1"/>
    <n v="300"/>
  </r>
  <r>
    <x v="2"/>
    <x v="3"/>
    <x v="4"/>
    <x v="25"/>
    <x v="5"/>
    <x v="2"/>
    <n v="200"/>
  </r>
  <r>
    <x v="2"/>
    <x v="3"/>
    <x v="4"/>
    <x v="25"/>
    <x v="5"/>
    <x v="3"/>
    <n v="200"/>
  </r>
  <r>
    <x v="2"/>
    <x v="4"/>
    <x v="4"/>
    <x v="26"/>
    <x v="0"/>
    <x v="0"/>
    <n v="0"/>
  </r>
  <r>
    <x v="2"/>
    <x v="4"/>
    <x v="4"/>
    <x v="26"/>
    <x v="0"/>
    <x v="1"/>
    <n v="111"/>
  </r>
  <r>
    <x v="2"/>
    <x v="4"/>
    <x v="4"/>
    <x v="26"/>
    <x v="0"/>
    <x v="2"/>
    <n v="129"/>
  </r>
  <r>
    <x v="2"/>
    <x v="4"/>
    <x v="4"/>
    <x v="26"/>
    <x v="0"/>
    <x v="3"/>
    <n v="165"/>
  </r>
  <r>
    <x v="2"/>
    <x v="4"/>
    <x v="4"/>
    <x v="26"/>
    <x v="1"/>
    <x v="0"/>
    <n v="0"/>
  </r>
  <r>
    <x v="2"/>
    <x v="4"/>
    <x v="4"/>
    <x v="26"/>
    <x v="1"/>
    <x v="1"/>
    <n v="194"/>
  </r>
  <r>
    <x v="2"/>
    <x v="4"/>
    <x v="4"/>
    <x v="26"/>
    <x v="1"/>
    <x v="2"/>
    <n v="178"/>
  </r>
  <r>
    <x v="2"/>
    <x v="4"/>
    <x v="4"/>
    <x v="26"/>
    <x v="1"/>
    <x v="3"/>
    <n v="141"/>
  </r>
  <r>
    <x v="2"/>
    <x v="4"/>
    <x v="4"/>
    <x v="26"/>
    <x v="2"/>
    <x v="0"/>
    <n v="0"/>
  </r>
  <r>
    <x v="2"/>
    <x v="4"/>
    <x v="4"/>
    <x v="26"/>
    <x v="2"/>
    <x v="1"/>
    <n v="190"/>
  </r>
  <r>
    <x v="2"/>
    <x v="4"/>
    <x v="4"/>
    <x v="26"/>
    <x v="2"/>
    <x v="2"/>
    <n v="168"/>
  </r>
  <r>
    <x v="2"/>
    <x v="4"/>
    <x v="4"/>
    <x v="26"/>
    <x v="2"/>
    <x v="3"/>
    <n v="192"/>
  </r>
  <r>
    <x v="2"/>
    <x v="4"/>
    <x v="4"/>
    <x v="26"/>
    <x v="3"/>
    <x v="0"/>
    <n v="0"/>
  </r>
  <r>
    <x v="2"/>
    <x v="4"/>
    <x v="4"/>
    <x v="26"/>
    <x v="3"/>
    <x v="1"/>
    <n v="150"/>
  </r>
  <r>
    <x v="2"/>
    <x v="4"/>
    <x v="4"/>
    <x v="26"/>
    <x v="3"/>
    <x v="2"/>
    <n v="148"/>
  </r>
  <r>
    <x v="2"/>
    <x v="4"/>
    <x v="4"/>
    <x v="26"/>
    <x v="3"/>
    <x v="3"/>
    <n v="192"/>
  </r>
  <r>
    <x v="2"/>
    <x v="4"/>
    <x v="4"/>
    <x v="26"/>
    <x v="4"/>
    <x v="0"/>
    <n v="282"/>
  </r>
  <r>
    <x v="2"/>
    <x v="4"/>
    <x v="4"/>
    <x v="26"/>
    <x v="4"/>
    <x v="1"/>
    <n v="164"/>
  </r>
  <r>
    <x v="2"/>
    <x v="4"/>
    <x v="4"/>
    <x v="26"/>
    <x v="4"/>
    <x v="2"/>
    <n v="300"/>
  </r>
  <r>
    <x v="2"/>
    <x v="4"/>
    <x v="4"/>
    <x v="26"/>
    <x v="4"/>
    <x v="3"/>
    <n v="30"/>
  </r>
  <r>
    <x v="2"/>
    <x v="4"/>
    <x v="4"/>
    <x v="26"/>
    <x v="5"/>
    <x v="0"/>
    <n v="203"/>
  </r>
  <r>
    <x v="2"/>
    <x v="4"/>
    <x v="4"/>
    <x v="26"/>
    <x v="5"/>
    <x v="1"/>
    <n v="300"/>
  </r>
  <r>
    <x v="2"/>
    <x v="4"/>
    <x v="4"/>
    <x v="26"/>
    <x v="5"/>
    <x v="2"/>
    <n v="197"/>
  </r>
  <r>
    <x v="2"/>
    <x v="4"/>
    <x v="4"/>
    <x v="26"/>
    <x v="5"/>
    <x v="3"/>
    <n v="200"/>
  </r>
  <r>
    <x v="2"/>
    <x v="5"/>
    <x v="5"/>
    <x v="27"/>
    <x v="0"/>
    <x v="0"/>
    <n v="0"/>
  </r>
  <r>
    <x v="2"/>
    <x v="5"/>
    <x v="5"/>
    <x v="27"/>
    <x v="0"/>
    <x v="1"/>
    <n v="111"/>
  </r>
  <r>
    <x v="2"/>
    <x v="5"/>
    <x v="5"/>
    <x v="27"/>
    <x v="0"/>
    <x v="2"/>
    <n v="72"/>
  </r>
  <r>
    <x v="2"/>
    <x v="5"/>
    <x v="5"/>
    <x v="27"/>
    <x v="0"/>
    <x v="3"/>
    <n v="134"/>
  </r>
  <r>
    <x v="2"/>
    <x v="5"/>
    <x v="5"/>
    <x v="27"/>
    <x v="1"/>
    <x v="0"/>
    <n v="0"/>
  </r>
  <r>
    <x v="2"/>
    <x v="5"/>
    <x v="5"/>
    <x v="27"/>
    <x v="1"/>
    <x v="1"/>
    <n v="194"/>
  </r>
  <r>
    <x v="2"/>
    <x v="5"/>
    <x v="5"/>
    <x v="27"/>
    <x v="1"/>
    <x v="2"/>
    <n v="178"/>
  </r>
  <r>
    <x v="2"/>
    <x v="5"/>
    <x v="5"/>
    <x v="27"/>
    <x v="1"/>
    <x v="3"/>
    <n v="98"/>
  </r>
  <r>
    <x v="2"/>
    <x v="5"/>
    <x v="5"/>
    <x v="27"/>
    <x v="2"/>
    <x v="0"/>
    <n v="0"/>
  </r>
  <r>
    <x v="2"/>
    <x v="5"/>
    <x v="5"/>
    <x v="27"/>
    <x v="2"/>
    <x v="1"/>
    <n v="190"/>
  </r>
  <r>
    <x v="2"/>
    <x v="5"/>
    <x v="5"/>
    <x v="27"/>
    <x v="2"/>
    <x v="2"/>
    <n v="168"/>
  </r>
  <r>
    <x v="2"/>
    <x v="5"/>
    <x v="5"/>
    <x v="27"/>
    <x v="2"/>
    <x v="3"/>
    <n v="192"/>
  </r>
  <r>
    <x v="2"/>
    <x v="5"/>
    <x v="5"/>
    <x v="27"/>
    <x v="3"/>
    <x v="0"/>
    <n v="0"/>
  </r>
  <r>
    <x v="2"/>
    <x v="5"/>
    <x v="5"/>
    <x v="27"/>
    <x v="3"/>
    <x v="1"/>
    <n v="150"/>
  </r>
  <r>
    <x v="2"/>
    <x v="5"/>
    <x v="5"/>
    <x v="27"/>
    <x v="3"/>
    <x v="2"/>
    <n v="148"/>
  </r>
  <r>
    <x v="2"/>
    <x v="5"/>
    <x v="5"/>
    <x v="27"/>
    <x v="3"/>
    <x v="3"/>
    <n v="192"/>
  </r>
  <r>
    <x v="2"/>
    <x v="5"/>
    <x v="5"/>
    <x v="27"/>
    <x v="4"/>
    <x v="0"/>
    <n v="282"/>
  </r>
  <r>
    <x v="2"/>
    <x v="5"/>
    <x v="5"/>
    <x v="27"/>
    <x v="4"/>
    <x v="1"/>
    <n v="164"/>
  </r>
  <r>
    <x v="2"/>
    <x v="5"/>
    <x v="5"/>
    <x v="27"/>
    <x v="4"/>
    <x v="2"/>
    <n v="225"/>
  </r>
  <r>
    <x v="2"/>
    <x v="5"/>
    <x v="5"/>
    <x v="27"/>
    <x v="4"/>
    <x v="3"/>
    <n v="30"/>
  </r>
  <r>
    <x v="2"/>
    <x v="5"/>
    <x v="5"/>
    <x v="27"/>
    <x v="5"/>
    <x v="0"/>
    <n v="203"/>
  </r>
  <r>
    <x v="2"/>
    <x v="5"/>
    <x v="5"/>
    <x v="27"/>
    <x v="5"/>
    <x v="1"/>
    <n v="300"/>
  </r>
  <r>
    <x v="2"/>
    <x v="5"/>
    <x v="5"/>
    <x v="27"/>
    <x v="5"/>
    <x v="2"/>
    <n v="92"/>
  </r>
  <r>
    <x v="2"/>
    <x v="5"/>
    <x v="5"/>
    <x v="27"/>
    <x v="5"/>
    <x v="3"/>
    <n v="150"/>
  </r>
  <r>
    <x v="2"/>
    <x v="6"/>
    <x v="5"/>
    <x v="28"/>
    <x v="0"/>
    <x v="0"/>
    <n v="195"/>
  </r>
  <r>
    <x v="2"/>
    <x v="6"/>
    <x v="5"/>
    <x v="28"/>
    <x v="0"/>
    <x v="1"/>
    <n v="111"/>
  </r>
  <r>
    <x v="2"/>
    <x v="6"/>
    <x v="5"/>
    <x v="28"/>
    <x v="0"/>
    <x v="2"/>
    <n v="72"/>
  </r>
  <r>
    <x v="2"/>
    <x v="6"/>
    <x v="5"/>
    <x v="28"/>
    <x v="0"/>
    <x v="3"/>
    <n v="134"/>
  </r>
  <r>
    <x v="2"/>
    <x v="6"/>
    <x v="5"/>
    <x v="28"/>
    <x v="1"/>
    <x v="0"/>
    <n v="87"/>
  </r>
  <r>
    <x v="2"/>
    <x v="6"/>
    <x v="5"/>
    <x v="28"/>
    <x v="1"/>
    <x v="1"/>
    <n v="194"/>
  </r>
  <r>
    <x v="2"/>
    <x v="6"/>
    <x v="5"/>
    <x v="28"/>
    <x v="1"/>
    <x v="2"/>
    <n v="178"/>
  </r>
  <r>
    <x v="2"/>
    <x v="6"/>
    <x v="5"/>
    <x v="28"/>
    <x v="1"/>
    <x v="3"/>
    <n v="98"/>
  </r>
  <r>
    <x v="2"/>
    <x v="6"/>
    <x v="5"/>
    <x v="28"/>
    <x v="2"/>
    <x v="0"/>
    <n v="50"/>
  </r>
  <r>
    <x v="2"/>
    <x v="6"/>
    <x v="5"/>
    <x v="28"/>
    <x v="2"/>
    <x v="1"/>
    <n v="168"/>
  </r>
  <r>
    <x v="2"/>
    <x v="6"/>
    <x v="5"/>
    <x v="28"/>
    <x v="2"/>
    <x v="2"/>
    <n v="168"/>
  </r>
  <r>
    <x v="2"/>
    <x v="6"/>
    <x v="5"/>
    <x v="28"/>
    <x v="2"/>
    <x v="3"/>
    <n v="192"/>
  </r>
  <r>
    <x v="2"/>
    <x v="6"/>
    <x v="5"/>
    <x v="28"/>
    <x v="3"/>
    <x v="0"/>
    <n v="110"/>
  </r>
  <r>
    <x v="2"/>
    <x v="6"/>
    <x v="5"/>
    <x v="28"/>
    <x v="3"/>
    <x v="1"/>
    <n v="108"/>
  </r>
  <r>
    <x v="2"/>
    <x v="6"/>
    <x v="5"/>
    <x v="28"/>
    <x v="3"/>
    <x v="2"/>
    <n v="148"/>
  </r>
  <r>
    <x v="2"/>
    <x v="6"/>
    <x v="5"/>
    <x v="28"/>
    <x v="3"/>
    <x v="3"/>
    <n v="192"/>
  </r>
  <r>
    <x v="2"/>
    <x v="6"/>
    <x v="5"/>
    <x v="28"/>
    <x v="4"/>
    <x v="0"/>
    <n v="295"/>
  </r>
  <r>
    <x v="2"/>
    <x v="6"/>
    <x v="5"/>
    <x v="28"/>
    <x v="4"/>
    <x v="1"/>
    <n v="249"/>
  </r>
  <r>
    <x v="2"/>
    <x v="6"/>
    <x v="5"/>
    <x v="28"/>
    <x v="4"/>
    <x v="2"/>
    <n v="300"/>
  </r>
  <r>
    <x v="2"/>
    <x v="6"/>
    <x v="5"/>
    <x v="28"/>
    <x v="4"/>
    <x v="3"/>
    <n v="30"/>
  </r>
  <r>
    <x v="2"/>
    <x v="6"/>
    <x v="5"/>
    <x v="28"/>
    <x v="5"/>
    <x v="0"/>
    <n v="145"/>
  </r>
  <r>
    <x v="2"/>
    <x v="6"/>
    <x v="5"/>
    <x v="28"/>
    <x v="5"/>
    <x v="1"/>
    <n v="244"/>
  </r>
  <r>
    <x v="2"/>
    <x v="6"/>
    <x v="5"/>
    <x v="28"/>
    <x v="5"/>
    <x v="2"/>
    <n v="200"/>
  </r>
  <r>
    <x v="2"/>
    <x v="6"/>
    <x v="5"/>
    <x v="28"/>
    <x v="5"/>
    <x v="3"/>
    <n v="134"/>
  </r>
  <r>
    <x v="2"/>
    <x v="7"/>
    <x v="5"/>
    <x v="29"/>
    <x v="0"/>
    <x v="0"/>
    <n v="195"/>
  </r>
  <r>
    <x v="2"/>
    <x v="7"/>
    <x v="5"/>
    <x v="29"/>
    <x v="0"/>
    <x v="1"/>
    <n v="111"/>
  </r>
  <r>
    <x v="2"/>
    <x v="7"/>
    <x v="5"/>
    <x v="29"/>
    <x v="0"/>
    <x v="2"/>
    <n v="49"/>
  </r>
  <r>
    <x v="2"/>
    <x v="7"/>
    <x v="5"/>
    <x v="29"/>
    <x v="0"/>
    <x v="3"/>
    <n v="134"/>
  </r>
  <r>
    <x v="2"/>
    <x v="7"/>
    <x v="5"/>
    <x v="29"/>
    <x v="1"/>
    <x v="0"/>
    <n v="87"/>
  </r>
  <r>
    <x v="2"/>
    <x v="7"/>
    <x v="5"/>
    <x v="29"/>
    <x v="1"/>
    <x v="1"/>
    <n v="194"/>
  </r>
  <r>
    <x v="2"/>
    <x v="7"/>
    <x v="5"/>
    <x v="29"/>
    <x v="1"/>
    <x v="2"/>
    <n v="178"/>
  </r>
  <r>
    <x v="2"/>
    <x v="7"/>
    <x v="5"/>
    <x v="29"/>
    <x v="1"/>
    <x v="3"/>
    <n v="83"/>
  </r>
  <r>
    <x v="2"/>
    <x v="7"/>
    <x v="5"/>
    <x v="29"/>
    <x v="2"/>
    <x v="0"/>
    <n v="50"/>
  </r>
  <r>
    <x v="2"/>
    <x v="7"/>
    <x v="5"/>
    <x v="29"/>
    <x v="2"/>
    <x v="1"/>
    <n v="119"/>
  </r>
  <r>
    <x v="2"/>
    <x v="7"/>
    <x v="5"/>
    <x v="29"/>
    <x v="2"/>
    <x v="2"/>
    <n v="168"/>
  </r>
  <r>
    <x v="2"/>
    <x v="7"/>
    <x v="5"/>
    <x v="29"/>
    <x v="2"/>
    <x v="3"/>
    <n v="192"/>
  </r>
  <r>
    <x v="2"/>
    <x v="7"/>
    <x v="5"/>
    <x v="29"/>
    <x v="3"/>
    <x v="0"/>
    <n v="110"/>
  </r>
  <r>
    <x v="2"/>
    <x v="7"/>
    <x v="5"/>
    <x v="29"/>
    <x v="3"/>
    <x v="1"/>
    <n v="108"/>
  </r>
  <r>
    <x v="2"/>
    <x v="7"/>
    <x v="5"/>
    <x v="29"/>
    <x v="3"/>
    <x v="2"/>
    <n v="148"/>
  </r>
  <r>
    <x v="2"/>
    <x v="7"/>
    <x v="5"/>
    <x v="29"/>
    <x v="3"/>
    <x v="3"/>
    <n v="192"/>
  </r>
  <r>
    <x v="2"/>
    <x v="7"/>
    <x v="5"/>
    <x v="29"/>
    <x v="4"/>
    <x v="0"/>
    <n v="295"/>
  </r>
  <r>
    <x v="2"/>
    <x v="7"/>
    <x v="5"/>
    <x v="29"/>
    <x v="4"/>
    <x v="1"/>
    <n v="199"/>
  </r>
  <r>
    <x v="2"/>
    <x v="7"/>
    <x v="5"/>
    <x v="29"/>
    <x v="4"/>
    <x v="2"/>
    <n v="300"/>
  </r>
  <r>
    <x v="2"/>
    <x v="7"/>
    <x v="5"/>
    <x v="29"/>
    <x v="4"/>
    <x v="3"/>
    <n v="30"/>
  </r>
  <r>
    <x v="2"/>
    <x v="7"/>
    <x v="5"/>
    <x v="29"/>
    <x v="5"/>
    <x v="0"/>
    <n v="145"/>
  </r>
  <r>
    <x v="2"/>
    <x v="7"/>
    <x v="5"/>
    <x v="29"/>
    <x v="5"/>
    <x v="1"/>
    <n v="244"/>
  </r>
  <r>
    <x v="2"/>
    <x v="7"/>
    <x v="5"/>
    <x v="29"/>
    <x v="5"/>
    <x v="2"/>
    <n v="140"/>
  </r>
  <r>
    <x v="2"/>
    <x v="7"/>
    <x v="5"/>
    <x v="29"/>
    <x v="5"/>
    <x v="3"/>
    <n v="79"/>
  </r>
  <r>
    <x v="2"/>
    <x v="8"/>
    <x v="5"/>
    <x v="30"/>
    <x v="0"/>
    <x v="0"/>
    <n v="195"/>
  </r>
  <r>
    <x v="2"/>
    <x v="8"/>
    <x v="5"/>
    <x v="30"/>
    <x v="0"/>
    <x v="1"/>
    <n v="111"/>
  </r>
  <r>
    <x v="2"/>
    <x v="8"/>
    <x v="5"/>
    <x v="30"/>
    <x v="0"/>
    <x v="2"/>
    <n v="49"/>
  </r>
  <r>
    <x v="2"/>
    <x v="8"/>
    <x v="5"/>
    <x v="30"/>
    <x v="0"/>
    <x v="3"/>
    <n v="134"/>
  </r>
  <r>
    <x v="2"/>
    <x v="8"/>
    <x v="5"/>
    <x v="30"/>
    <x v="1"/>
    <x v="0"/>
    <n v="87"/>
  </r>
  <r>
    <x v="2"/>
    <x v="8"/>
    <x v="5"/>
    <x v="30"/>
    <x v="1"/>
    <x v="1"/>
    <n v="194"/>
  </r>
  <r>
    <x v="2"/>
    <x v="8"/>
    <x v="5"/>
    <x v="30"/>
    <x v="1"/>
    <x v="2"/>
    <n v="161"/>
  </r>
  <r>
    <x v="2"/>
    <x v="8"/>
    <x v="5"/>
    <x v="30"/>
    <x v="1"/>
    <x v="3"/>
    <n v="62"/>
  </r>
  <r>
    <x v="2"/>
    <x v="8"/>
    <x v="5"/>
    <x v="30"/>
    <x v="2"/>
    <x v="0"/>
    <n v="50"/>
  </r>
  <r>
    <x v="2"/>
    <x v="8"/>
    <x v="5"/>
    <x v="30"/>
    <x v="2"/>
    <x v="1"/>
    <n v="119"/>
  </r>
  <r>
    <x v="2"/>
    <x v="8"/>
    <x v="5"/>
    <x v="30"/>
    <x v="2"/>
    <x v="2"/>
    <n v="168"/>
  </r>
  <r>
    <x v="2"/>
    <x v="8"/>
    <x v="5"/>
    <x v="30"/>
    <x v="2"/>
    <x v="3"/>
    <n v="192"/>
  </r>
  <r>
    <x v="2"/>
    <x v="8"/>
    <x v="5"/>
    <x v="30"/>
    <x v="3"/>
    <x v="0"/>
    <n v="110"/>
  </r>
  <r>
    <x v="2"/>
    <x v="8"/>
    <x v="5"/>
    <x v="30"/>
    <x v="3"/>
    <x v="1"/>
    <n v="108"/>
  </r>
  <r>
    <x v="2"/>
    <x v="8"/>
    <x v="5"/>
    <x v="30"/>
    <x v="3"/>
    <x v="2"/>
    <n v="148"/>
  </r>
  <r>
    <x v="2"/>
    <x v="8"/>
    <x v="5"/>
    <x v="30"/>
    <x v="3"/>
    <x v="3"/>
    <n v="192"/>
  </r>
  <r>
    <x v="2"/>
    <x v="8"/>
    <x v="5"/>
    <x v="30"/>
    <x v="4"/>
    <x v="0"/>
    <n v="295"/>
  </r>
  <r>
    <x v="2"/>
    <x v="8"/>
    <x v="5"/>
    <x v="30"/>
    <x v="4"/>
    <x v="1"/>
    <n v="142"/>
  </r>
  <r>
    <x v="2"/>
    <x v="8"/>
    <x v="5"/>
    <x v="30"/>
    <x v="4"/>
    <x v="2"/>
    <n v="300"/>
  </r>
  <r>
    <x v="2"/>
    <x v="8"/>
    <x v="5"/>
    <x v="30"/>
    <x v="4"/>
    <x v="3"/>
    <n v="30"/>
  </r>
  <r>
    <x v="2"/>
    <x v="8"/>
    <x v="5"/>
    <x v="30"/>
    <x v="5"/>
    <x v="0"/>
    <n v="145"/>
  </r>
  <r>
    <x v="2"/>
    <x v="8"/>
    <x v="5"/>
    <x v="30"/>
    <x v="5"/>
    <x v="1"/>
    <n v="188"/>
  </r>
  <r>
    <x v="2"/>
    <x v="8"/>
    <x v="5"/>
    <x v="30"/>
    <x v="5"/>
    <x v="2"/>
    <n v="140"/>
  </r>
  <r>
    <x v="2"/>
    <x v="8"/>
    <x v="5"/>
    <x v="30"/>
    <x v="5"/>
    <x v="3"/>
    <n v="79"/>
  </r>
  <r>
    <x v="2"/>
    <x v="9"/>
    <x v="5"/>
    <x v="31"/>
    <x v="0"/>
    <x v="0"/>
    <n v="0"/>
  </r>
  <r>
    <x v="2"/>
    <x v="9"/>
    <x v="5"/>
    <x v="31"/>
    <x v="0"/>
    <x v="1"/>
    <n v="136"/>
  </r>
  <r>
    <x v="2"/>
    <x v="9"/>
    <x v="5"/>
    <x v="31"/>
    <x v="0"/>
    <x v="2"/>
    <n v="145"/>
  </r>
  <r>
    <x v="2"/>
    <x v="9"/>
    <x v="5"/>
    <x v="31"/>
    <x v="0"/>
    <x v="3"/>
    <n v="176"/>
  </r>
  <r>
    <x v="2"/>
    <x v="9"/>
    <x v="5"/>
    <x v="31"/>
    <x v="1"/>
    <x v="0"/>
    <n v="0"/>
  </r>
  <r>
    <x v="2"/>
    <x v="9"/>
    <x v="5"/>
    <x v="31"/>
    <x v="1"/>
    <x v="1"/>
    <n v="197"/>
  </r>
  <r>
    <x v="2"/>
    <x v="9"/>
    <x v="5"/>
    <x v="31"/>
    <x v="1"/>
    <x v="2"/>
    <n v="180"/>
  </r>
  <r>
    <x v="2"/>
    <x v="9"/>
    <x v="5"/>
    <x v="31"/>
    <x v="1"/>
    <x v="3"/>
    <n v="127"/>
  </r>
  <r>
    <x v="2"/>
    <x v="9"/>
    <x v="5"/>
    <x v="31"/>
    <x v="2"/>
    <x v="0"/>
    <n v="0"/>
  </r>
  <r>
    <x v="2"/>
    <x v="9"/>
    <x v="5"/>
    <x v="31"/>
    <x v="2"/>
    <x v="1"/>
    <n v="153"/>
  </r>
  <r>
    <x v="2"/>
    <x v="9"/>
    <x v="5"/>
    <x v="31"/>
    <x v="2"/>
    <x v="2"/>
    <n v="181"/>
  </r>
  <r>
    <x v="2"/>
    <x v="9"/>
    <x v="5"/>
    <x v="31"/>
    <x v="2"/>
    <x v="3"/>
    <n v="195"/>
  </r>
  <r>
    <x v="2"/>
    <x v="9"/>
    <x v="5"/>
    <x v="31"/>
    <x v="3"/>
    <x v="0"/>
    <n v="0"/>
  </r>
  <r>
    <x v="2"/>
    <x v="9"/>
    <x v="5"/>
    <x v="31"/>
    <x v="3"/>
    <x v="1"/>
    <n v="100"/>
  </r>
  <r>
    <x v="2"/>
    <x v="9"/>
    <x v="5"/>
    <x v="31"/>
    <x v="3"/>
    <x v="2"/>
    <n v="157"/>
  </r>
  <r>
    <x v="2"/>
    <x v="9"/>
    <x v="5"/>
    <x v="31"/>
    <x v="3"/>
    <x v="3"/>
    <n v="150"/>
  </r>
  <r>
    <x v="2"/>
    <x v="9"/>
    <x v="5"/>
    <x v="31"/>
    <x v="4"/>
    <x v="0"/>
    <n v="137"/>
  </r>
  <r>
    <x v="2"/>
    <x v="9"/>
    <x v="5"/>
    <x v="31"/>
    <x v="4"/>
    <x v="1"/>
    <n v="220"/>
  </r>
  <r>
    <x v="2"/>
    <x v="9"/>
    <x v="5"/>
    <x v="31"/>
    <x v="4"/>
    <x v="2"/>
    <n v="249"/>
  </r>
  <r>
    <x v="2"/>
    <x v="9"/>
    <x v="5"/>
    <x v="31"/>
    <x v="4"/>
    <x v="3"/>
    <n v="30"/>
  </r>
  <r>
    <x v="2"/>
    <x v="9"/>
    <x v="5"/>
    <x v="31"/>
    <x v="5"/>
    <x v="0"/>
    <n v="0"/>
  </r>
  <r>
    <x v="2"/>
    <x v="9"/>
    <x v="5"/>
    <x v="31"/>
    <x v="5"/>
    <x v="1"/>
    <n v="244"/>
  </r>
  <r>
    <x v="2"/>
    <x v="9"/>
    <x v="5"/>
    <x v="31"/>
    <x v="5"/>
    <x v="2"/>
    <n v="83"/>
  </r>
  <r>
    <x v="2"/>
    <x v="9"/>
    <x v="5"/>
    <x v="31"/>
    <x v="5"/>
    <x v="3"/>
    <n v="138"/>
  </r>
  <r>
    <x v="2"/>
    <x v="10"/>
    <x v="5"/>
    <x v="32"/>
    <x v="0"/>
    <x v="0"/>
    <n v="143"/>
  </r>
  <r>
    <x v="2"/>
    <x v="10"/>
    <x v="5"/>
    <x v="32"/>
    <x v="0"/>
    <x v="1"/>
    <n v="136"/>
  </r>
  <r>
    <x v="2"/>
    <x v="10"/>
    <x v="5"/>
    <x v="32"/>
    <x v="0"/>
    <x v="2"/>
    <n v="117"/>
  </r>
  <r>
    <x v="2"/>
    <x v="10"/>
    <x v="5"/>
    <x v="32"/>
    <x v="0"/>
    <x v="3"/>
    <n v="176"/>
  </r>
  <r>
    <x v="2"/>
    <x v="10"/>
    <x v="5"/>
    <x v="32"/>
    <x v="1"/>
    <x v="0"/>
    <n v="96"/>
  </r>
  <r>
    <x v="2"/>
    <x v="10"/>
    <x v="5"/>
    <x v="32"/>
    <x v="1"/>
    <x v="1"/>
    <n v="197"/>
  </r>
  <r>
    <x v="2"/>
    <x v="10"/>
    <x v="5"/>
    <x v="32"/>
    <x v="1"/>
    <x v="2"/>
    <n v="180"/>
  </r>
  <r>
    <x v="2"/>
    <x v="10"/>
    <x v="5"/>
    <x v="32"/>
    <x v="1"/>
    <x v="3"/>
    <n v="127"/>
  </r>
  <r>
    <x v="2"/>
    <x v="10"/>
    <x v="5"/>
    <x v="32"/>
    <x v="2"/>
    <x v="0"/>
    <n v="71"/>
  </r>
  <r>
    <x v="2"/>
    <x v="10"/>
    <x v="5"/>
    <x v="32"/>
    <x v="2"/>
    <x v="1"/>
    <n v="132"/>
  </r>
  <r>
    <x v="2"/>
    <x v="10"/>
    <x v="5"/>
    <x v="32"/>
    <x v="2"/>
    <x v="2"/>
    <n v="181"/>
  </r>
  <r>
    <x v="2"/>
    <x v="10"/>
    <x v="5"/>
    <x v="32"/>
    <x v="2"/>
    <x v="3"/>
    <n v="195"/>
  </r>
  <r>
    <x v="2"/>
    <x v="10"/>
    <x v="5"/>
    <x v="32"/>
    <x v="3"/>
    <x v="0"/>
    <n v="193"/>
  </r>
  <r>
    <x v="2"/>
    <x v="10"/>
    <x v="5"/>
    <x v="32"/>
    <x v="3"/>
    <x v="1"/>
    <n v="100"/>
  </r>
  <r>
    <x v="2"/>
    <x v="10"/>
    <x v="5"/>
    <x v="32"/>
    <x v="3"/>
    <x v="2"/>
    <n v="157"/>
  </r>
  <r>
    <x v="2"/>
    <x v="10"/>
    <x v="5"/>
    <x v="32"/>
    <x v="3"/>
    <x v="3"/>
    <n v="150"/>
  </r>
  <r>
    <x v="2"/>
    <x v="10"/>
    <x v="5"/>
    <x v="32"/>
    <x v="4"/>
    <x v="0"/>
    <n v="501"/>
  </r>
  <r>
    <x v="2"/>
    <x v="10"/>
    <x v="5"/>
    <x v="32"/>
    <x v="4"/>
    <x v="1"/>
    <n v="72"/>
  </r>
  <r>
    <x v="2"/>
    <x v="10"/>
    <x v="5"/>
    <x v="32"/>
    <x v="4"/>
    <x v="2"/>
    <n v="186"/>
  </r>
  <r>
    <x v="2"/>
    <x v="10"/>
    <x v="5"/>
    <x v="32"/>
    <x v="4"/>
    <x v="3"/>
    <n v="30"/>
  </r>
  <r>
    <x v="2"/>
    <x v="10"/>
    <x v="5"/>
    <x v="32"/>
    <x v="5"/>
    <x v="0"/>
    <n v="535"/>
  </r>
  <r>
    <x v="2"/>
    <x v="10"/>
    <x v="5"/>
    <x v="32"/>
    <x v="5"/>
    <x v="1"/>
    <n v="244"/>
  </r>
  <r>
    <x v="2"/>
    <x v="10"/>
    <x v="5"/>
    <x v="32"/>
    <x v="5"/>
    <x v="2"/>
    <n v="29"/>
  </r>
  <r>
    <x v="2"/>
    <x v="10"/>
    <x v="5"/>
    <x v="32"/>
    <x v="5"/>
    <x v="3"/>
    <n v="138"/>
  </r>
  <r>
    <x v="3"/>
    <x v="0"/>
    <x v="6"/>
    <x v="33"/>
    <x v="0"/>
    <x v="0"/>
    <n v="143"/>
  </r>
  <r>
    <x v="3"/>
    <x v="0"/>
    <x v="6"/>
    <x v="33"/>
    <x v="0"/>
    <x v="1"/>
    <n v="136"/>
  </r>
  <r>
    <x v="3"/>
    <x v="0"/>
    <x v="6"/>
    <x v="33"/>
    <x v="0"/>
    <x v="2"/>
    <n v="117"/>
  </r>
  <r>
    <x v="3"/>
    <x v="0"/>
    <x v="6"/>
    <x v="33"/>
    <x v="0"/>
    <x v="3"/>
    <n v="176"/>
  </r>
  <r>
    <x v="3"/>
    <x v="0"/>
    <x v="6"/>
    <x v="33"/>
    <x v="1"/>
    <x v="0"/>
    <n v="96"/>
  </r>
  <r>
    <x v="3"/>
    <x v="0"/>
    <x v="6"/>
    <x v="33"/>
    <x v="1"/>
    <x v="1"/>
    <n v="197"/>
  </r>
  <r>
    <x v="3"/>
    <x v="0"/>
    <x v="6"/>
    <x v="33"/>
    <x v="1"/>
    <x v="2"/>
    <n v="180"/>
  </r>
  <r>
    <x v="3"/>
    <x v="0"/>
    <x v="6"/>
    <x v="33"/>
    <x v="1"/>
    <x v="3"/>
    <n v="127"/>
  </r>
  <r>
    <x v="3"/>
    <x v="0"/>
    <x v="6"/>
    <x v="33"/>
    <x v="2"/>
    <x v="0"/>
    <n v="71"/>
  </r>
  <r>
    <x v="3"/>
    <x v="0"/>
    <x v="6"/>
    <x v="33"/>
    <x v="2"/>
    <x v="1"/>
    <n v="132"/>
  </r>
  <r>
    <x v="3"/>
    <x v="0"/>
    <x v="6"/>
    <x v="33"/>
    <x v="2"/>
    <x v="2"/>
    <n v="181"/>
  </r>
  <r>
    <x v="3"/>
    <x v="0"/>
    <x v="6"/>
    <x v="33"/>
    <x v="2"/>
    <x v="3"/>
    <n v="195"/>
  </r>
  <r>
    <x v="3"/>
    <x v="0"/>
    <x v="6"/>
    <x v="33"/>
    <x v="3"/>
    <x v="0"/>
    <n v="193"/>
  </r>
  <r>
    <x v="3"/>
    <x v="0"/>
    <x v="6"/>
    <x v="33"/>
    <x v="3"/>
    <x v="1"/>
    <n v="100"/>
  </r>
  <r>
    <x v="3"/>
    <x v="0"/>
    <x v="6"/>
    <x v="33"/>
    <x v="3"/>
    <x v="2"/>
    <n v="157"/>
  </r>
  <r>
    <x v="3"/>
    <x v="0"/>
    <x v="6"/>
    <x v="33"/>
    <x v="3"/>
    <x v="3"/>
    <n v="150"/>
  </r>
  <r>
    <x v="3"/>
    <x v="0"/>
    <x v="6"/>
    <x v="33"/>
    <x v="4"/>
    <x v="0"/>
    <n v="501"/>
  </r>
  <r>
    <x v="3"/>
    <x v="0"/>
    <x v="6"/>
    <x v="33"/>
    <x v="4"/>
    <x v="1"/>
    <n v="72"/>
  </r>
  <r>
    <x v="3"/>
    <x v="0"/>
    <x v="6"/>
    <x v="33"/>
    <x v="4"/>
    <x v="2"/>
    <n v="186"/>
  </r>
  <r>
    <x v="3"/>
    <x v="0"/>
    <x v="6"/>
    <x v="33"/>
    <x v="4"/>
    <x v="3"/>
    <n v="30"/>
  </r>
  <r>
    <x v="3"/>
    <x v="0"/>
    <x v="6"/>
    <x v="33"/>
    <x v="5"/>
    <x v="0"/>
    <n v="535"/>
  </r>
  <r>
    <x v="3"/>
    <x v="0"/>
    <x v="6"/>
    <x v="33"/>
    <x v="5"/>
    <x v="1"/>
    <n v="244"/>
  </r>
  <r>
    <x v="3"/>
    <x v="0"/>
    <x v="6"/>
    <x v="33"/>
    <x v="5"/>
    <x v="2"/>
    <n v="29"/>
  </r>
  <r>
    <x v="3"/>
    <x v="0"/>
    <x v="6"/>
    <x v="33"/>
    <x v="5"/>
    <x v="3"/>
    <n v="138"/>
  </r>
  <r>
    <x v="3"/>
    <x v="1"/>
    <x v="6"/>
    <x v="34"/>
    <x v="0"/>
    <x v="0"/>
    <n v="143"/>
  </r>
  <r>
    <x v="3"/>
    <x v="1"/>
    <x v="6"/>
    <x v="34"/>
    <x v="0"/>
    <x v="1"/>
    <n v="67"/>
  </r>
  <r>
    <x v="3"/>
    <x v="1"/>
    <x v="6"/>
    <x v="34"/>
    <x v="0"/>
    <x v="2"/>
    <n v="117"/>
  </r>
  <r>
    <x v="3"/>
    <x v="1"/>
    <x v="6"/>
    <x v="34"/>
    <x v="0"/>
    <x v="3"/>
    <n v="176"/>
  </r>
  <r>
    <x v="3"/>
    <x v="1"/>
    <x v="6"/>
    <x v="34"/>
    <x v="1"/>
    <x v="0"/>
    <n v="96"/>
  </r>
  <r>
    <x v="3"/>
    <x v="1"/>
    <x v="6"/>
    <x v="34"/>
    <x v="1"/>
    <x v="1"/>
    <n v="197"/>
  </r>
  <r>
    <x v="3"/>
    <x v="1"/>
    <x v="6"/>
    <x v="34"/>
    <x v="1"/>
    <x v="2"/>
    <n v="180"/>
  </r>
  <r>
    <x v="3"/>
    <x v="1"/>
    <x v="6"/>
    <x v="34"/>
    <x v="1"/>
    <x v="3"/>
    <n v="127"/>
  </r>
  <r>
    <x v="3"/>
    <x v="1"/>
    <x v="6"/>
    <x v="34"/>
    <x v="2"/>
    <x v="0"/>
    <n v="71"/>
  </r>
  <r>
    <x v="3"/>
    <x v="1"/>
    <x v="6"/>
    <x v="34"/>
    <x v="2"/>
    <x v="1"/>
    <n v="132"/>
  </r>
  <r>
    <x v="3"/>
    <x v="1"/>
    <x v="6"/>
    <x v="34"/>
    <x v="2"/>
    <x v="2"/>
    <n v="181"/>
  </r>
  <r>
    <x v="3"/>
    <x v="1"/>
    <x v="6"/>
    <x v="34"/>
    <x v="2"/>
    <x v="3"/>
    <n v="195"/>
  </r>
  <r>
    <x v="3"/>
    <x v="1"/>
    <x v="6"/>
    <x v="34"/>
    <x v="3"/>
    <x v="0"/>
    <n v="193"/>
  </r>
  <r>
    <x v="3"/>
    <x v="1"/>
    <x v="6"/>
    <x v="34"/>
    <x v="3"/>
    <x v="1"/>
    <n v="100"/>
  </r>
  <r>
    <x v="3"/>
    <x v="1"/>
    <x v="6"/>
    <x v="34"/>
    <x v="3"/>
    <x v="2"/>
    <n v="157"/>
  </r>
  <r>
    <x v="3"/>
    <x v="1"/>
    <x v="6"/>
    <x v="34"/>
    <x v="3"/>
    <x v="3"/>
    <n v="150"/>
  </r>
  <r>
    <x v="3"/>
    <x v="1"/>
    <x v="6"/>
    <x v="34"/>
    <x v="4"/>
    <x v="0"/>
    <n v="501"/>
  </r>
  <r>
    <x v="3"/>
    <x v="1"/>
    <x v="6"/>
    <x v="34"/>
    <x v="4"/>
    <x v="1"/>
    <n v="69"/>
  </r>
  <r>
    <x v="3"/>
    <x v="1"/>
    <x v="6"/>
    <x v="34"/>
    <x v="4"/>
    <x v="2"/>
    <n v="186"/>
  </r>
  <r>
    <x v="3"/>
    <x v="1"/>
    <x v="6"/>
    <x v="34"/>
    <x v="4"/>
    <x v="3"/>
    <n v="30"/>
  </r>
  <r>
    <x v="3"/>
    <x v="1"/>
    <x v="6"/>
    <x v="34"/>
    <x v="5"/>
    <x v="0"/>
    <n v="535"/>
  </r>
  <r>
    <x v="3"/>
    <x v="1"/>
    <x v="6"/>
    <x v="34"/>
    <x v="5"/>
    <x v="1"/>
    <n v="244"/>
  </r>
  <r>
    <x v="3"/>
    <x v="1"/>
    <x v="6"/>
    <x v="34"/>
    <x v="5"/>
    <x v="2"/>
    <n v="29"/>
  </r>
  <r>
    <x v="3"/>
    <x v="1"/>
    <x v="6"/>
    <x v="34"/>
    <x v="5"/>
    <x v="3"/>
    <n v="138"/>
  </r>
  <r>
    <x v="3"/>
    <x v="2"/>
    <x v="6"/>
    <x v="35"/>
    <x v="0"/>
    <x v="0"/>
    <n v="0"/>
  </r>
  <r>
    <x v="3"/>
    <x v="2"/>
    <x v="6"/>
    <x v="35"/>
    <x v="0"/>
    <x v="1"/>
    <n v="147"/>
  </r>
  <r>
    <x v="3"/>
    <x v="2"/>
    <x v="6"/>
    <x v="35"/>
    <x v="0"/>
    <x v="2"/>
    <n v="166"/>
  </r>
  <r>
    <x v="3"/>
    <x v="2"/>
    <x v="6"/>
    <x v="35"/>
    <x v="0"/>
    <x v="3"/>
    <n v="190"/>
  </r>
  <r>
    <x v="3"/>
    <x v="2"/>
    <x v="6"/>
    <x v="35"/>
    <x v="1"/>
    <x v="0"/>
    <n v="0"/>
  </r>
  <r>
    <x v="3"/>
    <x v="2"/>
    <x v="6"/>
    <x v="35"/>
    <x v="1"/>
    <x v="1"/>
    <n v="200"/>
  </r>
  <r>
    <x v="3"/>
    <x v="2"/>
    <x v="6"/>
    <x v="35"/>
    <x v="1"/>
    <x v="2"/>
    <n v="200"/>
  </r>
  <r>
    <x v="3"/>
    <x v="2"/>
    <x v="6"/>
    <x v="35"/>
    <x v="1"/>
    <x v="3"/>
    <n v="200"/>
  </r>
  <r>
    <x v="3"/>
    <x v="2"/>
    <x v="6"/>
    <x v="35"/>
    <x v="2"/>
    <x v="0"/>
    <n v="0"/>
  </r>
  <r>
    <x v="3"/>
    <x v="2"/>
    <x v="6"/>
    <x v="35"/>
    <x v="2"/>
    <x v="1"/>
    <n v="185"/>
  </r>
  <r>
    <x v="3"/>
    <x v="2"/>
    <x v="6"/>
    <x v="35"/>
    <x v="2"/>
    <x v="2"/>
    <n v="196"/>
  </r>
  <r>
    <x v="3"/>
    <x v="2"/>
    <x v="6"/>
    <x v="35"/>
    <x v="2"/>
    <x v="3"/>
    <n v="198"/>
  </r>
  <r>
    <x v="3"/>
    <x v="2"/>
    <x v="6"/>
    <x v="35"/>
    <x v="3"/>
    <x v="0"/>
    <n v="0"/>
  </r>
  <r>
    <x v="3"/>
    <x v="2"/>
    <x v="6"/>
    <x v="35"/>
    <x v="3"/>
    <x v="1"/>
    <n v="200"/>
  </r>
  <r>
    <x v="3"/>
    <x v="2"/>
    <x v="6"/>
    <x v="35"/>
    <x v="3"/>
    <x v="2"/>
    <n v="200"/>
  </r>
  <r>
    <x v="3"/>
    <x v="2"/>
    <x v="6"/>
    <x v="35"/>
    <x v="3"/>
    <x v="3"/>
    <n v="200"/>
  </r>
  <r>
    <x v="3"/>
    <x v="2"/>
    <x v="6"/>
    <x v="35"/>
    <x v="4"/>
    <x v="0"/>
    <n v="156"/>
  </r>
  <r>
    <x v="3"/>
    <x v="2"/>
    <x v="6"/>
    <x v="35"/>
    <x v="4"/>
    <x v="1"/>
    <n v="293"/>
  </r>
  <r>
    <x v="3"/>
    <x v="2"/>
    <x v="6"/>
    <x v="35"/>
    <x v="4"/>
    <x v="2"/>
    <n v="236"/>
  </r>
  <r>
    <x v="3"/>
    <x v="2"/>
    <x v="6"/>
    <x v="35"/>
    <x v="4"/>
    <x v="3"/>
    <n v="30"/>
  </r>
  <r>
    <x v="3"/>
    <x v="2"/>
    <x v="6"/>
    <x v="35"/>
    <x v="5"/>
    <x v="0"/>
    <n v="246"/>
  </r>
  <r>
    <x v="3"/>
    <x v="2"/>
    <x v="6"/>
    <x v="35"/>
    <x v="5"/>
    <x v="1"/>
    <n v="300"/>
  </r>
  <r>
    <x v="3"/>
    <x v="2"/>
    <x v="6"/>
    <x v="35"/>
    <x v="5"/>
    <x v="2"/>
    <n v="200"/>
  </r>
  <r>
    <x v="3"/>
    <x v="2"/>
    <x v="6"/>
    <x v="35"/>
    <x v="5"/>
    <x v="3"/>
    <n v="200"/>
  </r>
  <r>
    <x v="3"/>
    <x v="3"/>
    <x v="6"/>
    <x v="36"/>
    <x v="0"/>
    <x v="0"/>
    <n v="0"/>
  </r>
  <r>
    <x v="3"/>
    <x v="3"/>
    <x v="6"/>
    <x v="36"/>
    <x v="0"/>
    <x v="1"/>
    <n v="124"/>
  </r>
  <r>
    <x v="3"/>
    <x v="3"/>
    <x v="6"/>
    <x v="36"/>
    <x v="0"/>
    <x v="2"/>
    <n v="166"/>
  </r>
  <r>
    <x v="3"/>
    <x v="3"/>
    <x v="6"/>
    <x v="36"/>
    <x v="0"/>
    <x v="3"/>
    <n v="190"/>
  </r>
  <r>
    <x v="3"/>
    <x v="3"/>
    <x v="6"/>
    <x v="36"/>
    <x v="1"/>
    <x v="0"/>
    <n v="0"/>
  </r>
  <r>
    <x v="3"/>
    <x v="3"/>
    <x v="6"/>
    <x v="36"/>
    <x v="1"/>
    <x v="1"/>
    <n v="200"/>
  </r>
  <r>
    <x v="3"/>
    <x v="3"/>
    <x v="6"/>
    <x v="36"/>
    <x v="1"/>
    <x v="2"/>
    <n v="200"/>
  </r>
  <r>
    <x v="3"/>
    <x v="3"/>
    <x v="6"/>
    <x v="36"/>
    <x v="1"/>
    <x v="3"/>
    <n v="160"/>
  </r>
  <r>
    <x v="3"/>
    <x v="3"/>
    <x v="6"/>
    <x v="36"/>
    <x v="2"/>
    <x v="0"/>
    <n v="0"/>
  </r>
  <r>
    <x v="3"/>
    <x v="3"/>
    <x v="6"/>
    <x v="36"/>
    <x v="2"/>
    <x v="1"/>
    <n v="185"/>
  </r>
  <r>
    <x v="3"/>
    <x v="3"/>
    <x v="6"/>
    <x v="36"/>
    <x v="2"/>
    <x v="2"/>
    <n v="196"/>
  </r>
  <r>
    <x v="3"/>
    <x v="3"/>
    <x v="6"/>
    <x v="36"/>
    <x v="2"/>
    <x v="3"/>
    <n v="198"/>
  </r>
  <r>
    <x v="3"/>
    <x v="3"/>
    <x v="6"/>
    <x v="36"/>
    <x v="3"/>
    <x v="0"/>
    <n v="0"/>
  </r>
  <r>
    <x v="3"/>
    <x v="3"/>
    <x v="6"/>
    <x v="36"/>
    <x v="3"/>
    <x v="1"/>
    <n v="200"/>
  </r>
  <r>
    <x v="3"/>
    <x v="3"/>
    <x v="6"/>
    <x v="36"/>
    <x v="3"/>
    <x v="2"/>
    <n v="200"/>
  </r>
  <r>
    <x v="3"/>
    <x v="3"/>
    <x v="6"/>
    <x v="36"/>
    <x v="3"/>
    <x v="3"/>
    <n v="200"/>
  </r>
  <r>
    <x v="3"/>
    <x v="3"/>
    <x v="6"/>
    <x v="36"/>
    <x v="4"/>
    <x v="0"/>
    <n v="156"/>
  </r>
  <r>
    <x v="3"/>
    <x v="3"/>
    <x v="6"/>
    <x v="36"/>
    <x v="4"/>
    <x v="1"/>
    <n v="293"/>
  </r>
  <r>
    <x v="3"/>
    <x v="3"/>
    <x v="6"/>
    <x v="36"/>
    <x v="4"/>
    <x v="2"/>
    <n v="236"/>
  </r>
  <r>
    <x v="3"/>
    <x v="3"/>
    <x v="6"/>
    <x v="36"/>
    <x v="4"/>
    <x v="3"/>
    <n v="30"/>
  </r>
  <r>
    <x v="3"/>
    <x v="3"/>
    <x v="6"/>
    <x v="36"/>
    <x v="5"/>
    <x v="0"/>
    <n v="246"/>
  </r>
  <r>
    <x v="3"/>
    <x v="3"/>
    <x v="6"/>
    <x v="36"/>
    <x v="5"/>
    <x v="1"/>
    <n v="246"/>
  </r>
  <r>
    <x v="3"/>
    <x v="3"/>
    <x v="6"/>
    <x v="36"/>
    <x v="5"/>
    <x v="2"/>
    <n v="200"/>
  </r>
  <r>
    <x v="3"/>
    <x v="3"/>
    <x v="6"/>
    <x v="36"/>
    <x v="5"/>
    <x v="3"/>
    <n v="200"/>
  </r>
  <r>
    <x v="3"/>
    <x v="4"/>
    <x v="6"/>
    <x v="37"/>
    <x v="0"/>
    <x v="0"/>
    <n v="0"/>
  </r>
  <r>
    <x v="3"/>
    <x v="4"/>
    <x v="6"/>
    <x v="37"/>
    <x v="0"/>
    <x v="1"/>
    <n v="124"/>
  </r>
  <r>
    <x v="3"/>
    <x v="4"/>
    <x v="6"/>
    <x v="37"/>
    <x v="0"/>
    <x v="2"/>
    <n v="166"/>
  </r>
  <r>
    <x v="3"/>
    <x v="4"/>
    <x v="6"/>
    <x v="37"/>
    <x v="0"/>
    <x v="3"/>
    <n v="190"/>
  </r>
  <r>
    <x v="3"/>
    <x v="4"/>
    <x v="6"/>
    <x v="37"/>
    <x v="1"/>
    <x v="0"/>
    <n v="0"/>
  </r>
  <r>
    <x v="3"/>
    <x v="4"/>
    <x v="6"/>
    <x v="37"/>
    <x v="1"/>
    <x v="1"/>
    <n v="200"/>
  </r>
  <r>
    <x v="3"/>
    <x v="4"/>
    <x v="6"/>
    <x v="37"/>
    <x v="1"/>
    <x v="2"/>
    <n v="200"/>
  </r>
  <r>
    <x v="3"/>
    <x v="4"/>
    <x v="6"/>
    <x v="37"/>
    <x v="1"/>
    <x v="3"/>
    <n v="160"/>
  </r>
  <r>
    <x v="3"/>
    <x v="4"/>
    <x v="6"/>
    <x v="37"/>
    <x v="2"/>
    <x v="0"/>
    <n v="0"/>
  </r>
  <r>
    <x v="3"/>
    <x v="4"/>
    <x v="6"/>
    <x v="37"/>
    <x v="2"/>
    <x v="1"/>
    <n v="185"/>
  </r>
  <r>
    <x v="3"/>
    <x v="4"/>
    <x v="6"/>
    <x v="37"/>
    <x v="2"/>
    <x v="2"/>
    <n v="196"/>
  </r>
  <r>
    <x v="3"/>
    <x v="4"/>
    <x v="6"/>
    <x v="37"/>
    <x v="2"/>
    <x v="3"/>
    <n v="198"/>
  </r>
  <r>
    <x v="3"/>
    <x v="4"/>
    <x v="6"/>
    <x v="37"/>
    <x v="3"/>
    <x v="0"/>
    <n v="0"/>
  </r>
  <r>
    <x v="3"/>
    <x v="4"/>
    <x v="6"/>
    <x v="37"/>
    <x v="3"/>
    <x v="1"/>
    <n v="200"/>
  </r>
  <r>
    <x v="3"/>
    <x v="4"/>
    <x v="6"/>
    <x v="37"/>
    <x v="3"/>
    <x v="2"/>
    <n v="159"/>
  </r>
  <r>
    <x v="3"/>
    <x v="4"/>
    <x v="6"/>
    <x v="37"/>
    <x v="3"/>
    <x v="3"/>
    <n v="200"/>
  </r>
  <r>
    <x v="3"/>
    <x v="4"/>
    <x v="6"/>
    <x v="37"/>
    <x v="4"/>
    <x v="0"/>
    <n v="156"/>
  </r>
  <r>
    <x v="3"/>
    <x v="4"/>
    <x v="6"/>
    <x v="37"/>
    <x v="4"/>
    <x v="1"/>
    <n v="224"/>
  </r>
  <r>
    <x v="3"/>
    <x v="4"/>
    <x v="6"/>
    <x v="37"/>
    <x v="4"/>
    <x v="2"/>
    <n v="236"/>
  </r>
  <r>
    <x v="3"/>
    <x v="4"/>
    <x v="6"/>
    <x v="37"/>
    <x v="4"/>
    <x v="3"/>
    <n v="30"/>
  </r>
  <r>
    <x v="3"/>
    <x v="4"/>
    <x v="6"/>
    <x v="37"/>
    <x v="5"/>
    <x v="0"/>
    <n v="246"/>
  </r>
  <r>
    <x v="3"/>
    <x v="4"/>
    <x v="6"/>
    <x v="37"/>
    <x v="5"/>
    <x v="1"/>
    <n v="195"/>
  </r>
  <r>
    <x v="3"/>
    <x v="4"/>
    <x v="6"/>
    <x v="37"/>
    <x v="5"/>
    <x v="2"/>
    <n v="161"/>
  </r>
  <r>
    <x v="3"/>
    <x v="4"/>
    <x v="6"/>
    <x v="37"/>
    <x v="5"/>
    <x v="3"/>
    <n v="200"/>
  </r>
  <r>
    <x v="3"/>
    <x v="5"/>
    <x v="7"/>
    <x v="38"/>
    <x v="0"/>
    <x v="0"/>
    <n v="0"/>
  </r>
  <r>
    <x v="3"/>
    <x v="5"/>
    <x v="7"/>
    <x v="38"/>
    <x v="0"/>
    <x v="1"/>
    <n v="124"/>
  </r>
  <r>
    <x v="3"/>
    <x v="5"/>
    <x v="7"/>
    <x v="38"/>
    <x v="0"/>
    <x v="2"/>
    <n v="166"/>
  </r>
  <r>
    <x v="3"/>
    <x v="5"/>
    <x v="7"/>
    <x v="38"/>
    <x v="0"/>
    <x v="3"/>
    <n v="190"/>
  </r>
  <r>
    <x v="3"/>
    <x v="5"/>
    <x v="7"/>
    <x v="38"/>
    <x v="1"/>
    <x v="0"/>
    <n v="0"/>
  </r>
  <r>
    <x v="3"/>
    <x v="5"/>
    <x v="7"/>
    <x v="38"/>
    <x v="1"/>
    <x v="1"/>
    <n v="200"/>
  </r>
  <r>
    <x v="3"/>
    <x v="5"/>
    <x v="7"/>
    <x v="38"/>
    <x v="1"/>
    <x v="2"/>
    <n v="200"/>
  </r>
  <r>
    <x v="3"/>
    <x v="5"/>
    <x v="7"/>
    <x v="38"/>
    <x v="1"/>
    <x v="3"/>
    <n v="136"/>
  </r>
  <r>
    <x v="3"/>
    <x v="5"/>
    <x v="7"/>
    <x v="38"/>
    <x v="2"/>
    <x v="0"/>
    <n v="0"/>
  </r>
  <r>
    <x v="3"/>
    <x v="5"/>
    <x v="7"/>
    <x v="38"/>
    <x v="2"/>
    <x v="1"/>
    <n v="185"/>
  </r>
  <r>
    <x v="3"/>
    <x v="5"/>
    <x v="7"/>
    <x v="38"/>
    <x v="2"/>
    <x v="2"/>
    <n v="196"/>
  </r>
  <r>
    <x v="3"/>
    <x v="5"/>
    <x v="7"/>
    <x v="38"/>
    <x v="2"/>
    <x v="3"/>
    <n v="198"/>
  </r>
  <r>
    <x v="3"/>
    <x v="5"/>
    <x v="7"/>
    <x v="38"/>
    <x v="3"/>
    <x v="0"/>
    <n v="0"/>
  </r>
  <r>
    <x v="3"/>
    <x v="5"/>
    <x v="7"/>
    <x v="38"/>
    <x v="3"/>
    <x v="1"/>
    <n v="200"/>
  </r>
  <r>
    <x v="3"/>
    <x v="5"/>
    <x v="7"/>
    <x v="38"/>
    <x v="3"/>
    <x v="2"/>
    <n v="119"/>
  </r>
  <r>
    <x v="3"/>
    <x v="5"/>
    <x v="7"/>
    <x v="38"/>
    <x v="3"/>
    <x v="3"/>
    <n v="200"/>
  </r>
  <r>
    <x v="3"/>
    <x v="5"/>
    <x v="7"/>
    <x v="38"/>
    <x v="4"/>
    <x v="0"/>
    <n v="16"/>
  </r>
  <r>
    <x v="3"/>
    <x v="5"/>
    <x v="7"/>
    <x v="38"/>
    <x v="4"/>
    <x v="1"/>
    <n v="300"/>
  </r>
  <r>
    <x v="3"/>
    <x v="5"/>
    <x v="7"/>
    <x v="38"/>
    <x v="4"/>
    <x v="2"/>
    <n v="300"/>
  </r>
  <r>
    <x v="3"/>
    <x v="5"/>
    <x v="7"/>
    <x v="38"/>
    <x v="4"/>
    <x v="3"/>
    <n v="30"/>
  </r>
  <r>
    <x v="3"/>
    <x v="5"/>
    <x v="7"/>
    <x v="38"/>
    <x v="5"/>
    <x v="0"/>
    <n v="102"/>
  </r>
  <r>
    <x v="3"/>
    <x v="5"/>
    <x v="7"/>
    <x v="38"/>
    <x v="5"/>
    <x v="1"/>
    <n v="256"/>
  </r>
  <r>
    <x v="3"/>
    <x v="5"/>
    <x v="7"/>
    <x v="38"/>
    <x v="5"/>
    <x v="2"/>
    <n v="150"/>
  </r>
  <r>
    <x v="3"/>
    <x v="5"/>
    <x v="7"/>
    <x v="38"/>
    <x v="5"/>
    <x v="3"/>
    <n v="200"/>
  </r>
  <r>
    <x v="3"/>
    <x v="6"/>
    <x v="7"/>
    <x v="39"/>
    <x v="0"/>
    <x v="0"/>
    <n v="0"/>
  </r>
  <r>
    <x v="3"/>
    <x v="6"/>
    <x v="7"/>
    <x v="39"/>
    <x v="0"/>
    <x v="1"/>
    <n v="99"/>
  </r>
  <r>
    <x v="3"/>
    <x v="6"/>
    <x v="7"/>
    <x v="39"/>
    <x v="0"/>
    <x v="2"/>
    <n v="166"/>
  </r>
  <r>
    <x v="3"/>
    <x v="6"/>
    <x v="7"/>
    <x v="39"/>
    <x v="0"/>
    <x v="3"/>
    <n v="190"/>
  </r>
  <r>
    <x v="3"/>
    <x v="6"/>
    <x v="7"/>
    <x v="39"/>
    <x v="1"/>
    <x v="0"/>
    <n v="0"/>
  </r>
  <r>
    <x v="3"/>
    <x v="6"/>
    <x v="7"/>
    <x v="39"/>
    <x v="1"/>
    <x v="1"/>
    <n v="200"/>
  </r>
  <r>
    <x v="3"/>
    <x v="6"/>
    <x v="7"/>
    <x v="39"/>
    <x v="1"/>
    <x v="2"/>
    <n v="200"/>
  </r>
  <r>
    <x v="3"/>
    <x v="6"/>
    <x v="7"/>
    <x v="39"/>
    <x v="1"/>
    <x v="3"/>
    <n v="118"/>
  </r>
  <r>
    <x v="3"/>
    <x v="6"/>
    <x v="7"/>
    <x v="39"/>
    <x v="2"/>
    <x v="0"/>
    <n v="0"/>
  </r>
  <r>
    <x v="3"/>
    <x v="6"/>
    <x v="7"/>
    <x v="39"/>
    <x v="2"/>
    <x v="1"/>
    <n v="185"/>
  </r>
  <r>
    <x v="3"/>
    <x v="6"/>
    <x v="7"/>
    <x v="39"/>
    <x v="2"/>
    <x v="2"/>
    <n v="196"/>
  </r>
  <r>
    <x v="3"/>
    <x v="6"/>
    <x v="7"/>
    <x v="39"/>
    <x v="2"/>
    <x v="3"/>
    <n v="198"/>
  </r>
  <r>
    <x v="3"/>
    <x v="6"/>
    <x v="7"/>
    <x v="39"/>
    <x v="3"/>
    <x v="0"/>
    <n v="0"/>
  </r>
  <r>
    <x v="3"/>
    <x v="6"/>
    <x v="7"/>
    <x v="39"/>
    <x v="3"/>
    <x v="1"/>
    <n v="200"/>
  </r>
  <r>
    <x v="3"/>
    <x v="6"/>
    <x v="7"/>
    <x v="39"/>
    <x v="3"/>
    <x v="2"/>
    <n v="119"/>
  </r>
  <r>
    <x v="3"/>
    <x v="6"/>
    <x v="7"/>
    <x v="39"/>
    <x v="3"/>
    <x v="3"/>
    <n v="172"/>
  </r>
  <r>
    <x v="3"/>
    <x v="6"/>
    <x v="7"/>
    <x v="39"/>
    <x v="4"/>
    <x v="0"/>
    <n v="16"/>
  </r>
  <r>
    <x v="3"/>
    <x v="6"/>
    <x v="7"/>
    <x v="39"/>
    <x v="4"/>
    <x v="1"/>
    <n v="300"/>
  </r>
  <r>
    <x v="3"/>
    <x v="6"/>
    <x v="7"/>
    <x v="39"/>
    <x v="4"/>
    <x v="2"/>
    <n v="300"/>
  </r>
  <r>
    <x v="3"/>
    <x v="6"/>
    <x v="7"/>
    <x v="39"/>
    <x v="4"/>
    <x v="3"/>
    <n v="30"/>
  </r>
  <r>
    <x v="3"/>
    <x v="6"/>
    <x v="7"/>
    <x v="39"/>
    <x v="5"/>
    <x v="0"/>
    <n v="102"/>
  </r>
  <r>
    <x v="3"/>
    <x v="6"/>
    <x v="7"/>
    <x v="39"/>
    <x v="5"/>
    <x v="1"/>
    <n v="186"/>
  </r>
  <r>
    <x v="3"/>
    <x v="6"/>
    <x v="7"/>
    <x v="39"/>
    <x v="5"/>
    <x v="2"/>
    <n v="150"/>
  </r>
  <r>
    <x v="3"/>
    <x v="6"/>
    <x v="7"/>
    <x v="39"/>
    <x v="5"/>
    <x v="3"/>
    <n v="200"/>
  </r>
  <r>
    <x v="3"/>
    <x v="7"/>
    <x v="7"/>
    <x v="40"/>
    <x v="0"/>
    <x v="0"/>
    <n v="0"/>
  </r>
  <r>
    <x v="3"/>
    <x v="7"/>
    <x v="7"/>
    <x v="40"/>
    <x v="0"/>
    <x v="1"/>
    <n v="67"/>
  </r>
  <r>
    <x v="3"/>
    <x v="7"/>
    <x v="7"/>
    <x v="40"/>
    <x v="0"/>
    <x v="2"/>
    <n v="166"/>
  </r>
  <r>
    <x v="3"/>
    <x v="7"/>
    <x v="7"/>
    <x v="40"/>
    <x v="0"/>
    <x v="3"/>
    <n v="165"/>
  </r>
  <r>
    <x v="3"/>
    <x v="7"/>
    <x v="7"/>
    <x v="40"/>
    <x v="1"/>
    <x v="0"/>
    <n v="0"/>
  </r>
  <r>
    <x v="3"/>
    <x v="7"/>
    <x v="7"/>
    <x v="40"/>
    <x v="1"/>
    <x v="1"/>
    <n v="200"/>
  </r>
  <r>
    <x v="3"/>
    <x v="7"/>
    <x v="7"/>
    <x v="40"/>
    <x v="1"/>
    <x v="2"/>
    <n v="200"/>
  </r>
  <r>
    <x v="3"/>
    <x v="7"/>
    <x v="7"/>
    <x v="40"/>
    <x v="1"/>
    <x v="3"/>
    <n v="118"/>
  </r>
  <r>
    <x v="3"/>
    <x v="7"/>
    <x v="7"/>
    <x v="40"/>
    <x v="2"/>
    <x v="0"/>
    <n v="0"/>
  </r>
  <r>
    <x v="3"/>
    <x v="7"/>
    <x v="7"/>
    <x v="40"/>
    <x v="2"/>
    <x v="1"/>
    <n v="161"/>
  </r>
  <r>
    <x v="3"/>
    <x v="7"/>
    <x v="7"/>
    <x v="40"/>
    <x v="2"/>
    <x v="2"/>
    <n v="168"/>
  </r>
  <r>
    <x v="3"/>
    <x v="7"/>
    <x v="7"/>
    <x v="40"/>
    <x v="2"/>
    <x v="3"/>
    <n v="198"/>
  </r>
  <r>
    <x v="3"/>
    <x v="7"/>
    <x v="7"/>
    <x v="40"/>
    <x v="3"/>
    <x v="0"/>
    <n v="0"/>
  </r>
  <r>
    <x v="3"/>
    <x v="7"/>
    <x v="7"/>
    <x v="40"/>
    <x v="3"/>
    <x v="1"/>
    <n v="200"/>
  </r>
  <r>
    <x v="3"/>
    <x v="7"/>
    <x v="7"/>
    <x v="40"/>
    <x v="3"/>
    <x v="2"/>
    <n v="119"/>
  </r>
  <r>
    <x v="3"/>
    <x v="7"/>
    <x v="7"/>
    <x v="40"/>
    <x v="3"/>
    <x v="3"/>
    <n v="172"/>
  </r>
  <r>
    <x v="3"/>
    <x v="7"/>
    <x v="7"/>
    <x v="40"/>
    <x v="4"/>
    <x v="0"/>
    <n v="16"/>
  </r>
  <r>
    <x v="3"/>
    <x v="7"/>
    <x v="7"/>
    <x v="40"/>
    <x v="4"/>
    <x v="1"/>
    <n v="255"/>
  </r>
  <r>
    <x v="3"/>
    <x v="7"/>
    <x v="7"/>
    <x v="40"/>
    <x v="4"/>
    <x v="2"/>
    <n v="300"/>
  </r>
  <r>
    <x v="3"/>
    <x v="7"/>
    <x v="7"/>
    <x v="40"/>
    <x v="4"/>
    <x v="3"/>
    <n v="30"/>
  </r>
  <r>
    <x v="3"/>
    <x v="7"/>
    <x v="7"/>
    <x v="40"/>
    <x v="5"/>
    <x v="0"/>
    <n v="102"/>
  </r>
  <r>
    <x v="3"/>
    <x v="7"/>
    <x v="7"/>
    <x v="40"/>
    <x v="5"/>
    <x v="1"/>
    <n v="75"/>
  </r>
  <r>
    <x v="3"/>
    <x v="7"/>
    <x v="7"/>
    <x v="40"/>
    <x v="5"/>
    <x v="2"/>
    <n v="111"/>
  </r>
  <r>
    <x v="3"/>
    <x v="7"/>
    <x v="7"/>
    <x v="40"/>
    <x v="5"/>
    <x v="3"/>
    <n v="200"/>
  </r>
  <r>
    <x v="3"/>
    <x v="8"/>
    <x v="7"/>
    <x v="41"/>
    <x v="0"/>
    <x v="0"/>
    <n v="202"/>
  </r>
  <r>
    <x v="3"/>
    <x v="8"/>
    <x v="7"/>
    <x v="41"/>
    <x v="0"/>
    <x v="1"/>
    <n v="67"/>
  </r>
  <r>
    <x v="3"/>
    <x v="8"/>
    <x v="7"/>
    <x v="41"/>
    <x v="0"/>
    <x v="2"/>
    <n v="139"/>
  </r>
  <r>
    <x v="3"/>
    <x v="8"/>
    <x v="7"/>
    <x v="41"/>
    <x v="0"/>
    <x v="3"/>
    <n v="134"/>
  </r>
  <r>
    <x v="3"/>
    <x v="8"/>
    <x v="7"/>
    <x v="41"/>
    <x v="1"/>
    <x v="0"/>
    <n v="82"/>
  </r>
  <r>
    <x v="3"/>
    <x v="8"/>
    <x v="7"/>
    <x v="41"/>
    <x v="1"/>
    <x v="1"/>
    <n v="200"/>
  </r>
  <r>
    <x v="3"/>
    <x v="8"/>
    <x v="7"/>
    <x v="41"/>
    <x v="1"/>
    <x v="2"/>
    <n v="200"/>
  </r>
  <r>
    <x v="3"/>
    <x v="8"/>
    <x v="7"/>
    <x v="41"/>
    <x v="1"/>
    <x v="3"/>
    <n v="94"/>
  </r>
  <r>
    <x v="3"/>
    <x v="8"/>
    <x v="7"/>
    <x v="41"/>
    <x v="2"/>
    <x v="0"/>
    <n v="73"/>
  </r>
  <r>
    <x v="3"/>
    <x v="8"/>
    <x v="7"/>
    <x v="41"/>
    <x v="2"/>
    <x v="1"/>
    <n v="161"/>
  </r>
  <r>
    <x v="3"/>
    <x v="8"/>
    <x v="7"/>
    <x v="41"/>
    <x v="2"/>
    <x v="2"/>
    <n v="145"/>
  </r>
  <r>
    <x v="3"/>
    <x v="8"/>
    <x v="7"/>
    <x v="41"/>
    <x v="2"/>
    <x v="3"/>
    <n v="198"/>
  </r>
  <r>
    <x v="3"/>
    <x v="8"/>
    <x v="7"/>
    <x v="41"/>
    <x v="3"/>
    <x v="0"/>
    <n v="109"/>
  </r>
  <r>
    <x v="3"/>
    <x v="8"/>
    <x v="7"/>
    <x v="41"/>
    <x v="3"/>
    <x v="1"/>
    <n v="200"/>
  </r>
  <r>
    <x v="3"/>
    <x v="8"/>
    <x v="7"/>
    <x v="41"/>
    <x v="3"/>
    <x v="2"/>
    <n v="88"/>
  </r>
  <r>
    <x v="3"/>
    <x v="8"/>
    <x v="7"/>
    <x v="41"/>
    <x v="3"/>
    <x v="3"/>
    <n v="172"/>
  </r>
  <r>
    <x v="3"/>
    <x v="8"/>
    <x v="7"/>
    <x v="41"/>
    <x v="4"/>
    <x v="0"/>
    <n v="399"/>
  </r>
  <r>
    <x v="3"/>
    <x v="8"/>
    <x v="7"/>
    <x v="41"/>
    <x v="4"/>
    <x v="1"/>
    <n v="271"/>
  </r>
  <r>
    <x v="3"/>
    <x v="8"/>
    <x v="7"/>
    <x v="41"/>
    <x v="4"/>
    <x v="2"/>
    <n v="300"/>
  </r>
  <r>
    <x v="3"/>
    <x v="8"/>
    <x v="7"/>
    <x v="41"/>
    <x v="4"/>
    <x v="3"/>
    <n v="30"/>
  </r>
  <r>
    <x v="3"/>
    <x v="8"/>
    <x v="7"/>
    <x v="41"/>
    <x v="5"/>
    <x v="0"/>
    <n v="512"/>
  </r>
  <r>
    <x v="3"/>
    <x v="8"/>
    <x v="7"/>
    <x v="41"/>
    <x v="5"/>
    <x v="1"/>
    <n v="149"/>
  </r>
  <r>
    <x v="3"/>
    <x v="8"/>
    <x v="7"/>
    <x v="41"/>
    <x v="5"/>
    <x v="2"/>
    <n v="139"/>
  </r>
  <r>
    <x v="3"/>
    <x v="8"/>
    <x v="7"/>
    <x v="41"/>
    <x v="5"/>
    <x v="3"/>
    <n v="200"/>
  </r>
  <r>
    <x v="3"/>
    <x v="9"/>
    <x v="7"/>
    <x v="42"/>
    <x v="0"/>
    <x v="0"/>
    <n v="202"/>
  </r>
  <r>
    <x v="3"/>
    <x v="9"/>
    <x v="7"/>
    <x v="42"/>
    <x v="0"/>
    <x v="1"/>
    <n v="67"/>
  </r>
  <r>
    <x v="3"/>
    <x v="9"/>
    <x v="7"/>
    <x v="42"/>
    <x v="0"/>
    <x v="2"/>
    <n v="139"/>
  </r>
  <r>
    <x v="3"/>
    <x v="9"/>
    <x v="7"/>
    <x v="42"/>
    <x v="0"/>
    <x v="3"/>
    <n v="134"/>
  </r>
  <r>
    <x v="3"/>
    <x v="9"/>
    <x v="7"/>
    <x v="42"/>
    <x v="1"/>
    <x v="0"/>
    <n v="82"/>
  </r>
  <r>
    <x v="3"/>
    <x v="9"/>
    <x v="7"/>
    <x v="42"/>
    <x v="1"/>
    <x v="1"/>
    <n v="200"/>
  </r>
  <r>
    <x v="3"/>
    <x v="9"/>
    <x v="7"/>
    <x v="42"/>
    <x v="1"/>
    <x v="2"/>
    <n v="200"/>
  </r>
  <r>
    <x v="3"/>
    <x v="9"/>
    <x v="7"/>
    <x v="42"/>
    <x v="1"/>
    <x v="3"/>
    <n v="94"/>
  </r>
  <r>
    <x v="3"/>
    <x v="9"/>
    <x v="7"/>
    <x v="42"/>
    <x v="2"/>
    <x v="0"/>
    <n v="73"/>
  </r>
  <r>
    <x v="3"/>
    <x v="9"/>
    <x v="7"/>
    <x v="42"/>
    <x v="2"/>
    <x v="1"/>
    <n v="161"/>
  </r>
  <r>
    <x v="3"/>
    <x v="9"/>
    <x v="7"/>
    <x v="42"/>
    <x v="2"/>
    <x v="2"/>
    <n v="145"/>
  </r>
  <r>
    <x v="3"/>
    <x v="9"/>
    <x v="7"/>
    <x v="42"/>
    <x v="2"/>
    <x v="3"/>
    <n v="198"/>
  </r>
  <r>
    <x v="3"/>
    <x v="9"/>
    <x v="7"/>
    <x v="42"/>
    <x v="3"/>
    <x v="0"/>
    <n v="109"/>
  </r>
  <r>
    <x v="3"/>
    <x v="9"/>
    <x v="7"/>
    <x v="42"/>
    <x v="3"/>
    <x v="1"/>
    <n v="200"/>
  </r>
  <r>
    <x v="3"/>
    <x v="9"/>
    <x v="7"/>
    <x v="42"/>
    <x v="3"/>
    <x v="2"/>
    <n v="88"/>
  </r>
  <r>
    <x v="3"/>
    <x v="9"/>
    <x v="7"/>
    <x v="42"/>
    <x v="3"/>
    <x v="3"/>
    <n v="172"/>
  </r>
  <r>
    <x v="3"/>
    <x v="9"/>
    <x v="7"/>
    <x v="42"/>
    <x v="4"/>
    <x v="0"/>
    <n v="399"/>
  </r>
  <r>
    <x v="3"/>
    <x v="9"/>
    <x v="7"/>
    <x v="42"/>
    <x v="4"/>
    <x v="1"/>
    <n v="271"/>
  </r>
  <r>
    <x v="3"/>
    <x v="9"/>
    <x v="7"/>
    <x v="42"/>
    <x v="4"/>
    <x v="2"/>
    <n v="300"/>
  </r>
  <r>
    <x v="3"/>
    <x v="9"/>
    <x v="7"/>
    <x v="42"/>
    <x v="4"/>
    <x v="3"/>
    <n v="30"/>
  </r>
  <r>
    <x v="3"/>
    <x v="9"/>
    <x v="7"/>
    <x v="42"/>
    <x v="5"/>
    <x v="0"/>
    <n v="512"/>
  </r>
  <r>
    <x v="3"/>
    <x v="9"/>
    <x v="7"/>
    <x v="42"/>
    <x v="5"/>
    <x v="1"/>
    <n v="149"/>
  </r>
  <r>
    <x v="3"/>
    <x v="9"/>
    <x v="7"/>
    <x v="42"/>
    <x v="5"/>
    <x v="2"/>
    <n v="89"/>
  </r>
  <r>
    <x v="3"/>
    <x v="9"/>
    <x v="7"/>
    <x v="42"/>
    <x v="5"/>
    <x v="3"/>
    <n v="200"/>
  </r>
  <r>
    <x v="3"/>
    <x v="10"/>
    <x v="7"/>
    <x v="43"/>
    <x v="0"/>
    <x v="0"/>
    <n v="202"/>
  </r>
  <r>
    <x v="3"/>
    <x v="10"/>
    <x v="7"/>
    <x v="43"/>
    <x v="0"/>
    <x v="1"/>
    <n v="67"/>
  </r>
  <r>
    <x v="3"/>
    <x v="10"/>
    <x v="7"/>
    <x v="43"/>
    <x v="0"/>
    <x v="2"/>
    <n v="112"/>
  </r>
  <r>
    <x v="3"/>
    <x v="10"/>
    <x v="7"/>
    <x v="43"/>
    <x v="0"/>
    <x v="3"/>
    <n v="134"/>
  </r>
  <r>
    <x v="3"/>
    <x v="10"/>
    <x v="7"/>
    <x v="43"/>
    <x v="1"/>
    <x v="0"/>
    <n v="82"/>
  </r>
  <r>
    <x v="3"/>
    <x v="10"/>
    <x v="7"/>
    <x v="43"/>
    <x v="1"/>
    <x v="1"/>
    <n v="200"/>
  </r>
  <r>
    <x v="3"/>
    <x v="10"/>
    <x v="7"/>
    <x v="43"/>
    <x v="1"/>
    <x v="2"/>
    <n v="200"/>
  </r>
  <r>
    <x v="3"/>
    <x v="10"/>
    <x v="7"/>
    <x v="43"/>
    <x v="1"/>
    <x v="3"/>
    <n v="94"/>
  </r>
  <r>
    <x v="3"/>
    <x v="10"/>
    <x v="7"/>
    <x v="43"/>
    <x v="2"/>
    <x v="0"/>
    <n v="73"/>
  </r>
  <r>
    <x v="3"/>
    <x v="10"/>
    <x v="7"/>
    <x v="43"/>
    <x v="2"/>
    <x v="1"/>
    <n v="161"/>
  </r>
  <r>
    <x v="3"/>
    <x v="10"/>
    <x v="7"/>
    <x v="43"/>
    <x v="2"/>
    <x v="2"/>
    <n v="145"/>
  </r>
  <r>
    <x v="3"/>
    <x v="10"/>
    <x v="7"/>
    <x v="43"/>
    <x v="2"/>
    <x v="3"/>
    <n v="198"/>
  </r>
  <r>
    <x v="3"/>
    <x v="10"/>
    <x v="7"/>
    <x v="43"/>
    <x v="3"/>
    <x v="0"/>
    <n v="109"/>
  </r>
  <r>
    <x v="3"/>
    <x v="10"/>
    <x v="7"/>
    <x v="43"/>
    <x v="3"/>
    <x v="1"/>
    <n v="200"/>
  </r>
  <r>
    <x v="3"/>
    <x v="10"/>
    <x v="7"/>
    <x v="43"/>
    <x v="3"/>
    <x v="2"/>
    <n v="61"/>
  </r>
  <r>
    <x v="3"/>
    <x v="10"/>
    <x v="7"/>
    <x v="43"/>
    <x v="3"/>
    <x v="3"/>
    <n v="172"/>
  </r>
  <r>
    <x v="3"/>
    <x v="10"/>
    <x v="7"/>
    <x v="43"/>
    <x v="4"/>
    <x v="0"/>
    <n v="399"/>
  </r>
  <r>
    <x v="3"/>
    <x v="10"/>
    <x v="7"/>
    <x v="43"/>
    <x v="4"/>
    <x v="1"/>
    <n v="271"/>
  </r>
  <r>
    <x v="3"/>
    <x v="10"/>
    <x v="7"/>
    <x v="43"/>
    <x v="4"/>
    <x v="2"/>
    <n v="300"/>
  </r>
  <r>
    <x v="3"/>
    <x v="10"/>
    <x v="7"/>
    <x v="43"/>
    <x v="4"/>
    <x v="3"/>
    <n v="30"/>
  </r>
  <r>
    <x v="3"/>
    <x v="10"/>
    <x v="7"/>
    <x v="43"/>
    <x v="5"/>
    <x v="0"/>
    <n v="512"/>
  </r>
  <r>
    <x v="3"/>
    <x v="10"/>
    <x v="7"/>
    <x v="43"/>
    <x v="5"/>
    <x v="1"/>
    <n v="149"/>
  </r>
  <r>
    <x v="3"/>
    <x v="10"/>
    <x v="7"/>
    <x v="43"/>
    <x v="5"/>
    <x v="2"/>
    <n v="31"/>
  </r>
  <r>
    <x v="3"/>
    <x v="10"/>
    <x v="7"/>
    <x v="43"/>
    <x v="5"/>
    <x v="3"/>
    <n v="2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
  <r>
    <x v="0"/>
    <x v="0"/>
    <x v="0"/>
    <x v="0"/>
    <x v="0"/>
    <x v="0"/>
    <x v="0"/>
    <x v="0"/>
    <n v="100"/>
    <x v="0"/>
    <x v="0"/>
  </r>
  <r>
    <x v="1"/>
    <x v="1"/>
    <x v="0"/>
    <x v="0"/>
    <x v="0"/>
    <x v="0"/>
    <x v="0"/>
    <x v="1"/>
    <n v="63"/>
    <x v="1"/>
    <x v="1"/>
  </r>
  <r>
    <x v="2"/>
    <x v="2"/>
    <x v="0"/>
    <x v="0"/>
    <x v="0"/>
    <x v="0"/>
    <x v="0"/>
    <x v="2"/>
    <n v="36"/>
    <x v="2"/>
    <x v="2"/>
  </r>
  <r>
    <x v="3"/>
    <x v="3"/>
    <x v="0"/>
    <x v="0"/>
    <x v="0"/>
    <x v="0"/>
    <x v="0"/>
    <x v="3"/>
    <n v="100"/>
    <x v="3"/>
    <x v="3"/>
  </r>
  <r>
    <x v="2"/>
    <x v="2"/>
    <x v="0"/>
    <x v="0"/>
    <x v="0"/>
    <x v="0"/>
    <x v="0"/>
    <x v="2"/>
    <n v="64"/>
    <x v="4"/>
    <x v="4"/>
  </r>
  <r>
    <x v="4"/>
    <x v="4"/>
    <x v="1"/>
    <x v="0"/>
    <x v="0"/>
    <x v="0"/>
    <x v="0"/>
    <x v="4"/>
    <n v="24"/>
    <x v="5"/>
    <x v="5"/>
  </r>
  <r>
    <x v="5"/>
    <x v="5"/>
    <x v="1"/>
    <x v="0"/>
    <x v="0"/>
    <x v="0"/>
    <x v="0"/>
    <x v="5"/>
    <n v="43"/>
    <x v="6"/>
    <x v="6"/>
  </r>
  <r>
    <x v="5"/>
    <x v="5"/>
    <x v="1"/>
    <x v="0"/>
    <x v="0"/>
    <x v="0"/>
    <x v="0"/>
    <x v="5"/>
    <n v="20"/>
    <x v="7"/>
    <x v="7"/>
  </r>
  <r>
    <x v="1"/>
    <x v="1"/>
    <x v="1"/>
    <x v="0"/>
    <x v="0"/>
    <x v="0"/>
    <x v="0"/>
    <x v="1"/>
    <n v="27"/>
    <x v="8"/>
    <x v="8"/>
  </r>
  <r>
    <x v="4"/>
    <x v="4"/>
    <x v="2"/>
    <x v="0"/>
    <x v="0"/>
    <x v="0"/>
    <x v="0"/>
    <x v="4"/>
    <n v="25"/>
    <x v="9"/>
    <x v="9"/>
  </r>
  <r>
    <x v="1"/>
    <x v="1"/>
    <x v="2"/>
    <x v="0"/>
    <x v="0"/>
    <x v="0"/>
    <x v="0"/>
    <x v="1"/>
    <n v="10"/>
    <x v="10"/>
    <x v="10"/>
  </r>
  <r>
    <x v="1"/>
    <x v="1"/>
    <x v="0"/>
    <x v="0"/>
    <x v="1"/>
    <x v="0"/>
    <x v="1"/>
    <x v="1"/>
    <n v="32"/>
    <x v="11"/>
    <x v="11"/>
  </r>
  <r>
    <x v="3"/>
    <x v="3"/>
    <x v="2"/>
    <x v="0"/>
    <x v="1"/>
    <x v="0"/>
    <x v="1"/>
    <x v="3"/>
    <n v="65"/>
    <x v="12"/>
    <x v="12"/>
  </r>
  <r>
    <x v="4"/>
    <x v="4"/>
    <x v="2"/>
    <x v="0"/>
    <x v="1"/>
    <x v="0"/>
    <x v="1"/>
    <x v="4"/>
    <n v="29"/>
    <x v="13"/>
    <x v="13"/>
  </r>
  <r>
    <x v="0"/>
    <x v="0"/>
    <x v="2"/>
    <x v="0"/>
    <x v="1"/>
    <x v="0"/>
    <x v="1"/>
    <x v="0"/>
    <n v="100"/>
    <x v="0"/>
    <x v="14"/>
  </r>
  <r>
    <x v="5"/>
    <x v="5"/>
    <x v="2"/>
    <x v="0"/>
    <x v="1"/>
    <x v="0"/>
    <x v="1"/>
    <x v="5"/>
    <n v="19"/>
    <x v="14"/>
    <x v="15"/>
  </r>
  <r>
    <x v="1"/>
    <x v="1"/>
    <x v="2"/>
    <x v="0"/>
    <x v="1"/>
    <x v="0"/>
    <x v="1"/>
    <x v="1"/>
    <n v="33"/>
    <x v="15"/>
    <x v="16"/>
  </r>
  <r>
    <x v="4"/>
    <x v="4"/>
    <x v="1"/>
    <x v="0"/>
    <x v="1"/>
    <x v="0"/>
    <x v="1"/>
    <x v="4"/>
    <n v="27"/>
    <x v="16"/>
    <x v="17"/>
  </r>
  <r>
    <x v="1"/>
    <x v="1"/>
    <x v="2"/>
    <x v="0"/>
    <x v="1"/>
    <x v="0"/>
    <x v="1"/>
    <x v="1"/>
    <n v="25"/>
    <x v="17"/>
    <x v="18"/>
  </r>
  <r>
    <x v="3"/>
    <x v="3"/>
    <x v="1"/>
    <x v="0"/>
    <x v="1"/>
    <x v="0"/>
    <x v="1"/>
    <x v="3"/>
    <n v="35"/>
    <x v="18"/>
    <x v="19"/>
  </r>
  <r>
    <x v="5"/>
    <x v="5"/>
    <x v="1"/>
    <x v="0"/>
    <x v="1"/>
    <x v="0"/>
    <x v="1"/>
    <x v="5"/>
    <n v="18"/>
    <x v="19"/>
    <x v="20"/>
  </r>
  <r>
    <x v="3"/>
    <x v="3"/>
    <x v="2"/>
    <x v="0"/>
    <x v="2"/>
    <x v="0"/>
    <x v="2"/>
    <x v="3"/>
    <n v="35"/>
    <x v="18"/>
    <x v="19"/>
  </r>
  <r>
    <x v="3"/>
    <x v="3"/>
    <x v="1"/>
    <x v="0"/>
    <x v="2"/>
    <x v="0"/>
    <x v="2"/>
    <x v="3"/>
    <n v="30"/>
    <x v="20"/>
    <x v="21"/>
  </r>
  <r>
    <x v="5"/>
    <x v="5"/>
    <x v="1"/>
    <x v="0"/>
    <x v="2"/>
    <x v="0"/>
    <x v="2"/>
    <x v="5"/>
    <n v="19"/>
    <x v="14"/>
    <x v="15"/>
  </r>
  <r>
    <x v="2"/>
    <x v="2"/>
    <x v="1"/>
    <x v="0"/>
    <x v="2"/>
    <x v="0"/>
    <x v="2"/>
    <x v="2"/>
    <n v="36"/>
    <x v="2"/>
    <x v="2"/>
  </r>
  <r>
    <x v="3"/>
    <x v="3"/>
    <x v="0"/>
    <x v="0"/>
    <x v="3"/>
    <x v="1"/>
    <x v="3"/>
    <x v="3"/>
    <n v="6"/>
    <x v="21"/>
    <x v="22"/>
  </r>
  <r>
    <x v="4"/>
    <x v="4"/>
    <x v="0"/>
    <x v="0"/>
    <x v="3"/>
    <x v="1"/>
    <x v="3"/>
    <x v="4"/>
    <n v="26"/>
    <x v="22"/>
    <x v="23"/>
  </r>
  <r>
    <x v="0"/>
    <x v="0"/>
    <x v="0"/>
    <x v="0"/>
    <x v="3"/>
    <x v="1"/>
    <x v="3"/>
    <x v="0"/>
    <n v="75"/>
    <x v="23"/>
    <x v="24"/>
  </r>
  <r>
    <x v="1"/>
    <x v="1"/>
    <x v="0"/>
    <x v="0"/>
    <x v="3"/>
    <x v="1"/>
    <x v="3"/>
    <x v="1"/>
    <n v="31"/>
    <x v="24"/>
    <x v="25"/>
  </r>
  <r>
    <x v="2"/>
    <x v="2"/>
    <x v="0"/>
    <x v="0"/>
    <x v="3"/>
    <x v="1"/>
    <x v="3"/>
    <x v="2"/>
    <n v="48"/>
    <x v="25"/>
    <x v="26"/>
  </r>
  <r>
    <x v="3"/>
    <x v="3"/>
    <x v="0"/>
    <x v="0"/>
    <x v="3"/>
    <x v="1"/>
    <x v="3"/>
    <x v="3"/>
    <n v="94"/>
    <x v="26"/>
    <x v="27"/>
  </r>
  <r>
    <x v="0"/>
    <x v="0"/>
    <x v="0"/>
    <x v="0"/>
    <x v="3"/>
    <x v="1"/>
    <x v="3"/>
    <x v="0"/>
    <n v="25"/>
    <x v="27"/>
    <x v="28"/>
  </r>
  <r>
    <x v="4"/>
    <x v="4"/>
    <x v="2"/>
    <x v="0"/>
    <x v="3"/>
    <x v="1"/>
    <x v="3"/>
    <x v="4"/>
    <n v="30"/>
    <x v="28"/>
    <x v="29"/>
  </r>
  <r>
    <x v="5"/>
    <x v="5"/>
    <x v="1"/>
    <x v="0"/>
    <x v="3"/>
    <x v="1"/>
    <x v="3"/>
    <x v="5"/>
    <n v="41"/>
    <x v="29"/>
    <x v="30"/>
  </r>
  <r>
    <x v="4"/>
    <x v="4"/>
    <x v="1"/>
    <x v="0"/>
    <x v="3"/>
    <x v="1"/>
    <x v="3"/>
    <x v="4"/>
    <n v="26"/>
    <x v="22"/>
    <x v="23"/>
  </r>
  <r>
    <x v="5"/>
    <x v="5"/>
    <x v="1"/>
    <x v="0"/>
    <x v="3"/>
    <x v="1"/>
    <x v="3"/>
    <x v="5"/>
    <n v="21"/>
    <x v="30"/>
    <x v="31"/>
  </r>
  <r>
    <x v="4"/>
    <x v="4"/>
    <x v="0"/>
    <x v="0"/>
    <x v="4"/>
    <x v="1"/>
    <x v="4"/>
    <x v="4"/>
    <n v="21"/>
    <x v="31"/>
    <x v="32"/>
  </r>
  <r>
    <x v="2"/>
    <x v="2"/>
    <x v="0"/>
    <x v="0"/>
    <x v="4"/>
    <x v="1"/>
    <x v="4"/>
    <x v="2"/>
    <n v="32"/>
    <x v="32"/>
    <x v="33"/>
  </r>
  <r>
    <x v="3"/>
    <x v="3"/>
    <x v="2"/>
    <x v="0"/>
    <x v="4"/>
    <x v="1"/>
    <x v="4"/>
    <x v="3"/>
    <n v="65"/>
    <x v="12"/>
    <x v="12"/>
  </r>
  <r>
    <x v="0"/>
    <x v="0"/>
    <x v="2"/>
    <x v="0"/>
    <x v="4"/>
    <x v="1"/>
    <x v="4"/>
    <x v="0"/>
    <n v="100"/>
    <x v="0"/>
    <x v="0"/>
  </r>
  <r>
    <x v="1"/>
    <x v="1"/>
    <x v="2"/>
    <x v="0"/>
    <x v="4"/>
    <x v="1"/>
    <x v="4"/>
    <x v="1"/>
    <n v="26"/>
    <x v="33"/>
    <x v="34"/>
  </r>
  <r>
    <x v="2"/>
    <x v="2"/>
    <x v="2"/>
    <x v="0"/>
    <x v="4"/>
    <x v="1"/>
    <x v="4"/>
    <x v="2"/>
    <n v="48"/>
    <x v="25"/>
    <x v="26"/>
  </r>
  <r>
    <x v="4"/>
    <x v="4"/>
    <x v="2"/>
    <x v="0"/>
    <x v="4"/>
    <x v="1"/>
    <x v="4"/>
    <x v="4"/>
    <n v="23"/>
    <x v="34"/>
    <x v="35"/>
  </r>
  <r>
    <x v="1"/>
    <x v="1"/>
    <x v="2"/>
    <x v="0"/>
    <x v="4"/>
    <x v="1"/>
    <x v="4"/>
    <x v="1"/>
    <n v="33"/>
    <x v="15"/>
    <x v="16"/>
  </r>
  <r>
    <x v="4"/>
    <x v="4"/>
    <x v="1"/>
    <x v="0"/>
    <x v="4"/>
    <x v="1"/>
    <x v="4"/>
    <x v="4"/>
    <n v="25"/>
    <x v="9"/>
    <x v="36"/>
  </r>
  <r>
    <x v="5"/>
    <x v="5"/>
    <x v="1"/>
    <x v="0"/>
    <x v="4"/>
    <x v="1"/>
    <x v="4"/>
    <x v="5"/>
    <n v="19"/>
    <x v="14"/>
    <x v="15"/>
  </r>
  <r>
    <x v="1"/>
    <x v="1"/>
    <x v="1"/>
    <x v="0"/>
    <x v="4"/>
    <x v="1"/>
    <x v="4"/>
    <x v="1"/>
    <n v="30"/>
    <x v="35"/>
    <x v="37"/>
  </r>
  <r>
    <x v="1"/>
    <x v="1"/>
    <x v="0"/>
    <x v="0"/>
    <x v="5"/>
    <x v="1"/>
    <x v="5"/>
    <x v="1"/>
    <n v="31"/>
    <x v="24"/>
    <x v="25"/>
  </r>
  <r>
    <x v="2"/>
    <x v="2"/>
    <x v="0"/>
    <x v="0"/>
    <x v="5"/>
    <x v="1"/>
    <x v="5"/>
    <x v="2"/>
    <n v="20"/>
    <x v="36"/>
    <x v="38"/>
  </r>
  <r>
    <x v="5"/>
    <x v="5"/>
    <x v="0"/>
    <x v="0"/>
    <x v="5"/>
    <x v="1"/>
    <x v="5"/>
    <x v="5"/>
    <n v="23"/>
    <x v="37"/>
    <x v="39"/>
  </r>
  <r>
    <x v="4"/>
    <x v="4"/>
    <x v="2"/>
    <x v="0"/>
    <x v="5"/>
    <x v="1"/>
    <x v="5"/>
    <x v="4"/>
    <n v="40"/>
    <x v="38"/>
    <x v="40"/>
  </r>
  <r>
    <x v="3"/>
    <x v="3"/>
    <x v="1"/>
    <x v="0"/>
    <x v="5"/>
    <x v="1"/>
    <x v="5"/>
    <x v="3"/>
    <n v="70"/>
    <x v="39"/>
    <x v="41"/>
  </r>
  <r>
    <x v="4"/>
    <x v="4"/>
    <x v="1"/>
    <x v="0"/>
    <x v="5"/>
    <x v="1"/>
    <x v="5"/>
    <x v="4"/>
    <n v="9"/>
    <x v="40"/>
    <x v="42"/>
  </r>
  <r>
    <x v="1"/>
    <x v="1"/>
    <x v="1"/>
    <x v="0"/>
    <x v="5"/>
    <x v="1"/>
    <x v="5"/>
    <x v="1"/>
    <n v="27"/>
    <x v="8"/>
    <x v="8"/>
  </r>
  <r>
    <x v="3"/>
    <x v="3"/>
    <x v="0"/>
    <x v="0"/>
    <x v="6"/>
    <x v="1"/>
    <x v="6"/>
    <x v="3"/>
    <n v="70"/>
    <x v="39"/>
    <x v="41"/>
  </r>
  <r>
    <x v="4"/>
    <x v="4"/>
    <x v="0"/>
    <x v="0"/>
    <x v="6"/>
    <x v="1"/>
    <x v="6"/>
    <x v="4"/>
    <n v="27"/>
    <x v="16"/>
    <x v="17"/>
  </r>
  <r>
    <x v="0"/>
    <x v="0"/>
    <x v="0"/>
    <x v="0"/>
    <x v="6"/>
    <x v="1"/>
    <x v="6"/>
    <x v="0"/>
    <n v="50"/>
    <x v="41"/>
    <x v="43"/>
  </r>
  <r>
    <x v="5"/>
    <x v="5"/>
    <x v="0"/>
    <x v="0"/>
    <x v="6"/>
    <x v="1"/>
    <x v="6"/>
    <x v="5"/>
    <n v="26"/>
    <x v="42"/>
    <x v="44"/>
  </r>
  <r>
    <x v="1"/>
    <x v="1"/>
    <x v="0"/>
    <x v="0"/>
    <x v="6"/>
    <x v="1"/>
    <x v="6"/>
    <x v="1"/>
    <n v="31"/>
    <x v="24"/>
    <x v="25"/>
  </r>
  <r>
    <x v="2"/>
    <x v="2"/>
    <x v="0"/>
    <x v="0"/>
    <x v="6"/>
    <x v="1"/>
    <x v="6"/>
    <x v="2"/>
    <n v="80"/>
    <x v="43"/>
    <x v="45"/>
  </r>
  <r>
    <x v="2"/>
    <x v="2"/>
    <x v="2"/>
    <x v="0"/>
    <x v="6"/>
    <x v="1"/>
    <x v="6"/>
    <x v="2"/>
    <n v="20"/>
    <x v="36"/>
    <x v="38"/>
  </r>
  <r>
    <x v="1"/>
    <x v="1"/>
    <x v="2"/>
    <x v="0"/>
    <x v="6"/>
    <x v="1"/>
    <x v="6"/>
    <x v="1"/>
    <n v="24"/>
    <x v="44"/>
    <x v="46"/>
  </r>
  <r>
    <x v="5"/>
    <x v="5"/>
    <x v="1"/>
    <x v="0"/>
    <x v="6"/>
    <x v="1"/>
    <x v="6"/>
    <x v="5"/>
    <n v="17"/>
    <x v="45"/>
    <x v="47"/>
  </r>
  <r>
    <x v="1"/>
    <x v="1"/>
    <x v="2"/>
    <x v="0"/>
    <x v="7"/>
    <x v="1"/>
    <x v="7"/>
    <x v="1"/>
    <n v="24"/>
    <x v="44"/>
    <x v="46"/>
  </r>
  <r>
    <x v="3"/>
    <x v="3"/>
    <x v="2"/>
    <x v="0"/>
    <x v="7"/>
    <x v="1"/>
    <x v="7"/>
    <x v="3"/>
    <n v="24"/>
    <x v="46"/>
    <x v="48"/>
  </r>
  <r>
    <x v="4"/>
    <x v="4"/>
    <x v="1"/>
    <x v="0"/>
    <x v="7"/>
    <x v="1"/>
    <x v="7"/>
    <x v="4"/>
    <n v="23"/>
    <x v="34"/>
    <x v="35"/>
  </r>
  <r>
    <x v="5"/>
    <x v="5"/>
    <x v="1"/>
    <x v="0"/>
    <x v="7"/>
    <x v="1"/>
    <x v="7"/>
    <x v="5"/>
    <n v="19"/>
    <x v="14"/>
    <x v="15"/>
  </r>
  <r>
    <x v="5"/>
    <x v="5"/>
    <x v="1"/>
    <x v="0"/>
    <x v="7"/>
    <x v="1"/>
    <x v="7"/>
    <x v="5"/>
    <n v="64"/>
    <x v="47"/>
    <x v="49"/>
  </r>
  <r>
    <x v="2"/>
    <x v="2"/>
    <x v="1"/>
    <x v="0"/>
    <x v="7"/>
    <x v="1"/>
    <x v="7"/>
    <x v="2"/>
    <n v="48"/>
    <x v="25"/>
    <x v="26"/>
  </r>
  <r>
    <x v="1"/>
    <x v="1"/>
    <x v="0"/>
    <x v="1"/>
    <x v="8"/>
    <x v="2"/>
    <x v="8"/>
    <x v="6"/>
    <n v="32"/>
    <x v="48"/>
    <x v="50"/>
  </r>
  <r>
    <x v="1"/>
    <x v="1"/>
    <x v="0"/>
    <x v="1"/>
    <x v="8"/>
    <x v="2"/>
    <x v="8"/>
    <x v="6"/>
    <n v="4"/>
    <x v="49"/>
    <x v="51"/>
  </r>
  <r>
    <x v="4"/>
    <x v="4"/>
    <x v="1"/>
    <x v="1"/>
    <x v="8"/>
    <x v="2"/>
    <x v="8"/>
    <x v="7"/>
    <n v="19"/>
    <x v="50"/>
    <x v="52"/>
  </r>
  <r>
    <x v="0"/>
    <x v="0"/>
    <x v="1"/>
    <x v="1"/>
    <x v="8"/>
    <x v="2"/>
    <x v="8"/>
    <x v="8"/>
    <n v="56"/>
    <x v="51"/>
    <x v="53"/>
  </r>
  <r>
    <x v="5"/>
    <x v="5"/>
    <x v="2"/>
    <x v="1"/>
    <x v="8"/>
    <x v="2"/>
    <x v="8"/>
    <x v="9"/>
    <n v="25"/>
    <x v="52"/>
    <x v="54"/>
  </r>
  <r>
    <x v="1"/>
    <x v="1"/>
    <x v="2"/>
    <x v="1"/>
    <x v="8"/>
    <x v="2"/>
    <x v="8"/>
    <x v="6"/>
    <n v="11"/>
    <x v="53"/>
    <x v="55"/>
  </r>
  <r>
    <x v="4"/>
    <x v="4"/>
    <x v="0"/>
    <x v="1"/>
    <x v="9"/>
    <x v="2"/>
    <x v="9"/>
    <x v="7"/>
    <n v="24"/>
    <x v="54"/>
    <x v="56"/>
  </r>
  <r>
    <x v="3"/>
    <x v="3"/>
    <x v="1"/>
    <x v="1"/>
    <x v="9"/>
    <x v="2"/>
    <x v="9"/>
    <x v="10"/>
    <n v="6"/>
    <x v="55"/>
    <x v="57"/>
  </r>
  <r>
    <x v="5"/>
    <x v="5"/>
    <x v="1"/>
    <x v="1"/>
    <x v="9"/>
    <x v="2"/>
    <x v="9"/>
    <x v="9"/>
    <n v="42"/>
    <x v="56"/>
    <x v="58"/>
  </r>
  <r>
    <x v="0"/>
    <x v="0"/>
    <x v="2"/>
    <x v="1"/>
    <x v="9"/>
    <x v="2"/>
    <x v="9"/>
    <x v="8"/>
    <n v="50"/>
    <x v="57"/>
    <x v="59"/>
  </r>
  <r>
    <x v="5"/>
    <x v="5"/>
    <x v="2"/>
    <x v="1"/>
    <x v="9"/>
    <x v="2"/>
    <x v="9"/>
    <x v="9"/>
    <n v="26"/>
    <x v="58"/>
    <x v="60"/>
  </r>
  <r>
    <x v="2"/>
    <x v="2"/>
    <x v="2"/>
    <x v="1"/>
    <x v="9"/>
    <x v="2"/>
    <x v="9"/>
    <x v="11"/>
    <n v="34"/>
    <x v="59"/>
    <x v="61"/>
  </r>
  <r>
    <x v="1"/>
    <x v="1"/>
    <x v="2"/>
    <x v="1"/>
    <x v="9"/>
    <x v="2"/>
    <x v="9"/>
    <x v="6"/>
    <n v="24"/>
    <x v="60"/>
    <x v="62"/>
  </r>
  <r>
    <x v="2"/>
    <x v="2"/>
    <x v="2"/>
    <x v="1"/>
    <x v="9"/>
    <x v="2"/>
    <x v="9"/>
    <x v="11"/>
    <n v="50"/>
    <x v="61"/>
    <x v="63"/>
  </r>
  <r>
    <x v="5"/>
    <x v="5"/>
    <x v="0"/>
    <x v="1"/>
    <x v="0"/>
    <x v="2"/>
    <x v="10"/>
    <x v="9"/>
    <n v="21"/>
    <x v="62"/>
    <x v="64"/>
  </r>
  <r>
    <x v="2"/>
    <x v="2"/>
    <x v="0"/>
    <x v="1"/>
    <x v="0"/>
    <x v="2"/>
    <x v="10"/>
    <x v="11"/>
    <n v="22"/>
    <x v="63"/>
    <x v="65"/>
  </r>
  <r>
    <x v="5"/>
    <x v="5"/>
    <x v="1"/>
    <x v="1"/>
    <x v="0"/>
    <x v="2"/>
    <x v="10"/>
    <x v="9"/>
    <n v="4"/>
    <x v="64"/>
    <x v="66"/>
  </r>
  <r>
    <x v="2"/>
    <x v="2"/>
    <x v="1"/>
    <x v="1"/>
    <x v="0"/>
    <x v="2"/>
    <x v="10"/>
    <x v="11"/>
    <n v="40"/>
    <x v="65"/>
    <x v="67"/>
  </r>
  <r>
    <x v="4"/>
    <x v="4"/>
    <x v="2"/>
    <x v="1"/>
    <x v="0"/>
    <x v="2"/>
    <x v="10"/>
    <x v="7"/>
    <n v="19"/>
    <x v="50"/>
    <x v="52"/>
  </r>
  <r>
    <x v="5"/>
    <x v="5"/>
    <x v="0"/>
    <x v="1"/>
    <x v="1"/>
    <x v="2"/>
    <x v="11"/>
    <x v="9"/>
    <n v="20"/>
    <x v="66"/>
    <x v="68"/>
  </r>
  <r>
    <x v="4"/>
    <x v="4"/>
    <x v="1"/>
    <x v="1"/>
    <x v="1"/>
    <x v="2"/>
    <x v="11"/>
    <x v="7"/>
    <n v="18"/>
    <x v="67"/>
    <x v="69"/>
  </r>
  <r>
    <x v="5"/>
    <x v="5"/>
    <x v="1"/>
    <x v="1"/>
    <x v="1"/>
    <x v="2"/>
    <x v="11"/>
    <x v="9"/>
    <n v="1"/>
    <x v="68"/>
    <x v="70"/>
  </r>
  <r>
    <x v="4"/>
    <x v="4"/>
    <x v="1"/>
    <x v="1"/>
    <x v="1"/>
    <x v="2"/>
    <x v="11"/>
    <x v="7"/>
    <n v="19"/>
    <x v="50"/>
    <x v="52"/>
  </r>
  <r>
    <x v="3"/>
    <x v="3"/>
    <x v="0"/>
    <x v="1"/>
    <x v="2"/>
    <x v="2"/>
    <x v="12"/>
    <x v="12"/>
    <n v="81"/>
    <x v="69"/>
    <x v="71"/>
  </r>
  <r>
    <x v="0"/>
    <x v="0"/>
    <x v="0"/>
    <x v="1"/>
    <x v="2"/>
    <x v="2"/>
    <x v="12"/>
    <x v="13"/>
    <n v="49"/>
    <x v="70"/>
    <x v="72"/>
  </r>
  <r>
    <x v="1"/>
    <x v="1"/>
    <x v="0"/>
    <x v="1"/>
    <x v="2"/>
    <x v="2"/>
    <x v="12"/>
    <x v="14"/>
    <n v="28"/>
    <x v="71"/>
    <x v="73"/>
  </r>
  <r>
    <x v="1"/>
    <x v="1"/>
    <x v="2"/>
    <x v="1"/>
    <x v="2"/>
    <x v="2"/>
    <x v="12"/>
    <x v="14"/>
    <n v="40"/>
    <x v="72"/>
    <x v="74"/>
  </r>
  <r>
    <x v="0"/>
    <x v="0"/>
    <x v="1"/>
    <x v="1"/>
    <x v="2"/>
    <x v="2"/>
    <x v="12"/>
    <x v="13"/>
    <n v="51"/>
    <x v="73"/>
    <x v="75"/>
  </r>
  <r>
    <x v="5"/>
    <x v="5"/>
    <x v="1"/>
    <x v="1"/>
    <x v="2"/>
    <x v="2"/>
    <x v="12"/>
    <x v="15"/>
    <n v="38"/>
    <x v="74"/>
    <x v="76"/>
  </r>
  <r>
    <x v="3"/>
    <x v="3"/>
    <x v="0"/>
    <x v="1"/>
    <x v="3"/>
    <x v="3"/>
    <x v="13"/>
    <x v="12"/>
    <n v="57"/>
    <x v="75"/>
    <x v="77"/>
  </r>
  <r>
    <x v="4"/>
    <x v="4"/>
    <x v="0"/>
    <x v="1"/>
    <x v="3"/>
    <x v="3"/>
    <x v="13"/>
    <x v="16"/>
    <n v="25"/>
    <x v="76"/>
    <x v="78"/>
  </r>
  <r>
    <x v="2"/>
    <x v="2"/>
    <x v="0"/>
    <x v="1"/>
    <x v="3"/>
    <x v="3"/>
    <x v="13"/>
    <x v="17"/>
    <n v="47"/>
    <x v="77"/>
    <x v="79"/>
  </r>
  <r>
    <x v="3"/>
    <x v="3"/>
    <x v="0"/>
    <x v="1"/>
    <x v="3"/>
    <x v="3"/>
    <x v="13"/>
    <x v="12"/>
    <n v="162"/>
    <x v="78"/>
    <x v="80"/>
  </r>
  <r>
    <x v="0"/>
    <x v="0"/>
    <x v="2"/>
    <x v="1"/>
    <x v="3"/>
    <x v="3"/>
    <x v="13"/>
    <x v="13"/>
    <n v="100"/>
    <x v="79"/>
    <x v="81"/>
  </r>
  <r>
    <x v="5"/>
    <x v="5"/>
    <x v="1"/>
    <x v="1"/>
    <x v="3"/>
    <x v="3"/>
    <x v="13"/>
    <x v="15"/>
    <n v="42"/>
    <x v="80"/>
    <x v="58"/>
  </r>
  <r>
    <x v="2"/>
    <x v="2"/>
    <x v="1"/>
    <x v="1"/>
    <x v="3"/>
    <x v="3"/>
    <x v="13"/>
    <x v="17"/>
    <n v="39"/>
    <x v="81"/>
    <x v="82"/>
  </r>
  <r>
    <x v="4"/>
    <x v="4"/>
    <x v="0"/>
    <x v="1"/>
    <x v="4"/>
    <x v="3"/>
    <x v="14"/>
    <x v="16"/>
    <n v="27"/>
    <x v="82"/>
    <x v="83"/>
  </r>
  <r>
    <x v="2"/>
    <x v="2"/>
    <x v="0"/>
    <x v="1"/>
    <x v="4"/>
    <x v="3"/>
    <x v="14"/>
    <x v="17"/>
    <n v="34"/>
    <x v="83"/>
    <x v="61"/>
  </r>
  <r>
    <x v="3"/>
    <x v="3"/>
    <x v="1"/>
    <x v="1"/>
    <x v="4"/>
    <x v="3"/>
    <x v="14"/>
    <x v="12"/>
    <n v="74"/>
    <x v="84"/>
    <x v="84"/>
  </r>
  <r>
    <x v="4"/>
    <x v="4"/>
    <x v="1"/>
    <x v="1"/>
    <x v="4"/>
    <x v="3"/>
    <x v="14"/>
    <x v="16"/>
    <n v="22"/>
    <x v="85"/>
    <x v="85"/>
  </r>
  <r>
    <x v="5"/>
    <x v="5"/>
    <x v="1"/>
    <x v="1"/>
    <x v="4"/>
    <x v="3"/>
    <x v="14"/>
    <x v="15"/>
    <n v="19"/>
    <x v="86"/>
    <x v="86"/>
  </r>
  <r>
    <x v="3"/>
    <x v="3"/>
    <x v="0"/>
    <x v="1"/>
    <x v="5"/>
    <x v="3"/>
    <x v="15"/>
    <x v="12"/>
    <n v="13"/>
    <x v="87"/>
    <x v="87"/>
  </r>
  <r>
    <x v="0"/>
    <x v="0"/>
    <x v="0"/>
    <x v="1"/>
    <x v="5"/>
    <x v="3"/>
    <x v="15"/>
    <x v="13"/>
    <n v="50"/>
    <x v="88"/>
    <x v="88"/>
  </r>
  <r>
    <x v="5"/>
    <x v="5"/>
    <x v="0"/>
    <x v="1"/>
    <x v="5"/>
    <x v="3"/>
    <x v="15"/>
    <x v="15"/>
    <n v="26"/>
    <x v="89"/>
    <x v="60"/>
  </r>
  <r>
    <x v="2"/>
    <x v="2"/>
    <x v="0"/>
    <x v="1"/>
    <x v="5"/>
    <x v="3"/>
    <x v="15"/>
    <x v="17"/>
    <n v="34"/>
    <x v="83"/>
    <x v="89"/>
  </r>
  <r>
    <x v="3"/>
    <x v="3"/>
    <x v="0"/>
    <x v="1"/>
    <x v="5"/>
    <x v="3"/>
    <x v="15"/>
    <x v="12"/>
    <n v="56"/>
    <x v="90"/>
    <x v="90"/>
  </r>
  <r>
    <x v="4"/>
    <x v="4"/>
    <x v="0"/>
    <x v="1"/>
    <x v="5"/>
    <x v="3"/>
    <x v="15"/>
    <x v="16"/>
    <n v="23"/>
    <x v="91"/>
    <x v="91"/>
  </r>
  <r>
    <x v="0"/>
    <x v="0"/>
    <x v="0"/>
    <x v="1"/>
    <x v="5"/>
    <x v="3"/>
    <x v="15"/>
    <x v="13"/>
    <n v="49"/>
    <x v="70"/>
    <x v="72"/>
  </r>
  <r>
    <x v="1"/>
    <x v="1"/>
    <x v="0"/>
    <x v="1"/>
    <x v="5"/>
    <x v="3"/>
    <x v="15"/>
    <x v="14"/>
    <n v="35"/>
    <x v="92"/>
    <x v="92"/>
  </r>
  <r>
    <x v="5"/>
    <x v="5"/>
    <x v="1"/>
    <x v="1"/>
    <x v="5"/>
    <x v="3"/>
    <x v="15"/>
    <x v="15"/>
    <n v="45"/>
    <x v="93"/>
    <x v="93"/>
  </r>
  <r>
    <x v="1"/>
    <x v="1"/>
    <x v="1"/>
    <x v="1"/>
    <x v="5"/>
    <x v="3"/>
    <x v="15"/>
    <x v="14"/>
    <n v="36"/>
    <x v="94"/>
    <x v="94"/>
  </r>
  <r>
    <x v="3"/>
    <x v="3"/>
    <x v="0"/>
    <x v="1"/>
    <x v="6"/>
    <x v="3"/>
    <x v="16"/>
    <x v="12"/>
    <n v="25"/>
    <x v="95"/>
    <x v="95"/>
  </r>
  <r>
    <x v="1"/>
    <x v="1"/>
    <x v="0"/>
    <x v="1"/>
    <x v="6"/>
    <x v="3"/>
    <x v="16"/>
    <x v="14"/>
    <n v="51"/>
    <x v="96"/>
    <x v="96"/>
  </r>
  <r>
    <x v="2"/>
    <x v="2"/>
    <x v="0"/>
    <x v="1"/>
    <x v="6"/>
    <x v="3"/>
    <x v="16"/>
    <x v="17"/>
    <n v="32"/>
    <x v="97"/>
    <x v="97"/>
  </r>
  <r>
    <x v="4"/>
    <x v="4"/>
    <x v="2"/>
    <x v="1"/>
    <x v="6"/>
    <x v="3"/>
    <x v="16"/>
    <x v="16"/>
    <n v="23"/>
    <x v="91"/>
    <x v="91"/>
  </r>
  <r>
    <x v="1"/>
    <x v="1"/>
    <x v="2"/>
    <x v="1"/>
    <x v="6"/>
    <x v="3"/>
    <x v="16"/>
    <x v="14"/>
    <n v="35"/>
    <x v="92"/>
    <x v="98"/>
  </r>
  <r>
    <x v="4"/>
    <x v="4"/>
    <x v="1"/>
    <x v="1"/>
    <x v="6"/>
    <x v="3"/>
    <x v="16"/>
    <x v="16"/>
    <n v="21"/>
    <x v="98"/>
    <x v="99"/>
  </r>
  <r>
    <x v="0"/>
    <x v="0"/>
    <x v="1"/>
    <x v="1"/>
    <x v="6"/>
    <x v="3"/>
    <x v="16"/>
    <x v="13"/>
    <n v="59"/>
    <x v="99"/>
    <x v="100"/>
  </r>
  <r>
    <x v="5"/>
    <x v="5"/>
    <x v="1"/>
    <x v="1"/>
    <x v="6"/>
    <x v="3"/>
    <x v="16"/>
    <x v="15"/>
    <n v="24"/>
    <x v="100"/>
    <x v="101"/>
  </r>
  <r>
    <x v="5"/>
    <x v="5"/>
    <x v="1"/>
    <x v="1"/>
    <x v="6"/>
    <x v="3"/>
    <x v="16"/>
    <x v="15"/>
    <n v="12"/>
    <x v="101"/>
    <x v="102"/>
  </r>
  <r>
    <x v="5"/>
    <x v="5"/>
    <x v="0"/>
    <x v="1"/>
    <x v="7"/>
    <x v="3"/>
    <x v="17"/>
    <x v="18"/>
    <n v="22"/>
    <x v="102"/>
    <x v="103"/>
  </r>
  <r>
    <x v="4"/>
    <x v="4"/>
    <x v="0"/>
    <x v="1"/>
    <x v="7"/>
    <x v="3"/>
    <x v="17"/>
    <x v="19"/>
    <n v="24"/>
    <x v="103"/>
    <x v="56"/>
  </r>
  <r>
    <x v="0"/>
    <x v="0"/>
    <x v="1"/>
    <x v="1"/>
    <x v="7"/>
    <x v="3"/>
    <x v="17"/>
    <x v="20"/>
    <n v="39"/>
    <x v="104"/>
    <x v="104"/>
  </r>
  <r>
    <x v="1"/>
    <x v="1"/>
    <x v="0"/>
    <x v="2"/>
    <x v="8"/>
    <x v="4"/>
    <x v="18"/>
    <x v="21"/>
    <n v="28"/>
    <x v="62"/>
    <x v="105"/>
  </r>
  <r>
    <x v="3"/>
    <x v="3"/>
    <x v="1"/>
    <x v="2"/>
    <x v="8"/>
    <x v="4"/>
    <x v="18"/>
    <x v="22"/>
    <n v="26"/>
    <x v="105"/>
    <x v="106"/>
  </r>
  <r>
    <x v="5"/>
    <x v="5"/>
    <x v="1"/>
    <x v="2"/>
    <x v="8"/>
    <x v="4"/>
    <x v="18"/>
    <x v="18"/>
    <n v="20"/>
    <x v="106"/>
    <x v="107"/>
  </r>
  <r>
    <x v="1"/>
    <x v="1"/>
    <x v="1"/>
    <x v="2"/>
    <x v="8"/>
    <x v="4"/>
    <x v="18"/>
    <x v="21"/>
    <n v="35"/>
    <x v="107"/>
    <x v="108"/>
  </r>
  <r>
    <x v="0"/>
    <x v="0"/>
    <x v="2"/>
    <x v="2"/>
    <x v="8"/>
    <x v="4"/>
    <x v="18"/>
    <x v="20"/>
    <n v="70"/>
    <x v="108"/>
    <x v="109"/>
  </r>
  <r>
    <x v="1"/>
    <x v="1"/>
    <x v="2"/>
    <x v="2"/>
    <x v="8"/>
    <x v="4"/>
    <x v="18"/>
    <x v="21"/>
    <n v="26"/>
    <x v="109"/>
    <x v="110"/>
  </r>
  <r>
    <x v="4"/>
    <x v="4"/>
    <x v="2"/>
    <x v="2"/>
    <x v="8"/>
    <x v="4"/>
    <x v="18"/>
    <x v="19"/>
    <n v="28"/>
    <x v="110"/>
    <x v="111"/>
  </r>
  <r>
    <x v="0"/>
    <x v="0"/>
    <x v="2"/>
    <x v="2"/>
    <x v="8"/>
    <x v="4"/>
    <x v="18"/>
    <x v="20"/>
    <n v="27"/>
    <x v="111"/>
    <x v="112"/>
  </r>
  <r>
    <x v="1"/>
    <x v="1"/>
    <x v="2"/>
    <x v="2"/>
    <x v="8"/>
    <x v="4"/>
    <x v="18"/>
    <x v="21"/>
    <n v="24"/>
    <x v="112"/>
    <x v="113"/>
  </r>
  <r>
    <x v="2"/>
    <x v="2"/>
    <x v="0"/>
    <x v="2"/>
    <x v="9"/>
    <x v="4"/>
    <x v="19"/>
    <x v="23"/>
    <n v="34"/>
    <x v="113"/>
    <x v="114"/>
  </r>
  <r>
    <x v="3"/>
    <x v="3"/>
    <x v="2"/>
    <x v="2"/>
    <x v="9"/>
    <x v="4"/>
    <x v="19"/>
    <x v="22"/>
    <n v="62"/>
    <x v="114"/>
    <x v="115"/>
  </r>
  <r>
    <x v="5"/>
    <x v="5"/>
    <x v="1"/>
    <x v="2"/>
    <x v="0"/>
    <x v="4"/>
    <x v="20"/>
    <x v="18"/>
    <n v="18"/>
    <x v="115"/>
    <x v="116"/>
  </r>
  <r>
    <x v="4"/>
    <x v="4"/>
    <x v="2"/>
    <x v="2"/>
    <x v="0"/>
    <x v="4"/>
    <x v="20"/>
    <x v="19"/>
    <n v="22"/>
    <x v="116"/>
    <x v="117"/>
  </r>
  <r>
    <x v="3"/>
    <x v="3"/>
    <x v="0"/>
    <x v="2"/>
    <x v="1"/>
    <x v="4"/>
    <x v="21"/>
    <x v="8"/>
    <n v="53"/>
    <x v="117"/>
    <x v="118"/>
  </r>
  <r>
    <x v="1"/>
    <x v="1"/>
    <x v="0"/>
    <x v="2"/>
    <x v="1"/>
    <x v="4"/>
    <x v="21"/>
    <x v="24"/>
    <n v="24"/>
    <x v="51"/>
    <x v="113"/>
  </r>
  <r>
    <x v="3"/>
    <x v="3"/>
    <x v="0"/>
    <x v="2"/>
    <x v="1"/>
    <x v="4"/>
    <x v="21"/>
    <x v="8"/>
    <n v="83"/>
    <x v="118"/>
    <x v="119"/>
  </r>
  <r>
    <x v="1"/>
    <x v="1"/>
    <x v="0"/>
    <x v="2"/>
    <x v="1"/>
    <x v="4"/>
    <x v="21"/>
    <x v="24"/>
    <n v="25"/>
    <x v="119"/>
    <x v="120"/>
  </r>
  <r>
    <x v="2"/>
    <x v="2"/>
    <x v="0"/>
    <x v="2"/>
    <x v="1"/>
    <x v="4"/>
    <x v="21"/>
    <x v="25"/>
    <n v="32"/>
    <x v="120"/>
    <x v="121"/>
  </r>
  <r>
    <x v="0"/>
    <x v="0"/>
    <x v="2"/>
    <x v="2"/>
    <x v="1"/>
    <x v="4"/>
    <x v="21"/>
    <x v="26"/>
    <n v="3"/>
    <x v="121"/>
    <x v="122"/>
  </r>
  <r>
    <x v="5"/>
    <x v="5"/>
    <x v="2"/>
    <x v="2"/>
    <x v="1"/>
    <x v="4"/>
    <x v="21"/>
    <x v="27"/>
    <n v="18"/>
    <x v="122"/>
    <x v="116"/>
  </r>
  <r>
    <x v="1"/>
    <x v="1"/>
    <x v="2"/>
    <x v="2"/>
    <x v="1"/>
    <x v="4"/>
    <x v="21"/>
    <x v="24"/>
    <n v="33"/>
    <x v="123"/>
    <x v="123"/>
  </r>
  <r>
    <x v="2"/>
    <x v="2"/>
    <x v="2"/>
    <x v="2"/>
    <x v="1"/>
    <x v="4"/>
    <x v="21"/>
    <x v="25"/>
    <n v="44"/>
    <x v="124"/>
    <x v="124"/>
  </r>
  <r>
    <x v="5"/>
    <x v="5"/>
    <x v="1"/>
    <x v="2"/>
    <x v="1"/>
    <x v="4"/>
    <x v="21"/>
    <x v="27"/>
    <n v="15"/>
    <x v="125"/>
    <x v="125"/>
  </r>
  <r>
    <x v="5"/>
    <x v="5"/>
    <x v="1"/>
    <x v="2"/>
    <x v="1"/>
    <x v="4"/>
    <x v="21"/>
    <x v="27"/>
    <n v="16"/>
    <x v="126"/>
    <x v="126"/>
  </r>
  <r>
    <x v="1"/>
    <x v="1"/>
    <x v="2"/>
    <x v="2"/>
    <x v="2"/>
    <x v="4"/>
    <x v="22"/>
    <x v="24"/>
    <n v="26"/>
    <x v="127"/>
    <x v="110"/>
  </r>
  <r>
    <x v="3"/>
    <x v="3"/>
    <x v="2"/>
    <x v="2"/>
    <x v="2"/>
    <x v="4"/>
    <x v="22"/>
    <x v="8"/>
    <n v="75"/>
    <x v="128"/>
    <x v="127"/>
  </r>
  <r>
    <x v="0"/>
    <x v="0"/>
    <x v="2"/>
    <x v="2"/>
    <x v="2"/>
    <x v="4"/>
    <x v="22"/>
    <x v="26"/>
    <n v="105"/>
    <x v="129"/>
    <x v="128"/>
  </r>
  <r>
    <x v="1"/>
    <x v="1"/>
    <x v="2"/>
    <x v="2"/>
    <x v="2"/>
    <x v="4"/>
    <x v="22"/>
    <x v="24"/>
    <n v="31"/>
    <x v="130"/>
    <x v="129"/>
  </r>
  <r>
    <x v="0"/>
    <x v="0"/>
    <x v="1"/>
    <x v="2"/>
    <x v="2"/>
    <x v="4"/>
    <x v="22"/>
    <x v="26"/>
    <n v="50"/>
    <x v="131"/>
    <x v="130"/>
  </r>
  <r>
    <x v="5"/>
    <x v="5"/>
    <x v="1"/>
    <x v="2"/>
    <x v="2"/>
    <x v="4"/>
    <x v="22"/>
    <x v="27"/>
    <n v="43"/>
    <x v="132"/>
    <x v="131"/>
  </r>
  <r>
    <x v="1"/>
    <x v="1"/>
    <x v="1"/>
    <x v="2"/>
    <x v="2"/>
    <x v="4"/>
    <x v="22"/>
    <x v="24"/>
    <n v="31"/>
    <x v="130"/>
    <x v="129"/>
  </r>
  <r>
    <x v="3"/>
    <x v="3"/>
    <x v="0"/>
    <x v="2"/>
    <x v="3"/>
    <x v="5"/>
    <x v="23"/>
    <x v="8"/>
    <n v="51"/>
    <x v="133"/>
    <x v="132"/>
  </r>
  <r>
    <x v="4"/>
    <x v="4"/>
    <x v="0"/>
    <x v="2"/>
    <x v="3"/>
    <x v="5"/>
    <x v="23"/>
    <x v="28"/>
    <n v="22"/>
    <x v="134"/>
    <x v="133"/>
  </r>
  <r>
    <x v="0"/>
    <x v="0"/>
    <x v="0"/>
    <x v="2"/>
    <x v="3"/>
    <x v="5"/>
    <x v="23"/>
    <x v="26"/>
    <n v="56"/>
    <x v="134"/>
    <x v="134"/>
  </r>
  <r>
    <x v="2"/>
    <x v="2"/>
    <x v="0"/>
    <x v="2"/>
    <x v="3"/>
    <x v="5"/>
    <x v="23"/>
    <x v="25"/>
    <n v="42"/>
    <x v="135"/>
    <x v="135"/>
  </r>
  <r>
    <x v="0"/>
    <x v="0"/>
    <x v="1"/>
    <x v="2"/>
    <x v="3"/>
    <x v="5"/>
    <x v="23"/>
    <x v="26"/>
    <n v="66"/>
    <x v="136"/>
    <x v="136"/>
  </r>
  <r>
    <x v="3"/>
    <x v="3"/>
    <x v="0"/>
    <x v="2"/>
    <x v="4"/>
    <x v="5"/>
    <x v="24"/>
    <x v="8"/>
    <n v="50"/>
    <x v="57"/>
    <x v="137"/>
  </r>
  <r>
    <x v="4"/>
    <x v="4"/>
    <x v="0"/>
    <x v="2"/>
    <x v="4"/>
    <x v="5"/>
    <x v="24"/>
    <x v="28"/>
    <n v="49"/>
    <x v="137"/>
    <x v="138"/>
  </r>
  <r>
    <x v="0"/>
    <x v="0"/>
    <x v="2"/>
    <x v="2"/>
    <x v="4"/>
    <x v="5"/>
    <x v="24"/>
    <x v="26"/>
    <n v="60"/>
    <x v="138"/>
    <x v="139"/>
  </r>
  <r>
    <x v="1"/>
    <x v="1"/>
    <x v="2"/>
    <x v="2"/>
    <x v="4"/>
    <x v="5"/>
    <x v="24"/>
    <x v="24"/>
    <n v="23"/>
    <x v="139"/>
    <x v="140"/>
  </r>
  <r>
    <x v="0"/>
    <x v="0"/>
    <x v="1"/>
    <x v="2"/>
    <x v="4"/>
    <x v="5"/>
    <x v="24"/>
    <x v="26"/>
    <n v="55"/>
    <x v="140"/>
    <x v="141"/>
  </r>
  <r>
    <x v="5"/>
    <x v="5"/>
    <x v="1"/>
    <x v="2"/>
    <x v="4"/>
    <x v="5"/>
    <x v="24"/>
    <x v="27"/>
    <n v="15"/>
    <x v="125"/>
    <x v="142"/>
  </r>
  <r>
    <x v="3"/>
    <x v="3"/>
    <x v="0"/>
    <x v="2"/>
    <x v="5"/>
    <x v="5"/>
    <x v="25"/>
    <x v="8"/>
    <n v="57"/>
    <x v="122"/>
    <x v="143"/>
  </r>
  <r>
    <x v="0"/>
    <x v="0"/>
    <x v="0"/>
    <x v="2"/>
    <x v="5"/>
    <x v="5"/>
    <x v="25"/>
    <x v="26"/>
    <n v="56"/>
    <x v="134"/>
    <x v="144"/>
  </r>
  <r>
    <x v="5"/>
    <x v="5"/>
    <x v="2"/>
    <x v="2"/>
    <x v="5"/>
    <x v="5"/>
    <x v="25"/>
    <x v="27"/>
    <n v="17"/>
    <x v="141"/>
    <x v="145"/>
  </r>
  <r>
    <x v="5"/>
    <x v="5"/>
    <x v="1"/>
    <x v="2"/>
    <x v="5"/>
    <x v="5"/>
    <x v="25"/>
    <x v="27"/>
    <n v="21"/>
    <x v="142"/>
    <x v="146"/>
  </r>
  <r>
    <x v="3"/>
    <x v="3"/>
    <x v="0"/>
    <x v="2"/>
    <x v="6"/>
    <x v="5"/>
    <x v="26"/>
    <x v="8"/>
    <n v="80"/>
    <x v="143"/>
    <x v="147"/>
  </r>
  <r>
    <x v="1"/>
    <x v="1"/>
    <x v="0"/>
    <x v="2"/>
    <x v="6"/>
    <x v="5"/>
    <x v="26"/>
    <x v="24"/>
    <n v="32"/>
    <x v="108"/>
    <x v="148"/>
  </r>
  <r>
    <x v="2"/>
    <x v="2"/>
    <x v="0"/>
    <x v="2"/>
    <x v="6"/>
    <x v="5"/>
    <x v="26"/>
    <x v="25"/>
    <n v="75"/>
    <x v="144"/>
    <x v="149"/>
  </r>
  <r>
    <x v="2"/>
    <x v="2"/>
    <x v="2"/>
    <x v="2"/>
    <x v="6"/>
    <x v="5"/>
    <x v="26"/>
    <x v="25"/>
    <n v="29"/>
    <x v="145"/>
    <x v="150"/>
  </r>
  <r>
    <x v="3"/>
    <x v="3"/>
    <x v="2"/>
    <x v="2"/>
    <x v="6"/>
    <x v="5"/>
    <x v="26"/>
    <x v="8"/>
    <n v="51"/>
    <x v="133"/>
    <x v="132"/>
  </r>
  <r>
    <x v="0"/>
    <x v="0"/>
    <x v="2"/>
    <x v="2"/>
    <x v="6"/>
    <x v="5"/>
    <x v="26"/>
    <x v="26"/>
    <n v="87"/>
    <x v="146"/>
    <x v="151"/>
  </r>
  <r>
    <x v="2"/>
    <x v="2"/>
    <x v="1"/>
    <x v="2"/>
    <x v="6"/>
    <x v="5"/>
    <x v="26"/>
    <x v="25"/>
    <n v="47"/>
    <x v="147"/>
    <x v="152"/>
  </r>
  <r>
    <x v="3"/>
    <x v="3"/>
    <x v="0"/>
    <x v="2"/>
    <x v="7"/>
    <x v="5"/>
    <x v="27"/>
    <x v="8"/>
    <n v="148"/>
    <x v="148"/>
    <x v="153"/>
  </r>
  <r>
    <x v="4"/>
    <x v="4"/>
    <x v="0"/>
    <x v="2"/>
    <x v="7"/>
    <x v="5"/>
    <x v="27"/>
    <x v="28"/>
    <n v="21"/>
    <x v="149"/>
    <x v="154"/>
  </r>
  <r>
    <x v="0"/>
    <x v="0"/>
    <x v="2"/>
    <x v="2"/>
    <x v="7"/>
    <x v="5"/>
    <x v="27"/>
    <x v="26"/>
    <n v="54"/>
    <x v="150"/>
    <x v="155"/>
  </r>
  <r>
    <x v="1"/>
    <x v="1"/>
    <x v="2"/>
    <x v="2"/>
    <x v="7"/>
    <x v="5"/>
    <x v="27"/>
    <x v="24"/>
    <n v="28"/>
    <x v="65"/>
    <x v="156"/>
  </r>
  <r>
    <x v="3"/>
    <x v="3"/>
    <x v="2"/>
    <x v="2"/>
    <x v="7"/>
    <x v="5"/>
    <x v="27"/>
    <x v="8"/>
    <n v="63"/>
    <x v="151"/>
    <x v="157"/>
  </r>
  <r>
    <x v="3"/>
    <x v="3"/>
    <x v="0"/>
    <x v="3"/>
    <x v="8"/>
    <x v="6"/>
    <x v="28"/>
    <x v="13"/>
    <n v="3"/>
    <x v="152"/>
    <x v="158"/>
  </r>
  <r>
    <x v="1"/>
    <x v="1"/>
    <x v="0"/>
    <x v="3"/>
    <x v="8"/>
    <x v="6"/>
    <x v="28"/>
    <x v="29"/>
    <n v="69"/>
    <x v="153"/>
    <x v="159"/>
  </r>
  <r>
    <x v="3"/>
    <x v="3"/>
    <x v="0"/>
    <x v="3"/>
    <x v="9"/>
    <x v="6"/>
    <x v="29"/>
    <x v="13"/>
    <n v="7"/>
    <x v="154"/>
    <x v="160"/>
  </r>
  <r>
    <x v="3"/>
    <x v="3"/>
    <x v="2"/>
    <x v="3"/>
    <x v="9"/>
    <x v="6"/>
    <x v="29"/>
    <x v="13"/>
    <n v="64"/>
    <x v="155"/>
    <x v="161"/>
  </r>
  <r>
    <x v="0"/>
    <x v="0"/>
    <x v="0"/>
    <x v="3"/>
    <x v="0"/>
    <x v="6"/>
    <x v="30"/>
    <x v="30"/>
    <n v="54"/>
    <x v="156"/>
    <x v="155"/>
  </r>
  <r>
    <x v="1"/>
    <x v="1"/>
    <x v="0"/>
    <x v="3"/>
    <x v="0"/>
    <x v="6"/>
    <x v="30"/>
    <x v="29"/>
    <n v="23"/>
    <x v="157"/>
    <x v="162"/>
  </r>
  <r>
    <x v="5"/>
    <x v="5"/>
    <x v="1"/>
    <x v="3"/>
    <x v="0"/>
    <x v="6"/>
    <x v="30"/>
    <x v="31"/>
    <n v="40"/>
    <x v="158"/>
    <x v="163"/>
  </r>
  <r>
    <x v="3"/>
    <x v="3"/>
    <x v="0"/>
    <x v="3"/>
    <x v="1"/>
    <x v="6"/>
    <x v="31"/>
    <x v="20"/>
    <n v="69"/>
    <x v="159"/>
    <x v="164"/>
  </r>
  <r>
    <x v="0"/>
    <x v="0"/>
    <x v="0"/>
    <x v="3"/>
    <x v="1"/>
    <x v="6"/>
    <x v="31"/>
    <x v="32"/>
    <n v="51"/>
    <x v="160"/>
    <x v="165"/>
  </r>
  <r>
    <x v="0"/>
    <x v="0"/>
    <x v="2"/>
    <x v="3"/>
    <x v="1"/>
    <x v="6"/>
    <x v="31"/>
    <x v="32"/>
    <n v="39"/>
    <x v="161"/>
    <x v="166"/>
  </r>
  <r>
    <x v="2"/>
    <x v="2"/>
    <x v="2"/>
    <x v="3"/>
    <x v="1"/>
    <x v="6"/>
    <x v="31"/>
    <x v="33"/>
    <n v="41"/>
    <x v="82"/>
    <x v="167"/>
  </r>
  <r>
    <x v="0"/>
    <x v="0"/>
    <x v="0"/>
    <x v="3"/>
    <x v="2"/>
    <x v="6"/>
    <x v="32"/>
    <x v="32"/>
    <n v="44"/>
    <x v="162"/>
    <x v="168"/>
  </r>
  <r>
    <x v="0"/>
    <x v="0"/>
    <x v="2"/>
    <x v="3"/>
    <x v="2"/>
    <x v="6"/>
    <x v="32"/>
    <x v="32"/>
    <n v="50"/>
    <x v="119"/>
    <x v="169"/>
  </r>
  <r>
    <x v="2"/>
    <x v="2"/>
    <x v="2"/>
    <x v="3"/>
    <x v="2"/>
    <x v="6"/>
    <x v="32"/>
    <x v="33"/>
    <n v="40"/>
    <x v="163"/>
    <x v="170"/>
  </r>
  <r>
    <x v="5"/>
    <x v="5"/>
    <x v="1"/>
    <x v="3"/>
    <x v="2"/>
    <x v="6"/>
    <x v="32"/>
    <x v="34"/>
    <n v="24"/>
    <x v="164"/>
    <x v="171"/>
  </r>
  <r>
    <x v="0"/>
    <x v="0"/>
    <x v="0"/>
    <x v="3"/>
    <x v="3"/>
    <x v="7"/>
    <x v="33"/>
    <x v="32"/>
    <n v="70"/>
    <x v="61"/>
    <x v="172"/>
  </r>
  <r>
    <x v="1"/>
    <x v="1"/>
    <x v="0"/>
    <x v="3"/>
    <x v="3"/>
    <x v="7"/>
    <x v="33"/>
    <x v="35"/>
    <n v="25"/>
    <x v="165"/>
    <x v="173"/>
  </r>
  <r>
    <x v="5"/>
    <x v="5"/>
    <x v="1"/>
    <x v="3"/>
    <x v="3"/>
    <x v="7"/>
    <x v="33"/>
    <x v="34"/>
    <n v="18"/>
    <x v="166"/>
    <x v="174"/>
  </r>
  <r>
    <x v="2"/>
    <x v="2"/>
    <x v="1"/>
    <x v="3"/>
    <x v="3"/>
    <x v="7"/>
    <x v="33"/>
    <x v="33"/>
    <n v="28"/>
    <x v="167"/>
    <x v="175"/>
  </r>
  <r>
    <x v="3"/>
    <x v="3"/>
    <x v="0"/>
    <x v="3"/>
    <x v="4"/>
    <x v="7"/>
    <x v="34"/>
    <x v="26"/>
    <n v="45"/>
    <x v="168"/>
    <x v="176"/>
  </r>
  <r>
    <x v="4"/>
    <x v="4"/>
    <x v="0"/>
    <x v="3"/>
    <x v="4"/>
    <x v="7"/>
    <x v="34"/>
    <x v="36"/>
    <n v="24"/>
    <x v="169"/>
    <x v="177"/>
  </r>
  <r>
    <x v="0"/>
    <x v="0"/>
    <x v="0"/>
    <x v="3"/>
    <x v="4"/>
    <x v="7"/>
    <x v="34"/>
    <x v="37"/>
    <n v="111"/>
    <x v="170"/>
    <x v="178"/>
  </r>
  <r>
    <x v="1"/>
    <x v="1"/>
    <x v="0"/>
    <x v="3"/>
    <x v="4"/>
    <x v="7"/>
    <x v="34"/>
    <x v="38"/>
    <n v="32"/>
    <x v="171"/>
    <x v="179"/>
  </r>
  <r>
    <x v="4"/>
    <x v="4"/>
    <x v="2"/>
    <x v="3"/>
    <x v="4"/>
    <x v="7"/>
    <x v="34"/>
    <x v="36"/>
    <n v="28"/>
    <x v="172"/>
    <x v="180"/>
  </r>
  <r>
    <x v="0"/>
    <x v="0"/>
    <x v="2"/>
    <x v="3"/>
    <x v="4"/>
    <x v="7"/>
    <x v="34"/>
    <x v="37"/>
    <n v="39"/>
    <x v="173"/>
    <x v="166"/>
  </r>
  <r>
    <x v="1"/>
    <x v="1"/>
    <x v="1"/>
    <x v="3"/>
    <x v="4"/>
    <x v="7"/>
    <x v="34"/>
    <x v="38"/>
    <n v="25"/>
    <x v="174"/>
    <x v="173"/>
  </r>
  <r>
    <x v="2"/>
    <x v="2"/>
    <x v="2"/>
    <x v="3"/>
    <x v="5"/>
    <x v="7"/>
    <x v="35"/>
    <x v="39"/>
    <n v="31"/>
    <x v="175"/>
    <x v="181"/>
  </r>
  <r>
    <x v="4"/>
    <x v="4"/>
    <x v="2"/>
    <x v="3"/>
    <x v="5"/>
    <x v="7"/>
    <x v="35"/>
    <x v="36"/>
    <n v="23"/>
    <x v="176"/>
    <x v="182"/>
  </r>
  <r>
    <x v="1"/>
    <x v="1"/>
    <x v="2"/>
    <x v="3"/>
    <x v="5"/>
    <x v="7"/>
    <x v="35"/>
    <x v="38"/>
    <n v="27"/>
    <x v="177"/>
    <x v="183"/>
  </r>
  <r>
    <x v="5"/>
    <x v="5"/>
    <x v="1"/>
    <x v="3"/>
    <x v="5"/>
    <x v="7"/>
    <x v="35"/>
    <x v="40"/>
    <n v="24"/>
    <x v="178"/>
    <x v="184"/>
  </r>
  <r>
    <x v="1"/>
    <x v="1"/>
    <x v="1"/>
    <x v="3"/>
    <x v="5"/>
    <x v="7"/>
    <x v="35"/>
    <x v="38"/>
    <n v="31"/>
    <x v="179"/>
    <x v="185"/>
  </r>
  <r>
    <x v="0"/>
    <x v="0"/>
    <x v="2"/>
    <x v="3"/>
    <x v="6"/>
    <x v="7"/>
    <x v="36"/>
    <x v="37"/>
    <n v="50"/>
    <x v="165"/>
    <x v="186"/>
  </r>
  <r>
    <x v="0"/>
    <x v="0"/>
    <x v="2"/>
    <x v="3"/>
    <x v="7"/>
    <x v="7"/>
    <x v="37"/>
    <x v="41"/>
    <n v="58"/>
    <x v="180"/>
    <x v="187"/>
  </r>
  <r>
    <x v="1"/>
    <x v="1"/>
    <x v="2"/>
    <x v="3"/>
    <x v="7"/>
    <x v="7"/>
    <x v="37"/>
    <x v="42"/>
    <n v="27"/>
    <x v="181"/>
    <x v="183"/>
  </r>
  <r>
    <x v="2"/>
    <x v="2"/>
    <x v="2"/>
    <x v="3"/>
    <x v="7"/>
    <x v="7"/>
    <x v="37"/>
    <x v="43"/>
    <n v="27"/>
    <x v="167"/>
    <x v="18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x v="0"/>
    <n v="600"/>
    <n v="600"/>
  </r>
  <r>
    <x v="1"/>
    <x v="0"/>
    <x v="0"/>
    <x v="1"/>
    <n v="447"/>
    <n v="600"/>
  </r>
  <r>
    <x v="2"/>
    <x v="0"/>
    <x v="0"/>
    <x v="2"/>
    <n v="296"/>
    <n v="600"/>
  </r>
  <r>
    <x v="2"/>
    <x v="1"/>
    <x v="0"/>
    <x v="3"/>
    <n v="195"/>
    <n v="600"/>
  </r>
  <r>
    <x v="2"/>
    <x v="2"/>
    <x v="0"/>
    <x v="4"/>
    <n v="143"/>
    <n v="632"/>
  </r>
  <r>
    <x v="3"/>
    <x v="3"/>
    <x v="0"/>
    <x v="5"/>
    <n v="202"/>
    <n v="657"/>
  </r>
  <r>
    <x v="0"/>
    <x v="0"/>
    <x v="1"/>
    <x v="0"/>
    <n v="600"/>
    <n v="600"/>
  </r>
  <r>
    <x v="1"/>
    <x v="0"/>
    <x v="1"/>
    <x v="1"/>
    <n v="349"/>
    <n v="600"/>
  </r>
  <r>
    <x v="2"/>
    <x v="0"/>
    <x v="1"/>
    <x v="2"/>
    <n v="367"/>
    <n v="600"/>
  </r>
  <r>
    <x v="2"/>
    <x v="1"/>
    <x v="1"/>
    <x v="3"/>
    <n v="87"/>
    <n v="600"/>
  </r>
  <r>
    <x v="2"/>
    <x v="2"/>
    <x v="1"/>
    <x v="4"/>
    <n v="96"/>
    <n v="600"/>
  </r>
  <r>
    <x v="3"/>
    <x v="3"/>
    <x v="1"/>
    <x v="5"/>
    <n v="82"/>
    <n v="600"/>
  </r>
  <r>
    <x v="0"/>
    <x v="0"/>
    <x v="2"/>
    <x v="0"/>
    <n v="600"/>
    <n v="600"/>
  </r>
  <r>
    <x v="1"/>
    <x v="0"/>
    <x v="2"/>
    <x v="1"/>
    <n v="355"/>
    <n v="600"/>
  </r>
  <r>
    <x v="2"/>
    <x v="0"/>
    <x v="2"/>
    <x v="2"/>
    <n v="264"/>
    <n v="600"/>
  </r>
  <r>
    <x v="2"/>
    <x v="1"/>
    <x v="2"/>
    <x v="3"/>
    <n v="50"/>
    <n v="600"/>
  </r>
  <r>
    <x v="2"/>
    <x v="2"/>
    <x v="2"/>
    <x v="4"/>
    <n v="71"/>
    <n v="600"/>
  </r>
  <r>
    <x v="3"/>
    <x v="3"/>
    <x v="2"/>
    <x v="5"/>
    <n v="73"/>
    <n v="652"/>
  </r>
  <r>
    <x v="0"/>
    <x v="0"/>
    <x v="3"/>
    <x v="0"/>
    <n v="600"/>
    <n v="600"/>
  </r>
  <r>
    <x v="1"/>
    <x v="0"/>
    <x v="3"/>
    <x v="1"/>
    <n v="432"/>
    <n v="600"/>
  </r>
  <r>
    <x v="2"/>
    <x v="0"/>
    <x v="3"/>
    <x v="2"/>
    <n v="332"/>
    <n v="600"/>
  </r>
  <r>
    <x v="2"/>
    <x v="1"/>
    <x v="3"/>
    <x v="3"/>
    <n v="110"/>
    <n v="600"/>
  </r>
  <r>
    <x v="2"/>
    <x v="2"/>
    <x v="3"/>
    <x v="4"/>
    <n v="193"/>
    <n v="751"/>
  </r>
  <r>
    <x v="3"/>
    <x v="3"/>
    <x v="3"/>
    <x v="5"/>
    <n v="109"/>
    <n v="600"/>
  </r>
  <r>
    <x v="0"/>
    <x v="0"/>
    <x v="4"/>
    <x v="0"/>
    <n v="600"/>
    <n v="600"/>
  </r>
  <r>
    <x v="1"/>
    <x v="0"/>
    <x v="4"/>
    <x v="1"/>
    <n v="594"/>
    <n v="600"/>
  </r>
  <r>
    <x v="2"/>
    <x v="0"/>
    <x v="4"/>
    <x v="2"/>
    <n v="874"/>
    <n v="1000"/>
  </r>
  <r>
    <x v="2"/>
    <x v="1"/>
    <x v="4"/>
    <x v="3"/>
    <n v="224"/>
    <n v="1000"/>
  </r>
  <r>
    <x v="2"/>
    <x v="2"/>
    <x v="4"/>
    <x v="4"/>
    <n v="364"/>
    <n v="1131"/>
  </r>
  <r>
    <x v="3"/>
    <x v="3"/>
    <x v="4"/>
    <x v="5"/>
    <n v="399"/>
    <n v="1045"/>
  </r>
  <r>
    <x v="0"/>
    <x v="0"/>
    <x v="5"/>
    <x v="0"/>
    <n v="600"/>
    <n v="600"/>
  </r>
  <r>
    <x v="1"/>
    <x v="0"/>
    <x v="5"/>
    <x v="1"/>
    <n v="450"/>
    <n v="600"/>
  </r>
  <r>
    <x v="2"/>
    <x v="0"/>
    <x v="5"/>
    <x v="2"/>
    <n v="903"/>
    <n v="1000"/>
  </r>
  <r>
    <x v="2"/>
    <x v="1"/>
    <x v="5"/>
    <x v="3"/>
    <n v="100"/>
    <n v="1000"/>
  </r>
  <r>
    <x v="2"/>
    <x v="2"/>
    <x v="5"/>
    <x v="4"/>
    <n v="535"/>
    <n v="1087"/>
  </r>
  <r>
    <x v="3"/>
    <x v="3"/>
    <x v="5"/>
    <x v="5"/>
    <n v="512"/>
    <n v="11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8">
  <r>
    <s v="01/04"/>
    <s v="4900000006"/>
    <x v="0"/>
    <x v="0"/>
    <x v="0"/>
    <x v="0"/>
    <x v="0"/>
    <x v="0"/>
    <x v="0"/>
    <x v="0"/>
    <x v="0"/>
    <x v="0"/>
    <n v="1986.78"/>
    <n v="-1986.78"/>
  </r>
  <r>
    <s v="01/04"/>
    <s v="4900000006"/>
    <x v="0"/>
    <x v="0"/>
    <x v="0"/>
    <x v="1"/>
    <x v="1"/>
    <x v="1"/>
    <x v="1"/>
    <x v="1"/>
    <x v="1"/>
    <x v="1"/>
    <n v="1986.78"/>
    <n v="1986.78"/>
  </r>
  <r>
    <s v="01/04"/>
    <s v="4900000006"/>
    <x v="0"/>
    <x v="0"/>
    <x v="0"/>
    <x v="0"/>
    <x v="0"/>
    <x v="0"/>
    <x v="0"/>
    <x v="0"/>
    <x v="0"/>
    <x v="0"/>
    <n v="2101.39"/>
    <n v="-2101.39"/>
  </r>
  <r>
    <s v="01/04"/>
    <s v="4900000006"/>
    <x v="0"/>
    <x v="0"/>
    <x v="0"/>
    <x v="1"/>
    <x v="1"/>
    <x v="1"/>
    <x v="1"/>
    <x v="1"/>
    <x v="1"/>
    <x v="1"/>
    <n v="2101.39"/>
    <n v="2101.39"/>
  </r>
  <r>
    <s v="01/04"/>
    <s v="4900000006"/>
    <x v="0"/>
    <x v="0"/>
    <x v="0"/>
    <x v="0"/>
    <x v="0"/>
    <x v="0"/>
    <x v="0"/>
    <x v="0"/>
    <x v="0"/>
    <x v="0"/>
    <n v="1715.38"/>
    <n v="-1715.38"/>
  </r>
  <r>
    <s v="01/04"/>
    <s v="4900000006"/>
    <x v="0"/>
    <x v="0"/>
    <x v="0"/>
    <x v="1"/>
    <x v="1"/>
    <x v="1"/>
    <x v="1"/>
    <x v="1"/>
    <x v="1"/>
    <x v="1"/>
    <n v="1715.38"/>
    <n v="1715.38"/>
  </r>
  <r>
    <s v="01/04"/>
    <s v="4900000006"/>
    <x v="0"/>
    <x v="0"/>
    <x v="0"/>
    <x v="0"/>
    <x v="0"/>
    <x v="0"/>
    <x v="0"/>
    <x v="0"/>
    <x v="0"/>
    <x v="0"/>
    <n v="883.68"/>
    <n v="-883.68"/>
  </r>
  <r>
    <s v="01/04"/>
    <s v="4900000006"/>
    <x v="0"/>
    <x v="0"/>
    <x v="0"/>
    <x v="1"/>
    <x v="1"/>
    <x v="1"/>
    <x v="1"/>
    <x v="1"/>
    <x v="1"/>
    <x v="1"/>
    <n v="883.68"/>
    <n v="883.68"/>
  </r>
  <r>
    <s v="01/04"/>
    <s v="4900000006"/>
    <x v="0"/>
    <x v="0"/>
    <x v="0"/>
    <x v="0"/>
    <x v="0"/>
    <x v="0"/>
    <x v="0"/>
    <x v="0"/>
    <x v="0"/>
    <x v="0"/>
    <n v="1579.46"/>
    <n v="-1579.46"/>
  </r>
  <r>
    <s v="01/04"/>
    <s v="4900000006"/>
    <x v="0"/>
    <x v="0"/>
    <x v="0"/>
    <x v="1"/>
    <x v="1"/>
    <x v="1"/>
    <x v="1"/>
    <x v="1"/>
    <x v="1"/>
    <x v="1"/>
    <n v="1579.46"/>
    <n v="1579.46"/>
  </r>
  <r>
    <s v="01/04"/>
    <s v="4900000006"/>
    <x v="0"/>
    <x v="0"/>
    <x v="0"/>
    <x v="0"/>
    <x v="0"/>
    <x v="0"/>
    <x v="0"/>
    <x v="0"/>
    <x v="0"/>
    <x v="0"/>
    <n v="1499.86"/>
    <n v="-1499.86"/>
  </r>
  <r>
    <s v="01/04"/>
    <s v="4900000006"/>
    <x v="0"/>
    <x v="0"/>
    <x v="0"/>
    <x v="1"/>
    <x v="1"/>
    <x v="1"/>
    <x v="1"/>
    <x v="1"/>
    <x v="1"/>
    <x v="1"/>
    <n v="1499.86"/>
    <n v="1499.86"/>
  </r>
  <r>
    <s v="01/04"/>
    <s v="4900000007"/>
    <x v="0"/>
    <x v="0"/>
    <x v="0"/>
    <x v="0"/>
    <x v="0"/>
    <x v="0"/>
    <x v="0"/>
    <x v="0"/>
    <x v="0"/>
    <x v="0"/>
    <n v="1956.47"/>
    <n v="-1956.47"/>
  </r>
  <r>
    <s v="01/04"/>
    <s v="4900000007"/>
    <x v="0"/>
    <x v="0"/>
    <x v="0"/>
    <x v="1"/>
    <x v="1"/>
    <x v="1"/>
    <x v="1"/>
    <x v="1"/>
    <x v="1"/>
    <x v="1"/>
    <n v="1956.47"/>
    <n v="1956.47"/>
  </r>
  <r>
    <s v="01/04"/>
    <s v="4900000008"/>
    <x v="0"/>
    <x v="0"/>
    <x v="0"/>
    <x v="0"/>
    <x v="0"/>
    <x v="0"/>
    <x v="0"/>
    <x v="0"/>
    <x v="0"/>
    <x v="0"/>
    <n v="1444.93"/>
    <n v="-1444.93"/>
  </r>
  <r>
    <s v="01/04"/>
    <s v="4900000008"/>
    <x v="0"/>
    <x v="0"/>
    <x v="0"/>
    <x v="1"/>
    <x v="1"/>
    <x v="1"/>
    <x v="1"/>
    <x v="1"/>
    <x v="1"/>
    <x v="1"/>
    <n v="1444.93"/>
    <n v="1444.93"/>
  </r>
  <r>
    <s v="01/04"/>
    <s v="4900000008"/>
    <x v="0"/>
    <x v="0"/>
    <x v="0"/>
    <x v="0"/>
    <x v="0"/>
    <x v="0"/>
    <x v="0"/>
    <x v="0"/>
    <x v="0"/>
    <x v="0"/>
    <n v="60.21"/>
    <n v="-60.21"/>
  </r>
  <r>
    <s v="01/04"/>
    <s v="4900000008"/>
    <x v="0"/>
    <x v="0"/>
    <x v="0"/>
    <x v="1"/>
    <x v="1"/>
    <x v="1"/>
    <x v="1"/>
    <x v="1"/>
    <x v="1"/>
    <x v="1"/>
    <n v="60.21"/>
    <n v="60.21"/>
  </r>
  <r>
    <s v="01/04"/>
    <s v="4900000009"/>
    <x v="0"/>
    <x v="0"/>
    <x v="0"/>
    <x v="0"/>
    <x v="0"/>
    <x v="0"/>
    <x v="0"/>
    <x v="0"/>
    <x v="0"/>
    <x v="0"/>
    <n v="1496.33"/>
    <n v="-1496.33"/>
  </r>
  <r>
    <s v="01/04"/>
    <s v="4900000009"/>
    <x v="0"/>
    <x v="0"/>
    <x v="0"/>
    <x v="1"/>
    <x v="1"/>
    <x v="1"/>
    <x v="1"/>
    <x v="1"/>
    <x v="1"/>
    <x v="1"/>
    <n v="1496.33"/>
    <n v="1496.33"/>
  </r>
  <r>
    <s v="01/04"/>
    <s v="4900000009"/>
    <x v="0"/>
    <x v="0"/>
    <x v="0"/>
    <x v="0"/>
    <x v="0"/>
    <x v="0"/>
    <x v="0"/>
    <x v="0"/>
    <x v="0"/>
    <x v="0"/>
    <n v="807.62"/>
    <n v="-807.62"/>
  </r>
  <r>
    <s v="01/04"/>
    <s v="4900000009"/>
    <x v="0"/>
    <x v="0"/>
    <x v="0"/>
    <x v="1"/>
    <x v="1"/>
    <x v="1"/>
    <x v="1"/>
    <x v="1"/>
    <x v="1"/>
    <x v="1"/>
    <n v="807.62"/>
    <n v="807.62"/>
  </r>
  <r>
    <s v="01/04"/>
    <s v="0090002105"/>
    <x v="0"/>
    <x v="0"/>
    <x v="0"/>
    <x v="2"/>
    <x v="0"/>
    <x v="0"/>
    <x v="2"/>
    <x v="2"/>
    <x v="2"/>
    <x v="1"/>
    <n v="2107.84"/>
    <n v="2107.84"/>
  </r>
  <r>
    <s v="01/04"/>
    <s v="0090002105"/>
    <x v="0"/>
    <x v="0"/>
    <x v="0"/>
    <x v="3"/>
    <x v="1"/>
    <x v="2"/>
    <x v="3"/>
    <x v="3"/>
    <x v="3"/>
    <x v="0"/>
    <n v="2107.84"/>
    <n v="-2107.84"/>
  </r>
  <r>
    <s v="01/04"/>
    <s v="0090002110"/>
    <x v="0"/>
    <x v="0"/>
    <x v="0"/>
    <x v="2"/>
    <x v="0"/>
    <x v="0"/>
    <x v="2"/>
    <x v="2"/>
    <x v="2"/>
    <x v="1"/>
    <n v="1641.25"/>
    <n v="1641.25"/>
  </r>
  <r>
    <s v="01/04"/>
    <s v="0090002110"/>
    <x v="0"/>
    <x v="0"/>
    <x v="0"/>
    <x v="3"/>
    <x v="1"/>
    <x v="2"/>
    <x v="3"/>
    <x v="3"/>
    <x v="3"/>
    <x v="0"/>
    <n v="1641.25"/>
    <n v="-1641.25"/>
  </r>
  <r>
    <s v="01/04"/>
    <s v="0090002109"/>
    <x v="0"/>
    <x v="0"/>
    <x v="0"/>
    <x v="2"/>
    <x v="0"/>
    <x v="0"/>
    <x v="2"/>
    <x v="2"/>
    <x v="2"/>
    <x v="1"/>
    <n v="1728.05"/>
    <n v="1728.05"/>
  </r>
  <r>
    <s v="01/04"/>
    <s v="0090002109"/>
    <x v="0"/>
    <x v="0"/>
    <x v="0"/>
    <x v="3"/>
    <x v="1"/>
    <x v="2"/>
    <x v="3"/>
    <x v="3"/>
    <x v="3"/>
    <x v="0"/>
    <n v="1728.05"/>
    <n v="-1728.05"/>
  </r>
  <r>
    <s v="01/04"/>
    <s v="0090002111"/>
    <x v="0"/>
    <x v="0"/>
    <x v="0"/>
    <x v="2"/>
    <x v="0"/>
    <x v="0"/>
    <x v="2"/>
    <x v="2"/>
    <x v="2"/>
    <x v="1"/>
    <n v="2140.56"/>
    <n v="2140.56"/>
  </r>
  <r>
    <s v="01/04"/>
    <s v="0090002111"/>
    <x v="0"/>
    <x v="0"/>
    <x v="0"/>
    <x v="3"/>
    <x v="1"/>
    <x v="2"/>
    <x v="3"/>
    <x v="3"/>
    <x v="3"/>
    <x v="0"/>
    <n v="2140.56"/>
    <n v="-2140.56"/>
  </r>
  <r>
    <s v="01/04"/>
    <s v="0090002106"/>
    <x v="0"/>
    <x v="0"/>
    <x v="0"/>
    <x v="2"/>
    <x v="0"/>
    <x v="0"/>
    <x v="2"/>
    <x v="2"/>
    <x v="2"/>
    <x v="1"/>
    <n v="2173.71"/>
    <n v="2173.71"/>
  </r>
  <r>
    <s v="01/04"/>
    <s v="0090002106"/>
    <x v="0"/>
    <x v="0"/>
    <x v="0"/>
    <x v="3"/>
    <x v="1"/>
    <x v="2"/>
    <x v="3"/>
    <x v="3"/>
    <x v="3"/>
    <x v="0"/>
    <n v="2173.71"/>
    <n v="-2173.71"/>
  </r>
  <r>
    <s v="01/04"/>
    <s v="0090002107"/>
    <x v="0"/>
    <x v="0"/>
    <x v="0"/>
    <x v="2"/>
    <x v="0"/>
    <x v="0"/>
    <x v="2"/>
    <x v="2"/>
    <x v="2"/>
    <x v="1"/>
    <n v="2299.12"/>
    <n v="2299.12"/>
  </r>
  <r>
    <s v="01/04"/>
    <s v="0090002107"/>
    <x v="0"/>
    <x v="0"/>
    <x v="0"/>
    <x v="3"/>
    <x v="1"/>
    <x v="2"/>
    <x v="3"/>
    <x v="3"/>
    <x v="3"/>
    <x v="0"/>
    <n v="2299.12"/>
    <n v="-2299.12"/>
  </r>
  <r>
    <s v="01/04"/>
    <s v="0090002108"/>
    <x v="0"/>
    <x v="0"/>
    <x v="0"/>
    <x v="2"/>
    <x v="0"/>
    <x v="0"/>
    <x v="2"/>
    <x v="2"/>
    <x v="2"/>
    <x v="1"/>
    <n v="2843"/>
    <n v="2843"/>
  </r>
  <r>
    <s v="01/04"/>
    <s v="0090002108"/>
    <x v="0"/>
    <x v="0"/>
    <x v="0"/>
    <x v="3"/>
    <x v="1"/>
    <x v="2"/>
    <x v="3"/>
    <x v="3"/>
    <x v="3"/>
    <x v="0"/>
    <n v="1876.38"/>
    <n v="-1876.38"/>
  </r>
  <r>
    <s v="01/04"/>
    <s v="0090002108"/>
    <x v="0"/>
    <x v="0"/>
    <x v="0"/>
    <x v="3"/>
    <x v="1"/>
    <x v="2"/>
    <x v="3"/>
    <x v="3"/>
    <x v="3"/>
    <x v="0"/>
    <n v="966.62"/>
    <n v="-966.62"/>
  </r>
  <r>
    <s v="01/04"/>
    <s v="0090002113"/>
    <x v="0"/>
    <x v="0"/>
    <x v="0"/>
    <x v="2"/>
    <x v="0"/>
    <x v="0"/>
    <x v="2"/>
    <x v="2"/>
    <x v="2"/>
    <x v="1"/>
    <n v="1637.1"/>
    <n v="1637.1"/>
  </r>
  <r>
    <s v="01/04"/>
    <s v="0090002113"/>
    <x v="0"/>
    <x v="0"/>
    <x v="0"/>
    <x v="3"/>
    <x v="1"/>
    <x v="2"/>
    <x v="3"/>
    <x v="3"/>
    <x v="3"/>
    <x v="0"/>
    <n v="1637.1"/>
    <n v="-1637.1"/>
  </r>
  <r>
    <s v="01/04"/>
    <s v="0090002114"/>
    <x v="0"/>
    <x v="0"/>
    <x v="0"/>
    <x v="2"/>
    <x v="0"/>
    <x v="0"/>
    <x v="2"/>
    <x v="2"/>
    <x v="2"/>
    <x v="1"/>
    <n v="883.75"/>
    <n v="883.75"/>
  </r>
  <r>
    <s v="01/04"/>
    <s v="0090002114"/>
    <x v="0"/>
    <x v="0"/>
    <x v="0"/>
    <x v="3"/>
    <x v="1"/>
    <x v="2"/>
    <x v="3"/>
    <x v="3"/>
    <x v="3"/>
    <x v="0"/>
    <n v="883.75"/>
    <n v="-883.75"/>
  </r>
  <r>
    <s v="01/04"/>
    <s v="4900000005"/>
    <x v="0"/>
    <x v="0"/>
    <x v="0"/>
    <x v="0"/>
    <x v="0"/>
    <x v="0"/>
    <x v="0"/>
    <x v="0"/>
    <x v="0"/>
    <x v="0"/>
    <n v="1926.58"/>
    <n v="-1926.58"/>
  </r>
  <r>
    <s v="01/04"/>
    <s v="4900000005"/>
    <x v="0"/>
    <x v="0"/>
    <x v="0"/>
    <x v="1"/>
    <x v="1"/>
    <x v="1"/>
    <x v="1"/>
    <x v="1"/>
    <x v="1"/>
    <x v="1"/>
    <n v="1926.58"/>
    <n v="1926.58"/>
  </r>
  <r>
    <s v="01/04"/>
    <s v="0090002112"/>
    <x v="0"/>
    <x v="0"/>
    <x v="0"/>
    <x v="2"/>
    <x v="0"/>
    <x v="0"/>
    <x v="2"/>
    <x v="2"/>
    <x v="2"/>
    <x v="1"/>
    <n v="1646.75"/>
    <n v="1646.75"/>
  </r>
  <r>
    <s v="01/09"/>
    <s v="4900000026"/>
    <x v="0"/>
    <x v="1"/>
    <x v="1"/>
    <x v="0"/>
    <x v="0"/>
    <x v="0"/>
    <x v="0"/>
    <x v="0"/>
    <x v="0"/>
    <x v="0"/>
    <n v="2161.37"/>
    <n v="-2161.37"/>
  </r>
  <r>
    <s v="01/09"/>
    <s v="4900000026"/>
    <x v="0"/>
    <x v="1"/>
    <x v="1"/>
    <x v="1"/>
    <x v="1"/>
    <x v="1"/>
    <x v="1"/>
    <x v="1"/>
    <x v="1"/>
    <x v="1"/>
    <n v="2161.37"/>
    <n v="2161.37"/>
  </r>
  <r>
    <s v="01/09"/>
    <s v="4900000026"/>
    <x v="0"/>
    <x v="1"/>
    <x v="1"/>
    <x v="0"/>
    <x v="0"/>
    <x v="0"/>
    <x v="0"/>
    <x v="0"/>
    <x v="0"/>
    <x v="0"/>
    <n v="1299.53"/>
    <n v="-1299.53"/>
  </r>
  <r>
    <s v="01/09"/>
    <s v="4900000026"/>
    <x v="0"/>
    <x v="1"/>
    <x v="1"/>
    <x v="1"/>
    <x v="1"/>
    <x v="1"/>
    <x v="1"/>
    <x v="1"/>
    <x v="1"/>
    <x v="1"/>
    <n v="1299.53"/>
    <n v="1299.53"/>
  </r>
  <r>
    <s v="01/09"/>
    <s v="4900000026"/>
    <x v="0"/>
    <x v="1"/>
    <x v="1"/>
    <x v="0"/>
    <x v="0"/>
    <x v="0"/>
    <x v="0"/>
    <x v="0"/>
    <x v="0"/>
    <x v="0"/>
    <n v="1499.86"/>
    <n v="-1499.86"/>
  </r>
  <r>
    <s v="01/09"/>
    <s v="4900000026"/>
    <x v="0"/>
    <x v="1"/>
    <x v="1"/>
    <x v="1"/>
    <x v="1"/>
    <x v="1"/>
    <x v="1"/>
    <x v="1"/>
    <x v="1"/>
    <x v="1"/>
    <n v="1499.86"/>
    <n v="1499.86"/>
  </r>
  <r>
    <s v="01/09"/>
    <s v="4900000026"/>
    <x v="0"/>
    <x v="1"/>
    <x v="1"/>
    <x v="0"/>
    <x v="0"/>
    <x v="0"/>
    <x v="0"/>
    <x v="0"/>
    <x v="0"/>
    <x v="0"/>
    <n v="1956.47"/>
    <n v="-1956.47"/>
  </r>
  <r>
    <s v="01/09"/>
    <s v="4900000026"/>
    <x v="0"/>
    <x v="1"/>
    <x v="1"/>
    <x v="1"/>
    <x v="1"/>
    <x v="1"/>
    <x v="1"/>
    <x v="1"/>
    <x v="1"/>
    <x v="1"/>
    <n v="1956.47"/>
    <n v="1956.47"/>
  </r>
  <r>
    <s v="01/09"/>
    <s v="4900000026"/>
    <x v="0"/>
    <x v="1"/>
    <x v="1"/>
    <x v="0"/>
    <x v="0"/>
    <x v="0"/>
    <x v="0"/>
    <x v="0"/>
    <x v="0"/>
    <x v="0"/>
    <n v="115.37"/>
    <n v="-115.37"/>
  </r>
  <r>
    <s v="01/09"/>
    <s v="4900000026"/>
    <x v="0"/>
    <x v="1"/>
    <x v="1"/>
    <x v="1"/>
    <x v="1"/>
    <x v="1"/>
    <x v="1"/>
    <x v="1"/>
    <x v="1"/>
    <x v="1"/>
    <n v="115.37"/>
    <n v="115.37"/>
  </r>
  <r>
    <s v="01/09"/>
    <s v="4900000026"/>
    <x v="0"/>
    <x v="1"/>
    <x v="1"/>
    <x v="0"/>
    <x v="0"/>
    <x v="0"/>
    <x v="0"/>
    <x v="0"/>
    <x v="0"/>
    <x v="0"/>
    <n v="1344.92"/>
    <n v="-1344.92"/>
  </r>
  <r>
    <s v="01/09"/>
    <s v="4900000026"/>
    <x v="0"/>
    <x v="1"/>
    <x v="1"/>
    <x v="1"/>
    <x v="1"/>
    <x v="1"/>
    <x v="1"/>
    <x v="1"/>
    <x v="1"/>
    <x v="1"/>
    <n v="1344.92"/>
    <n v="1344.92"/>
  </r>
  <r>
    <s v="01/09"/>
    <s v="4900000026"/>
    <x v="0"/>
    <x v="1"/>
    <x v="1"/>
    <x v="0"/>
    <x v="0"/>
    <x v="0"/>
    <x v="0"/>
    <x v="0"/>
    <x v="0"/>
    <x v="0"/>
    <n v="1952.31"/>
    <n v="-1952.31"/>
  </r>
  <r>
    <s v="01/09"/>
    <s v="4900000026"/>
    <x v="0"/>
    <x v="1"/>
    <x v="1"/>
    <x v="1"/>
    <x v="1"/>
    <x v="1"/>
    <x v="1"/>
    <x v="1"/>
    <x v="1"/>
    <x v="1"/>
    <n v="1952.31"/>
    <n v="1952.31"/>
  </r>
  <r>
    <s v="01/09"/>
    <s v="4900000026"/>
    <x v="0"/>
    <x v="1"/>
    <x v="1"/>
    <x v="0"/>
    <x v="0"/>
    <x v="0"/>
    <x v="0"/>
    <x v="0"/>
    <x v="0"/>
    <x v="0"/>
    <n v="173.54"/>
    <n v="-173.54"/>
  </r>
  <r>
    <s v="01/09"/>
    <s v="4900000026"/>
    <x v="0"/>
    <x v="1"/>
    <x v="1"/>
    <x v="1"/>
    <x v="1"/>
    <x v="1"/>
    <x v="1"/>
    <x v="1"/>
    <x v="1"/>
    <x v="1"/>
    <n v="173.54"/>
    <n v="173.54"/>
  </r>
  <r>
    <s v="01/09"/>
    <s v="4900000026"/>
    <x v="0"/>
    <x v="1"/>
    <x v="1"/>
    <x v="0"/>
    <x v="0"/>
    <x v="0"/>
    <x v="0"/>
    <x v="0"/>
    <x v="0"/>
    <x v="0"/>
    <n v="1866.37"/>
    <n v="-1866.37"/>
  </r>
  <r>
    <s v="01/09"/>
    <s v="4900000026"/>
    <x v="0"/>
    <x v="1"/>
    <x v="1"/>
    <x v="1"/>
    <x v="1"/>
    <x v="1"/>
    <x v="1"/>
    <x v="1"/>
    <x v="1"/>
    <x v="1"/>
    <n v="1866.37"/>
    <n v="1866.37"/>
  </r>
  <r>
    <s v="01/09"/>
    <s v="4900000027"/>
    <x v="0"/>
    <x v="1"/>
    <x v="1"/>
    <x v="0"/>
    <x v="0"/>
    <x v="0"/>
    <x v="0"/>
    <x v="0"/>
    <x v="0"/>
    <x v="0"/>
    <n v="867.69"/>
    <n v="-867.69"/>
  </r>
  <r>
    <s v="01/09"/>
    <s v="4900000027"/>
    <x v="0"/>
    <x v="1"/>
    <x v="1"/>
    <x v="1"/>
    <x v="1"/>
    <x v="1"/>
    <x v="1"/>
    <x v="1"/>
    <x v="1"/>
    <x v="1"/>
    <n v="867.69"/>
    <n v="867.69"/>
  </r>
  <r>
    <s v="01/09"/>
    <s v="4900000028"/>
    <x v="0"/>
    <x v="1"/>
    <x v="1"/>
    <x v="0"/>
    <x v="0"/>
    <x v="0"/>
    <x v="0"/>
    <x v="0"/>
    <x v="0"/>
    <x v="0"/>
    <n v="1444.93"/>
    <n v="-1444.93"/>
  </r>
  <r>
    <s v="01/09"/>
    <s v="4900000028"/>
    <x v="0"/>
    <x v="1"/>
    <x v="1"/>
    <x v="1"/>
    <x v="1"/>
    <x v="1"/>
    <x v="1"/>
    <x v="1"/>
    <x v="1"/>
    <x v="1"/>
    <n v="1444.93"/>
    <n v="1444.93"/>
  </r>
  <r>
    <s v="01/09"/>
    <s v="4900000029"/>
    <x v="0"/>
    <x v="1"/>
    <x v="1"/>
    <x v="0"/>
    <x v="0"/>
    <x v="0"/>
    <x v="0"/>
    <x v="0"/>
    <x v="0"/>
    <x v="0"/>
    <n v="1413.2"/>
    <n v="-1413.2"/>
  </r>
  <r>
    <s v="01/09"/>
    <s v="4900000029"/>
    <x v="0"/>
    <x v="1"/>
    <x v="1"/>
    <x v="1"/>
    <x v="1"/>
    <x v="1"/>
    <x v="1"/>
    <x v="1"/>
    <x v="1"/>
    <x v="1"/>
    <n v="1413.2"/>
    <n v="1413.2"/>
  </r>
  <r>
    <s v="01/09"/>
    <s v="0090002154"/>
    <x v="0"/>
    <x v="1"/>
    <x v="1"/>
    <x v="2"/>
    <x v="0"/>
    <x v="0"/>
    <x v="2"/>
    <x v="2"/>
    <x v="2"/>
    <x v="1"/>
    <n v="949.4"/>
    <n v="949.4"/>
  </r>
  <r>
    <s v="01/09"/>
    <s v="0090002154"/>
    <x v="0"/>
    <x v="1"/>
    <x v="1"/>
    <x v="3"/>
    <x v="1"/>
    <x v="2"/>
    <x v="3"/>
    <x v="3"/>
    <x v="3"/>
    <x v="0"/>
    <n v="949.4"/>
    <n v="-949.4"/>
  </r>
  <r>
    <s v="01/09"/>
    <s v="0090002153"/>
    <x v="0"/>
    <x v="1"/>
    <x v="1"/>
    <x v="2"/>
    <x v="0"/>
    <x v="0"/>
    <x v="2"/>
    <x v="2"/>
    <x v="2"/>
    <x v="1"/>
    <n v="2041.97"/>
    <n v="2041.97"/>
  </r>
  <r>
    <s v="01/09"/>
    <s v="0090002153"/>
    <x v="0"/>
    <x v="1"/>
    <x v="1"/>
    <x v="3"/>
    <x v="1"/>
    <x v="2"/>
    <x v="3"/>
    <x v="3"/>
    <x v="3"/>
    <x v="0"/>
    <n v="2041.97"/>
    <n v="-2041.97"/>
  </r>
  <r>
    <s v="01/09"/>
    <s v="0090002151"/>
    <x v="0"/>
    <x v="1"/>
    <x v="1"/>
    <x v="2"/>
    <x v="0"/>
    <x v="0"/>
    <x v="2"/>
    <x v="2"/>
    <x v="2"/>
    <x v="1"/>
    <n v="2140.56"/>
    <n v="2140.56"/>
  </r>
  <r>
    <s v="01/09"/>
    <s v="0090002151"/>
    <x v="0"/>
    <x v="1"/>
    <x v="1"/>
    <x v="3"/>
    <x v="1"/>
    <x v="2"/>
    <x v="3"/>
    <x v="3"/>
    <x v="3"/>
    <x v="0"/>
    <n v="2140.56"/>
    <n v="-2140.56"/>
  </r>
  <r>
    <s v="01/09"/>
    <s v="0090002152"/>
    <x v="0"/>
    <x v="1"/>
    <x v="1"/>
    <x v="2"/>
    <x v="0"/>
    <x v="0"/>
    <x v="2"/>
    <x v="2"/>
    <x v="2"/>
    <x v="1"/>
    <n v="3797.6"/>
    <n v="3797.6"/>
  </r>
  <r>
    <s v="01/09"/>
    <s v="0090002152"/>
    <x v="0"/>
    <x v="1"/>
    <x v="1"/>
    <x v="3"/>
    <x v="1"/>
    <x v="2"/>
    <x v="3"/>
    <x v="3"/>
    <x v="3"/>
    <x v="0"/>
    <n v="1471.57"/>
    <n v="-1471.57"/>
  </r>
  <r>
    <s v="01/09"/>
    <s v="0090002152"/>
    <x v="0"/>
    <x v="1"/>
    <x v="1"/>
    <x v="3"/>
    <x v="1"/>
    <x v="2"/>
    <x v="3"/>
    <x v="3"/>
    <x v="3"/>
    <x v="0"/>
    <n v="2136.15"/>
    <n v="-2136.15"/>
  </r>
  <r>
    <s v="01/09"/>
    <s v="0090002152"/>
    <x v="0"/>
    <x v="1"/>
    <x v="1"/>
    <x v="3"/>
    <x v="1"/>
    <x v="2"/>
    <x v="3"/>
    <x v="3"/>
    <x v="3"/>
    <x v="0"/>
    <n v="189.88"/>
    <n v="-189.88"/>
  </r>
  <r>
    <s v="01/09"/>
    <s v="1400000010"/>
    <x v="0"/>
    <x v="1"/>
    <x v="1"/>
    <x v="4"/>
    <x v="0"/>
    <x v="0"/>
    <x v="4"/>
    <x v="4"/>
    <x v="4"/>
    <x v="1"/>
    <n v="883.75"/>
    <n v="883.75"/>
  </r>
  <r>
    <s v="01/09"/>
    <s v="1400000010"/>
    <x v="0"/>
    <x v="1"/>
    <x v="1"/>
    <x v="2"/>
    <x v="0"/>
    <x v="0"/>
    <x v="2"/>
    <x v="2"/>
    <x v="5"/>
    <x v="0"/>
    <n v="883.75"/>
    <n v="-883.75"/>
  </r>
  <r>
    <s v="01/09"/>
    <s v="0090002149"/>
    <x v="0"/>
    <x v="1"/>
    <x v="1"/>
    <x v="2"/>
    <x v="0"/>
    <x v="0"/>
    <x v="2"/>
    <x v="2"/>
    <x v="2"/>
    <x v="1"/>
    <n v="1421.5"/>
    <n v="1421.5"/>
  </r>
  <r>
    <s v="01/09"/>
    <s v="0090002149"/>
    <x v="0"/>
    <x v="1"/>
    <x v="1"/>
    <x v="3"/>
    <x v="1"/>
    <x v="2"/>
    <x v="3"/>
    <x v="3"/>
    <x v="3"/>
    <x v="0"/>
    <n v="1421.5"/>
    <n v="-1421.5"/>
  </r>
  <r>
    <s v="01/09"/>
    <s v="0090002150"/>
    <x v="0"/>
    <x v="1"/>
    <x v="1"/>
    <x v="2"/>
    <x v="0"/>
    <x v="0"/>
    <x v="2"/>
    <x v="2"/>
    <x v="2"/>
    <x v="1"/>
    <n v="1767.5"/>
    <n v="1767.5"/>
  </r>
  <r>
    <s v="01/09"/>
    <s v="0090002150"/>
    <x v="0"/>
    <x v="1"/>
    <x v="1"/>
    <x v="3"/>
    <x v="1"/>
    <x v="2"/>
    <x v="3"/>
    <x v="3"/>
    <x v="3"/>
    <x v="0"/>
    <n v="1641.25"/>
    <n v="-1641.25"/>
  </r>
  <r>
    <s v="01/09"/>
    <s v="0090002150"/>
    <x v="0"/>
    <x v="1"/>
    <x v="1"/>
    <x v="3"/>
    <x v="1"/>
    <x v="2"/>
    <x v="3"/>
    <x v="3"/>
    <x v="3"/>
    <x v="0"/>
    <n v="126.25"/>
    <n v="-126.25"/>
  </r>
  <r>
    <s v="01/09"/>
    <s v="0090002155"/>
    <x v="0"/>
    <x v="1"/>
    <x v="1"/>
    <x v="2"/>
    <x v="0"/>
    <x v="0"/>
    <x v="2"/>
    <x v="2"/>
    <x v="2"/>
    <x v="1"/>
    <n v="1580.88"/>
    <n v="1580.88"/>
  </r>
  <r>
    <s v="01/09"/>
    <s v="0090002155"/>
    <x v="0"/>
    <x v="1"/>
    <x v="1"/>
    <x v="3"/>
    <x v="1"/>
    <x v="2"/>
    <x v="3"/>
    <x v="3"/>
    <x v="3"/>
    <x v="0"/>
    <n v="1580.88"/>
    <n v="-1580.88"/>
  </r>
  <r>
    <s v="01/09"/>
    <s v="1400000011"/>
    <x v="0"/>
    <x v="1"/>
    <x v="1"/>
    <x v="4"/>
    <x v="0"/>
    <x v="0"/>
    <x v="4"/>
    <x v="4"/>
    <x v="4"/>
    <x v="1"/>
    <n v="1708.92"/>
    <n v="1708.92"/>
  </r>
  <r>
    <s v="00/11"/>
    <s v="0100000000"/>
    <x v="1"/>
    <x v="2"/>
    <x v="2"/>
    <x v="5"/>
    <x v="0"/>
    <x v="3"/>
    <x v="5"/>
    <x v="5"/>
    <x v="4"/>
    <x v="1"/>
    <n v="250000"/>
    <n v="250000"/>
  </r>
  <r>
    <s v="00/11"/>
    <s v="0100000000"/>
    <x v="1"/>
    <x v="2"/>
    <x v="2"/>
    <x v="4"/>
    <x v="0"/>
    <x v="0"/>
    <x v="4"/>
    <x v="4"/>
    <x v="3"/>
    <x v="0"/>
    <n v="250000"/>
    <n v="-250000"/>
  </r>
  <r>
    <s v="00/11"/>
    <s v="0100000001"/>
    <x v="1"/>
    <x v="2"/>
    <x v="2"/>
    <x v="4"/>
    <x v="0"/>
    <x v="0"/>
    <x v="4"/>
    <x v="4"/>
    <x v="4"/>
    <x v="1"/>
    <n v="500000"/>
    <n v="500000"/>
  </r>
  <r>
    <s v="00/11"/>
    <s v="0100000001"/>
    <x v="1"/>
    <x v="2"/>
    <x v="2"/>
    <x v="6"/>
    <x v="2"/>
    <x v="4"/>
    <x v="6"/>
    <x v="6"/>
    <x v="3"/>
    <x v="0"/>
    <n v="500000"/>
    <n v="-500000"/>
  </r>
  <r>
    <s v="01/03"/>
    <s v="4900000003"/>
    <x v="0"/>
    <x v="3"/>
    <x v="0"/>
    <x v="0"/>
    <x v="0"/>
    <x v="0"/>
    <x v="0"/>
    <x v="0"/>
    <x v="0"/>
    <x v="0"/>
    <n v="1662.59"/>
    <n v="-1662.59"/>
  </r>
  <r>
    <s v="01/03"/>
    <s v="4900000003"/>
    <x v="0"/>
    <x v="3"/>
    <x v="0"/>
    <x v="1"/>
    <x v="1"/>
    <x v="1"/>
    <x v="1"/>
    <x v="1"/>
    <x v="1"/>
    <x v="1"/>
    <n v="1662.59"/>
    <n v="1662.59"/>
  </r>
  <r>
    <s v="01/03"/>
    <s v="4900000003"/>
    <x v="0"/>
    <x v="3"/>
    <x v="0"/>
    <x v="0"/>
    <x v="0"/>
    <x v="0"/>
    <x v="0"/>
    <x v="0"/>
    <x v="0"/>
    <x v="0"/>
    <n v="1625.55"/>
    <n v="-1625.55"/>
  </r>
  <r>
    <s v="01/03"/>
    <s v="4900000003"/>
    <x v="0"/>
    <x v="3"/>
    <x v="0"/>
    <x v="1"/>
    <x v="1"/>
    <x v="1"/>
    <x v="1"/>
    <x v="1"/>
    <x v="1"/>
    <x v="1"/>
    <n v="1625.55"/>
    <n v="1625.55"/>
  </r>
  <r>
    <s v="01/03"/>
    <s v="4900000001"/>
    <x v="0"/>
    <x v="3"/>
    <x v="0"/>
    <x v="0"/>
    <x v="0"/>
    <x v="0"/>
    <x v="0"/>
    <x v="0"/>
    <x v="0"/>
    <x v="0"/>
    <n v="1915.21"/>
    <n v="-1915.21"/>
  </r>
  <r>
    <s v="01/03"/>
    <s v="4900000001"/>
    <x v="0"/>
    <x v="3"/>
    <x v="0"/>
    <x v="1"/>
    <x v="1"/>
    <x v="1"/>
    <x v="1"/>
    <x v="1"/>
    <x v="1"/>
    <x v="1"/>
    <n v="1915.21"/>
    <n v="1915.21"/>
  </r>
  <r>
    <s v="01/03"/>
    <s v="4900000001"/>
    <x v="0"/>
    <x v="3"/>
    <x v="0"/>
    <x v="0"/>
    <x v="0"/>
    <x v="0"/>
    <x v="0"/>
    <x v="0"/>
    <x v="0"/>
    <x v="0"/>
    <n v="1475.08"/>
    <n v="-1475.08"/>
  </r>
  <r>
    <s v="01/03"/>
    <s v="4900000001"/>
    <x v="0"/>
    <x v="3"/>
    <x v="0"/>
    <x v="1"/>
    <x v="1"/>
    <x v="1"/>
    <x v="1"/>
    <x v="1"/>
    <x v="1"/>
    <x v="1"/>
    <n v="1475.08"/>
    <n v="1475.08"/>
  </r>
  <r>
    <s v="01/03"/>
    <s v="4900000001"/>
    <x v="0"/>
    <x v="3"/>
    <x v="0"/>
    <x v="0"/>
    <x v="0"/>
    <x v="0"/>
    <x v="0"/>
    <x v="0"/>
    <x v="0"/>
    <x v="0"/>
    <n v="392.27"/>
    <n v="-392.27"/>
  </r>
  <r>
    <s v="01/03"/>
    <s v="4900000001"/>
    <x v="0"/>
    <x v="3"/>
    <x v="0"/>
    <x v="1"/>
    <x v="1"/>
    <x v="1"/>
    <x v="1"/>
    <x v="1"/>
    <x v="1"/>
    <x v="1"/>
    <n v="392.27"/>
    <n v="392.27"/>
  </r>
  <r>
    <s v="01/03"/>
    <s v="4900000001"/>
    <x v="0"/>
    <x v="3"/>
    <x v="0"/>
    <x v="0"/>
    <x v="0"/>
    <x v="0"/>
    <x v="0"/>
    <x v="0"/>
    <x v="0"/>
    <x v="0"/>
    <n v="1301.54"/>
    <n v="-1301.54"/>
  </r>
  <r>
    <s v="01/03"/>
    <s v="4900000001"/>
    <x v="0"/>
    <x v="3"/>
    <x v="0"/>
    <x v="1"/>
    <x v="1"/>
    <x v="1"/>
    <x v="1"/>
    <x v="1"/>
    <x v="1"/>
    <x v="1"/>
    <n v="1301.54"/>
    <n v="1301.54"/>
  </r>
  <r>
    <s v="01/03"/>
    <s v="4900000004"/>
    <x v="0"/>
    <x v="3"/>
    <x v="0"/>
    <x v="0"/>
    <x v="0"/>
    <x v="0"/>
    <x v="0"/>
    <x v="0"/>
    <x v="0"/>
    <x v="0"/>
    <n v="1811.55"/>
    <n v="-1811.55"/>
  </r>
  <r>
    <s v="01/03"/>
    <s v="4900000004"/>
    <x v="0"/>
    <x v="3"/>
    <x v="0"/>
    <x v="1"/>
    <x v="1"/>
    <x v="1"/>
    <x v="1"/>
    <x v="1"/>
    <x v="1"/>
    <x v="1"/>
    <n v="1811.55"/>
    <n v="1811.55"/>
  </r>
  <r>
    <s v="01/03"/>
    <s v="4900000004"/>
    <x v="0"/>
    <x v="3"/>
    <x v="0"/>
    <x v="0"/>
    <x v="0"/>
    <x v="0"/>
    <x v="0"/>
    <x v="0"/>
    <x v="0"/>
    <x v="0"/>
    <n v="602.05999999999995"/>
    <n v="-602.05999999999995"/>
  </r>
  <r>
    <s v="01/03"/>
    <s v="4900000004"/>
    <x v="0"/>
    <x v="3"/>
    <x v="0"/>
    <x v="1"/>
    <x v="1"/>
    <x v="1"/>
    <x v="1"/>
    <x v="1"/>
    <x v="1"/>
    <x v="1"/>
    <n v="602.05999999999995"/>
    <n v="602.05999999999995"/>
  </r>
  <r>
    <s v="01/03"/>
    <s v="0090002094"/>
    <x v="0"/>
    <x v="3"/>
    <x v="0"/>
    <x v="2"/>
    <x v="0"/>
    <x v="0"/>
    <x v="2"/>
    <x v="2"/>
    <x v="2"/>
    <x v="1"/>
    <n v="2843"/>
    <n v="2843"/>
  </r>
  <r>
    <s v="01/03"/>
    <s v="0090002094"/>
    <x v="0"/>
    <x v="3"/>
    <x v="0"/>
    <x v="3"/>
    <x v="1"/>
    <x v="2"/>
    <x v="3"/>
    <x v="3"/>
    <x v="3"/>
    <x v="0"/>
    <n v="1762.66"/>
    <n v="-1762.66"/>
  </r>
  <r>
    <s v="01/03"/>
    <s v="0090002094"/>
    <x v="0"/>
    <x v="3"/>
    <x v="0"/>
    <x v="3"/>
    <x v="1"/>
    <x v="2"/>
    <x v="3"/>
    <x v="3"/>
    <x v="3"/>
    <x v="0"/>
    <n v="1080.3399999999999"/>
    <n v="-1080.3399999999999"/>
  </r>
  <r>
    <s v="01/03"/>
    <s v="0090002099"/>
    <x v="0"/>
    <x v="3"/>
    <x v="0"/>
    <x v="2"/>
    <x v="0"/>
    <x v="0"/>
    <x v="2"/>
    <x v="2"/>
    <x v="2"/>
    <x v="1"/>
    <n v="3910.85"/>
    <n v="3910.85"/>
  </r>
  <r>
    <s v="01/03"/>
    <s v="0090002099"/>
    <x v="0"/>
    <x v="3"/>
    <x v="0"/>
    <x v="3"/>
    <x v="1"/>
    <x v="2"/>
    <x v="3"/>
    <x v="3"/>
    <x v="3"/>
    <x v="0"/>
    <n v="1637.1"/>
    <n v="-1637.1"/>
  </r>
  <r>
    <s v="01/03"/>
    <s v="0090002099"/>
    <x v="0"/>
    <x v="3"/>
    <x v="0"/>
    <x v="3"/>
    <x v="1"/>
    <x v="2"/>
    <x v="3"/>
    <x v="3"/>
    <x v="3"/>
    <x v="0"/>
    <n v="2273.75"/>
    <n v="-2273.75"/>
  </r>
  <r>
    <s v="01/03"/>
    <s v="0090002102"/>
    <x v="0"/>
    <x v="3"/>
    <x v="0"/>
    <x v="2"/>
    <x v="0"/>
    <x v="0"/>
    <x v="2"/>
    <x v="2"/>
    <x v="2"/>
    <x v="1"/>
    <n v="1778.49"/>
    <n v="1778.49"/>
  </r>
  <r>
    <s v="01/03"/>
    <s v="0090002102"/>
    <x v="0"/>
    <x v="3"/>
    <x v="0"/>
    <x v="3"/>
    <x v="1"/>
    <x v="2"/>
    <x v="3"/>
    <x v="3"/>
    <x v="3"/>
    <x v="0"/>
    <n v="1778.49"/>
    <n v="-1778.49"/>
  </r>
  <r>
    <s v="01/03"/>
    <s v="0090002095"/>
    <x v="0"/>
    <x v="3"/>
    <x v="0"/>
    <x v="2"/>
    <x v="0"/>
    <x v="0"/>
    <x v="2"/>
    <x v="2"/>
    <x v="2"/>
    <x v="1"/>
    <n v="4149.8100000000004"/>
    <n v="4149.8100000000004"/>
  </r>
  <r>
    <s v="01/03"/>
    <s v="0090002095"/>
    <x v="0"/>
    <x v="3"/>
    <x v="0"/>
    <x v="3"/>
    <x v="1"/>
    <x v="2"/>
    <x v="3"/>
    <x v="3"/>
    <x v="3"/>
    <x v="0"/>
    <n v="1976.1"/>
    <n v="-1976.1"/>
  </r>
  <r>
    <s v="01/03"/>
    <s v="0090002095"/>
    <x v="0"/>
    <x v="3"/>
    <x v="0"/>
    <x v="3"/>
    <x v="1"/>
    <x v="2"/>
    <x v="3"/>
    <x v="3"/>
    <x v="3"/>
    <x v="0"/>
    <n v="2173.71"/>
    <n v="-2173.71"/>
  </r>
  <r>
    <s v="01/03"/>
    <s v="0090002104"/>
    <x v="0"/>
    <x v="3"/>
    <x v="0"/>
    <x v="2"/>
    <x v="0"/>
    <x v="0"/>
    <x v="2"/>
    <x v="2"/>
    <x v="2"/>
    <x v="1"/>
    <n v="658.7"/>
    <n v="658.7"/>
  </r>
  <r>
    <s v="01/03"/>
    <s v="0090002104"/>
    <x v="0"/>
    <x v="3"/>
    <x v="0"/>
    <x v="3"/>
    <x v="1"/>
    <x v="2"/>
    <x v="3"/>
    <x v="3"/>
    <x v="3"/>
    <x v="0"/>
    <n v="658.7"/>
    <n v="-658.7"/>
  </r>
  <r>
    <s v="01/03"/>
    <s v="0090002101"/>
    <x v="0"/>
    <x v="3"/>
    <x v="0"/>
    <x v="2"/>
    <x v="0"/>
    <x v="0"/>
    <x v="2"/>
    <x v="2"/>
    <x v="2"/>
    <x v="1"/>
    <n v="1819"/>
    <n v="1819"/>
  </r>
  <r>
    <s v="01/03"/>
    <s v="0090002101"/>
    <x v="0"/>
    <x v="3"/>
    <x v="0"/>
    <x v="3"/>
    <x v="1"/>
    <x v="2"/>
    <x v="3"/>
    <x v="3"/>
    <x v="3"/>
    <x v="0"/>
    <n v="1819"/>
    <n v="-1819"/>
  </r>
  <r>
    <s v="01/03"/>
    <s v="4900000002"/>
    <x v="0"/>
    <x v="3"/>
    <x v="0"/>
    <x v="0"/>
    <x v="0"/>
    <x v="0"/>
    <x v="0"/>
    <x v="0"/>
    <x v="0"/>
    <x v="0"/>
    <n v="1496.33"/>
    <n v="-1496.33"/>
  </r>
  <r>
    <s v="01/03"/>
    <s v="4900000002"/>
    <x v="0"/>
    <x v="3"/>
    <x v="0"/>
    <x v="1"/>
    <x v="1"/>
    <x v="1"/>
    <x v="1"/>
    <x v="1"/>
    <x v="1"/>
    <x v="1"/>
    <n v="1496.33"/>
    <n v="1496.33"/>
  </r>
  <r>
    <s v="01/03"/>
    <s v="4900000002"/>
    <x v="0"/>
    <x v="3"/>
    <x v="0"/>
    <x v="0"/>
    <x v="0"/>
    <x v="0"/>
    <x v="0"/>
    <x v="0"/>
    <x v="0"/>
    <x v="0"/>
    <n v="1739.08"/>
    <n v="-1739.08"/>
  </r>
  <r>
    <s v="01/03"/>
    <s v="4900000002"/>
    <x v="0"/>
    <x v="3"/>
    <x v="0"/>
    <x v="1"/>
    <x v="1"/>
    <x v="1"/>
    <x v="1"/>
    <x v="1"/>
    <x v="1"/>
    <x v="1"/>
    <n v="1739.08"/>
    <n v="1739.08"/>
  </r>
  <r>
    <s v="01/03"/>
    <s v="4900000002"/>
    <x v="0"/>
    <x v="3"/>
    <x v="0"/>
    <x v="0"/>
    <x v="0"/>
    <x v="0"/>
    <x v="0"/>
    <x v="0"/>
    <x v="0"/>
    <x v="0"/>
    <n v="2078.2399999999998"/>
    <n v="-2078.2399999999998"/>
  </r>
  <r>
    <s v="01/03"/>
    <s v="4900000002"/>
    <x v="0"/>
    <x v="3"/>
    <x v="0"/>
    <x v="1"/>
    <x v="1"/>
    <x v="1"/>
    <x v="1"/>
    <x v="1"/>
    <x v="1"/>
    <x v="1"/>
    <n v="2078.2399999999998"/>
    <n v="2078.2399999999998"/>
  </r>
  <r>
    <s v="01/03"/>
    <s v="0090002096"/>
    <x v="0"/>
    <x v="3"/>
    <x v="0"/>
    <x v="2"/>
    <x v="0"/>
    <x v="0"/>
    <x v="2"/>
    <x v="2"/>
    <x v="2"/>
    <x v="1"/>
    <n v="1708.92"/>
    <n v="1708.92"/>
  </r>
  <r>
    <s v="01/03"/>
    <s v="0090002096"/>
    <x v="0"/>
    <x v="3"/>
    <x v="0"/>
    <x v="3"/>
    <x v="1"/>
    <x v="2"/>
    <x v="3"/>
    <x v="3"/>
    <x v="3"/>
    <x v="0"/>
    <n v="1708.92"/>
    <n v="-1708.92"/>
  </r>
  <r>
    <s v="01/03"/>
    <s v="0090002097"/>
    <x v="0"/>
    <x v="3"/>
    <x v="0"/>
    <x v="2"/>
    <x v="0"/>
    <x v="0"/>
    <x v="2"/>
    <x v="2"/>
    <x v="2"/>
    <x v="1"/>
    <n v="2525"/>
    <n v="2525"/>
  </r>
  <r>
    <s v="01/01"/>
    <s v="5000000000"/>
    <x v="0"/>
    <x v="4"/>
    <x v="0"/>
    <x v="0"/>
    <x v="0"/>
    <x v="0"/>
    <x v="0"/>
    <x v="0"/>
    <x v="6"/>
    <x v="1"/>
    <n v="13844.86"/>
    <n v="13844.86"/>
  </r>
  <r>
    <s v="01/01"/>
    <s v="5000000000"/>
    <x v="0"/>
    <x v="4"/>
    <x v="0"/>
    <x v="7"/>
    <x v="2"/>
    <x v="5"/>
    <x v="7"/>
    <x v="7"/>
    <x v="7"/>
    <x v="0"/>
    <n v="13770"/>
    <n v="-13770"/>
  </r>
  <r>
    <s v="01/01"/>
    <s v="5000000000"/>
    <x v="0"/>
    <x v="4"/>
    <x v="0"/>
    <x v="8"/>
    <x v="2"/>
    <x v="5"/>
    <x v="7"/>
    <x v="8"/>
    <x v="3"/>
    <x v="0"/>
    <n v="74.86"/>
    <n v="-74.86"/>
  </r>
  <r>
    <s v="01/01"/>
    <s v="5000000000"/>
    <x v="0"/>
    <x v="4"/>
    <x v="0"/>
    <x v="0"/>
    <x v="0"/>
    <x v="0"/>
    <x v="0"/>
    <x v="0"/>
    <x v="6"/>
    <x v="1"/>
    <n v="43477.08"/>
    <n v="43477.08"/>
  </r>
  <r>
    <s v="01/01"/>
    <s v="5000000000"/>
    <x v="0"/>
    <x v="4"/>
    <x v="0"/>
    <x v="7"/>
    <x v="2"/>
    <x v="5"/>
    <x v="7"/>
    <x v="7"/>
    <x v="7"/>
    <x v="0"/>
    <n v="43242"/>
    <n v="-43242"/>
  </r>
  <r>
    <s v="01/01"/>
    <s v="5000000000"/>
    <x v="0"/>
    <x v="4"/>
    <x v="0"/>
    <x v="8"/>
    <x v="2"/>
    <x v="5"/>
    <x v="7"/>
    <x v="8"/>
    <x v="3"/>
    <x v="0"/>
    <n v="235.08"/>
    <n v="-235.08"/>
  </r>
  <r>
    <s v="01/01"/>
    <s v="5000000000"/>
    <x v="0"/>
    <x v="4"/>
    <x v="0"/>
    <x v="0"/>
    <x v="0"/>
    <x v="0"/>
    <x v="0"/>
    <x v="0"/>
    <x v="6"/>
    <x v="1"/>
    <n v="15594.32"/>
    <n v="15594.32"/>
  </r>
  <r>
    <s v="01/01"/>
    <s v="5000000000"/>
    <x v="0"/>
    <x v="4"/>
    <x v="0"/>
    <x v="7"/>
    <x v="2"/>
    <x v="5"/>
    <x v="7"/>
    <x v="7"/>
    <x v="7"/>
    <x v="0"/>
    <n v="15510"/>
    <n v="-15510"/>
  </r>
  <r>
    <s v="01/01"/>
    <s v="5000000000"/>
    <x v="0"/>
    <x v="4"/>
    <x v="0"/>
    <x v="8"/>
    <x v="2"/>
    <x v="5"/>
    <x v="7"/>
    <x v="8"/>
    <x v="3"/>
    <x v="0"/>
    <n v="84.32"/>
    <n v="-84.32"/>
  </r>
  <r>
    <s v="01/01"/>
    <s v="5000000000"/>
    <x v="0"/>
    <x v="4"/>
    <x v="0"/>
    <x v="0"/>
    <x v="0"/>
    <x v="0"/>
    <x v="0"/>
    <x v="0"/>
    <x v="6"/>
    <x v="1"/>
    <n v="49877.67"/>
    <n v="49877.67"/>
  </r>
  <r>
    <s v="01/01"/>
    <s v="5000000000"/>
    <x v="0"/>
    <x v="4"/>
    <x v="0"/>
    <x v="7"/>
    <x v="2"/>
    <x v="5"/>
    <x v="7"/>
    <x v="7"/>
    <x v="7"/>
    <x v="0"/>
    <n v="49608"/>
    <n v="-49608"/>
  </r>
  <r>
    <s v="01/01"/>
    <s v="5000000000"/>
    <x v="0"/>
    <x v="4"/>
    <x v="0"/>
    <x v="8"/>
    <x v="2"/>
    <x v="5"/>
    <x v="7"/>
    <x v="8"/>
    <x v="3"/>
    <x v="0"/>
    <n v="269.67"/>
    <n v="-269.67"/>
  </r>
  <r>
    <s v="01/01"/>
    <s v="5000000000"/>
    <x v="0"/>
    <x v="4"/>
    <x v="0"/>
    <x v="0"/>
    <x v="0"/>
    <x v="0"/>
    <x v="0"/>
    <x v="0"/>
    <x v="6"/>
    <x v="1"/>
    <n v="36123.32"/>
    <n v="36123.32"/>
  </r>
  <r>
    <s v="01/01"/>
    <s v="5000000000"/>
    <x v="0"/>
    <x v="4"/>
    <x v="0"/>
    <x v="7"/>
    <x v="2"/>
    <x v="5"/>
    <x v="7"/>
    <x v="7"/>
    <x v="7"/>
    <x v="0"/>
    <n v="35928"/>
    <n v="-35928"/>
  </r>
  <r>
    <s v="01/01"/>
    <s v="5000000000"/>
    <x v="0"/>
    <x v="4"/>
    <x v="0"/>
    <x v="8"/>
    <x v="2"/>
    <x v="5"/>
    <x v="7"/>
    <x v="8"/>
    <x v="3"/>
    <x v="0"/>
    <n v="195.32"/>
    <n v="-195.32"/>
  </r>
  <r>
    <s v="01/01"/>
    <s v="5100000000"/>
    <x v="0"/>
    <x v="4"/>
    <x v="0"/>
    <x v="9"/>
    <x v="2"/>
    <x v="5"/>
    <x v="7"/>
    <x v="9"/>
    <x v="2"/>
    <x v="0"/>
    <n v="184948"/>
    <n v="-184948"/>
  </r>
  <r>
    <s v="01/01"/>
    <s v="5100000000"/>
    <x v="0"/>
    <x v="4"/>
    <x v="0"/>
    <x v="7"/>
    <x v="2"/>
    <x v="5"/>
    <x v="7"/>
    <x v="7"/>
    <x v="8"/>
    <x v="1"/>
    <n v="13770"/>
    <n v="13770"/>
  </r>
  <r>
    <s v="01/01"/>
    <s v="5100000000"/>
    <x v="0"/>
    <x v="4"/>
    <x v="0"/>
    <x v="8"/>
    <x v="2"/>
    <x v="5"/>
    <x v="7"/>
    <x v="8"/>
    <x v="4"/>
    <x v="1"/>
    <n v="74.86"/>
    <n v="74.86"/>
  </r>
  <r>
    <s v="01/01"/>
    <s v="5100000000"/>
    <x v="0"/>
    <x v="4"/>
    <x v="0"/>
    <x v="7"/>
    <x v="2"/>
    <x v="5"/>
    <x v="7"/>
    <x v="7"/>
    <x v="8"/>
    <x v="1"/>
    <n v="43242"/>
    <n v="43242"/>
  </r>
  <r>
    <s v="01/01"/>
    <s v="5100000000"/>
    <x v="0"/>
    <x v="4"/>
    <x v="0"/>
    <x v="8"/>
    <x v="2"/>
    <x v="5"/>
    <x v="7"/>
    <x v="8"/>
    <x v="4"/>
    <x v="1"/>
    <n v="235.08"/>
    <n v="235.08"/>
  </r>
  <r>
    <s v="01/01"/>
    <s v="5100000000"/>
    <x v="0"/>
    <x v="4"/>
    <x v="0"/>
    <x v="7"/>
    <x v="2"/>
    <x v="5"/>
    <x v="7"/>
    <x v="7"/>
    <x v="8"/>
    <x v="1"/>
    <n v="15510"/>
    <n v="15510"/>
  </r>
  <r>
    <s v="01/01"/>
    <s v="5100000000"/>
    <x v="0"/>
    <x v="4"/>
    <x v="0"/>
    <x v="8"/>
    <x v="2"/>
    <x v="5"/>
    <x v="7"/>
    <x v="8"/>
    <x v="4"/>
    <x v="1"/>
    <n v="84.32"/>
    <n v="84.32"/>
  </r>
  <r>
    <s v="01/01"/>
    <s v="5100000000"/>
    <x v="0"/>
    <x v="4"/>
    <x v="0"/>
    <x v="7"/>
    <x v="2"/>
    <x v="5"/>
    <x v="7"/>
    <x v="7"/>
    <x v="8"/>
    <x v="1"/>
    <n v="49608"/>
    <n v="49608"/>
  </r>
  <r>
    <s v="01/01"/>
    <s v="5100000000"/>
    <x v="0"/>
    <x v="4"/>
    <x v="0"/>
    <x v="8"/>
    <x v="2"/>
    <x v="5"/>
    <x v="7"/>
    <x v="8"/>
    <x v="4"/>
    <x v="1"/>
    <n v="269.67"/>
    <n v="269.67"/>
  </r>
  <r>
    <s v="01/01"/>
    <s v="5100000000"/>
    <x v="0"/>
    <x v="4"/>
    <x v="0"/>
    <x v="0"/>
    <x v="0"/>
    <x v="0"/>
    <x v="0"/>
    <x v="0"/>
    <x v="6"/>
    <x v="1"/>
    <n v="0.01"/>
    <n v="0.01"/>
  </r>
  <r>
    <s v="01/01"/>
    <s v="5100000000"/>
    <x v="0"/>
    <x v="4"/>
    <x v="0"/>
    <x v="7"/>
    <x v="2"/>
    <x v="5"/>
    <x v="7"/>
    <x v="7"/>
    <x v="8"/>
    <x v="1"/>
    <n v="35928"/>
    <n v="35928"/>
  </r>
  <r>
    <s v="01/01"/>
    <s v="5100000000"/>
    <x v="0"/>
    <x v="4"/>
    <x v="0"/>
    <x v="8"/>
    <x v="2"/>
    <x v="5"/>
    <x v="7"/>
    <x v="8"/>
    <x v="4"/>
    <x v="1"/>
    <n v="195.32"/>
    <n v="195.32"/>
  </r>
  <r>
    <s v="01/01"/>
    <s v="5100000000"/>
    <x v="0"/>
    <x v="4"/>
    <x v="0"/>
    <x v="7"/>
    <x v="2"/>
    <x v="5"/>
    <x v="7"/>
    <x v="7"/>
    <x v="8"/>
    <x v="1"/>
    <n v="25890"/>
    <n v="25890"/>
  </r>
  <r>
    <s v="01/01"/>
    <s v="5100000000"/>
    <x v="0"/>
    <x v="4"/>
    <x v="0"/>
    <x v="8"/>
    <x v="2"/>
    <x v="5"/>
    <x v="7"/>
    <x v="8"/>
    <x v="4"/>
    <x v="1"/>
    <n v="140.75"/>
    <n v="140.75"/>
  </r>
  <r>
    <s v="01/01"/>
    <s v="5100000000"/>
    <x v="0"/>
    <x v="4"/>
    <x v="0"/>
    <x v="0"/>
    <x v="0"/>
    <x v="0"/>
    <x v="0"/>
    <x v="0"/>
    <x v="0"/>
    <x v="0"/>
    <n v="0.01"/>
    <n v="-0.01"/>
  </r>
  <r>
    <s v="01/01"/>
    <s v="5000000000"/>
    <x v="0"/>
    <x v="4"/>
    <x v="0"/>
    <x v="0"/>
    <x v="0"/>
    <x v="0"/>
    <x v="0"/>
    <x v="0"/>
    <x v="6"/>
    <x v="1"/>
    <n v="26030.75"/>
    <n v="26030.75"/>
  </r>
  <r>
    <s v="01/01"/>
    <s v="5000000000"/>
    <x v="0"/>
    <x v="4"/>
    <x v="0"/>
    <x v="7"/>
    <x v="2"/>
    <x v="5"/>
    <x v="7"/>
    <x v="7"/>
    <x v="7"/>
    <x v="0"/>
    <n v="25890"/>
    <n v="-25890"/>
  </r>
  <r>
    <s v="01/01"/>
    <s v="5000000000"/>
    <x v="0"/>
    <x v="4"/>
    <x v="0"/>
    <x v="8"/>
    <x v="2"/>
    <x v="5"/>
    <x v="7"/>
    <x v="8"/>
    <x v="3"/>
    <x v="0"/>
    <n v="140.75"/>
    <n v="-140.75"/>
  </r>
  <r>
    <s v="02/07"/>
    <s v="0090002201"/>
    <x v="2"/>
    <x v="5"/>
    <x v="3"/>
    <x v="2"/>
    <x v="0"/>
    <x v="0"/>
    <x v="2"/>
    <x v="2"/>
    <x v="2"/>
    <x v="1"/>
    <n v="2072"/>
    <n v="2072"/>
  </r>
  <r>
    <s v="02/07"/>
    <s v="0090002201"/>
    <x v="2"/>
    <x v="5"/>
    <x v="3"/>
    <x v="3"/>
    <x v="1"/>
    <x v="2"/>
    <x v="3"/>
    <x v="3"/>
    <x v="3"/>
    <x v="0"/>
    <n v="2072"/>
    <n v="-2072"/>
  </r>
  <r>
    <s v="02/07"/>
    <s v="1400000044"/>
    <x v="2"/>
    <x v="5"/>
    <x v="3"/>
    <x v="4"/>
    <x v="0"/>
    <x v="0"/>
    <x v="4"/>
    <x v="4"/>
    <x v="4"/>
    <x v="1"/>
    <n v="1078"/>
    <n v="1078"/>
  </r>
  <r>
    <s v="02/07"/>
    <s v="1400000044"/>
    <x v="2"/>
    <x v="5"/>
    <x v="3"/>
    <x v="2"/>
    <x v="0"/>
    <x v="0"/>
    <x v="2"/>
    <x v="2"/>
    <x v="5"/>
    <x v="0"/>
    <n v="1078"/>
    <n v="-1078"/>
  </r>
  <r>
    <s v="02/07"/>
    <s v="1400000045"/>
    <x v="2"/>
    <x v="5"/>
    <x v="3"/>
    <x v="4"/>
    <x v="0"/>
    <x v="0"/>
    <x v="4"/>
    <x v="4"/>
    <x v="4"/>
    <x v="1"/>
    <n v="368"/>
    <n v="368"/>
  </r>
  <r>
    <s v="02/07"/>
    <s v="1400000045"/>
    <x v="2"/>
    <x v="5"/>
    <x v="3"/>
    <x v="2"/>
    <x v="0"/>
    <x v="0"/>
    <x v="2"/>
    <x v="2"/>
    <x v="5"/>
    <x v="0"/>
    <n v="368"/>
    <n v="-368"/>
  </r>
  <r>
    <s v="02/07"/>
    <s v="1400000046"/>
    <x v="2"/>
    <x v="5"/>
    <x v="3"/>
    <x v="4"/>
    <x v="0"/>
    <x v="0"/>
    <x v="4"/>
    <x v="4"/>
    <x v="4"/>
    <x v="1"/>
    <n v="1960"/>
    <n v="1960"/>
  </r>
  <r>
    <s v="02/07"/>
    <s v="1400000046"/>
    <x v="2"/>
    <x v="5"/>
    <x v="3"/>
    <x v="2"/>
    <x v="0"/>
    <x v="0"/>
    <x v="2"/>
    <x v="2"/>
    <x v="5"/>
    <x v="0"/>
    <n v="1960"/>
    <n v="-1960"/>
  </r>
  <r>
    <s v="02/07"/>
    <s v="0090002202"/>
    <x v="2"/>
    <x v="5"/>
    <x v="3"/>
    <x v="2"/>
    <x v="0"/>
    <x v="0"/>
    <x v="2"/>
    <x v="2"/>
    <x v="2"/>
    <x v="1"/>
    <n v="1804"/>
    <n v="1804"/>
  </r>
  <r>
    <s v="02/07"/>
    <s v="0090002202"/>
    <x v="2"/>
    <x v="5"/>
    <x v="3"/>
    <x v="3"/>
    <x v="1"/>
    <x v="2"/>
    <x v="3"/>
    <x v="3"/>
    <x v="3"/>
    <x v="0"/>
    <n v="1804"/>
    <n v="-1804"/>
  </r>
  <r>
    <s v="02/07"/>
    <s v="0100000007"/>
    <x v="2"/>
    <x v="5"/>
    <x v="3"/>
    <x v="10"/>
    <x v="1"/>
    <x v="6"/>
    <x v="8"/>
    <x v="10"/>
    <x v="4"/>
    <x v="1"/>
    <n v="300"/>
    <n v="300"/>
  </r>
  <r>
    <s v="01/10"/>
    <s v="1400000012"/>
    <x v="0"/>
    <x v="6"/>
    <x v="1"/>
    <x v="4"/>
    <x v="0"/>
    <x v="0"/>
    <x v="4"/>
    <x v="4"/>
    <x v="4"/>
    <x v="1"/>
    <n v="2278.56"/>
    <n v="2278.56"/>
  </r>
  <r>
    <s v="01/10"/>
    <s v="1400000012"/>
    <x v="0"/>
    <x v="6"/>
    <x v="1"/>
    <x v="2"/>
    <x v="0"/>
    <x v="0"/>
    <x v="2"/>
    <x v="2"/>
    <x v="5"/>
    <x v="0"/>
    <n v="2278.56"/>
    <n v="-2278.56"/>
  </r>
  <r>
    <s v="01/10"/>
    <s v="1400000012"/>
    <x v="0"/>
    <x v="6"/>
    <x v="1"/>
    <x v="4"/>
    <x v="0"/>
    <x v="0"/>
    <x v="4"/>
    <x v="4"/>
    <x v="4"/>
    <x v="1"/>
    <n v="2061.2800000000002"/>
    <n v="2061.2800000000002"/>
  </r>
  <r>
    <s v="01/10"/>
    <s v="1400000012"/>
    <x v="0"/>
    <x v="6"/>
    <x v="1"/>
    <x v="2"/>
    <x v="0"/>
    <x v="0"/>
    <x v="2"/>
    <x v="2"/>
    <x v="5"/>
    <x v="0"/>
    <n v="2061.2800000000002"/>
    <n v="-2061.2800000000002"/>
  </r>
  <r>
    <s v="01/10"/>
    <s v="1400000012"/>
    <x v="0"/>
    <x v="6"/>
    <x v="1"/>
    <x v="4"/>
    <x v="0"/>
    <x v="0"/>
    <x v="4"/>
    <x v="4"/>
    <x v="4"/>
    <x v="1"/>
    <n v="151.5"/>
    <n v="151.5"/>
  </r>
  <r>
    <s v="01/10"/>
    <s v="1400000012"/>
    <x v="0"/>
    <x v="6"/>
    <x v="1"/>
    <x v="2"/>
    <x v="0"/>
    <x v="0"/>
    <x v="2"/>
    <x v="2"/>
    <x v="5"/>
    <x v="0"/>
    <n v="151.5"/>
    <n v="-151.5"/>
  </r>
  <r>
    <s v="01/10"/>
    <s v="1400000012"/>
    <x v="0"/>
    <x v="6"/>
    <x v="1"/>
    <x v="4"/>
    <x v="0"/>
    <x v="0"/>
    <x v="4"/>
    <x v="4"/>
    <x v="4"/>
    <x v="1"/>
    <n v="2041.97"/>
    <n v="2041.97"/>
  </r>
  <r>
    <s v="01/10"/>
    <s v="1400000012"/>
    <x v="0"/>
    <x v="6"/>
    <x v="1"/>
    <x v="2"/>
    <x v="0"/>
    <x v="0"/>
    <x v="2"/>
    <x v="2"/>
    <x v="5"/>
    <x v="0"/>
    <n v="2041.97"/>
    <n v="-2041.97"/>
  </r>
  <r>
    <s v="01/10"/>
    <s v="1400000012"/>
    <x v="0"/>
    <x v="6"/>
    <x v="1"/>
    <x v="4"/>
    <x v="0"/>
    <x v="0"/>
    <x v="4"/>
    <x v="4"/>
    <x v="4"/>
    <x v="1"/>
    <n v="2132.25"/>
    <n v="2132.25"/>
  </r>
  <r>
    <s v="01/10"/>
    <s v="1400000012"/>
    <x v="0"/>
    <x v="6"/>
    <x v="1"/>
    <x v="2"/>
    <x v="0"/>
    <x v="0"/>
    <x v="2"/>
    <x v="2"/>
    <x v="5"/>
    <x v="0"/>
    <n v="2132.25"/>
    <n v="-2132.25"/>
  </r>
  <r>
    <s v="01/10"/>
    <s v="4900000032"/>
    <x v="0"/>
    <x v="6"/>
    <x v="1"/>
    <x v="0"/>
    <x v="0"/>
    <x v="0"/>
    <x v="0"/>
    <x v="0"/>
    <x v="0"/>
    <x v="0"/>
    <n v="1666.62"/>
    <n v="-1666.62"/>
  </r>
  <r>
    <s v="01/10"/>
    <s v="4900000032"/>
    <x v="0"/>
    <x v="6"/>
    <x v="1"/>
    <x v="1"/>
    <x v="1"/>
    <x v="1"/>
    <x v="1"/>
    <x v="1"/>
    <x v="1"/>
    <x v="1"/>
    <n v="1666.62"/>
    <n v="1666.62"/>
  </r>
  <r>
    <s v="01/10"/>
    <s v="4900000032"/>
    <x v="0"/>
    <x v="6"/>
    <x v="1"/>
    <x v="0"/>
    <x v="0"/>
    <x v="0"/>
    <x v="0"/>
    <x v="0"/>
    <x v="0"/>
    <x v="0"/>
    <n v="1579.46"/>
    <n v="-1579.46"/>
  </r>
  <r>
    <s v="01/10"/>
    <s v="4900000032"/>
    <x v="0"/>
    <x v="6"/>
    <x v="1"/>
    <x v="1"/>
    <x v="1"/>
    <x v="1"/>
    <x v="1"/>
    <x v="1"/>
    <x v="1"/>
    <x v="1"/>
    <n v="1579.46"/>
    <n v="1579.46"/>
  </r>
  <r>
    <s v="01/10"/>
    <s v="1400000014"/>
    <x v="0"/>
    <x v="6"/>
    <x v="1"/>
    <x v="4"/>
    <x v="0"/>
    <x v="0"/>
    <x v="4"/>
    <x v="4"/>
    <x v="4"/>
    <x v="1"/>
    <n v="2378.4"/>
    <n v="2378.4"/>
  </r>
  <r>
    <s v="01/10"/>
    <s v="1400000014"/>
    <x v="0"/>
    <x v="6"/>
    <x v="1"/>
    <x v="2"/>
    <x v="0"/>
    <x v="0"/>
    <x v="2"/>
    <x v="2"/>
    <x v="5"/>
    <x v="0"/>
    <n v="2378.4"/>
    <n v="-2378.4"/>
  </r>
  <r>
    <s v="01/10"/>
    <s v="1400000015"/>
    <x v="0"/>
    <x v="6"/>
    <x v="1"/>
    <x v="4"/>
    <x v="0"/>
    <x v="0"/>
    <x v="4"/>
    <x v="4"/>
    <x v="4"/>
    <x v="1"/>
    <n v="3728.95"/>
    <n v="3728.95"/>
  </r>
  <r>
    <s v="01/10"/>
    <s v="1400000015"/>
    <x v="0"/>
    <x v="6"/>
    <x v="1"/>
    <x v="2"/>
    <x v="0"/>
    <x v="0"/>
    <x v="2"/>
    <x v="2"/>
    <x v="5"/>
    <x v="0"/>
    <n v="3728.95"/>
    <n v="-3728.95"/>
  </r>
  <r>
    <s v="01/10"/>
    <s v="1400000016"/>
    <x v="0"/>
    <x v="6"/>
    <x v="1"/>
    <x v="4"/>
    <x v="0"/>
    <x v="0"/>
    <x v="4"/>
    <x v="4"/>
    <x v="4"/>
    <x v="1"/>
    <n v="2061.2800000000002"/>
    <n v="2061.2800000000002"/>
  </r>
  <r>
    <s v="01/10"/>
    <s v="1400000016"/>
    <x v="0"/>
    <x v="6"/>
    <x v="1"/>
    <x v="2"/>
    <x v="0"/>
    <x v="0"/>
    <x v="2"/>
    <x v="2"/>
    <x v="5"/>
    <x v="0"/>
    <n v="2061.2800000000002"/>
    <n v="-2061.2800000000002"/>
  </r>
  <r>
    <s v="01/10"/>
    <s v="1400000016"/>
    <x v="0"/>
    <x v="6"/>
    <x v="1"/>
    <x v="4"/>
    <x v="0"/>
    <x v="0"/>
    <x v="4"/>
    <x v="4"/>
    <x v="4"/>
    <x v="1"/>
    <n v="1909.95"/>
    <n v="1909.95"/>
  </r>
  <r>
    <s v="01/10"/>
    <s v="1400000016"/>
    <x v="0"/>
    <x v="6"/>
    <x v="1"/>
    <x v="2"/>
    <x v="0"/>
    <x v="0"/>
    <x v="2"/>
    <x v="2"/>
    <x v="5"/>
    <x v="0"/>
    <n v="1909.95"/>
    <n v="-1909.95"/>
  </r>
  <r>
    <s v="01/10"/>
    <s v="0090002162"/>
    <x v="0"/>
    <x v="6"/>
    <x v="1"/>
    <x v="2"/>
    <x v="0"/>
    <x v="0"/>
    <x v="2"/>
    <x v="2"/>
    <x v="2"/>
    <x v="1"/>
    <n v="5820.8"/>
    <n v="5820.8"/>
  </r>
  <r>
    <s v="01/10"/>
    <s v="0090002162"/>
    <x v="0"/>
    <x v="6"/>
    <x v="1"/>
    <x v="3"/>
    <x v="1"/>
    <x v="2"/>
    <x v="3"/>
    <x v="3"/>
    <x v="3"/>
    <x v="0"/>
    <n v="2182.8000000000002"/>
    <n v="-2182.8000000000002"/>
  </r>
  <r>
    <s v="01/10"/>
    <s v="0090002162"/>
    <x v="0"/>
    <x v="6"/>
    <x v="1"/>
    <x v="3"/>
    <x v="1"/>
    <x v="2"/>
    <x v="3"/>
    <x v="3"/>
    <x v="3"/>
    <x v="0"/>
    <n v="1637.1"/>
    <n v="-1637.1"/>
  </r>
  <r>
    <s v="01/10"/>
    <s v="0090002162"/>
    <x v="0"/>
    <x v="6"/>
    <x v="1"/>
    <x v="3"/>
    <x v="1"/>
    <x v="2"/>
    <x v="3"/>
    <x v="3"/>
    <x v="3"/>
    <x v="0"/>
    <n v="2000.9"/>
    <n v="-2000.9"/>
  </r>
  <r>
    <s v="01/10"/>
    <s v="0090002157"/>
    <x v="0"/>
    <x v="6"/>
    <x v="1"/>
    <x v="2"/>
    <x v="0"/>
    <x v="0"/>
    <x v="2"/>
    <x v="2"/>
    <x v="2"/>
    <x v="1"/>
    <n v="1580.88"/>
    <n v="1580.88"/>
  </r>
  <r>
    <s v="01/10"/>
    <s v="0090002157"/>
    <x v="0"/>
    <x v="6"/>
    <x v="1"/>
    <x v="3"/>
    <x v="1"/>
    <x v="2"/>
    <x v="3"/>
    <x v="3"/>
    <x v="3"/>
    <x v="0"/>
    <n v="1580.88"/>
    <n v="-1580.88"/>
  </r>
  <r>
    <s v="01/10"/>
    <s v="0090002158"/>
    <x v="0"/>
    <x v="6"/>
    <x v="1"/>
    <x v="2"/>
    <x v="0"/>
    <x v="0"/>
    <x v="2"/>
    <x v="2"/>
    <x v="2"/>
    <x v="1"/>
    <n v="606"/>
    <n v="606"/>
  </r>
  <r>
    <s v="01/10"/>
    <s v="0090002158"/>
    <x v="0"/>
    <x v="6"/>
    <x v="1"/>
    <x v="3"/>
    <x v="1"/>
    <x v="2"/>
    <x v="3"/>
    <x v="3"/>
    <x v="3"/>
    <x v="0"/>
    <n v="606"/>
    <n v="-606"/>
  </r>
  <r>
    <s v="01/10"/>
    <s v="0090002160"/>
    <x v="0"/>
    <x v="6"/>
    <x v="1"/>
    <x v="2"/>
    <x v="0"/>
    <x v="0"/>
    <x v="2"/>
    <x v="2"/>
    <x v="2"/>
    <x v="1"/>
    <n v="1728.05"/>
    <n v="1728.05"/>
  </r>
  <r>
    <s v="01/10"/>
    <s v="0090002160"/>
    <x v="0"/>
    <x v="6"/>
    <x v="1"/>
    <x v="3"/>
    <x v="1"/>
    <x v="2"/>
    <x v="3"/>
    <x v="3"/>
    <x v="3"/>
    <x v="0"/>
    <n v="1728.05"/>
    <n v="-1728.05"/>
  </r>
  <r>
    <s v="01/10"/>
    <s v="4900000031"/>
    <x v="0"/>
    <x v="6"/>
    <x v="1"/>
    <x v="0"/>
    <x v="0"/>
    <x v="0"/>
    <x v="0"/>
    <x v="0"/>
    <x v="0"/>
    <x v="0"/>
    <n v="553.79999999999995"/>
    <n v="-553.79999999999995"/>
  </r>
  <r>
    <s v="01/10"/>
    <s v="4900000031"/>
    <x v="0"/>
    <x v="6"/>
    <x v="1"/>
    <x v="1"/>
    <x v="1"/>
    <x v="1"/>
    <x v="1"/>
    <x v="1"/>
    <x v="1"/>
    <x v="1"/>
    <n v="553.79999999999995"/>
    <n v="553.79999999999995"/>
  </r>
  <r>
    <s v="01/10"/>
    <s v="0090002161"/>
    <x v="0"/>
    <x v="6"/>
    <x v="1"/>
    <x v="3"/>
    <x v="1"/>
    <x v="2"/>
    <x v="3"/>
    <x v="3"/>
    <x v="3"/>
    <x v="0"/>
    <n v="2278.56"/>
    <n v="-2278.56"/>
  </r>
  <r>
    <s v="01/10"/>
    <s v="1400000013"/>
    <x v="0"/>
    <x v="6"/>
    <x v="1"/>
    <x v="4"/>
    <x v="0"/>
    <x v="0"/>
    <x v="4"/>
    <x v="4"/>
    <x v="4"/>
    <x v="1"/>
    <n v="2373.5"/>
    <n v="2373.5"/>
  </r>
  <r>
    <s v="01/10"/>
    <s v="1400000013"/>
    <x v="0"/>
    <x v="6"/>
    <x v="1"/>
    <x v="2"/>
    <x v="0"/>
    <x v="0"/>
    <x v="2"/>
    <x v="2"/>
    <x v="5"/>
    <x v="0"/>
    <n v="2373.5"/>
    <n v="-2373.5"/>
  </r>
  <r>
    <s v="01/10"/>
    <s v="1400000013"/>
    <x v="0"/>
    <x v="6"/>
    <x v="1"/>
    <x v="4"/>
    <x v="0"/>
    <x v="0"/>
    <x v="4"/>
    <x v="4"/>
    <x v="4"/>
    <x v="1"/>
    <n v="710.75"/>
    <n v="710.75"/>
  </r>
  <r>
    <s v="01/10"/>
    <s v="1400000013"/>
    <x v="0"/>
    <x v="6"/>
    <x v="1"/>
    <x v="2"/>
    <x v="0"/>
    <x v="0"/>
    <x v="2"/>
    <x v="2"/>
    <x v="5"/>
    <x v="0"/>
    <n v="710.75"/>
    <n v="-710.75"/>
  </r>
  <r>
    <s v="01/10"/>
    <s v="0090002161"/>
    <x v="0"/>
    <x v="6"/>
    <x v="1"/>
    <x v="2"/>
    <x v="0"/>
    <x v="0"/>
    <x v="2"/>
    <x v="2"/>
    <x v="2"/>
    <x v="1"/>
    <n v="2278.56"/>
    <n v="2278.56"/>
  </r>
  <r>
    <s v="01/10"/>
    <s v="0090002159"/>
    <x v="0"/>
    <x v="6"/>
    <x v="1"/>
    <x v="2"/>
    <x v="0"/>
    <x v="0"/>
    <x v="2"/>
    <x v="2"/>
    <x v="2"/>
    <x v="1"/>
    <n v="1823.44"/>
    <n v="1823.44"/>
  </r>
  <r>
    <s v="01/10"/>
    <s v="0090002159"/>
    <x v="0"/>
    <x v="6"/>
    <x v="1"/>
    <x v="3"/>
    <x v="1"/>
    <x v="2"/>
    <x v="3"/>
    <x v="3"/>
    <x v="3"/>
    <x v="0"/>
    <n v="1823.44"/>
    <n v="-1823.44"/>
  </r>
  <r>
    <s v="01/10"/>
    <s v="4900000030"/>
    <x v="0"/>
    <x v="6"/>
    <x v="1"/>
    <x v="0"/>
    <x v="0"/>
    <x v="0"/>
    <x v="0"/>
    <x v="0"/>
    <x v="0"/>
    <x v="0"/>
    <n v="1444.93"/>
    <n v="-1444.93"/>
  </r>
  <r>
    <s v="01/10"/>
    <s v="4900000030"/>
    <x v="0"/>
    <x v="6"/>
    <x v="1"/>
    <x v="1"/>
    <x v="1"/>
    <x v="1"/>
    <x v="1"/>
    <x v="1"/>
    <x v="1"/>
    <x v="1"/>
    <n v="1444.93"/>
    <n v="1444.93"/>
  </r>
  <r>
    <s v="01/09"/>
    <s v="1400000011"/>
    <x v="0"/>
    <x v="1"/>
    <x v="1"/>
    <x v="2"/>
    <x v="0"/>
    <x v="0"/>
    <x v="2"/>
    <x v="2"/>
    <x v="5"/>
    <x v="0"/>
    <n v="1708.92"/>
    <n v="-1708.92"/>
  </r>
  <r>
    <s v="01/09"/>
    <s v="1400000011"/>
    <x v="0"/>
    <x v="1"/>
    <x v="1"/>
    <x v="4"/>
    <x v="0"/>
    <x v="0"/>
    <x v="4"/>
    <x v="4"/>
    <x v="4"/>
    <x v="1"/>
    <n v="757.5"/>
    <n v="757.5"/>
  </r>
  <r>
    <s v="01/09"/>
    <s v="1400000011"/>
    <x v="0"/>
    <x v="1"/>
    <x v="1"/>
    <x v="2"/>
    <x v="0"/>
    <x v="0"/>
    <x v="2"/>
    <x v="2"/>
    <x v="5"/>
    <x v="0"/>
    <n v="757.5"/>
    <n v="-757.5"/>
  </r>
  <r>
    <s v="01/09"/>
    <s v="1400000011"/>
    <x v="0"/>
    <x v="1"/>
    <x v="1"/>
    <x v="4"/>
    <x v="0"/>
    <x v="0"/>
    <x v="4"/>
    <x v="4"/>
    <x v="4"/>
    <x v="1"/>
    <n v="1728.05"/>
    <n v="1728.05"/>
  </r>
  <r>
    <s v="01/09"/>
    <s v="1400000011"/>
    <x v="0"/>
    <x v="1"/>
    <x v="1"/>
    <x v="2"/>
    <x v="0"/>
    <x v="0"/>
    <x v="2"/>
    <x v="2"/>
    <x v="5"/>
    <x v="0"/>
    <n v="1728.05"/>
    <n v="-1728.05"/>
  </r>
  <r>
    <s v="01/09"/>
    <s v="0090002148"/>
    <x v="0"/>
    <x v="1"/>
    <x v="1"/>
    <x v="2"/>
    <x v="0"/>
    <x v="0"/>
    <x v="2"/>
    <x v="2"/>
    <x v="2"/>
    <x v="1"/>
    <n v="2364.6999999999998"/>
    <n v="2364.6999999999998"/>
  </r>
  <r>
    <s v="01/09"/>
    <s v="0090002148"/>
    <x v="0"/>
    <x v="1"/>
    <x v="1"/>
    <x v="3"/>
    <x v="1"/>
    <x v="2"/>
    <x v="3"/>
    <x v="3"/>
    <x v="3"/>
    <x v="0"/>
    <n v="2364.6999999999998"/>
    <n v="-2364.6999999999998"/>
  </r>
  <r>
    <s v="01/09"/>
    <s v="0090002156"/>
    <x v="0"/>
    <x v="1"/>
    <x v="1"/>
    <x v="2"/>
    <x v="0"/>
    <x v="0"/>
    <x v="2"/>
    <x v="2"/>
    <x v="2"/>
    <x v="1"/>
    <n v="1546.15"/>
    <n v="1546.15"/>
  </r>
  <r>
    <s v="01/09"/>
    <s v="0090002156"/>
    <x v="0"/>
    <x v="1"/>
    <x v="1"/>
    <x v="3"/>
    <x v="1"/>
    <x v="2"/>
    <x v="3"/>
    <x v="3"/>
    <x v="3"/>
    <x v="0"/>
    <n v="1546.15"/>
    <n v="-1546.15"/>
  </r>
  <r>
    <s v="02/01"/>
    <s v="0100000005"/>
    <x v="2"/>
    <x v="4"/>
    <x v="4"/>
    <x v="10"/>
    <x v="1"/>
    <x v="6"/>
    <x v="8"/>
    <x v="10"/>
    <x v="4"/>
    <x v="1"/>
    <n v="300"/>
    <n v="300"/>
  </r>
  <r>
    <s v="02/01"/>
    <s v="0100000005"/>
    <x v="2"/>
    <x v="4"/>
    <x v="4"/>
    <x v="4"/>
    <x v="0"/>
    <x v="0"/>
    <x v="4"/>
    <x v="4"/>
    <x v="3"/>
    <x v="0"/>
    <n v="300"/>
    <n v="-300"/>
  </r>
  <r>
    <s v="02/01"/>
    <s v="4900000034"/>
    <x v="2"/>
    <x v="4"/>
    <x v="4"/>
    <x v="0"/>
    <x v="0"/>
    <x v="0"/>
    <x v="0"/>
    <x v="0"/>
    <x v="0"/>
    <x v="0"/>
    <n v="1930.23"/>
    <n v="-1930.23"/>
  </r>
  <r>
    <s v="02/01"/>
    <s v="4900000034"/>
    <x v="2"/>
    <x v="4"/>
    <x v="4"/>
    <x v="1"/>
    <x v="1"/>
    <x v="1"/>
    <x v="1"/>
    <x v="1"/>
    <x v="1"/>
    <x v="1"/>
    <n v="1930.23"/>
    <n v="1930.23"/>
  </r>
  <r>
    <s v="02/01"/>
    <s v="1400000018"/>
    <x v="2"/>
    <x v="4"/>
    <x v="4"/>
    <x v="4"/>
    <x v="0"/>
    <x v="0"/>
    <x v="4"/>
    <x v="4"/>
    <x v="4"/>
    <x v="1"/>
    <n v="1641.25"/>
    <n v="1641.25"/>
  </r>
  <r>
    <s v="02/01"/>
    <s v="1400000018"/>
    <x v="2"/>
    <x v="4"/>
    <x v="4"/>
    <x v="2"/>
    <x v="0"/>
    <x v="0"/>
    <x v="2"/>
    <x v="2"/>
    <x v="5"/>
    <x v="0"/>
    <n v="1641.25"/>
    <n v="-1641.25"/>
  </r>
  <r>
    <s v="02/01"/>
    <s v="1400000018"/>
    <x v="2"/>
    <x v="4"/>
    <x v="4"/>
    <x v="4"/>
    <x v="0"/>
    <x v="0"/>
    <x v="4"/>
    <x v="4"/>
    <x v="4"/>
    <x v="1"/>
    <n v="2278.56"/>
    <n v="2278.56"/>
  </r>
  <r>
    <s v="02/01"/>
    <s v="1400000018"/>
    <x v="2"/>
    <x v="4"/>
    <x v="4"/>
    <x v="2"/>
    <x v="0"/>
    <x v="0"/>
    <x v="2"/>
    <x v="2"/>
    <x v="5"/>
    <x v="0"/>
    <n v="2278.56"/>
    <n v="-2278.56"/>
  </r>
  <r>
    <s v="02/01"/>
    <s v="1400000018"/>
    <x v="2"/>
    <x v="4"/>
    <x v="4"/>
    <x v="4"/>
    <x v="0"/>
    <x v="0"/>
    <x v="4"/>
    <x v="4"/>
    <x v="4"/>
    <x v="1"/>
    <n v="1712.62"/>
    <n v="1712.62"/>
  </r>
  <r>
    <s v="02/01"/>
    <s v="1400000018"/>
    <x v="2"/>
    <x v="4"/>
    <x v="4"/>
    <x v="2"/>
    <x v="0"/>
    <x v="0"/>
    <x v="2"/>
    <x v="2"/>
    <x v="5"/>
    <x v="0"/>
    <n v="1712.62"/>
    <n v="-1712.62"/>
  </r>
  <r>
    <s v="02/01"/>
    <s v="1400000018"/>
    <x v="2"/>
    <x v="4"/>
    <x v="4"/>
    <x v="4"/>
    <x v="0"/>
    <x v="0"/>
    <x v="4"/>
    <x v="4"/>
    <x v="4"/>
    <x v="1"/>
    <n v="2843"/>
    <n v="2843"/>
  </r>
  <r>
    <s v="02/01"/>
    <s v="1400000018"/>
    <x v="2"/>
    <x v="4"/>
    <x v="4"/>
    <x v="2"/>
    <x v="0"/>
    <x v="0"/>
    <x v="2"/>
    <x v="2"/>
    <x v="5"/>
    <x v="0"/>
    <n v="2843"/>
    <n v="-2843"/>
  </r>
  <r>
    <s v="02/01"/>
    <s v="0090002164"/>
    <x v="2"/>
    <x v="4"/>
    <x v="4"/>
    <x v="2"/>
    <x v="0"/>
    <x v="0"/>
    <x v="2"/>
    <x v="2"/>
    <x v="2"/>
    <x v="1"/>
    <n v="268"/>
    <n v="268"/>
  </r>
  <r>
    <s v="02/01"/>
    <s v="0090002164"/>
    <x v="2"/>
    <x v="4"/>
    <x v="4"/>
    <x v="3"/>
    <x v="1"/>
    <x v="2"/>
    <x v="3"/>
    <x v="3"/>
    <x v="3"/>
    <x v="0"/>
    <n v="268"/>
    <n v="-268"/>
  </r>
  <r>
    <s v="02/01"/>
    <s v="0090002165"/>
    <x v="2"/>
    <x v="4"/>
    <x v="4"/>
    <x v="2"/>
    <x v="0"/>
    <x v="0"/>
    <x v="2"/>
    <x v="2"/>
    <x v="2"/>
    <x v="1"/>
    <n v="1539"/>
    <n v="1539"/>
  </r>
  <r>
    <s v="02/01"/>
    <s v="0090002165"/>
    <x v="2"/>
    <x v="4"/>
    <x v="4"/>
    <x v="3"/>
    <x v="1"/>
    <x v="2"/>
    <x v="3"/>
    <x v="3"/>
    <x v="3"/>
    <x v="0"/>
    <n v="1539"/>
    <n v="-1539"/>
  </r>
  <r>
    <s v="02/01"/>
    <s v="1400000017"/>
    <x v="2"/>
    <x v="4"/>
    <x v="4"/>
    <x v="4"/>
    <x v="0"/>
    <x v="0"/>
    <x v="4"/>
    <x v="4"/>
    <x v="4"/>
    <x v="1"/>
    <n v="1519.04"/>
    <n v="1519.04"/>
  </r>
  <r>
    <s v="02/01"/>
    <s v="1400000017"/>
    <x v="2"/>
    <x v="4"/>
    <x v="4"/>
    <x v="2"/>
    <x v="0"/>
    <x v="0"/>
    <x v="2"/>
    <x v="2"/>
    <x v="5"/>
    <x v="0"/>
    <n v="1519.04"/>
    <n v="-1519.04"/>
  </r>
  <r>
    <s v="02/01"/>
    <s v="1400000017"/>
    <x v="2"/>
    <x v="4"/>
    <x v="4"/>
    <x v="4"/>
    <x v="0"/>
    <x v="0"/>
    <x v="4"/>
    <x v="4"/>
    <x v="4"/>
    <x v="1"/>
    <n v="1664.88"/>
    <n v="1664.88"/>
  </r>
  <r>
    <s v="02/01"/>
    <s v="1400000017"/>
    <x v="2"/>
    <x v="4"/>
    <x v="4"/>
    <x v="2"/>
    <x v="0"/>
    <x v="0"/>
    <x v="2"/>
    <x v="2"/>
    <x v="5"/>
    <x v="0"/>
    <n v="1664.88"/>
    <n v="-1664.88"/>
  </r>
  <r>
    <s v="02/01"/>
    <s v="1400000019"/>
    <x v="2"/>
    <x v="4"/>
    <x v="4"/>
    <x v="4"/>
    <x v="0"/>
    <x v="0"/>
    <x v="4"/>
    <x v="4"/>
    <x v="4"/>
    <x v="1"/>
    <n v="1823.44"/>
    <n v="1823.44"/>
  </r>
  <r>
    <s v="02/01"/>
    <s v="1400000019"/>
    <x v="2"/>
    <x v="4"/>
    <x v="4"/>
    <x v="2"/>
    <x v="0"/>
    <x v="0"/>
    <x v="2"/>
    <x v="2"/>
    <x v="5"/>
    <x v="0"/>
    <n v="1823.44"/>
    <n v="-1823.44"/>
  </r>
  <r>
    <s v="02/01"/>
    <s v="1400000019"/>
    <x v="2"/>
    <x v="4"/>
    <x v="4"/>
    <x v="4"/>
    <x v="0"/>
    <x v="0"/>
    <x v="4"/>
    <x v="4"/>
    <x v="4"/>
    <x v="1"/>
    <n v="2173.71"/>
    <n v="2173.71"/>
  </r>
  <r>
    <s v="02/01"/>
    <s v="1400000019"/>
    <x v="2"/>
    <x v="4"/>
    <x v="4"/>
    <x v="2"/>
    <x v="0"/>
    <x v="0"/>
    <x v="2"/>
    <x v="2"/>
    <x v="5"/>
    <x v="0"/>
    <n v="2173.71"/>
    <n v="-2173.71"/>
  </r>
  <r>
    <s v="02/01"/>
    <s v="1400000020"/>
    <x v="2"/>
    <x v="4"/>
    <x v="4"/>
    <x v="4"/>
    <x v="0"/>
    <x v="0"/>
    <x v="4"/>
    <x v="4"/>
    <x v="4"/>
    <x v="1"/>
    <n v="1728.05"/>
    <n v="1728.05"/>
  </r>
  <r>
    <s v="02/01"/>
    <s v="1400000020"/>
    <x v="2"/>
    <x v="4"/>
    <x v="4"/>
    <x v="2"/>
    <x v="0"/>
    <x v="0"/>
    <x v="2"/>
    <x v="2"/>
    <x v="5"/>
    <x v="0"/>
    <n v="1728.05"/>
    <n v="-1728.05"/>
  </r>
  <r>
    <s v="02/01"/>
    <s v="1400000020"/>
    <x v="2"/>
    <x v="4"/>
    <x v="4"/>
    <x v="4"/>
    <x v="0"/>
    <x v="0"/>
    <x v="4"/>
    <x v="4"/>
    <x v="4"/>
    <x v="1"/>
    <n v="1982"/>
    <n v="1982"/>
  </r>
  <r>
    <s v="02/01"/>
    <s v="1400000020"/>
    <x v="2"/>
    <x v="4"/>
    <x v="4"/>
    <x v="2"/>
    <x v="0"/>
    <x v="0"/>
    <x v="2"/>
    <x v="2"/>
    <x v="5"/>
    <x v="0"/>
    <n v="1982"/>
    <n v="-1982"/>
  </r>
  <r>
    <s v="02/01"/>
    <s v="4900000035"/>
    <x v="2"/>
    <x v="4"/>
    <x v="4"/>
    <x v="0"/>
    <x v="0"/>
    <x v="0"/>
    <x v="0"/>
    <x v="0"/>
    <x v="0"/>
    <x v="0"/>
    <n v="241.28"/>
    <n v="-241.28"/>
  </r>
  <r>
    <s v="02/01"/>
    <s v="4900000035"/>
    <x v="2"/>
    <x v="4"/>
    <x v="4"/>
    <x v="1"/>
    <x v="1"/>
    <x v="1"/>
    <x v="1"/>
    <x v="1"/>
    <x v="1"/>
    <x v="1"/>
    <n v="241.28"/>
    <n v="241.28"/>
  </r>
  <r>
    <s v="02/01"/>
    <s v="4900000037"/>
    <x v="2"/>
    <x v="4"/>
    <x v="4"/>
    <x v="0"/>
    <x v="0"/>
    <x v="0"/>
    <x v="0"/>
    <x v="0"/>
    <x v="0"/>
    <x v="0"/>
    <n v="663.52"/>
    <n v="-663.52"/>
  </r>
  <r>
    <s v="02/01"/>
    <s v="4900000037"/>
    <x v="2"/>
    <x v="4"/>
    <x v="4"/>
    <x v="1"/>
    <x v="1"/>
    <x v="1"/>
    <x v="1"/>
    <x v="1"/>
    <x v="1"/>
    <x v="1"/>
    <n v="663.52"/>
    <n v="663.52"/>
  </r>
  <r>
    <s v="02/01"/>
    <s v="4900000037"/>
    <x v="2"/>
    <x v="4"/>
    <x v="4"/>
    <x v="0"/>
    <x v="0"/>
    <x v="0"/>
    <x v="0"/>
    <x v="0"/>
    <x v="0"/>
    <x v="0"/>
    <n v="2081.31"/>
    <n v="-2081.31"/>
  </r>
  <r>
    <s v="02/01"/>
    <s v="4900000037"/>
    <x v="2"/>
    <x v="4"/>
    <x v="4"/>
    <x v="1"/>
    <x v="1"/>
    <x v="1"/>
    <x v="1"/>
    <x v="1"/>
    <x v="1"/>
    <x v="1"/>
    <n v="2081.31"/>
    <n v="2081.31"/>
  </r>
  <r>
    <s v="02/01"/>
    <s v="5000000001"/>
    <x v="2"/>
    <x v="4"/>
    <x v="4"/>
    <x v="0"/>
    <x v="0"/>
    <x v="0"/>
    <x v="0"/>
    <x v="0"/>
    <x v="6"/>
    <x v="1"/>
    <n v="13741.26"/>
    <n v="13741.26"/>
  </r>
  <r>
    <s v="01/03"/>
    <s v="0090002097"/>
    <x v="0"/>
    <x v="3"/>
    <x v="0"/>
    <x v="3"/>
    <x v="1"/>
    <x v="2"/>
    <x v="3"/>
    <x v="3"/>
    <x v="3"/>
    <x v="0"/>
    <n v="2095.75"/>
    <n v="-2095.75"/>
  </r>
  <r>
    <s v="01/03"/>
    <s v="0090002097"/>
    <x v="0"/>
    <x v="3"/>
    <x v="0"/>
    <x v="3"/>
    <x v="1"/>
    <x v="2"/>
    <x v="3"/>
    <x v="3"/>
    <x v="3"/>
    <x v="0"/>
    <n v="429.25"/>
    <n v="-429.25"/>
  </r>
  <r>
    <s v="01/03"/>
    <s v="0090002098"/>
    <x v="0"/>
    <x v="3"/>
    <x v="0"/>
    <x v="2"/>
    <x v="0"/>
    <x v="0"/>
    <x v="2"/>
    <x v="2"/>
    <x v="2"/>
    <x v="1"/>
    <n v="3038.08"/>
    <n v="3038.08"/>
  </r>
  <r>
    <s v="01/03"/>
    <s v="0090002098"/>
    <x v="0"/>
    <x v="3"/>
    <x v="0"/>
    <x v="3"/>
    <x v="1"/>
    <x v="2"/>
    <x v="3"/>
    <x v="3"/>
    <x v="3"/>
    <x v="0"/>
    <n v="1613.98"/>
    <n v="-1613.98"/>
  </r>
  <r>
    <s v="01/03"/>
    <s v="0090002098"/>
    <x v="0"/>
    <x v="3"/>
    <x v="0"/>
    <x v="3"/>
    <x v="1"/>
    <x v="2"/>
    <x v="3"/>
    <x v="3"/>
    <x v="3"/>
    <x v="0"/>
    <n v="1424.1"/>
    <n v="-1424.1"/>
  </r>
  <r>
    <s v="01/03"/>
    <s v="0090002100"/>
    <x v="0"/>
    <x v="3"/>
    <x v="0"/>
    <x v="2"/>
    <x v="0"/>
    <x v="0"/>
    <x v="2"/>
    <x v="2"/>
    <x v="2"/>
    <x v="1"/>
    <n v="1902.72"/>
    <n v="1902.72"/>
  </r>
  <r>
    <s v="01/03"/>
    <s v="0090002100"/>
    <x v="0"/>
    <x v="3"/>
    <x v="0"/>
    <x v="3"/>
    <x v="1"/>
    <x v="2"/>
    <x v="3"/>
    <x v="3"/>
    <x v="3"/>
    <x v="0"/>
    <n v="1902.72"/>
    <n v="-1902.72"/>
  </r>
  <r>
    <s v="01/03"/>
    <s v="4900000000"/>
    <x v="0"/>
    <x v="3"/>
    <x v="0"/>
    <x v="0"/>
    <x v="0"/>
    <x v="0"/>
    <x v="0"/>
    <x v="0"/>
    <x v="0"/>
    <x v="0"/>
    <n v="1611.41"/>
    <n v="-1611.41"/>
  </r>
  <r>
    <s v="01/03"/>
    <s v="4900000000"/>
    <x v="0"/>
    <x v="3"/>
    <x v="0"/>
    <x v="1"/>
    <x v="1"/>
    <x v="1"/>
    <x v="1"/>
    <x v="1"/>
    <x v="1"/>
    <x v="1"/>
    <n v="1611.41"/>
    <n v="1611.41"/>
  </r>
  <r>
    <s v="01/03"/>
    <s v="4900000000"/>
    <x v="0"/>
    <x v="3"/>
    <x v="0"/>
    <x v="0"/>
    <x v="0"/>
    <x v="0"/>
    <x v="0"/>
    <x v="0"/>
    <x v="0"/>
    <x v="0"/>
    <n v="1806.17"/>
    <n v="-1806.17"/>
  </r>
  <r>
    <s v="01/03"/>
    <s v="4900000000"/>
    <x v="0"/>
    <x v="3"/>
    <x v="0"/>
    <x v="1"/>
    <x v="1"/>
    <x v="1"/>
    <x v="1"/>
    <x v="1"/>
    <x v="1"/>
    <x v="1"/>
    <n v="1806.17"/>
    <n v="1806.17"/>
  </r>
  <r>
    <s v="01/03"/>
    <s v="4900000000"/>
    <x v="0"/>
    <x v="3"/>
    <x v="0"/>
    <x v="0"/>
    <x v="0"/>
    <x v="0"/>
    <x v="0"/>
    <x v="0"/>
    <x v="0"/>
    <x v="0"/>
    <n v="1986.78"/>
    <n v="-1986.78"/>
  </r>
  <r>
    <s v="01/03"/>
    <s v="4900000000"/>
    <x v="0"/>
    <x v="3"/>
    <x v="0"/>
    <x v="1"/>
    <x v="1"/>
    <x v="1"/>
    <x v="1"/>
    <x v="1"/>
    <x v="1"/>
    <x v="1"/>
    <n v="1986.78"/>
    <n v="1986.78"/>
  </r>
  <r>
    <s v="01/03"/>
    <s v="4900000000"/>
    <x v="0"/>
    <x v="3"/>
    <x v="0"/>
    <x v="0"/>
    <x v="0"/>
    <x v="0"/>
    <x v="0"/>
    <x v="0"/>
    <x v="0"/>
    <x v="0"/>
    <n v="987.64"/>
    <n v="-987.64"/>
  </r>
  <r>
    <s v="01/03"/>
    <s v="4900000000"/>
    <x v="0"/>
    <x v="3"/>
    <x v="0"/>
    <x v="1"/>
    <x v="1"/>
    <x v="1"/>
    <x v="1"/>
    <x v="1"/>
    <x v="1"/>
    <x v="1"/>
    <n v="987.64"/>
    <n v="987.64"/>
  </r>
  <r>
    <s v="01/03"/>
    <s v="4900000000"/>
    <x v="0"/>
    <x v="3"/>
    <x v="0"/>
    <x v="0"/>
    <x v="0"/>
    <x v="0"/>
    <x v="0"/>
    <x v="0"/>
    <x v="0"/>
    <x v="0"/>
    <n v="1561.84"/>
    <n v="-1561.84"/>
  </r>
  <r>
    <s v="01/03"/>
    <s v="4900000000"/>
    <x v="0"/>
    <x v="3"/>
    <x v="0"/>
    <x v="1"/>
    <x v="1"/>
    <x v="1"/>
    <x v="1"/>
    <x v="1"/>
    <x v="1"/>
    <x v="1"/>
    <n v="1561.84"/>
    <n v="1561.84"/>
  </r>
  <r>
    <s v="01/03"/>
    <s v="0090002103"/>
    <x v="0"/>
    <x v="3"/>
    <x v="0"/>
    <x v="2"/>
    <x v="0"/>
    <x v="0"/>
    <x v="2"/>
    <x v="2"/>
    <x v="2"/>
    <x v="1"/>
    <n v="1982"/>
    <n v="1982"/>
  </r>
  <r>
    <s v="01/03"/>
    <s v="0090002103"/>
    <x v="0"/>
    <x v="3"/>
    <x v="0"/>
    <x v="3"/>
    <x v="1"/>
    <x v="2"/>
    <x v="3"/>
    <x v="3"/>
    <x v="3"/>
    <x v="0"/>
    <n v="1982"/>
    <n v="-1982"/>
  </r>
  <r>
    <s v="01/06"/>
    <s v="0090002124"/>
    <x v="0"/>
    <x v="7"/>
    <x v="1"/>
    <x v="2"/>
    <x v="0"/>
    <x v="0"/>
    <x v="2"/>
    <x v="2"/>
    <x v="2"/>
    <x v="1"/>
    <n v="710.75"/>
    <n v="710.75"/>
  </r>
  <r>
    <s v="01/06"/>
    <s v="0090002124"/>
    <x v="0"/>
    <x v="7"/>
    <x v="1"/>
    <x v="3"/>
    <x v="1"/>
    <x v="2"/>
    <x v="3"/>
    <x v="3"/>
    <x v="3"/>
    <x v="0"/>
    <n v="710.75"/>
    <n v="-710.75"/>
  </r>
  <r>
    <s v="01/06"/>
    <s v="0090002126"/>
    <x v="0"/>
    <x v="7"/>
    <x v="1"/>
    <x v="2"/>
    <x v="0"/>
    <x v="0"/>
    <x v="2"/>
    <x v="2"/>
    <x v="2"/>
    <x v="1"/>
    <n v="2378.4"/>
    <n v="2378.4"/>
  </r>
  <r>
    <s v="01/06"/>
    <s v="0090002126"/>
    <x v="0"/>
    <x v="7"/>
    <x v="1"/>
    <x v="3"/>
    <x v="1"/>
    <x v="2"/>
    <x v="3"/>
    <x v="3"/>
    <x v="3"/>
    <x v="0"/>
    <n v="2378.4"/>
    <n v="-2378.4"/>
  </r>
  <r>
    <s v="01/06"/>
    <s v="0090002128"/>
    <x v="0"/>
    <x v="7"/>
    <x v="1"/>
    <x v="2"/>
    <x v="0"/>
    <x v="0"/>
    <x v="2"/>
    <x v="2"/>
    <x v="2"/>
    <x v="1"/>
    <n v="2061.2800000000002"/>
    <n v="2061.2800000000002"/>
  </r>
  <r>
    <s v="01/06"/>
    <s v="0090002128"/>
    <x v="0"/>
    <x v="7"/>
    <x v="1"/>
    <x v="3"/>
    <x v="1"/>
    <x v="2"/>
    <x v="3"/>
    <x v="3"/>
    <x v="3"/>
    <x v="0"/>
    <n v="2061.2800000000002"/>
    <n v="-2061.2800000000002"/>
  </r>
  <r>
    <s v="01/06"/>
    <s v="1500000000"/>
    <x v="0"/>
    <x v="7"/>
    <x v="1"/>
    <x v="4"/>
    <x v="0"/>
    <x v="0"/>
    <x v="4"/>
    <x v="4"/>
    <x v="3"/>
    <x v="0"/>
    <n v="184948"/>
    <n v="-184948"/>
  </r>
  <r>
    <s v="01/06"/>
    <s v="1500000000"/>
    <x v="0"/>
    <x v="7"/>
    <x v="1"/>
    <x v="9"/>
    <x v="2"/>
    <x v="5"/>
    <x v="7"/>
    <x v="9"/>
    <x v="5"/>
    <x v="1"/>
    <n v="184948"/>
    <n v="184948"/>
  </r>
  <r>
    <s v="01/06"/>
    <s v="4900000014"/>
    <x v="0"/>
    <x v="7"/>
    <x v="1"/>
    <x v="0"/>
    <x v="0"/>
    <x v="0"/>
    <x v="0"/>
    <x v="0"/>
    <x v="0"/>
    <x v="0"/>
    <n v="2173.85"/>
    <n v="-2173.85"/>
  </r>
  <r>
    <s v="01/06"/>
    <s v="4900000014"/>
    <x v="0"/>
    <x v="7"/>
    <x v="1"/>
    <x v="1"/>
    <x v="1"/>
    <x v="1"/>
    <x v="1"/>
    <x v="1"/>
    <x v="1"/>
    <x v="1"/>
    <n v="2173.85"/>
    <n v="2173.85"/>
  </r>
  <r>
    <s v="01/06"/>
    <s v="4900000016"/>
    <x v="0"/>
    <x v="7"/>
    <x v="1"/>
    <x v="0"/>
    <x v="0"/>
    <x v="0"/>
    <x v="0"/>
    <x v="0"/>
    <x v="0"/>
    <x v="0"/>
    <n v="1884.01"/>
    <n v="-1884.01"/>
  </r>
  <r>
    <s v="01/06"/>
    <s v="4900000016"/>
    <x v="0"/>
    <x v="7"/>
    <x v="1"/>
    <x v="1"/>
    <x v="1"/>
    <x v="1"/>
    <x v="1"/>
    <x v="1"/>
    <x v="1"/>
    <x v="1"/>
    <n v="1884.01"/>
    <n v="1884.01"/>
  </r>
  <r>
    <s v="01/06"/>
    <s v="4900000016"/>
    <x v="0"/>
    <x v="7"/>
    <x v="1"/>
    <x v="0"/>
    <x v="0"/>
    <x v="0"/>
    <x v="0"/>
    <x v="0"/>
    <x v="0"/>
    <x v="0"/>
    <n v="1745.72"/>
    <n v="-1745.72"/>
  </r>
  <r>
    <s v="01/06"/>
    <s v="4900000016"/>
    <x v="0"/>
    <x v="7"/>
    <x v="1"/>
    <x v="1"/>
    <x v="1"/>
    <x v="1"/>
    <x v="1"/>
    <x v="1"/>
    <x v="1"/>
    <x v="1"/>
    <n v="1745.72"/>
    <n v="1745.72"/>
  </r>
  <r>
    <s v="01/06"/>
    <s v="4900000012"/>
    <x v="0"/>
    <x v="7"/>
    <x v="1"/>
    <x v="0"/>
    <x v="0"/>
    <x v="0"/>
    <x v="0"/>
    <x v="0"/>
    <x v="0"/>
    <x v="0"/>
    <n v="1866.37"/>
    <n v="-1866.37"/>
  </r>
  <r>
    <s v="01/06"/>
    <s v="4900000012"/>
    <x v="0"/>
    <x v="7"/>
    <x v="1"/>
    <x v="1"/>
    <x v="1"/>
    <x v="1"/>
    <x v="1"/>
    <x v="1"/>
    <x v="1"/>
    <x v="1"/>
    <n v="1866.37"/>
    <n v="1866.37"/>
  </r>
  <r>
    <s v="01/06"/>
    <s v="4900000012"/>
    <x v="0"/>
    <x v="7"/>
    <x v="1"/>
    <x v="0"/>
    <x v="0"/>
    <x v="0"/>
    <x v="0"/>
    <x v="0"/>
    <x v="0"/>
    <x v="0"/>
    <n v="138.44999999999999"/>
    <n v="-138.44999999999999"/>
  </r>
  <r>
    <s v="01/06"/>
    <s v="4900000012"/>
    <x v="0"/>
    <x v="7"/>
    <x v="1"/>
    <x v="1"/>
    <x v="1"/>
    <x v="1"/>
    <x v="1"/>
    <x v="1"/>
    <x v="1"/>
    <x v="1"/>
    <n v="138.44999999999999"/>
    <n v="138.44999999999999"/>
  </r>
  <r>
    <s v="01/06"/>
    <s v="4900000012"/>
    <x v="0"/>
    <x v="7"/>
    <x v="1"/>
    <x v="0"/>
    <x v="0"/>
    <x v="0"/>
    <x v="0"/>
    <x v="0"/>
    <x v="0"/>
    <x v="0"/>
    <n v="1884.01"/>
    <n v="-1884.01"/>
  </r>
  <r>
    <s v="01/06"/>
    <s v="4900000012"/>
    <x v="0"/>
    <x v="7"/>
    <x v="1"/>
    <x v="1"/>
    <x v="1"/>
    <x v="1"/>
    <x v="1"/>
    <x v="1"/>
    <x v="1"/>
    <x v="1"/>
    <n v="1884.01"/>
    <n v="1884.01"/>
  </r>
  <r>
    <s v="01/06"/>
    <s v="4900000012"/>
    <x v="0"/>
    <x v="7"/>
    <x v="1"/>
    <x v="0"/>
    <x v="0"/>
    <x v="0"/>
    <x v="0"/>
    <x v="0"/>
    <x v="0"/>
    <x v="0"/>
    <n v="2082.46"/>
    <n v="-2082.46"/>
  </r>
  <r>
    <s v="01/06"/>
    <s v="4900000012"/>
    <x v="0"/>
    <x v="7"/>
    <x v="1"/>
    <x v="1"/>
    <x v="1"/>
    <x v="1"/>
    <x v="1"/>
    <x v="1"/>
    <x v="1"/>
    <x v="1"/>
    <n v="2082.46"/>
    <n v="2082.46"/>
  </r>
  <r>
    <s v="01/06"/>
    <s v="0090002122"/>
    <x v="0"/>
    <x v="7"/>
    <x v="1"/>
    <x v="2"/>
    <x v="0"/>
    <x v="0"/>
    <x v="2"/>
    <x v="2"/>
    <x v="2"/>
    <x v="1"/>
    <n v="2061.2800000000002"/>
    <n v="2061.2800000000002"/>
  </r>
  <r>
    <s v="01/06"/>
    <s v="0090002122"/>
    <x v="0"/>
    <x v="7"/>
    <x v="1"/>
    <x v="3"/>
    <x v="1"/>
    <x v="2"/>
    <x v="3"/>
    <x v="3"/>
    <x v="3"/>
    <x v="0"/>
    <n v="2061.2800000000002"/>
    <n v="-2061.2800000000002"/>
  </r>
  <r>
    <s v="01/06"/>
    <s v="0090002127"/>
    <x v="0"/>
    <x v="7"/>
    <x v="1"/>
    <x v="2"/>
    <x v="0"/>
    <x v="0"/>
    <x v="2"/>
    <x v="2"/>
    <x v="2"/>
    <x v="1"/>
    <n v="3728.95"/>
    <n v="3728.95"/>
  </r>
  <r>
    <s v="01/04"/>
    <s v="0090002112"/>
    <x v="0"/>
    <x v="0"/>
    <x v="0"/>
    <x v="3"/>
    <x v="1"/>
    <x v="2"/>
    <x v="3"/>
    <x v="3"/>
    <x v="3"/>
    <x v="0"/>
    <n v="1580.88"/>
    <n v="-1580.88"/>
  </r>
  <r>
    <s v="01/04"/>
    <s v="0090002112"/>
    <x v="0"/>
    <x v="0"/>
    <x v="0"/>
    <x v="3"/>
    <x v="1"/>
    <x v="2"/>
    <x v="3"/>
    <x v="3"/>
    <x v="3"/>
    <x v="0"/>
    <n v="65.87"/>
    <n v="-65.87"/>
  </r>
  <r>
    <s v="02/10"/>
    <s v="4900000067"/>
    <x v="2"/>
    <x v="6"/>
    <x v="3"/>
    <x v="0"/>
    <x v="0"/>
    <x v="0"/>
    <x v="0"/>
    <x v="0"/>
    <x v="0"/>
    <x v="0"/>
    <n v="1831.55"/>
    <n v="-1831.55"/>
  </r>
  <r>
    <s v="02/10"/>
    <s v="4900000067"/>
    <x v="2"/>
    <x v="6"/>
    <x v="3"/>
    <x v="1"/>
    <x v="1"/>
    <x v="1"/>
    <x v="1"/>
    <x v="1"/>
    <x v="1"/>
    <x v="1"/>
    <n v="1831.55"/>
    <n v="1831.55"/>
  </r>
  <r>
    <s v="02/10"/>
    <s v="0100000008"/>
    <x v="2"/>
    <x v="6"/>
    <x v="3"/>
    <x v="10"/>
    <x v="1"/>
    <x v="6"/>
    <x v="8"/>
    <x v="10"/>
    <x v="4"/>
    <x v="1"/>
    <n v="300"/>
    <n v="300"/>
  </r>
  <r>
    <s v="02/10"/>
    <s v="0100000008"/>
    <x v="2"/>
    <x v="6"/>
    <x v="3"/>
    <x v="4"/>
    <x v="0"/>
    <x v="0"/>
    <x v="4"/>
    <x v="4"/>
    <x v="3"/>
    <x v="0"/>
    <n v="300"/>
    <n v="-300"/>
  </r>
  <r>
    <s v="02/10"/>
    <s v="1400000056"/>
    <x v="2"/>
    <x v="6"/>
    <x v="3"/>
    <x v="4"/>
    <x v="0"/>
    <x v="0"/>
    <x v="4"/>
    <x v="4"/>
    <x v="4"/>
    <x v="1"/>
    <n v="3100"/>
    <n v="3100"/>
  </r>
  <r>
    <s v="02/10"/>
    <s v="1400000056"/>
    <x v="2"/>
    <x v="6"/>
    <x v="3"/>
    <x v="2"/>
    <x v="0"/>
    <x v="0"/>
    <x v="2"/>
    <x v="2"/>
    <x v="5"/>
    <x v="0"/>
    <n v="3100"/>
    <n v="-3100"/>
  </r>
  <r>
    <s v="02/10"/>
    <s v="4900000068"/>
    <x v="2"/>
    <x v="6"/>
    <x v="3"/>
    <x v="0"/>
    <x v="0"/>
    <x v="0"/>
    <x v="0"/>
    <x v="0"/>
    <x v="0"/>
    <x v="0"/>
    <n v="1741.7"/>
    <n v="-1741.7"/>
  </r>
  <r>
    <s v="02/10"/>
    <s v="4900000068"/>
    <x v="2"/>
    <x v="6"/>
    <x v="3"/>
    <x v="1"/>
    <x v="1"/>
    <x v="1"/>
    <x v="1"/>
    <x v="1"/>
    <x v="1"/>
    <x v="1"/>
    <n v="1741.7"/>
    <n v="1741.7"/>
  </r>
  <r>
    <s v="02/10"/>
    <s v="4900000069"/>
    <x v="2"/>
    <x v="6"/>
    <x v="3"/>
    <x v="0"/>
    <x v="0"/>
    <x v="0"/>
    <x v="0"/>
    <x v="0"/>
    <x v="0"/>
    <x v="0"/>
    <n v="1015.56"/>
    <n v="-1015.56"/>
  </r>
  <r>
    <s v="02/10"/>
    <s v="4900000069"/>
    <x v="2"/>
    <x v="6"/>
    <x v="3"/>
    <x v="1"/>
    <x v="1"/>
    <x v="1"/>
    <x v="1"/>
    <x v="1"/>
    <x v="1"/>
    <x v="1"/>
    <n v="1015.56"/>
    <n v="1015.56"/>
  </r>
  <r>
    <s v="02/10"/>
    <s v="0090002225"/>
    <x v="2"/>
    <x v="6"/>
    <x v="3"/>
    <x v="2"/>
    <x v="0"/>
    <x v="0"/>
    <x v="2"/>
    <x v="2"/>
    <x v="2"/>
    <x v="1"/>
    <n v="1248"/>
    <n v="1248"/>
  </r>
  <r>
    <s v="02/10"/>
    <s v="0090002225"/>
    <x v="2"/>
    <x v="6"/>
    <x v="3"/>
    <x v="3"/>
    <x v="1"/>
    <x v="2"/>
    <x v="3"/>
    <x v="3"/>
    <x v="3"/>
    <x v="0"/>
    <n v="1248"/>
    <n v="-1248"/>
  </r>
  <r>
    <s v="02/10"/>
    <s v="1400000054"/>
    <x v="2"/>
    <x v="6"/>
    <x v="3"/>
    <x v="4"/>
    <x v="0"/>
    <x v="0"/>
    <x v="4"/>
    <x v="4"/>
    <x v="4"/>
    <x v="1"/>
    <n v="2350"/>
    <n v="2350"/>
  </r>
  <r>
    <s v="02/10"/>
    <s v="1400000054"/>
    <x v="2"/>
    <x v="6"/>
    <x v="3"/>
    <x v="2"/>
    <x v="0"/>
    <x v="0"/>
    <x v="2"/>
    <x v="2"/>
    <x v="5"/>
    <x v="0"/>
    <n v="2350"/>
    <n v="-2350"/>
  </r>
  <r>
    <s v="02/10"/>
    <s v="1400000054"/>
    <x v="2"/>
    <x v="6"/>
    <x v="3"/>
    <x v="4"/>
    <x v="0"/>
    <x v="0"/>
    <x v="4"/>
    <x v="4"/>
    <x v="4"/>
    <x v="1"/>
    <n v="2050"/>
    <n v="2050"/>
  </r>
  <r>
    <s v="02/10"/>
    <s v="1400000054"/>
    <x v="2"/>
    <x v="6"/>
    <x v="3"/>
    <x v="2"/>
    <x v="0"/>
    <x v="0"/>
    <x v="2"/>
    <x v="2"/>
    <x v="5"/>
    <x v="0"/>
    <n v="2050"/>
    <n v="-2050"/>
  </r>
  <r>
    <s v="02/10"/>
    <s v="1400000054"/>
    <x v="2"/>
    <x v="6"/>
    <x v="3"/>
    <x v="4"/>
    <x v="0"/>
    <x v="0"/>
    <x v="4"/>
    <x v="4"/>
    <x v="4"/>
    <x v="1"/>
    <n v="1596"/>
    <n v="1596"/>
  </r>
  <r>
    <s v="02/10"/>
    <s v="1400000054"/>
    <x v="2"/>
    <x v="6"/>
    <x v="3"/>
    <x v="2"/>
    <x v="0"/>
    <x v="0"/>
    <x v="2"/>
    <x v="2"/>
    <x v="5"/>
    <x v="0"/>
    <n v="1596"/>
    <n v="-1596"/>
  </r>
  <r>
    <s v="02/10"/>
    <s v="0090002223"/>
    <x v="2"/>
    <x v="6"/>
    <x v="3"/>
    <x v="2"/>
    <x v="0"/>
    <x v="0"/>
    <x v="2"/>
    <x v="2"/>
    <x v="2"/>
    <x v="1"/>
    <n v="2068"/>
    <n v="2068"/>
  </r>
  <r>
    <s v="02/10"/>
    <s v="0090002223"/>
    <x v="2"/>
    <x v="6"/>
    <x v="3"/>
    <x v="3"/>
    <x v="1"/>
    <x v="2"/>
    <x v="3"/>
    <x v="3"/>
    <x v="3"/>
    <x v="0"/>
    <n v="2068"/>
    <n v="-2068"/>
  </r>
  <r>
    <s v="02/10"/>
    <s v="0090002224"/>
    <x v="2"/>
    <x v="6"/>
    <x v="3"/>
    <x v="2"/>
    <x v="0"/>
    <x v="0"/>
    <x v="2"/>
    <x v="2"/>
    <x v="2"/>
    <x v="1"/>
    <n v="1992"/>
    <n v="1992"/>
  </r>
  <r>
    <s v="02/10"/>
    <s v="0090002224"/>
    <x v="2"/>
    <x v="6"/>
    <x v="3"/>
    <x v="3"/>
    <x v="1"/>
    <x v="2"/>
    <x v="3"/>
    <x v="3"/>
    <x v="3"/>
    <x v="0"/>
    <n v="1992"/>
    <n v="-1992"/>
  </r>
  <r>
    <s v="02/10"/>
    <s v="1400000057"/>
    <x v="2"/>
    <x v="6"/>
    <x v="3"/>
    <x v="4"/>
    <x v="0"/>
    <x v="0"/>
    <x v="4"/>
    <x v="4"/>
    <x v="4"/>
    <x v="1"/>
    <n v="3906"/>
    <n v="3906"/>
  </r>
  <r>
    <s v="02/10"/>
    <s v="1400000057"/>
    <x v="2"/>
    <x v="6"/>
    <x v="3"/>
    <x v="2"/>
    <x v="0"/>
    <x v="0"/>
    <x v="2"/>
    <x v="2"/>
    <x v="5"/>
    <x v="0"/>
    <n v="3906"/>
    <n v="-3906"/>
  </r>
  <r>
    <s v="02/10"/>
    <s v="1400000057"/>
    <x v="2"/>
    <x v="6"/>
    <x v="3"/>
    <x v="4"/>
    <x v="0"/>
    <x v="0"/>
    <x v="4"/>
    <x v="4"/>
    <x v="4"/>
    <x v="1"/>
    <n v="1950"/>
    <n v="1950"/>
  </r>
  <r>
    <s v="02/10"/>
    <s v="1400000057"/>
    <x v="2"/>
    <x v="6"/>
    <x v="3"/>
    <x v="2"/>
    <x v="0"/>
    <x v="0"/>
    <x v="2"/>
    <x v="2"/>
    <x v="5"/>
    <x v="0"/>
    <n v="1950"/>
    <n v="-1950"/>
  </r>
  <r>
    <s v="02/10"/>
    <s v="1400000055"/>
    <x v="2"/>
    <x v="6"/>
    <x v="3"/>
    <x v="4"/>
    <x v="0"/>
    <x v="0"/>
    <x v="4"/>
    <x v="4"/>
    <x v="4"/>
    <x v="1"/>
    <n v="4536"/>
    <n v="4536"/>
  </r>
  <r>
    <s v="02/10"/>
    <s v="1400000055"/>
    <x v="2"/>
    <x v="6"/>
    <x v="3"/>
    <x v="2"/>
    <x v="0"/>
    <x v="0"/>
    <x v="2"/>
    <x v="2"/>
    <x v="5"/>
    <x v="0"/>
    <n v="4536"/>
    <n v="-4536"/>
  </r>
  <r>
    <s v="03/01"/>
    <s v="1400000058"/>
    <x v="3"/>
    <x v="4"/>
    <x v="5"/>
    <x v="4"/>
    <x v="0"/>
    <x v="0"/>
    <x v="4"/>
    <x v="4"/>
    <x v="4"/>
    <x v="1"/>
    <n v="2214"/>
    <n v="2214"/>
  </r>
  <r>
    <s v="03/01"/>
    <s v="1400000058"/>
    <x v="3"/>
    <x v="4"/>
    <x v="5"/>
    <x v="2"/>
    <x v="0"/>
    <x v="0"/>
    <x v="2"/>
    <x v="2"/>
    <x v="5"/>
    <x v="0"/>
    <n v="2214"/>
    <n v="-2214"/>
  </r>
  <r>
    <s v="03/01"/>
    <s v="1400000058"/>
    <x v="3"/>
    <x v="4"/>
    <x v="5"/>
    <x v="4"/>
    <x v="0"/>
    <x v="0"/>
    <x v="4"/>
    <x v="4"/>
    <x v="4"/>
    <x v="1"/>
    <n v="1700"/>
    <n v="1700"/>
  </r>
  <r>
    <s v="03/01"/>
    <s v="1400000058"/>
    <x v="3"/>
    <x v="4"/>
    <x v="5"/>
    <x v="2"/>
    <x v="0"/>
    <x v="0"/>
    <x v="2"/>
    <x v="2"/>
    <x v="5"/>
    <x v="0"/>
    <n v="1700"/>
    <n v="-1700"/>
  </r>
  <r>
    <s v="03/01"/>
    <s v="1400000059"/>
    <x v="3"/>
    <x v="4"/>
    <x v="5"/>
    <x v="4"/>
    <x v="0"/>
    <x v="0"/>
    <x v="4"/>
    <x v="4"/>
    <x v="4"/>
    <x v="1"/>
    <n v="1767"/>
    <n v="1767"/>
  </r>
  <r>
    <s v="03/01"/>
    <s v="1400000059"/>
    <x v="3"/>
    <x v="4"/>
    <x v="5"/>
    <x v="2"/>
    <x v="0"/>
    <x v="0"/>
    <x v="2"/>
    <x v="2"/>
    <x v="5"/>
    <x v="0"/>
    <n v="1767"/>
    <n v="-1767"/>
  </r>
  <r>
    <s v="03/01"/>
    <s v="1400000059"/>
    <x v="3"/>
    <x v="4"/>
    <x v="5"/>
    <x v="4"/>
    <x v="0"/>
    <x v="0"/>
    <x v="4"/>
    <x v="4"/>
    <x v="4"/>
    <x v="1"/>
    <n v="1804"/>
    <n v="1804"/>
  </r>
  <r>
    <s v="03/01"/>
    <s v="1400000059"/>
    <x v="3"/>
    <x v="4"/>
    <x v="5"/>
    <x v="2"/>
    <x v="0"/>
    <x v="0"/>
    <x v="2"/>
    <x v="2"/>
    <x v="5"/>
    <x v="0"/>
    <n v="1804"/>
    <n v="-1804"/>
  </r>
  <r>
    <s v="03/01"/>
    <s v="1400000059"/>
    <x v="3"/>
    <x v="4"/>
    <x v="5"/>
    <x v="4"/>
    <x v="0"/>
    <x v="0"/>
    <x v="4"/>
    <x v="4"/>
    <x v="4"/>
    <x v="1"/>
    <n v="2072"/>
    <n v="2072"/>
  </r>
  <r>
    <s v="03/01"/>
    <s v="1400000059"/>
    <x v="3"/>
    <x v="4"/>
    <x v="5"/>
    <x v="2"/>
    <x v="0"/>
    <x v="0"/>
    <x v="2"/>
    <x v="2"/>
    <x v="5"/>
    <x v="0"/>
    <n v="2072"/>
    <n v="-2072"/>
  </r>
  <r>
    <s v="03/01"/>
    <s v="0090002228"/>
    <x v="3"/>
    <x v="4"/>
    <x v="5"/>
    <x v="2"/>
    <x v="0"/>
    <x v="0"/>
    <x v="2"/>
    <x v="2"/>
    <x v="2"/>
    <x v="1"/>
    <n v="754"/>
    <n v="754"/>
  </r>
  <r>
    <s v="03/01"/>
    <s v="0090002228"/>
    <x v="3"/>
    <x v="4"/>
    <x v="5"/>
    <x v="3"/>
    <x v="1"/>
    <x v="2"/>
    <x v="3"/>
    <x v="3"/>
    <x v="3"/>
    <x v="0"/>
    <n v="754"/>
    <n v="-754"/>
  </r>
  <r>
    <s v="03/01"/>
    <s v="0090002232"/>
    <x v="3"/>
    <x v="4"/>
    <x v="5"/>
    <x v="2"/>
    <x v="0"/>
    <x v="0"/>
    <x v="2"/>
    <x v="2"/>
    <x v="2"/>
    <x v="1"/>
    <n v="864"/>
    <n v="864"/>
  </r>
  <r>
    <s v="03/01"/>
    <s v="0090002232"/>
    <x v="3"/>
    <x v="4"/>
    <x v="5"/>
    <x v="3"/>
    <x v="1"/>
    <x v="2"/>
    <x v="3"/>
    <x v="3"/>
    <x v="3"/>
    <x v="0"/>
    <n v="864"/>
    <n v="-864"/>
  </r>
  <r>
    <s v="01/10"/>
    <s v="4900000033"/>
    <x v="0"/>
    <x v="6"/>
    <x v="1"/>
    <x v="0"/>
    <x v="0"/>
    <x v="0"/>
    <x v="0"/>
    <x v="0"/>
    <x v="0"/>
    <x v="0"/>
    <n v="2082.46"/>
    <n v="-2082.46"/>
  </r>
  <r>
    <s v="01/10"/>
    <s v="4900000033"/>
    <x v="0"/>
    <x v="6"/>
    <x v="1"/>
    <x v="1"/>
    <x v="1"/>
    <x v="1"/>
    <x v="1"/>
    <x v="1"/>
    <x v="1"/>
    <x v="1"/>
    <n v="2082.46"/>
    <n v="2082.46"/>
  </r>
  <r>
    <s v="01/10"/>
    <s v="4900000033"/>
    <x v="0"/>
    <x v="6"/>
    <x v="1"/>
    <x v="0"/>
    <x v="0"/>
    <x v="0"/>
    <x v="0"/>
    <x v="0"/>
    <x v="0"/>
    <x v="0"/>
    <n v="1995.11"/>
    <n v="-1995.11"/>
  </r>
  <r>
    <s v="01/10"/>
    <s v="4900000033"/>
    <x v="0"/>
    <x v="6"/>
    <x v="1"/>
    <x v="1"/>
    <x v="1"/>
    <x v="1"/>
    <x v="1"/>
    <x v="1"/>
    <x v="1"/>
    <x v="1"/>
    <n v="1995.11"/>
    <n v="1995.11"/>
  </r>
  <r>
    <s v="01/10"/>
    <s v="4900000033"/>
    <x v="0"/>
    <x v="6"/>
    <x v="1"/>
    <x v="0"/>
    <x v="0"/>
    <x v="0"/>
    <x v="0"/>
    <x v="0"/>
    <x v="0"/>
    <x v="0"/>
    <n v="1496.33"/>
    <n v="-1496.33"/>
  </r>
  <r>
    <s v="01/10"/>
    <s v="4900000033"/>
    <x v="0"/>
    <x v="6"/>
    <x v="1"/>
    <x v="1"/>
    <x v="1"/>
    <x v="1"/>
    <x v="1"/>
    <x v="1"/>
    <x v="1"/>
    <x v="1"/>
    <n v="1496.33"/>
    <n v="1496.33"/>
  </r>
  <r>
    <s v="01/10"/>
    <s v="4900000033"/>
    <x v="0"/>
    <x v="6"/>
    <x v="1"/>
    <x v="0"/>
    <x v="0"/>
    <x v="0"/>
    <x v="0"/>
    <x v="0"/>
    <x v="0"/>
    <x v="0"/>
    <n v="1828.85"/>
    <n v="-1828.85"/>
  </r>
  <r>
    <s v="01/10"/>
    <s v="4900000033"/>
    <x v="0"/>
    <x v="6"/>
    <x v="1"/>
    <x v="1"/>
    <x v="1"/>
    <x v="1"/>
    <x v="1"/>
    <x v="1"/>
    <x v="1"/>
    <x v="1"/>
    <n v="1828.85"/>
    <n v="1828.85"/>
  </r>
  <r>
    <s v="03/04"/>
    <s v="0090002242"/>
    <x v="3"/>
    <x v="0"/>
    <x v="5"/>
    <x v="2"/>
    <x v="0"/>
    <x v="0"/>
    <x v="2"/>
    <x v="2"/>
    <x v="2"/>
    <x v="1"/>
    <n v="1750"/>
    <n v="1750"/>
  </r>
  <r>
    <s v="03/04"/>
    <s v="0090002242"/>
    <x v="3"/>
    <x v="0"/>
    <x v="5"/>
    <x v="3"/>
    <x v="1"/>
    <x v="2"/>
    <x v="3"/>
    <x v="3"/>
    <x v="3"/>
    <x v="0"/>
    <n v="1750"/>
    <n v="-1750"/>
  </r>
  <r>
    <s v="03/04"/>
    <s v="0090002249"/>
    <x v="3"/>
    <x v="0"/>
    <x v="5"/>
    <x v="2"/>
    <x v="0"/>
    <x v="0"/>
    <x v="2"/>
    <x v="2"/>
    <x v="2"/>
    <x v="1"/>
    <n v="1520"/>
    <n v="1520"/>
  </r>
  <r>
    <s v="03/04"/>
    <s v="0090002249"/>
    <x v="3"/>
    <x v="0"/>
    <x v="5"/>
    <x v="3"/>
    <x v="1"/>
    <x v="2"/>
    <x v="3"/>
    <x v="3"/>
    <x v="3"/>
    <x v="0"/>
    <n v="1520"/>
    <n v="-1520"/>
  </r>
  <r>
    <s v="03/04"/>
    <s v="1400000069"/>
    <x v="3"/>
    <x v="0"/>
    <x v="5"/>
    <x v="4"/>
    <x v="0"/>
    <x v="0"/>
    <x v="4"/>
    <x v="4"/>
    <x v="4"/>
    <x v="1"/>
    <n v="1248"/>
    <n v="1248"/>
  </r>
  <r>
    <s v="03/04"/>
    <s v="1400000069"/>
    <x v="3"/>
    <x v="0"/>
    <x v="5"/>
    <x v="2"/>
    <x v="0"/>
    <x v="0"/>
    <x v="2"/>
    <x v="2"/>
    <x v="5"/>
    <x v="0"/>
    <n v="1248"/>
    <n v="-1248"/>
  </r>
  <r>
    <s v="03/04"/>
    <s v="1400000068"/>
    <x v="3"/>
    <x v="0"/>
    <x v="5"/>
    <x v="4"/>
    <x v="0"/>
    <x v="0"/>
    <x v="4"/>
    <x v="4"/>
    <x v="4"/>
    <x v="1"/>
    <n v="1992"/>
    <n v="1992"/>
  </r>
  <r>
    <s v="03/04"/>
    <s v="1400000068"/>
    <x v="3"/>
    <x v="0"/>
    <x v="5"/>
    <x v="2"/>
    <x v="0"/>
    <x v="0"/>
    <x v="2"/>
    <x v="2"/>
    <x v="5"/>
    <x v="0"/>
    <n v="1992"/>
    <n v="-1992"/>
  </r>
  <r>
    <s v="03/04"/>
    <s v="0090002240"/>
    <x v="3"/>
    <x v="0"/>
    <x v="5"/>
    <x v="2"/>
    <x v="0"/>
    <x v="0"/>
    <x v="2"/>
    <x v="2"/>
    <x v="2"/>
    <x v="1"/>
    <n v="1590"/>
    <n v="1590"/>
  </r>
  <r>
    <s v="03/04"/>
    <s v="0090002240"/>
    <x v="3"/>
    <x v="0"/>
    <x v="5"/>
    <x v="3"/>
    <x v="1"/>
    <x v="2"/>
    <x v="3"/>
    <x v="3"/>
    <x v="3"/>
    <x v="0"/>
    <n v="1590"/>
    <n v="-1590"/>
  </r>
  <r>
    <s v="03/04"/>
    <s v="0090002241"/>
    <x v="3"/>
    <x v="0"/>
    <x v="5"/>
    <x v="2"/>
    <x v="0"/>
    <x v="0"/>
    <x v="2"/>
    <x v="2"/>
    <x v="2"/>
    <x v="1"/>
    <n v="1664"/>
    <n v="1664"/>
  </r>
  <r>
    <s v="03/04"/>
    <s v="0090002241"/>
    <x v="3"/>
    <x v="0"/>
    <x v="5"/>
    <x v="3"/>
    <x v="1"/>
    <x v="2"/>
    <x v="3"/>
    <x v="3"/>
    <x v="3"/>
    <x v="0"/>
    <n v="1664"/>
    <n v="-1664"/>
  </r>
  <r>
    <s v="03/04"/>
    <s v="0090002244"/>
    <x v="3"/>
    <x v="0"/>
    <x v="5"/>
    <x v="2"/>
    <x v="0"/>
    <x v="0"/>
    <x v="2"/>
    <x v="2"/>
    <x v="2"/>
    <x v="1"/>
    <n v="99"/>
    <n v="99"/>
  </r>
  <r>
    <s v="03/04"/>
    <s v="0090002244"/>
    <x v="3"/>
    <x v="0"/>
    <x v="5"/>
    <x v="3"/>
    <x v="1"/>
    <x v="2"/>
    <x v="3"/>
    <x v="3"/>
    <x v="3"/>
    <x v="0"/>
    <n v="99"/>
    <n v="-99"/>
  </r>
  <r>
    <s v="03/04"/>
    <s v="4900000078"/>
    <x v="3"/>
    <x v="0"/>
    <x v="5"/>
    <x v="0"/>
    <x v="0"/>
    <x v="0"/>
    <x v="0"/>
    <x v="0"/>
    <x v="0"/>
    <x v="0"/>
    <n v="1448.15"/>
    <n v="-1448.15"/>
  </r>
  <r>
    <s v="03/04"/>
    <s v="4900000078"/>
    <x v="3"/>
    <x v="0"/>
    <x v="5"/>
    <x v="1"/>
    <x v="1"/>
    <x v="1"/>
    <x v="1"/>
    <x v="1"/>
    <x v="1"/>
    <x v="1"/>
    <n v="1448.15"/>
    <n v="1448.15"/>
  </r>
  <r>
    <s v="03/04"/>
    <s v="4900000078"/>
    <x v="3"/>
    <x v="0"/>
    <x v="5"/>
    <x v="0"/>
    <x v="0"/>
    <x v="0"/>
    <x v="0"/>
    <x v="0"/>
    <x v="0"/>
    <x v="0"/>
    <n v="1226.0899999999999"/>
    <n v="-1226.0899999999999"/>
  </r>
  <r>
    <s v="03/04"/>
    <s v="4900000078"/>
    <x v="3"/>
    <x v="0"/>
    <x v="5"/>
    <x v="1"/>
    <x v="1"/>
    <x v="1"/>
    <x v="1"/>
    <x v="1"/>
    <x v="1"/>
    <x v="1"/>
    <n v="1226.0899999999999"/>
    <n v="1226.0899999999999"/>
  </r>
  <r>
    <s v="03/04"/>
    <s v="4900000082"/>
    <x v="3"/>
    <x v="0"/>
    <x v="5"/>
    <x v="0"/>
    <x v="0"/>
    <x v="0"/>
    <x v="0"/>
    <x v="0"/>
    <x v="0"/>
    <x v="0"/>
    <n v="1332.92"/>
    <n v="-1332.92"/>
  </r>
  <r>
    <s v="03/04"/>
    <s v="4900000082"/>
    <x v="3"/>
    <x v="0"/>
    <x v="5"/>
    <x v="1"/>
    <x v="1"/>
    <x v="1"/>
    <x v="1"/>
    <x v="1"/>
    <x v="1"/>
    <x v="1"/>
    <n v="1332.92"/>
    <n v="1332.92"/>
  </r>
  <r>
    <s v="03/04"/>
    <s v="0090002245"/>
    <x v="3"/>
    <x v="0"/>
    <x v="5"/>
    <x v="2"/>
    <x v="0"/>
    <x v="0"/>
    <x v="2"/>
    <x v="2"/>
    <x v="2"/>
    <x v="1"/>
    <n v="2288"/>
    <n v="2288"/>
  </r>
  <r>
    <s v="03/04"/>
    <s v="0090002245"/>
    <x v="3"/>
    <x v="0"/>
    <x v="5"/>
    <x v="3"/>
    <x v="1"/>
    <x v="2"/>
    <x v="3"/>
    <x v="3"/>
    <x v="3"/>
    <x v="0"/>
    <n v="2288"/>
    <n v="-2288"/>
  </r>
  <r>
    <s v="03/04"/>
    <s v="1400000067"/>
    <x v="3"/>
    <x v="0"/>
    <x v="5"/>
    <x v="4"/>
    <x v="0"/>
    <x v="0"/>
    <x v="4"/>
    <x v="4"/>
    <x v="4"/>
    <x v="1"/>
    <n v="2068"/>
    <n v="2068"/>
  </r>
  <r>
    <s v="03/04"/>
    <s v="1400000067"/>
    <x v="3"/>
    <x v="0"/>
    <x v="5"/>
    <x v="2"/>
    <x v="0"/>
    <x v="0"/>
    <x v="2"/>
    <x v="2"/>
    <x v="5"/>
    <x v="0"/>
    <n v="2068"/>
    <n v="-2068"/>
  </r>
  <r>
    <s v="03/04"/>
    <s v="4900000079"/>
    <x v="3"/>
    <x v="0"/>
    <x v="5"/>
    <x v="0"/>
    <x v="0"/>
    <x v="0"/>
    <x v="0"/>
    <x v="0"/>
    <x v="0"/>
    <x v="0"/>
    <n v="1391.41"/>
    <n v="-1391.41"/>
  </r>
  <r>
    <s v="03/04"/>
    <s v="4900000079"/>
    <x v="3"/>
    <x v="0"/>
    <x v="5"/>
    <x v="1"/>
    <x v="1"/>
    <x v="1"/>
    <x v="1"/>
    <x v="1"/>
    <x v="1"/>
    <x v="1"/>
    <n v="1391.41"/>
    <n v="1391.41"/>
  </r>
  <r>
    <s v="03/04"/>
    <s v="4900000079"/>
    <x v="3"/>
    <x v="0"/>
    <x v="5"/>
    <x v="0"/>
    <x v="0"/>
    <x v="0"/>
    <x v="0"/>
    <x v="0"/>
    <x v="0"/>
    <x v="0"/>
    <n v="1508.48"/>
    <n v="-1508.48"/>
  </r>
  <r>
    <s v="03/04"/>
    <s v="4900000079"/>
    <x v="3"/>
    <x v="0"/>
    <x v="5"/>
    <x v="1"/>
    <x v="1"/>
    <x v="1"/>
    <x v="1"/>
    <x v="1"/>
    <x v="1"/>
    <x v="1"/>
    <n v="1508.48"/>
    <n v="1508.48"/>
  </r>
  <r>
    <s v="03/04"/>
    <s v="4900000079"/>
    <x v="3"/>
    <x v="0"/>
    <x v="5"/>
    <x v="0"/>
    <x v="0"/>
    <x v="0"/>
    <x v="0"/>
    <x v="0"/>
    <x v="0"/>
    <x v="0"/>
    <n v="1920.1"/>
    <n v="-1920.1"/>
  </r>
  <r>
    <s v="03/04"/>
    <s v="4900000079"/>
    <x v="3"/>
    <x v="0"/>
    <x v="5"/>
    <x v="1"/>
    <x v="1"/>
    <x v="1"/>
    <x v="1"/>
    <x v="1"/>
    <x v="1"/>
    <x v="1"/>
    <n v="1920.1"/>
    <n v="1920.1"/>
  </r>
  <r>
    <s v="03/04"/>
    <s v="0090002243"/>
    <x v="3"/>
    <x v="0"/>
    <x v="5"/>
    <x v="2"/>
    <x v="0"/>
    <x v="0"/>
    <x v="2"/>
    <x v="2"/>
    <x v="2"/>
    <x v="1"/>
    <n v="2490"/>
    <n v="2490"/>
  </r>
  <r>
    <s v="03/04"/>
    <s v="0090002243"/>
    <x v="3"/>
    <x v="0"/>
    <x v="5"/>
    <x v="3"/>
    <x v="1"/>
    <x v="2"/>
    <x v="3"/>
    <x v="3"/>
    <x v="3"/>
    <x v="0"/>
    <n v="2490"/>
    <n v="-2490"/>
  </r>
  <r>
    <s v="03/04"/>
    <s v="0090002247"/>
    <x v="3"/>
    <x v="0"/>
    <x v="5"/>
    <x v="2"/>
    <x v="0"/>
    <x v="0"/>
    <x v="2"/>
    <x v="2"/>
    <x v="2"/>
    <x v="1"/>
    <n v="1710"/>
    <n v="1710"/>
  </r>
  <r>
    <s v="03/04"/>
    <s v="0090002247"/>
    <x v="3"/>
    <x v="0"/>
    <x v="5"/>
    <x v="3"/>
    <x v="1"/>
    <x v="2"/>
    <x v="3"/>
    <x v="3"/>
    <x v="3"/>
    <x v="0"/>
    <n v="1710"/>
    <n v="-1710"/>
  </r>
  <r>
    <s v="03/04"/>
    <s v="4900000081"/>
    <x v="3"/>
    <x v="0"/>
    <x v="5"/>
    <x v="0"/>
    <x v="0"/>
    <x v="0"/>
    <x v="0"/>
    <x v="0"/>
    <x v="0"/>
    <x v="0"/>
    <n v="1249.6099999999999"/>
    <n v="-1249.6099999999999"/>
  </r>
  <r>
    <s v="03/04"/>
    <s v="4900000081"/>
    <x v="3"/>
    <x v="0"/>
    <x v="5"/>
    <x v="1"/>
    <x v="1"/>
    <x v="1"/>
    <x v="1"/>
    <x v="1"/>
    <x v="1"/>
    <x v="1"/>
    <n v="1249.6099999999999"/>
    <n v="1249.6099999999999"/>
  </r>
  <r>
    <s v="02/07"/>
    <s v="0100000007"/>
    <x v="2"/>
    <x v="5"/>
    <x v="3"/>
    <x v="4"/>
    <x v="0"/>
    <x v="0"/>
    <x v="4"/>
    <x v="4"/>
    <x v="3"/>
    <x v="0"/>
    <n v="300"/>
    <n v="-300"/>
  </r>
  <r>
    <s v="02/07"/>
    <s v="1400000047"/>
    <x v="2"/>
    <x v="5"/>
    <x v="3"/>
    <x v="4"/>
    <x v="0"/>
    <x v="0"/>
    <x v="4"/>
    <x v="4"/>
    <x v="4"/>
    <x v="1"/>
    <n v="1539"/>
    <n v="1539"/>
  </r>
  <r>
    <s v="02/07"/>
    <s v="1400000047"/>
    <x v="2"/>
    <x v="5"/>
    <x v="3"/>
    <x v="2"/>
    <x v="0"/>
    <x v="0"/>
    <x v="2"/>
    <x v="2"/>
    <x v="5"/>
    <x v="0"/>
    <n v="1539"/>
    <n v="-1539"/>
  </r>
  <r>
    <s v="02/07"/>
    <s v="1400000043"/>
    <x v="2"/>
    <x v="5"/>
    <x v="3"/>
    <x v="4"/>
    <x v="0"/>
    <x v="0"/>
    <x v="4"/>
    <x v="4"/>
    <x v="4"/>
    <x v="1"/>
    <n v="1932"/>
    <n v="1932"/>
  </r>
  <r>
    <s v="02/07"/>
    <s v="1400000043"/>
    <x v="2"/>
    <x v="5"/>
    <x v="3"/>
    <x v="2"/>
    <x v="0"/>
    <x v="0"/>
    <x v="2"/>
    <x v="2"/>
    <x v="5"/>
    <x v="0"/>
    <n v="1932"/>
    <n v="-1932"/>
  </r>
  <r>
    <s v="02/07"/>
    <s v="0090002203"/>
    <x v="2"/>
    <x v="5"/>
    <x v="3"/>
    <x v="2"/>
    <x v="0"/>
    <x v="0"/>
    <x v="2"/>
    <x v="2"/>
    <x v="2"/>
    <x v="1"/>
    <n v="1767"/>
    <n v="1767"/>
  </r>
  <r>
    <s v="02/07"/>
    <s v="0090002203"/>
    <x v="2"/>
    <x v="5"/>
    <x v="3"/>
    <x v="3"/>
    <x v="1"/>
    <x v="2"/>
    <x v="3"/>
    <x v="3"/>
    <x v="3"/>
    <x v="0"/>
    <n v="1767"/>
    <n v="-1767"/>
  </r>
  <r>
    <s v="02/07"/>
    <s v="0090002199"/>
    <x v="2"/>
    <x v="5"/>
    <x v="3"/>
    <x v="2"/>
    <x v="0"/>
    <x v="0"/>
    <x v="2"/>
    <x v="2"/>
    <x v="2"/>
    <x v="1"/>
    <n v="2214"/>
    <n v="2214"/>
  </r>
  <r>
    <s v="02/07"/>
    <s v="0090002199"/>
    <x v="2"/>
    <x v="5"/>
    <x v="3"/>
    <x v="3"/>
    <x v="1"/>
    <x v="2"/>
    <x v="3"/>
    <x v="3"/>
    <x v="3"/>
    <x v="0"/>
    <n v="2214"/>
    <n v="-2214"/>
  </r>
  <r>
    <s v="02/07"/>
    <s v="0090002200"/>
    <x v="2"/>
    <x v="5"/>
    <x v="3"/>
    <x v="2"/>
    <x v="0"/>
    <x v="0"/>
    <x v="2"/>
    <x v="2"/>
    <x v="2"/>
    <x v="1"/>
    <n v="1700"/>
    <n v="1700"/>
  </r>
  <r>
    <s v="02/07"/>
    <s v="0090002200"/>
    <x v="2"/>
    <x v="5"/>
    <x v="3"/>
    <x v="3"/>
    <x v="1"/>
    <x v="2"/>
    <x v="3"/>
    <x v="3"/>
    <x v="3"/>
    <x v="0"/>
    <n v="1700"/>
    <n v="-1700"/>
  </r>
  <r>
    <s v="02/07"/>
    <s v="4900000058"/>
    <x v="2"/>
    <x v="5"/>
    <x v="3"/>
    <x v="0"/>
    <x v="0"/>
    <x v="0"/>
    <x v="0"/>
    <x v="0"/>
    <x v="0"/>
    <x v="0"/>
    <n v="1959.41"/>
    <n v="-1959.41"/>
  </r>
  <r>
    <s v="02/07"/>
    <s v="4900000058"/>
    <x v="2"/>
    <x v="5"/>
    <x v="3"/>
    <x v="1"/>
    <x v="1"/>
    <x v="1"/>
    <x v="1"/>
    <x v="1"/>
    <x v="1"/>
    <x v="1"/>
    <n v="1959.41"/>
    <n v="1959.41"/>
  </r>
  <r>
    <s v="02/07"/>
    <s v="4900000058"/>
    <x v="2"/>
    <x v="5"/>
    <x v="3"/>
    <x v="0"/>
    <x v="0"/>
    <x v="0"/>
    <x v="0"/>
    <x v="0"/>
    <x v="0"/>
    <x v="0"/>
    <n v="1477.77"/>
    <n v="-1477.77"/>
  </r>
  <r>
    <s v="02/07"/>
    <s v="4900000058"/>
    <x v="2"/>
    <x v="5"/>
    <x v="3"/>
    <x v="1"/>
    <x v="1"/>
    <x v="1"/>
    <x v="1"/>
    <x v="1"/>
    <x v="1"/>
    <x v="1"/>
    <n v="1477.77"/>
    <n v="1477.77"/>
  </r>
  <r>
    <s v="02/07"/>
    <s v="4900000059"/>
    <x v="2"/>
    <x v="5"/>
    <x v="3"/>
    <x v="0"/>
    <x v="0"/>
    <x v="0"/>
    <x v="0"/>
    <x v="0"/>
    <x v="0"/>
    <x v="0"/>
    <n v="1711.83"/>
    <n v="-1711.83"/>
  </r>
  <r>
    <s v="02/07"/>
    <s v="4900000059"/>
    <x v="2"/>
    <x v="5"/>
    <x v="3"/>
    <x v="1"/>
    <x v="1"/>
    <x v="1"/>
    <x v="1"/>
    <x v="1"/>
    <x v="1"/>
    <x v="1"/>
    <n v="1711.83"/>
    <n v="1711.83"/>
  </r>
  <r>
    <s v="02/07"/>
    <s v="4900000059"/>
    <x v="2"/>
    <x v="5"/>
    <x v="3"/>
    <x v="0"/>
    <x v="0"/>
    <x v="0"/>
    <x v="0"/>
    <x v="0"/>
    <x v="0"/>
    <x v="0"/>
    <n v="1596.56"/>
    <n v="-1596.56"/>
  </r>
  <r>
    <s v="02/07"/>
    <s v="4900000059"/>
    <x v="2"/>
    <x v="5"/>
    <x v="3"/>
    <x v="1"/>
    <x v="1"/>
    <x v="1"/>
    <x v="1"/>
    <x v="1"/>
    <x v="1"/>
    <x v="1"/>
    <n v="1596.56"/>
    <n v="1596.56"/>
  </r>
  <r>
    <s v="02/07"/>
    <s v="4900000059"/>
    <x v="2"/>
    <x v="5"/>
    <x v="3"/>
    <x v="0"/>
    <x v="0"/>
    <x v="0"/>
    <x v="0"/>
    <x v="0"/>
    <x v="0"/>
    <x v="0"/>
    <n v="1581.8"/>
    <n v="-1581.8"/>
  </r>
  <r>
    <s v="02/07"/>
    <s v="4900000059"/>
    <x v="2"/>
    <x v="5"/>
    <x v="3"/>
    <x v="1"/>
    <x v="1"/>
    <x v="1"/>
    <x v="1"/>
    <x v="1"/>
    <x v="1"/>
    <x v="1"/>
    <n v="1581.8"/>
    <n v="1581.8"/>
  </r>
  <r>
    <s v="03/10"/>
    <s v="4900000100"/>
    <x v="3"/>
    <x v="6"/>
    <x v="6"/>
    <x v="0"/>
    <x v="0"/>
    <x v="0"/>
    <x v="0"/>
    <x v="0"/>
    <x v="0"/>
    <x v="0"/>
    <n v="1704.29"/>
    <n v="-1704.29"/>
  </r>
  <r>
    <s v="03/10"/>
    <s v="4900000100"/>
    <x v="3"/>
    <x v="6"/>
    <x v="6"/>
    <x v="1"/>
    <x v="1"/>
    <x v="1"/>
    <x v="1"/>
    <x v="1"/>
    <x v="1"/>
    <x v="1"/>
    <n v="1704.29"/>
    <n v="1704.29"/>
  </r>
  <r>
    <s v="03/10"/>
    <s v="4900000100"/>
    <x v="3"/>
    <x v="6"/>
    <x v="6"/>
    <x v="0"/>
    <x v="0"/>
    <x v="0"/>
    <x v="0"/>
    <x v="0"/>
    <x v="0"/>
    <x v="0"/>
    <n v="1416.97"/>
    <n v="-1416.97"/>
  </r>
  <r>
    <s v="03/10"/>
    <s v="4900000100"/>
    <x v="3"/>
    <x v="6"/>
    <x v="6"/>
    <x v="1"/>
    <x v="1"/>
    <x v="1"/>
    <x v="1"/>
    <x v="1"/>
    <x v="1"/>
    <x v="1"/>
    <n v="1416.97"/>
    <n v="1416.97"/>
  </r>
  <r>
    <s v="03/10"/>
    <s v="5100000004"/>
    <x v="3"/>
    <x v="6"/>
    <x v="6"/>
    <x v="9"/>
    <x v="2"/>
    <x v="5"/>
    <x v="7"/>
    <x v="9"/>
    <x v="2"/>
    <x v="0"/>
    <n v="53128.59"/>
    <n v="-53128.59"/>
  </r>
  <r>
    <s v="03/10"/>
    <s v="5100000004"/>
    <x v="3"/>
    <x v="6"/>
    <x v="6"/>
    <x v="7"/>
    <x v="2"/>
    <x v="5"/>
    <x v="7"/>
    <x v="7"/>
    <x v="8"/>
    <x v="1"/>
    <n v="8353.7999999999993"/>
    <n v="8353.7999999999993"/>
  </r>
  <r>
    <s v="03/10"/>
    <s v="5100000004"/>
    <x v="3"/>
    <x v="6"/>
    <x v="6"/>
    <x v="8"/>
    <x v="2"/>
    <x v="5"/>
    <x v="7"/>
    <x v="8"/>
    <x v="4"/>
    <x v="1"/>
    <n v="160.25"/>
    <n v="160.25"/>
  </r>
  <r>
    <s v="03/10"/>
    <s v="5100000004"/>
    <x v="3"/>
    <x v="6"/>
    <x v="6"/>
    <x v="0"/>
    <x v="0"/>
    <x v="0"/>
    <x v="0"/>
    <x v="0"/>
    <x v="6"/>
    <x v="1"/>
    <n v="0.01"/>
    <n v="0.01"/>
  </r>
  <r>
    <s v="03/10"/>
    <s v="5100000004"/>
    <x v="3"/>
    <x v="6"/>
    <x v="6"/>
    <x v="7"/>
    <x v="2"/>
    <x v="5"/>
    <x v="7"/>
    <x v="7"/>
    <x v="8"/>
    <x v="1"/>
    <n v="5116.97"/>
    <n v="5116.97"/>
  </r>
  <r>
    <s v="03/10"/>
    <s v="5100000004"/>
    <x v="3"/>
    <x v="6"/>
    <x v="6"/>
    <x v="8"/>
    <x v="2"/>
    <x v="5"/>
    <x v="7"/>
    <x v="8"/>
    <x v="4"/>
    <x v="1"/>
    <n v="98.16"/>
    <n v="98.16"/>
  </r>
  <r>
    <s v="03/10"/>
    <s v="5100000004"/>
    <x v="3"/>
    <x v="6"/>
    <x v="6"/>
    <x v="7"/>
    <x v="2"/>
    <x v="5"/>
    <x v="7"/>
    <x v="7"/>
    <x v="8"/>
    <x v="1"/>
    <n v="13829.75"/>
    <n v="13829.75"/>
  </r>
  <r>
    <s v="03/10"/>
    <s v="5100000004"/>
    <x v="3"/>
    <x v="6"/>
    <x v="6"/>
    <x v="8"/>
    <x v="2"/>
    <x v="5"/>
    <x v="7"/>
    <x v="8"/>
    <x v="4"/>
    <x v="1"/>
    <n v="265.31"/>
    <n v="265.31"/>
  </r>
  <r>
    <s v="03/10"/>
    <s v="5100000004"/>
    <x v="3"/>
    <x v="6"/>
    <x v="6"/>
    <x v="0"/>
    <x v="0"/>
    <x v="0"/>
    <x v="0"/>
    <x v="0"/>
    <x v="0"/>
    <x v="0"/>
    <n v="0.01"/>
    <n v="-0.01"/>
  </r>
  <r>
    <s v="03/10"/>
    <s v="5100000004"/>
    <x v="3"/>
    <x v="6"/>
    <x v="6"/>
    <x v="7"/>
    <x v="2"/>
    <x v="5"/>
    <x v="7"/>
    <x v="7"/>
    <x v="8"/>
    <x v="1"/>
    <n v="7937.28"/>
    <n v="7937.28"/>
  </r>
  <r>
    <s v="03/10"/>
    <s v="5100000004"/>
    <x v="3"/>
    <x v="6"/>
    <x v="6"/>
    <x v="8"/>
    <x v="2"/>
    <x v="5"/>
    <x v="7"/>
    <x v="8"/>
    <x v="4"/>
    <x v="1"/>
    <n v="152.26"/>
    <n v="152.26"/>
  </r>
  <r>
    <s v="03/10"/>
    <s v="5100000004"/>
    <x v="3"/>
    <x v="6"/>
    <x v="6"/>
    <x v="7"/>
    <x v="2"/>
    <x v="5"/>
    <x v="7"/>
    <x v="7"/>
    <x v="8"/>
    <x v="1"/>
    <n v="8562.84"/>
    <n v="8562.84"/>
  </r>
  <r>
    <s v="03/10"/>
    <s v="5100000004"/>
    <x v="3"/>
    <x v="6"/>
    <x v="6"/>
    <x v="8"/>
    <x v="2"/>
    <x v="5"/>
    <x v="7"/>
    <x v="8"/>
    <x v="4"/>
    <x v="1"/>
    <n v="164.26"/>
    <n v="164.26"/>
  </r>
  <r>
    <s v="03/10"/>
    <s v="5100000004"/>
    <x v="3"/>
    <x v="6"/>
    <x v="6"/>
    <x v="7"/>
    <x v="2"/>
    <x v="5"/>
    <x v="7"/>
    <x v="7"/>
    <x v="8"/>
    <x v="1"/>
    <n v="8327.9500000000007"/>
    <n v="8327.9500000000007"/>
  </r>
  <r>
    <s v="03/10"/>
    <s v="5100000004"/>
    <x v="3"/>
    <x v="6"/>
    <x v="6"/>
    <x v="8"/>
    <x v="2"/>
    <x v="5"/>
    <x v="7"/>
    <x v="8"/>
    <x v="4"/>
    <x v="1"/>
    <n v="159.76"/>
    <n v="159.76"/>
  </r>
  <r>
    <s v="03/10"/>
    <s v="4900000099"/>
    <x v="3"/>
    <x v="6"/>
    <x v="6"/>
    <x v="0"/>
    <x v="0"/>
    <x v="0"/>
    <x v="0"/>
    <x v="0"/>
    <x v="0"/>
    <x v="0"/>
    <n v="1654.3"/>
    <n v="-1654.3"/>
  </r>
  <r>
    <s v="03/10"/>
    <s v="4900000099"/>
    <x v="3"/>
    <x v="6"/>
    <x v="6"/>
    <x v="1"/>
    <x v="1"/>
    <x v="1"/>
    <x v="1"/>
    <x v="1"/>
    <x v="1"/>
    <x v="1"/>
    <n v="1654.3"/>
    <n v="1654.3"/>
  </r>
  <r>
    <s v="03/10"/>
    <s v="4900000099"/>
    <x v="3"/>
    <x v="6"/>
    <x v="6"/>
    <x v="0"/>
    <x v="0"/>
    <x v="0"/>
    <x v="0"/>
    <x v="0"/>
    <x v="0"/>
    <x v="0"/>
    <n v="1529.16"/>
    <n v="-1529.16"/>
  </r>
  <r>
    <s v="03/10"/>
    <s v="4900000099"/>
    <x v="3"/>
    <x v="6"/>
    <x v="6"/>
    <x v="1"/>
    <x v="1"/>
    <x v="1"/>
    <x v="1"/>
    <x v="1"/>
    <x v="1"/>
    <x v="1"/>
    <n v="1529.16"/>
    <n v="1529.16"/>
  </r>
  <r>
    <s v="02/01"/>
    <s v="5000000001"/>
    <x v="2"/>
    <x v="4"/>
    <x v="4"/>
    <x v="7"/>
    <x v="2"/>
    <x v="5"/>
    <x v="7"/>
    <x v="7"/>
    <x v="7"/>
    <x v="0"/>
    <n v="13632.3"/>
    <n v="-13632.3"/>
  </r>
  <r>
    <s v="02/01"/>
    <s v="5000000001"/>
    <x v="2"/>
    <x v="4"/>
    <x v="4"/>
    <x v="8"/>
    <x v="2"/>
    <x v="5"/>
    <x v="7"/>
    <x v="8"/>
    <x v="3"/>
    <x v="0"/>
    <n v="108.96"/>
    <n v="-108.96"/>
  </r>
  <r>
    <s v="02/01"/>
    <s v="5000000001"/>
    <x v="2"/>
    <x v="4"/>
    <x v="4"/>
    <x v="0"/>
    <x v="0"/>
    <x v="0"/>
    <x v="0"/>
    <x v="0"/>
    <x v="6"/>
    <x v="1"/>
    <n v="25789.35"/>
    <n v="25789.35"/>
  </r>
  <r>
    <s v="02/01"/>
    <s v="5000000001"/>
    <x v="2"/>
    <x v="4"/>
    <x v="4"/>
    <x v="7"/>
    <x v="2"/>
    <x v="5"/>
    <x v="7"/>
    <x v="7"/>
    <x v="7"/>
    <x v="0"/>
    <n v="25584.85"/>
    <n v="-25584.85"/>
  </r>
  <r>
    <s v="02/01"/>
    <s v="5000000001"/>
    <x v="2"/>
    <x v="4"/>
    <x v="4"/>
    <x v="8"/>
    <x v="2"/>
    <x v="5"/>
    <x v="7"/>
    <x v="8"/>
    <x v="3"/>
    <x v="0"/>
    <n v="204.5"/>
    <n v="-204.5"/>
  </r>
  <r>
    <s v="02/01"/>
    <s v="5000000001"/>
    <x v="2"/>
    <x v="4"/>
    <x v="4"/>
    <x v="0"/>
    <x v="0"/>
    <x v="0"/>
    <x v="0"/>
    <x v="0"/>
    <x v="6"/>
    <x v="1"/>
    <n v="11725.48"/>
    <n v="11725.48"/>
  </r>
  <r>
    <s v="02/01"/>
    <s v="5000000001"/>
    <x v="2"/>
    <x v="4"/>
    <x v="4"/>
    <x v="7"/>
    <x v="2"/>
    <x v="5"/>
    <x v="7"/>
    <x v="7"/>
    <x v="7"/>
    <x v="0"/>
    <n v="11632.5"/>
    <n v="-11632.5"/>
  </r>
  <r>
    <s v="02/01"/>
    <s v="5000000001"/>
    <x v="2"/>
    <x v="4"/>
    <x v="4"/>
    <x v="8"/>
    <x v="2"/>
    <x v="5"/>
    <x v="7"/>
    <x v="8"/>
    <x v="3"/>
    <x v="0"/>
    <n v="92.98"/>
    <n v="-92.98"/>
  </r>
  <r>
    <s v="02/01"/>
    <s v="5000000001"/>
    <x v="2"/>
    <x v="4"/>
    <x v="4"/>
    <x v="0"/>
    <x v="0"/>
    <x v="0"/>
    <x v="0"/>
    <x v="0"/>
    <x v="6"/>
    <x v="1"/>
    <n v="29085.95"/>
    <n v="29085.95"/>
  </r>
  <r>
    <s v="02/01"/>
    <s v="5000000001"/>
    <x v="2"/>
    <x v="4"/>
    <x v="4"/>
    <x v="7"/>
    <x v="2"/>
    <x v="5"/>
    <x v="7"/>
    <x v="7"/>
    <x v="7"/>
    <x v="0"/>
    <n v="28855.32"/>
    <n v="-28855.32"/>
  </r>
  <r>
    <s v="02/01"/>
    <s v="5000000001"/>
    <x v="2"/>
    <x v="4"/>
    <x v="4"/>
    <x v="8"/>
    <x v="2"/>
    <x v="5"/>
    <x v="7"/>
    <x v="8"/>
    <x v="3"/>
    <x v="0"/>
    <n v="230.63"/>
    <n v="-230.63"/>
  </r>
  <r>
    <s v="02/01"/>
    <s v="5000000001"/>
    <x v="2"/>
    <x v="4"/>
    <x v="4"/>
    <x v="0"/>
    <x v="0"/>
    <x v="0"/>
    <x v="0"/>
    <x v="0"/>
    <x v="6"/>
    <x v="1"/>
    <n v="26980.3"/>
    <n v="26980.3"/>
  </r>
  <r>
    <s v="02/01"/>
    <s v="5000000001"/>
    <x v="2"/>
    <x v="4"/>
    <x v="4"/>
    <x v="7"/>
    <x v="2"/>
    <x v="5"/>
    <x v="7"/>
    <x v="7"/>
    <x v="7"/>
    <x v="0"/>
    <n v="26766.36"/>
    <n v="-26766.36"/>
  </r>
  <r>
    <s v="02/01"/>
    <s v="5000000001"/>
    <x v="2"/>
    <x v="4"/>
    <x v="4"/>
    <x v="8"/>
    <x v="2"/>
    <x v="5"/>
    <x v="7"/>
    <x v="8"/>
    <x v="3"/>
    <x v="0"/>
    <n v="213.94"/>
    <n v="-213.94"/>
  </r>
  <r>
    <s v="02/01"/>
    <s v="5000000001"/>
    <x v="2"/>
    <x v="4"/>
    <x v="4"/>
    <x v="0"/>
    <x v="0"/>
    <x v="0"/>
    <x v="0"/>
    <x v="0"/>
    <x v="6"/>
    <x v="1"/>
    <n v="18789.79"/>
    <n v="18789.79"/>
  </r>
  <r>
    <s v="02/01"/>
    <s v="5000000001"/>
    <x v="2"/>
    <x v="4"/>
    <x v="4"/>
    <x v="7"/>
    <x v="2"/>
    <x v="5"/>
    <x v="7"/>
    <x v="7"/>
    <x v="7"/>
    <x v="0"/>
    <n v="18640.8"/>
    <n v="-18640.8"/>
  </r>
  <r>
    <s v="02/01"/>
    <s v="5000000001"/>
    <x v="2"/>
    <x v="4"/>
    <x v="4"/>
    <x v="8"/>
    <x v="2"/>
    <x v="5"/>
    <x v="7"/>
    <x v="8"/>
    <x v="3"/>
    <x v="0"/>
    <n v="148.99"/>
    <n v="-148.99"/>
  </r>
  <r>
    <s v="02/01"/>
    <s v="5100000001"/>
    <x v="2"/>
    <x v="4"/>
    <x v="4"/>
    <x v="7"/>
    <x v="2"/>
    <x v="5"/>
    <x v="7"/>
    <x v="7"/>
    <x v="8"/>
    <x v="1"/>
    <n v="26766.36"/>
    <n v="26766.36"/>
  </r>
  <r>
    <s v="02/01"/>
    <s v="5100000001"/>
    <x v="2"/>
    <x v="4"/>
    <x v="4"/>
    <x v="8"/>
    <x v="2"/>
    <x v="5"/>
    <x v="7"/>
    <x v="8"/>
    <x v="4"/>
    <x v="1"/>
    <n v="213.94"/>
    <n v="213.94"/>
  </r>
  <r>
    <s v="02/01"/>
    <s v="5100000001"/>
    <x v="2"/>
    <x v="4"/>
    <x v="4"/>
    <x v="7"/>
    <x v="2"/>
    <x v="5"/>
    <x v="7"/>
    <x v="7"/>
    <x v="8"/>
    <x v="1"/>
    <n v="18640.8"/>
    <n v="18640.8"/>
  </r>
  <r>
    <s v="02/01"/>
    <s v="5100000001"/>
    <x v="2"/>
    <x v="4"/>
    <x v="4"/>
    <x v="8"/>
    <x v="2"/>
    <x v="5"/>
    <x v="7"/>
    <x v="8"/>
    <x v="4"/>
    <x v="1"/>
    <n v="148.99"/>
    <n v="148.99"/>
  </r>
  <r>
    <s v="02/01"/>
    <s v="5100000001"/>
    <x v="2"/>
    <x v="4"/>
    <x v="4"/>
    <x v="0"/>
    <x v="0"/>
    <x v="0"/>
    <x v="0"/>
    <x v="0"/>
    <x v="0"/>
    <x v="0"/>
    <n v="0.01"/>
    <n v="-0.01"/>
  </r>
  <r>
    <s v="02/01"/>
    <s v="5100000001"/>
    <x v="2"/>
    <x v="4"/>
    <x v="4"/>
    <x v="9"/>
    <x v="2"/>
    <x v="5"/>
    <x v="7"/>
    <x v="9"/>
    <x v="2"/>
    <x v="0"/>
    <n v="126112.13"/>
    <n v="-126112.13"/>
  </r>
  <r>
    <s v="02/01"/>
    <s v="5100000001"/>
    <x v="2"/>
    <x v="4"/>
    <x v="4"/>
    <x v="7"/>
    <x v="2"/>
    <x v="5"/>
    <x v="7"/>
    <x v="7"/>
    <x v="8"/>
    <x v="1"/>
    <n v="13632.3"/>
    <n v="13632.3"/>
  </r>
  <r>
    <s v="02/01"/>
    <s v="5100000001"/>
    <x v="2"/>
    <x v="4"/>
    <x v="4"/>
    <x v="8"/>
    <x v="2"/>
    <x v="5"/>
    <x v="7"/>
    <x v="8"/>
    <x v="4"/>
    <x v="1"/>
    <n v="108.96"/>
    <n v="108.96"/>
  </r>
  <r>
    <s v="02/01"/>
    <s v="5100000001"/>
    <x v="2"/>
    <x v="4"/>
    <x v="4"/>
    <x v="7"/>
    <x v="2"/>
    <x v="5"/>
    <x v="7"/>
    <x v="7"/>
    <x v="8"/>
    <x v="1"/>
    <n v="25584.85"/>
    <n v="25584.85"/>
  </r>
  <r>
    <s v="02/01"/>
    <s v="5100000001"/>
    <x v="2"/>
    <x v="4"/>
    <x v="4"/>
    <x v="8"/>
    <x v="2"/>
    <x v="5"/>
    <x v="7"/>
    <x v="8"/>
    <x v="4"/>
    <x v="1"/>
    <n v="204.5"/>
    <n v="204.5"/>
  </r>
  <r>
    <s v="02/01"/>
    <s v="5100000001"/>
    <x v="2"/>
    <x v="4"/>
    <x v="4"/>
    <x v="7"/>
    <x v="2"/>
    <x v="5"/>
    <x v="7"/>
    <x v="7"/>
    <x v="8"/>
    <x v="1"/>
    <n v="11632.5"/>
    <n v="11632.5"/>
  </r>
  <r>
    <s v="02/01"/>
    <s v="5100000001"/>
    <x v="2"/>
    <x v="4"/>
    <x v="4"/>
    <x v="8"/>
    <x v="2"/>
    <x v="5"/>
    <x v="7"/>
    <x v="8"/>
    <x v="4"/>
    <x v="1"/>
    <n v="92.98"/>
    <n v="92.98"/>
  </r>
  <r>
    <s v="02/01"/>
    <s v="5100000001"/>
    <x v="2"/>
    <x v="4"/>
    <x v="4"/>
    <x v="7"/>
    <x v="2"/>
    <x v="5"/>
    <x v="7"/>
    <x v="7"/>
    <x v="8"/>
    <x v="1"/>
    <n v="28855.32"/>
    <n v="28855.32"/>
  </r>
  <r>
    <s v="02/01"/>
    <s v="5100000001"/>
    <x v="2"/>
    <x v="4"/>
    <x v="4"/>
    <x v="8"/>
    <x v="2"/>
    <x v="5"/>
    <x v="7"/>
    <x v="8"/>
    <x v="4"/>
    <x v="1"/>
    <n v="230.63"/>
    <n v="230.63"/>
  </r>
  <r>
    <s v="02/01"/>
    <s v="5100000001"/>
    <x v="2"/>
    <x v="4"/>
    <x v="4"/>
    <x v="0"/>
    <x v="0"/>
    <x v="0"/>
    <x v="0"/>
    <x v="0"/>
    <x v="6"/>
    <x v="1"/>
    <n v="0.01"/>
    <n v="0.01"/>
  </r>
  <r>
    <s v="02/01"/>
    <s v="0090002167"/>
    <x v="2"/>
    <x v="4"/>
    <x v="4"/>
    <x v="2"/>
    <x v="0"/>
    <x v="0"/>
    <x v="2"/>
    <x v="2"/>
    <x v="2"/>
    <x v="1"/>
    <n v="737"/>
    <n v="737"/>
  </r>
  <r>
    <s v="02/01"/>
    <s v="0090002167"/>
    <x v="2"/>
    <x v="4"/>
    <x v="4"/>
    <x v="3"/>
    <x v="1"/>
    <x v="2"/>
    <x v="3"/>
    <x v="3"/>
    <x v="3"/>
    <x v="0"/>
    <n v="737"/>
    <n v="-737"/>
  </r>
  <r>
    <s v="02/01"/>
    <s v="0090002166"/>
    <x v="2"/>
    <x v="4"/>
    <x v="4"/>
    <x v="2"/>
    <x v="0"/>
    <x v="0"/>
    <x v="2"/>
    <x v="2"/>
    <x v="2"/>
    <x v="1"/>
    <n v="1680"/>
    <n v="1680"/>
  </r>
  <r>
    <s v="02/01"/>
    <s v="0090002166"/>
    <x v="2"/>
    <x v="4"/>
    <x v="4"/>
    <x v="3"/>
    <x v="1"/>
    <x v="2"/>
    <x v="3"/>
    <x v="3"/>
    <x v="3"/>
    <x v="0"/>
    <n v="1680"/>
    <n v="-1680"/>
  </r>
  <r>
    <s v="02/01"/>
    <s v="0090002168"/>
    <x v="2"/>
    <x v="4"/>
    <x v="4"/>
    <x v="2"/>
    <x v="0"/>
    <x v="0"/>
    <x v="2"/>
    <x v="2"/>
    <x v="2"/>
    <x v="1"/>
    <n v="2300"/>
    <n v="2300"/>
  </r>
  <r>
    <s v="02/01"/>
    <s v="0090002168"/>
    <x v="2"/>
    <x v="4"/>
    <x v="4"/>
    <x v="3"/>
    <x v="1"/>
    <x v="2"/>
    <x v="3"/>
    <x v="3"/>
    <x v="3"/>
    <x v="0"/>
    <n v="2300"/>
    <n v="-2300"/>
  </r>
  <r>
    <s v="02/01"/>
    <s v="1400000021"/>
    <x v="2"/>
    <x v="4"/>
    <x v="4"/>
    <x v="4"/>
    <x v="0"/>
    <x v="0"/>
    <x v="4"/>
    <x v="4"/>
    <x v="4"/>
    <x v="1"/>
    <n v="1976.1"/>
    <n v="1976.1"/>
  </r>
  <r>
    <s v="02/01"/>
    <s v="1400000021"/>
    <x v="2"/>
    <x v="4"/>
    <x v="4"/>
    <x v="2"/>
    <x v="0"/>
    <x v="0"/>
    <x v="2"/>
    <x v="2"/>
    <x v="5"/>
    <x v="0"/>
    <n v="1976.1"/>
    <n v="-1976.1"/>
  </r>
  <r>
    <s v="02/01"/>
    <s v="0090002163"/>
    <x v="2"/>
    <x v="4"/>
    <x v="4"/>
    <x v="2"/>
    <x v="0"/>
    <x v="0"/>
    <x v="2"/>
    <x v="2"/>
    <x v="2"/>
    <x v="1"/>
    <n v="2144"/>
    <n v="2144"/>
  </r>
  <r>
    <s v="02/01"/>
    <s v="0090002163"/>
    <x v="2"/>
    <x v="4"/>
    <x v="4"/>
    <x v="3"/>
    <x v="1"/>
    <x v="2"/>
    <x v="3"/>
    <x v="3"/>
    <x v="3"/>
    <x v="0"/>
    <n v="2144"/>
    <n v="-2144"/>
  </r>
  <r>
    <s v="02/01"/>
    <s v="4900000036"/>
    <x v="2"/>
    <x v="4"/>
    <x v="4"/>
    <x v="0"/>
    <x v="0"/>
    <x v="0"/>
    <x v="0"/>
    <x v="0"/>
    <x v="0"/>
    <x v="0"/>
    <n v="1378.85"/>
    <n v="-1378.85"/>
  </r>
  <r>
    <s v="02/01"/>
    <s v="4900000036"/>
    <x v="2"/>
    <x v="4"/>
    <x v="4"/>
    <x v="1"/>
    <x v="1"/>
    <x v="1"/>
    <x v="1"/>
    <x v="1"/>
    <x v="1"/>
    <x v="1"/>
    <n v="1378.85"/>
    <n v="1378.85"/>
  </r>
  <r>
    <s v="01/06"/>
    <s v="0090002127"/>
    <x v="0"/>
    <x v="7"/>
    <x v="1"/>
    <x v="3"/>
    <x v="1"/>
    <x v="2"/>
    <x v="3"/>
    <x v="3"/>
    <x v="3"/>
    <x v="0"/>
    <n v="2091.85"/>
    <n v="-2091.85"/>
  </r>
  <r>
    <s v="01/06"/>
    <s v="0090002127"/>
    <x v="0"/>
    <x v="7"/>
    <x v="1"/>
    <x v="3"/>
    <x v="1"/>
    <x v="2"/>
    <x v="3"/>
    <x v="3"/>
    <x v="3"/>
    <x v="0"/>
    <n v="1637.1"/>
    <n v="-1637.1"/>
  </r>
  <r>
    <s v="01/06"/>
    <s v="0090002129"/>
    <x v="0"/>
    <x v="7"/>
    <x v="1"/>
    <x v="2"/>
    <x v="0"/>
    <x v="0"/>
    <x v="2"/>
    <x v="2"/>
    <x v="2"/>
    <x v="1"/>
    <n v="1909.95"/>
    <n v="1909.95"/>
  </r>
  <r>
    <s v="01/06"/>
    <s v="0090002129"/>
    <x v="0"/>
    <x v="7"/>
    <x v="1"/>
    <x v="3"/>
    <x v="1"/>
    <x v="2"/>
    <x v="3"/>
    <x v="3"/>
    <x v="3"/>
    <x v="0"/>
    <n v="1909.95"/>
    <n v="-1909.95"/>
  </r>
  <r>
    <s v="01/06"/>
    <s v="4900000015"/>
    <x v="0"/>
    <x v="7"/>
    <x v="1"/>
    <x v="0"/>
    <x v="0"/>
    <x v="0"/>
    <x v="0"/>
    <x v="0"/>
    <x v="0"/>
    <x v="0"/>
    <n v="1911.98"/>
    <n v="-1911.98"/>
  </r>
  <r>
    <s v="01/06"/>
    <s v="4900000015"/>
    <x v="0"/>
    <x v="7"/>
    <x v="1"/>
    <x v="1"/>
    <x v="1"/>
    <x v="1"/>
    <x v="1"/>
    <x v="1"/>
    <x v="1"/>
    <x v="1"/>
    <n v="1911.98"/>
    <n v="1911.98"/>
  </r>
  <r>
    <s v="01/06"/>
    <s v="4900000015"/>
    <x v="0"/>
    <x v="7"/>
    <x v="1"/>
    <x v="0"/>
    <x v="0"/>
    <x v="0"/>
    <x v="0"/>
    <x v="0"/>
    <x v="0"/>
    <x v="0"/>
    <n v="1496.33"/>
    <n v="-1496.33"/>
  </r>
  <r>
    <s v="01/06"/>
    <s v="4900000015"/>
    <x v="0"/>
    <x v="7"/>
    <x v="1"/>
    <x v="1"/>
    <x v="1"/>
    <x v="1"/>
    <x v="1"/>
    <x v="1"/>
    <x v="1"/>
    <x v="1"/>
    <n v="1496.33"/>
    <n v="1496.33"/>
  </r>
  <r>
    <s v="01/06"/>
    <s v="0090002119"/>
    <x v="0"/>
    <x v="7"/>
    <x v="1"/>
    <x v="2"/>
    <x v="0"/>
    <x v="0"/>
    <x v="2"/>
    <x v="2"/>
    <x v="2"/>
    <x v="1"/>
    <n v="2132.25"/>
    <n v="2132.25"/>
  </r>
  <r>
    <s v="01/06"/>
    <s v="0090002119"/>
    <x v="0"/>
    <x v="7"/>
    <x v="1"/>
    <x v="3"/>
    <x v="1"/>
    <x v="2"/>
    <x v="3"/>
    <x v="3"/>
    <x v="3"/>
    <x v="0"/>
    <n v="2132.25"/>
    <n v="-2132.25"/>
  </r>
  <r>
    <s v="01/06"/>
    <s v="0090002120"/>
    <x v="0"/>
    <x v="7"/>
    <x v="1"/>
    <x v="2"/>
    <x v="0"/>
    <x v="0"/>
    <x v="2"/>
    <x v="2"/>
    <x v="2"/>
    <x v="1"/>
    <n v="2041.97"/>
    <n v="2041.97"/>
  </r>
  <r>
    <s v="01/06"/>
    <s v="0090002120"/>
    <x v="0"/>
    <x v="7"/>
    <x v="1"/>
    <x v="3"/>
    <x v="1"/>
    <x v="2"/>
    <x v="3"/>
    <x v="3"/>
    <x v="3"/>
    <x v="0"/>
    <n v="2041.97"/>
    <n v="-2041.97"/>
  </r>
  <r>
    <s v="01/06"/>
    <s v="0090002123"/>
    <x v="0"/>
    <x v="7"/>
    <x v="1"/>
    <x v="2"/>
    <x v="0"/>
    <x v="0"/>
    <x v="2"/>
    <x v="2"/>
    <x v="2"/>
    <x v="1"/>
    <n v="2278.56"/>
    <n v="2278.56"/>
  </r>
  <r>
    <s v="01/06"/>
    <s v="0090002123"/>
    <x v="0"/>
    <x v="7"/>
    <x v="1"/>
    <x v="3"/>
    <x v="1"/>
    <x v="2"/>
    <x v="3"/>
    <x v="3"/>
    <x v="3"/>
    <x v="0"/>
    <n v="2278.56"/>
    <n v="-2278.56"/>
  </r>
  <r>
    <s v="01/06"/>
    <s v="0090002121"/>
    <x v="0"/>
    <x v="7"/>
    <x v="1"/>
    <x v="2"/>
    <x v="0"/>
    <x v="0"/>
    <x v="2"/>
    <x v="2"/>
    <x v="2"/>
    <x v="1"/>
    <n v="151.5"/>
    <n v="151.5"/>
  </r>
  <r>
    <s v="01/06"/>
    <s v="0090002121"/>
    <x v="0"/>
    <x v="7"/>
    <x v="1"/>
    <x v="3"/>
    <x v="1"/>
    <x v="2"/>
    <x v="3"/>
    <x v="3"/>
    <x v="3"/>
    <x v="0"/>
    <n v="151.5"/>
    <n v="-151.5"/>
  </r>
  <r>
    <s v="01/06"/>
    <s v="0090002125"/>
    <x v="0"/>
    <x v="7"/>
    <x v="1"/>
    <x v="2"/>
    <x v="0"/>
    <x v="0"/>
    <x v="2"/>
    <x v="2"/>
    <x v="2"/>
    <x v="1"/>
    <n v="2373.5"/>
    <n v="2373.5"/>
  </r>
  <r>
    <s v="01/06"/>
    <s v="0090002125"/>
    <x v="0"/>
    <x v="7"/>
    <x v="1"/>
    <x v="3"/>
    <x v="1"/>
    <x v="2"/>
    <x v="3"/>
    <x v="3"/>
    <x v="3"/>
    <x v="0"/>
    <n v="1616"/>
    <n v="-1616"/>
  </r>
  <r>
    <s v="01/06"/>
    <s v="0090002125"/>
    <x v="0"/>
    <x v="7"/>
    <x v="1"/>
    <x v="3"/>
    <x v="1"/>
    <x v="2"/>
    <x v="3"/>
    <x v="3"/>
    <x v="3"/>
    <x v="0"/>
    <n v="757.5"/>
    <n v="-757.5"/>
  </r>
  <r>
    <s v="01/06"/>
    <s v="4900000012"/>
    <x v="0"/>
    <x v="7"/>
    <x v="1"/>
    <x v="0"/>
    <x v="0"/>
    <x v="0"/>
    <x v="0"/>
    <x v="0"/>
    <x v="0"/>
    <x v="0"/>
    <n v="1949.29"/>
    <n v="-1949.29"/>
  </r>
  <r>
    <s v="01/06"/>
    <s v="4900000012"/>
    <x v="0"/>
    <x v="7"/>
    <x v="1"/>
    <x v="1"/>
    <x v="1"/>
    <x v="1"/>
    <x v="1"/>
    <x v="1"/>
    <x v="1"/>
    <x v="1"/>
    <n v="1949.29"/>
    <n v="1949.29"/>
  </r>
  <r>
    <s v="01/06"/>
    <s v="4900000013"/>
    <x v="0"/>
    <x v="7"/>
    <x v="1"/>
    <x v="1"/>
    <x v="1"/>
    <x v="1"/>
    <x v="1"/>
    <x v="1"/>
    <x v="1"/>
    <x v="1"/>
    <n v="1476.78"/>
    <n v="1476.78"/>
  </r>
  <r>
    <s v="01/06"/>
    <s v="4900000013"/>
    <x v="0"/>
    <x v="7"/>
    <x v="1"/>
    <x v="0"/>
    <x v="0"/>
    <x v="0"/>
    <x v="0"/>
    <x v="0"/>
    <x v="0"/>
    <x v="0"/>
    <n v="692.24"/>
    <n v="-692.24"/>
  </r>
  <r>
    <s v="01/06"/>
    <s v="4900000013"/>
    <x v="0"/>
    <x v="7"/>
    <x v="1"/>
    <x v="1"/>
    <x v="1"/>
    <x v="1"/>
    <x v="1"/>
    <x v="1"/>
    <x v="1"/>
    <x v="1"/>
    <n v="692.24"/>
    <n v="692.24"/>
  </r>
  <r>
    <s v="01/06"/>
    <s v="4900000013"/>
    <x v="0"/>
    <x v="7"/>
    <x v="1"/>
    <x v="0"/>
    <x v="0"/>
    <x v="0"/>
    <x v="0"/>
    <x v="0"/>
    <x v="0"/>
    <x v="0"/>
    <n v="649.76"/>
    <n v="-649.76"/>
  </r>
  <r>
    <s v="01/06"/>
    <s v="4900000013"/>
    <x v="0"/>
    <x v="7"/>
    <x v="1"/>
    <x v="1"/>
    <x v="1"/>
    <x v="1"/>
    <x v="1"/>
    <x v="1"/>
    <x v="1"/>
    <x v="1"/>
    <n v="649.76"/>
    <n v="649.76"/>
  </r>
  <r>
    <s v="01/06"/>
    <s v="4900000013"/>
    <x v="0"/>
    <x v="7"/>
    <x v="1"/>
    <x v="0"/>
    <x v="0"/>
    <x v="0"/>
    <x v="0"/>
    <x v="0"/>
    <x v="0"/>
    <x v="0"/>
    <n v="1476.78"/>
    <n v="-1476.78"/>
  </r>
  <r>
    <s v="01/08"/>
    <s v="1400000007"/>
    <x v="0"/>
    <x v="8"/>
    <x v="1"/>
    <x v="4"/>
    <x v="0"/>
    <x v="0"/>
    <x v="4"/>
    <x v="4"/>
    <x v="4"/>
    <x v="1"/>
    <n v="2140.56"/>
    <n v="2140.56"/>
  </r>
  <r>
    <s v="01/08"/>
    <s v="1400000007"/>
    <x v="0"/>
    <x v="8"/>
    <x v="1"/>
    <x v="2"/>
    <x v="0"/>
    <x v="0"/>
    <x v="2"/>
    <x v="2"/>
    <x v="5"/>
    <x v="0"/>
    <n v="2140.56"/>
    <n v="-2140.56"/>
  </r>
  <r>
    <s v="01/08"/>
    <s v="1400000009"/>
    <x v="0"/>
    <x v="8"/>
    <x v="1"/>
    <x v="4"/>
    <x v="0"/>
    <x v="0"/>
    <x v="4"/>
    <x v="4"/>
    <x v="4"/>
    <x v="1"/>
    <n v="1637.1"/>
    <n v="1637.1"/>
  </r>
  <r>
    <s v="01/08"/>
    <s v="1400000009"/>
    <x v="0"/>
    <x v="8"/>
    <x v="1"/>
    <x v="2"/>
    <x v="0"/>
    <x v="0"/>
    <x v="2"/>
    <x v="2"/>
    <x v="5"/>
    <x v="0"/>
    <n v="1637.1"/>
    <n v="-1637.1"/>
  </r>
  <r>
    <s v="01/08"/>
    <s v="1400000009"/>
    <x v="0"/>
    <x v="8"/>
    <x v="1"/>
    <x v="4"/>
    <x v="0"/>
    <x v="0"/>
    <x v="4"/>
    <x v="4"/>
    <x v="4"/>
    <x v="1"/>
    <n v="883.75"/>
    <n v="883.75"/>
  </r>
  <r>
    <s v="01/08"/>
    <s v="1400000009"/>
    <x v="0"/>
    <x v="8"/>
    <x v="1"/>
    <x v="2"/>
    <x v="0"/>
    <x v="0"/>
    <x v="2"/>
    <x v="2"/>
    <x v="5"/>
    <x v="0"/>
    <n v="883.75"/>
    <n v="-883.75"/>
  </r>
  <r>
    <s v="01/08"/>
    <s v="0100000004"/>
    <x v="0"/>
    <x v="8"/>
    <x v="1"/>
    <x v="10"/>
    <x v="1"/>
    <x v="6"/>
    <x v="8"/>
    <x v="10"/>
    <x v="4"/>
    <x v="1"/>
    <n v="300"/>
    <n v="300"/>
  </r>
  <r>
    <s v="01/08"/>
    <s v="0100000004"/>
    <x v="0"/>
    <x v="8"/>
    <x v="1"/>
    <x v="4"/>
    <x v="0"/>
    <x v="0"/>
    <x v="4"/>
    <x v="4"/>
    <x v="3"/>
    <x v="0"/>
    <n v="300"/>
    <n v="-300"/>
  </r>
  <r>
    <s v="01/08"/>
    <s v="4900000023"/>
    <x v="0"/>
    <x v="8"/>
    <x v="1"/>
    <x v="0"/>
    <x v="0"/>
    <x v="0"/>
    <x v="0"/>
    <x v="0"/>
    <x v="0"/>
    <x v="0"/>
    <n v="1911.98"/>
    <n v="-1911.98"/>
  </r>
  <r>
    <s v="01/08"/>
    <s v="4900000023"/>
    <x v="0"/>
    <x v="8"/>
    <x v="1"/>
    <x v="1"/>
    <x v="1"/>
    <x v="1"/>
    <x v="1"/>
    <x v="1"/>
    <x v="1"/>
    <x v="1"/>
    <n v="1911.98"/>
    <n v="1911.98"/>
  </r>
  <r>
    <s v="01/08"/>
    <s v="4900000024"/>
    <x v="0"/>
    <x v="8"/>
    <x v="1"/>
    <x v="0"/>
    <x v="0"/>
    <x v="0"/>
    <x v="0"/>
    <x v="0"/>
    <x v="0"/>
    <x v="0"/>
    <n v="1521.7"/>
    <n v="-1521.7"/>
  </r>
  <r>
    <s v="01/08"/>
    <s v="4900000024"/>
    <x v="0"/>
    <x v="8"/>
    <x v="1"/>
    <x v="1"/>
    <x v="1"/>
    <x v="1"/>
    <x v="1"/>
    <x v="1"/>
    <x v="1"/>
    <x v="1"/>
    <n v="1521.7"/>
    <n v="1521.7"/>
  </r>
  <r>
    <s v="01/08"/>
    <s v="4900000024"/>
    <x v="0"/>
    <x v="8"/>
    <x v="1"/>
    <x v="0"/>
    <x v="0"/>
    <x v="0"/>
    <x v="0"/>
    <x v="0"/>
    <x v="0"/>
    <x v="0"/>
    <n v="1376.77"/>
    <n v="-1376.77"/>
  </r>
  <r>
    <s v="01/08"/>
    <s v="4900000024"/>
    <x v="0"/>
    <x v="8"/>
    <x v="1"/>
    <x v="1"/>
    <x v="1"/>
    <x v="1"/>
    <x v="1"/>
    <x v="1"/>
    <x v="1"/>
    <x v="1"/>
    <n v="1376.77"/>
    <n v="1376.77"/>
  </r>
  <r>
    <s v="01/08"/>
    <s v="1400000005"/>
    <x v="0"/>
    <x v="8"/>
    <x v="1"/>
    <x v="4"/>
    <x v="0"/>
    <x v="0"/>
    <x v="4"/>
    <x v="4"/>
    <x v="4"/>
    <x v="1"/>
    <n v="2107.84"/>
    <n v="2107.84"/>
  </r>
  <r>
    <s v="01/08"/>
    <s v="1400000005"/>
    <x v="0"/>
    <x v="8"/>
    <x v="1"/>
    <x v="2"/>
    <x v="0"/>
    <x v="0"/>
    <x v="2"/>
    <x v="2"/>
    <x v="5"/>
    <x v="0"/>
    <n v="2107.84"/>
    <n v="-2107.84"/>
  </r>
  <r>
    <s v="01/08"/>
    <s v="1400000006"/>
    <x v="0"/>
    <x v="8"/>
    <x v="1"/>
    <x v="4"/>
    <x v="0"/>
    <x v="0"/>
    <x v="4"/>
    <x v="4"/>
    <x v="4"/>
    <x v="1"/>
    <n v="1641.25"/>
    <n v="1641.25"/>
  </r>
  <r>
    <s v="03/01"/>
    <s v="5000000002"/>
    <x v="3"/>
    <x v="4"/>
    <x v="5"/>
    <x v="0"/>
    <x v="0"/>
    <x v="0"/>
    <x v="0"/>
    <x v="0"/>
    <x v="6"/>
    <x v="1"/>
    <n v="20219"/>
    <n v="20219"/>
  </r>
  <r>
    <s v="03/01"/>
    <s v="5000000002"/>
    <x v="3"/>
    <x v="4"/>
    <x v="5"/>
    <x v="7"/>
    <x v="2"/>
    <x v="5"/>
    <x v="7"/>
    <x v="7"/>
    <x v="7"/>
    <x v="0"/>
    <n v="20058.3"/>
    <n v="-20058.3"/>
  </r>
  <r>
    <s v="03/01"/>
    <s v="5000000002"/>
    <x v="3"/>
    <x v="4"/>
    <x v="5"/>
    <x v="8"/>
    <x v="2"/>
    <x v="5"/>
    <x v="7"/>
    <x v="8"/>
    <x v="3"/>
    <x v="0"/>
    <n v="160.69999999999999"/>
    <n v="-160.69999999999999"/>
  </r>
  <r>
    <s v="03/01"/>
    <s v="5000000002"/>
    <x v="3"/>
    <x v="4"/>
    <x v="5"/>
    <x v="0"/>
    <x v="0"/>
    <x v="0"/>
    <x v="0"/>
    <x v="0"/>
    <x v="6"/>
    <x v="1"/>
    <n v="19178.91"/>
    <n v="19178.91"/>
  </r>
  <r>
    <s v="03/01"/>
    <s v="5000000002"/>
    <x v="3"/>
    <x v="4"/>
    <x v="5"/>
    <x v="7"/>
    <x v="2"/>
    <x v="5"/>
    <x v="7"/>
    <x v="7"/>
    <x v="7"/>
    <x v="0"/>
    <n v="19026.48"/>
    <n v="-19026.48"/>
  </r>
  <r>
    <s v="03/01"/>
    <s v="5000000002"/>
    <x v="3"/>
    <x v="4"/>
    <x v="5"/>
    <x v="8"/>
    <x v="2"/>
    <x v="5"/>
    <x v="7"/>
    <x v="8"/>
    <x v="3"/>
    <x v="0"/>
    <n v="152.43"/>
    <n v="-152.43"/>
  </r>
  <r>
    <s v="03/01"/>
    <s v="5000000002"/>
    <x v="3"/>
    <x v="4"/>
    <x v="5"/>
    <x v="0"/>
    <x v="0"/>
    <x v="0"/>
    <x v="0"/>
    <x v="0"/>
    <x v="6"/>
    <x v="1"/>
    <n v="23529.56"/>
    <n v="23529.56"/>
  </r>
  <r>
    <s v="03/01"/>
    <s v="5000000002"/>
    <x v="3"/>
    <x v="4"/>
    <x v="5"/>
    <x v="7"/>
    <x v="2"/>
    <x v="5"/>
    <x v="7"/>
    <x v="7"/>
    <x v="7"/>
    <x v="0"/>
    <n v="23342.55"/>
    <n v="-23342.55"/>
  </r>
  <r>
    <s v="03/01"/>
    <s v="5000000002"/>
    <x v="3"/>
    <x v="4"/>
    <x v="5"/>
    <x v="8"/>
    <x v="2"/>
    <x v="5"/>
    <x v="7"/>
    <x v="8"/>
    <x v="3"/>
    <x v="0"/>
    <n v="187.01"/>
    <n v="-187.01"/>
  </r>
  <r>
    <s v="03/01"/>
    <s v="5000000002"/>
    <x v="3"/>
    <x v="4"/>
    <x v="5"/>
    <x v="0"/>
    <x v="0"/>
    <x v="0"/>
    <x v="0"/>
    <x v="0"/>
    <x v="6"/>
    <x v="1"/>
    <n v="30586.65"/>
    <n v="30586.65"/>
  </r>
  <r>
    <s v="03/01"/>
    <s v="5000000002"/>
    <x v="3"/>
    <x v="4"/>
    <x v="5"/>
    <x v="7"/>
    <x v="2"/>
    <x v="5"/>
    <x v="7"/>
    <x v="7"/>
    <x v="7"/>
    <x v="0"/>
    <n v="30343.56"/>
    <n v="-30343.56"/>
  </r>
  <r>
    <s v="03/01"/>
    <s v="5000000002"/>
    <x v="3"/>
    <x v="4"/>
    <x v="5"/>
    <x v="8"/>
    <x v="2"/>
    <x v="5"/>
    <x v="7"/>
    <x v="8"/>
    <x v="3"/>
    <x v="0"/>
    <n v="243.09"/>
    <n v="-243.09"/>
  </r>
  <r>
    <s v="03/01"/>
    <s v="5000000002"/>
    <x v="3"/>
    <x v="4"/>
    <x v="5"/>
    <x v="0"/>
    <x v="0"/>
    <x v="0"/>
    <x v="0"/>
    <x v="0"/>
    <x v="6"/>
    <x v="1"/>
    <n v="17866.48"/>
    <n v="17866.48"/>
  </r>
  <r>
    <s v="03/01"/>
    <s v="5000000002"/>
    <x v="3"/>
    <x v="4"/>
    <x v="5"/>
    <x v="7"/>
    <x v="2"/>
    <x v="5"/>
    <x v="7"/>
    <x v="7"/>
    <x v="7"/>
    <x v="0"/>
    <n v="17724.48"/>
    <n v="-17724.48"/>
  </r>
  <r>
    <s v="03/01"/>
    <s v="5000000002"/>
    <x v="3"/>
    <x v="4"/>
    <x v="5"/>
    <x v="8"/>
    <x v="2"/>
    <x v="5"/>
    <x v="7"/>
    <x v="8"/>
    <x v="3"/>
    <x v="0"/>
    <n v="142"/>
    <n v="-142"/>
  </r>
  <r>
    <s v="03/01"/>
    <s v="5000000002"/>
    <x v="3"/>
    <x v="4"/>
    <x v="5"/>
    <x v="0"/>
    <x v="0"/>
    <x v="0"/>
    <x v="0"/>
    <x v="0"/>
    <x v="6"/>
    <x v="1"/>
    <n v="14440.57"/>
    <n v="14440.57"/>
  </r>
  <r>
    <s v="03/01"/>
    <s v="5000000002"/>
    <x v="3"/>
    <x v="4"/>
    <x v="5"/>
    <x v="7"/>
    <x v="2"/>
    <x v="5"/>
    <x v="7"/>
    <x v="7"/>
    <x v="7"/>
    <x v="0"/>
    <n v="14325.8"/>
    <n v="-14325.8"/>
  </r>
  <r>
    <s v="03/01"/>
    <s v="5000000002"/>
    <x v="3"/>
    <x v="4"/>
    <x v="5"/>
    <x v="8"/>
    <x v="2"/>
    <x v="5"/>
    <x v="7"/>
    <x v="8"/>
    <x v="3"/>
    <x v="0"/>
    <n v="114.77"/>
    <n v="-114.77"/>
  </r>
  <r>
    <s v="03/01"/>
    <s v="0090002229"/>
    <x v="3"/>
    <x v="4"/>
    <x v="5"/>
    <x v="2"/>
    <x v="0"/>
    <x v="0"/>
    <x v="2"/>
    <x v="2"/>
    <x v="2"/>
    <x v="1"/>
    <n v="2415"/>
    <n v="2415"/>
  </r>
  <r>
    <s v="03/01"/>
    <s v="0090002229"/>
    <x v="3"/>
    <x v="4"/>
    <x v="5"/>
    <x v="3"/>
    <x v="1"/>
    <x v="2"/>
    <x v="3"/>
    <x v="3"/>
    <x v="3"/>
    <x v="0"/>
    <n v="2415"/>
    <n v="-2415"/>
  </r>
  <r>
    <s v="03/01"/>
    <s v="0090002230"/>
    <x v="3"/>
    <x v="4"/>
    <x v="5"/>
    <x v="2"/>
    <x v="0"/>
    <x v="0"/>
    <x v="2"/>
    <x v="2"/>
    <x v="2"/>
    <x v="1"/>
    <n v="2240"/>
    <n v="2240"/>
  </r>
  <r>
    <s v="03/01"/>
    <s v="0090002230"/>
    <x v="3"/>
    <x v="4"/>
    <x v="5"/>
    <x v="3"/>
    <x v="1"/>
    <x v="2"/>
    <x v="3"/>
    <x v="3"/>
    <x v="3"/>
    <x v="0"/>
    <n v="2240"/>
    <n v="-2240"/>
  </r>
  <r>
    <s v="03/01"/>
    <s v="0090002231"/>
    <x v="3"/>
    <x v="4"/>
    <x v="5"/>
    <x v="2"/>
    <x v="0"/>
    <x v="0"/>
    <x v="2"/>
    <x v="2"/>
    <x v="2"/>
    <x v="1"/>
    <n v="1794"/>
    <n v="1794"/>
  </r>
  <r>
    <s v="03/01"/>
    <s v="0090002231"/>
    <x v="3"/>
    <x v="4"/>
    <x v="5"/>
    <x v="3"/>
    <x v="1"/>
    <x v="2"/>
    <x v="3"/>
    <x v="3"/>
    <x v="3"/>
    <x v="0"/>
    <n v="1794"/>
    <n v="-1794"/>
  </r>
  <r>
    <s v="03/01"/>
    <s v="4900000071"/>
    <x v="3"/>
    <x v="4"/>
    <x v="5"/>
    <x v="0"/>
    <x v="0"/>
    <x v="0"/>
    <x v="0"/>
    <x v="0"/>
    <x v="0"/>
    <x v="0"/>
    <n v="1666.15"/>
    <n v="-1666.15"/>
  </r>
  <r>
    <s v="03/01"/>
    <s v="4900000071"/>
    <x v="3"/>
    <x v="4"/>
    <x v="5"/>
    <x v="1"/>
    <x v="1"/>
    <x v="1"/>
    <x v="1"/>
    <x v="1"/>
    <x v="1"/>
    <x v="1"/>
    <n v="1666.15"/>
    <n v="1666.15"/>
  </r>
  <r>
    <s v="03/01"/>
    <s v="4900000071"/>
    <x v="3"/>
    <x v="4"/>
    <x v="5"/>
    <x v="0"/>
    <x v="0"/>
    <x v="0"/>
    <x v="0"/>
    <x v="0"/>
    <x v="0"/>
    <x v="0"/>
    <n v="601.48"/>
    <n v="-601.48"/>
  </r>
  <r>
    <s v="03/01"/>
    <s v="4900000071"/>
    <x v="3"/>
    <x v="4"/>
    <x v="5"/>
    <x v="1"/>
    <x v="1"/>
    <x v="1"/>
    <x v="1"/>
    <x v="1"/>
    <x v="1"/>
    <x v="1"/>
    <n v="601.48"/>
    <n v="601.48"/>
  </r>
  <r>
    <s v="03/01"/>
    <s v="4900000071"/>
    <x v="3"/>
    <x v="4"/>
    <x v="5"/>
    <x v="0"/>
    <x v="0"/>
    <x v="0"/>
    <x v="0"/>
    <x v="0"/>
    <x v="0"/>
    <x v="0"/>
    <n v="2111.88"/>
    <n v="-2111.88"/>
  </r>
  <r>
    <s v="03/01"/>
    <s v="4900000071"/>
    <x v="3"/>
    <x v="4"/>
    <x v="5"/>
    <x v="1"/>
    <x v="1"/>
    <x v="1"/>
    <x v="1"/>
    <x v="1"/>
    <x v="1"/>
    <x v="1"/>
    <n v="2111.88"/>
    <n v="2111.88"/>
  </r>
  <r>
    <s v="03/01"/>
    <s v="4900000072"/>
    <x v="3"/>
    <x v="4"/>
    <x v="5"/>
    <x v="0"/>
    <x v="0"/>
    <x v="0"/>
    <x v="0"/>
    <x v="0"/>
    <x v="0"/>
    <x v="0"/>
    <n v="1823.88"/>
    <n v="-1823.88"/>
  </r>
  <r>
    <s v="03/01"/>
    <s v="4900000072"/>
    <x v="3"/>
    <x v="4"/>
    <x v="5"/>
    <x v="1"/>
    <x v="1"/>
    <x v="1"/>
    <x v="1"/>
    <x v="1"/>
    <x v="1"/>
    <x v="1"/>
    <n v="1823.88"/>
    <n v="1823.88"/>
  </r>
  <r>
    <s v="03/01"/>
    <s v="4900000072"/>
    <x v="3"/>
    <x v="4"/>
    <x v="5"/>
    <x v="0"/>
    <x v="0"/>
    <x v="0"/>
    <x v="0"/>
    <x v="0"/>
    <x v="0"/>
    <x v="0"/>
    <n v="1568.82"/>
    <n v="-1568.82"/>
  </r>
  <r>
    <s v="03/01"/>
    <s v="4900000072"/>
    <x v="3"/>
    <x v="4"/>
    <x v="5"/>
    <x v="1"/>
    <x v="1"/>
    <x v="1"/>
    <x v="1"/>
    <x v="1"/>
    <x v="1"/>
    <x v="1"/>
    <n v="1568.82"/>
    <n v="1568.82"/>
  </r>
  <r>
    <s v="03/01"/>
    <s v="5100000002"/>
    <x v="3"/>
    <x v="4"/>
    <x v="5"/>
    <x v="9"/>
    <x v="2"/>
    <x v="5"/>
    <x v="7"/>
    <x v="9"/>
    <x v="2"/>
    <x v="0"/>
    <n v="125821.17"/>
    <n v="-125821.17"/>
  </r>
  <r>
    <s v="03/01"/>
    <s v="5100000002"/>
    <x v="3"/>
    <x v="4"/>
    <x v="5"/>
    <x v="7"/>
    <x v="2"/>
    <x v="5"/>
    <x v="7"/>
    <x v="7"/>
    <x v="8"/>
    <x v="1"/>
    <n v="20058.3"/>
    <n v="20058.3"/>
  </r>
  <r>
    <s v="03/01"/>
    <s v="5100000002"/>
    <x v="3"/>
    <x v="4"/>
    <x v="5"/>
    <x v="8"/>
    <x v="2"/>
    <x v="5"/>
    <x v="7"/>
    <x v="8"/>
    <x v="4"/>
    <x v="1"/>
    <n v="160.69999999999999"/>
    <n v="160.69999999999999"/>
  </r>
  <r>
    <s v="03/01"/>
    <s v="5100000002"/>
    <x v="3"/>
    <x v="4"/>
    <x v="5"/>
    <x v="7"/>
    <x v="2"/>
    <x v="5"/>
    <x v="7"/>
    <x v="7"/>
    <x v="8"/>
    <x v="1"/>
    <n v="19026.48"/>
    <n v="19026.48"/>
  </r>
  <r>
    <s v="03/01"/>
    <s v="5100000002"/>
    <x v="3"/>
    <x v="4"/>
    <x v="5"/>
    <x v="8"/>
    <x v="2"/>
    <x v="5"/>
    <x v="7"/>
    <x v="8"/>
    <x v="4"/>
    <x v="1"/>
    <n v="152.43"/>
    <n v="152.43"/>
  </r>
  <r>
    <s v="03/01"/>
    <s v="5100000002"/>
    <x v="3"/>
    <x v="4"/>
    <x v="5"/>
    <x v="7"/>
    <x v="2"/>
    <x v="5"/>
    <x v="7"/>
    <x v="7"/>
    <x v="8"/>
    <x v="1"/>
    <n v="23342.55"/>
    <n v="23342.55"/>
  </r>
  <r>
    <s v="03/01"/>
    <s v="5100000002"/>
    <x v="3"/>
    <x v="4"/>
    <x v="5"/>
    <x v="8"/>
    <x v="2"/>
    <x v="5"/>
    <x v="7"/>
    <x v="8"/>
    <x v="4"/>
    <x v="1"/>
    <n v="187.01"/>
    <n v="187.01"/>
  </r>
  <r>
    <s v="03/01"/>
    <s v="5100000002"/>
    <x v="3"/>
    <x v="4"/>
    <x v="5"/>
    <x v="7"/>
    <x v="2"/>
    <x v="5"/>
    <x v="7"/>
    <x v="7"/>
    <x v="8"/>
    <x v="1"/>
    <n v="30343.56"/>
    <n v="30343.56"/>
  </r>
  <r>
    <s v="03/01"/>
    <s v="5100000002"/>
    <x v="3"/>
    <x v="4"/>
    <x v="5"/>
    <x v="8"/>
    <x v="2"/>
    <x v="5"/>
    <x v="7"/>
    <x v="8"/>
    <x v="4"/>
    <x v="1"/>
    <n v="243.09"/>
    <n v="243.09"/>
  </r>
  <r>
    <s v="03/01"/>
    <s v="5100000002"/>
    <x v="3"/>
    <x v="4"/>
    <x v="5"/>
    <x v="0"/>
    <x v="0"/>
    <x v="0"/>
    <x v="0"/>
    <x v="0"/>
    <x v="6"/>
    <x v="1"/>
    <n v="0.01"/>
    <n v="0.01"/>
  </r>
  <r>
    <s v="03/10"/>
    <s v="4900000099"/>
    <x v="3"/>
    <x v="6"/>
    <x v="6"/>
    <x v="0"/>
    <x v="0"/>
    <x v="0"/>
    <x v="0"/>
    <x v="0"/>
    <x v="0"/>
    <x v="0"/>
    <n v="1794.1"/>
    <n v="-1794.1"/>
  </r>
  <r>
    <s v="03/10"/>
    <s v="4900000099"/>
    <x v="3"/>
    <x v="6"/>
    <x v="6"/>
    <x v="1"/>
    <x v="1"/>
    <x v="1"/>
    <x v="1"/>
    <x v="1"/>
    <x v="1"/>
    <x v="1"/>
    <n v="1794.1"/>
    <n v="1794.1"/>
  </r>
  <r>
    <s v="03/10"/>
    <s v="4900000101"/>
    <x v="3"/>
    <x v="6"/>
    <x v="6"/>
    <x v="0"/>
    <x v="0"/>
    <x v="0"/>
    <x v="0"/>
    <x v="0"/>
    <x v="0"/>
    <x v="0"/>
    <n v="1467.9"/>
    <n v="-1467.9"/>
  </r>
  <r>
    <s v="03/10"/>
    <s v="4900000101"/>
    <x v="3"/>
    <x v="6"/>
    <x v="6"/>
    <x v="1"/>
    <x v="1"/>
    <x v="1"/>
    <x v="1"/>
    <x v="1"/>
    <x v="1"/>
    <x v="1"/>
    <n v="1467.9"/>
    <n v="1467.9"/>
  </r>
  <r>
    <s v="03/10"/>
    <s v="0090002282"/>
    <x v="3"/>
    <x v="6"/>
    <x v="6"/>
    <x v="2"/>
    <x v="0"/>
    <x v="0"/>
    <x v="2"/>
    <x v="2"/>
    <x v="2"/>
    <x v="1"/>
    <n v="1782"/>
    <n v="1782"/>
  </r>
  <r>
    <s v="03/10"/>
    <s v="0090002282"/>
    <x v="3"/>
    <x v="6"/>
    <x v="6"/>
    <x v="3"/>
    <x v="1"/>
    <x v="2"/>
    <x v="3"/>
    <x v="3"/>
    <x v="3"/>
    <x v="0"/>
    <n v="1782"/>
    <n v="-1782"/>
  </r>
  <r>
    <s v="03/10"/>
    <s v="0090002279"/>
    <x v="3"/>
    <x v="6"/>
    <x v="6"/>
    <x v="2"/>
    <x v="0"/>
    <x v="0"/>
    <x v="2"/>
    <x v="2"/>
    <x v="2"/>
    <x v="1"/>
    <n v="4440"/>
    <n v="4440"/>
  </r>
  <r>
    <s v="03/10"/>
    <s v="0090002279"/>
    <x v="3"/>
    <x v="6"/>
    <x v="6"/>
    <x v="3"/>
    <x v="1"/>
    <x v="2"/>
    <x v="3"/>
    <x v="3"/>
    <x v="3"/>
    <x v="0"/>
    <n v="2130"/>
    <n v="-2130"/>
  </r>
  <r>
    <s v="03/10"/>
    <s v="0090002279"/>
    <x v="3"/>
    <x v="6"/>
    <x v="6"/>
    <x v="3"/>
    <x v="1"/>
    <x v="2"/>
    <x v="3"/>
    <x v="3"/>
    <x v="3"/>
    <x v="0"/>
    <n v="2310"/>
    <n v="-2310"/>
  </r>
  <r>
    <s v="03/10"/>
    <s v="0090002283"/>
    <x v="3"/>
    <x v="6"/>
    <x v="6"/>
    <x v="2"/>
    <x v="0"/>
    <x v="0"/>
    <x v="2"/>
    <x v="2"/>
    <x v="2"/>
    <x v="1"/>
    <n v="1890"/>
    <n v="1890"/>
  </r>
  <r>
    <s v="03/10"/>
    <s v="0090002283"/>
    <x v="3"/>
    <x v="6"/>
    <x v="6"/>
    <x v="3"/>
    <x v="1"/>
    <x v="2"/>
    <x v="3"/>
    <x v="3"/>
    <x v="3"/>
    <x v="0"/>
    <n v="1890"/>
    <n v="-1890"/>
  </r>
  <r>
    <s v="03/10"/>
    <s v="1400000087"/>
    <x v="3"/>
    <x v="6"/>
    <x v="6"/>
    <x v="4"/>
    <x v="0"/>
    <x v="0"/>
    <x v="4"/>
    <x v="4"/>
    <x v="4"/>
    <x v="1"/>
    <n v="2178"/>
    <n v="2178"/>
  </r>
  <r>
    <s v="03/10"/>
    <s v="1400000087"/>
    <x v="3"/>
    <x v="6"/>
    <x v="6"/>
    <x v="2"/>
    <x v="0"/>
    <x v="0"/>
    <x v="2"/>
    <x v="2"/>
    <x v="5"/>
    <x v="0"/>
    <n v="2178"/>
    <n v="-2178"/>
  </r>
  <r>
    <s v="03/10"/>
    <s v="5000000004"/>
    <x v="3"/>
    <x v="6"/>
    <x v="6"/>
    <x v="0"/>
    <x v="0"/>
    <x v="0"/>
    <x v="0"/>
    <x v="0"/>
    <x v="6"/>
    <x v="1"/>
    <n v="8514.0499999999993"/>
    <n v="8514.0499999999993"/>
  </r>
  <r>
    <s v="03/10"/>
    <s v="5000000004"/>
    <x v="3"/>
    <x v="6"/>
    <x v="6"/>
    <x v="7"/>
    <x v="2"/>
    <x v="5"/>
    <x v="7"/>
    <x v="7"/>
    <x v="7"/>
    <x v="0"/>
    <n v="8353.7999999999993"/>
    <n v="-8353.7999999999993"/>
  </r>
  <r>
    <s v="03/10"/>
    <s v="5000000004"/>
    <x v="3"/>
    <x v="6"/>
    <x v="6"/>
    <x v="8"/>
    <x v="2"/>
    <x v="5"/>
    <x v="7"/>
    <x v="8"/>
    <x v="3"/>
    <x v="0"/>
    <n v="160.25"/>
    <n v="-160.25"/>
  </r>
  <r>
    <s v="03/10"/>
    <s v="5000000004"/>
    <x v="3"/>
    <x v="6"/>
    <x v="6"/>
    <x v="0"/>
    <x v="0"/>
    <x v="0"/>
    <x v="0"/>
    <x v="0"/>
    <x v="6"/>
    <x v="1"/>
    <n v="5215.13"/>
    <n v="5215.13"/>
  </r>
  <r>
    <s v="03/10"/>
    <s v="5000000004"/>
    <x v="3"/>
    <x v="6"/>
    <x v="6"/>
    <x v="7"/>
    <x v="2"/>
    <x v="5"/>
    <x v="7"/>
    <x v="7"/>
    <x v="7"/>
    <x v="0"/>
    <n v="5116.97"/>
    <n v="-5116.97"/>
  </r>
  <r>
    <s v="03/10"/>
    <s v="5000000004"/>
    <x v="3"/>
    <x v="6"/>
    <x v="6"/>
    <x v="8"/>
    <x v="2"/>
    <x v="5"/>
    <x v="7"/>
    <x v="8"/>
    <x v="3"/>
    <x v="0"/>
    <n v="98.16"/>
    <n v="-98.16"/>
  </r>
  <r>
    <s v="03/10"/>
    <s v="5000000004"/>
    <x v="3"/>
    <x v="6"/>
    <x v="6"/>
    <x v="0"/>
    <x v="0"/>
    <x v="0"/>
    <x v="0"/>
    <x v="0"/>
    <x v="6"/>
    <x v="1"/>
    <n v="14095.06"/>
    <n v="14095.06"/>
  </r>
  <r>
    <s v="03/10"/>
    <s v="5000000004"/>
    <x v="3"/>
    <x v="6"/>
    <x v="6"/>
    <x v="7"/>
    <x v="2"/>
    <x v="5"/>
    <x v="7"/>
    <x v="7"/>
    <x v="7"/>
    <x v="0"/>
    <n v="13829.75"/>
    <n v="-13829.75"/>
  </r>
  <r>
    <s v="03/10"/>
    <s v="5000000004"/>
    <x v="3"/>
    <x v="6"/>
    <x v="6"/>
    <x v="8"/>
    <x v="2"/>
    <x v="5"/>
    <x v="7"/>
    <x v="8"/>
    <x v="3"/>
    <x v="0"/>
    <n v="265.31"/>
    <n v="-265.31"/>
  </r>
  <r>
    <s v="03/10"/>
    <s v="5000000004"/>
    <x v="3"/>
    <x v="6"/>
    <x v="6"/>
    <x v="0"/>
    <x v="0"/>
    <x v="0"/>
    <x v="0"/>
    <x v="0"/>
    <x v="6"/>
    <x v="1"/>
    <n v="8089.54"/>
    <n v="8089.54"/>
  </r>
  <r>
    <s v="03/10"/>
    <s v="5000000004"/>
    <x v="3"/>
    <x v="6"/>
    <x v="6"/>
    <x v="7"/>
    <x v="2"/>
    <x v="5"/>
    <x v="7"/>
    <x v="7"/>
    <x v="7"/>
    <x v="0"/>
    <n v="7937.28"/>
    <n v="-7937.28"/>
  </r>
  <r>
    <s v="03/10"/>
    <s v="5000000004"/>
    <x v="3"/>
    <x v="6"/>
    <x v="6"/>
    <x v="8"/>
    <x v="2"/>
    <x v="5"/>
    <x v="7"/>
    <x v="8"/>
    <x v="3"/>
    <x v="0"/>
    <n v="152.26"/>
    <n v="-152.26"/>
  </r>
  <r>
    <s v="03/10"/>
    <s v="5000000004"/>
    <x v="3"/>
    <x v="6"/>
    <x v="6"/>
    <x v="0"/>
    <x v="0"/>
    <x v="0"/>
    <x v="0"/>
    <x v="0"/>
    <x v="6"/>
    <x v="1"/>
    <n v="8727.1"/>
    <n v="8727.1"/>
  </r>
  <r>
    <s v="03/10"/>
    <s v="5000000004"/>
    <x v="3"/>
    <x v="6"/>
    <x v="6"/>
    <x v="7"/>
    <x v="2"/>
    <x v="5"/>
    <x v="7"/>
    <x v="7"/>
    <x v="7"/>
    <x v="0"/>
    <n v="8562.84"/>
    <n v="-8562.84"/>
  </r>
  <r>
    <s v="03/10"/>
    <s v="5000000004"/>
    <x v="3"/>
    <x v="6"/>
    <x v="6"/>
    <x v="8"/>
    <x v="2"/>
    <x v="5"/>
    <x v="7"/>
    <x v="8"/>
    <x v="3"/>
    <x v="0"/>
    <n v="164.26"/>
    <n v="-164.26"/>
  </r>
  <r>
    <s v="03/10"/>
    <s v="5000000004"/>
    <x v="3"/>
    <x v="6"/>
    <x v="6"/>
    <x v="0"/>
    <x v="0"/>
    <x v="0"/>
    <x v="0"/>
    <x v="0"/>
    <x v="6"/>
    <x v="1"/>
    <n v="8487.7099999999991"/>
    <n v="8487.7099999999991"/>
  </r>
  <r>
    <s v="03/10"/>
    <s v="5000000004"/>
    <x v="3"/>
    <x v="6"/>
    <x v="6"/>
    <x v="7"/>
    <x v="2"/>
    <x v="5"/>
    <x v="7"/>
    <x v="7"/>
    <x v="7"/>
    <x v="0"/>
    <n v="8327.9500000000007"/>
    <n v="-8327.9500000000007"/>
  </r>
  <r>
    <s v="03/10"/>
    <s v="5000000004"/>
    <x v="3"/>
    <x v="6"/>
    <x v="6"/>
    <x v="8"/>
    <x v="2"/>
    <x v="5"/>
    <x v="7"/>
    <x v="8"/>
    <x v="3"/>
    <x v="0"/>
    <n v="159.76"/>
    <n v="-159.76"/>
  </r>
  <r>
    <s v="03/10"/>
    <s v="0090002280"/>
    <x v="3"/>
    <x v="6"/>
    <x v="6"/>
    <x v="2"/>
    <x v="0"/>
    <x v="0"/>
    <x v="2"/>
    <x v="2"/>
    <x v="2"/>
    <x v="1"/>
    <n v="1764"/>
    <n v="1764"/>
  </r>
  <r>
    <s v="03/10"/>
    <s v="0090002280"/>
    <x v="3"/>
    <x v="6"/>
    <x v="6"/>
    <x v="3"/>
    <x v="1"/>
    <x v="2"/>
    <x v="3"/>
    <x v="3"/>
    <x v="3"/>
    <x v="0"/>
    <n v="1764"/>
    <n v="-1764"/>
  </r>
  <r>
    <s v="03/10"/>
    <s v="0090002281"/>
    <x v="3"/>
    <x v="6"/>
    <x v="6"/>
    <x v="2"/>
    <x v="0"/>
    <x v="0"/>
    <x v="2"/>
    <x v="2"/>
    <x v="2"/>
    <x v="1"/>
    <n v="1960"/>
    <n v="1960"/>
  </r>
  <r>
    <s v="03/10"/>
    <s v="0090002281"/>
    <x v="3"/>
    <x v="6"/>
    <x v="6"/>
    <x v="3"/>
    <x v="1"/>
    <x v="2"/>
    <x v="3"/>
    <x v="3"/>
    <x v="3"/>
    <x v="0"/>
    <n v="1960"/>
    <n v="-1960"/>
  </r>
  <r>
    <s v="03/10"/>
    <s v="1400000086"/>
    <x v="3"/>
    <x v="6"/>
    <x v="6"/>
    <x v="4"/>
    <x v="0"/>
    <x v="0"/>
    <x v="4"/>
    <x v="4"/>
    <x v="4"/>
    <x v="1"/>
    <n v="1848"/>
    <n v="1848"/>
  </r>
  <r>
    <s v="03/10"/>
    <s v="1400000086"/>
    <x v="3"/>
    <x v="6"/>
    <x v="6"/>
    <x v="2"/>
    <x v="0"/>
    <x v="0"/>
    <x v="2"/>
    <x v="2"/>
    <x v="5"/>
    <x v="0"/>
    <n v="1848"/>
    <n v="-1848"/>
  </r>
  <r>
    <s v="03/10"/>
    <s v="1400000086"/>
    <x v="3"/>
    <x v="6"/>
    <x v="6"/>
    <x v="4"/>
    <x v="0"/>
    <x v="0"/>
    <x v="4"/>
    <x v="4"/>
    <x v="4"/>
    <x v="1"/>
    <n v="1530"/>
    <n v="1530"/>
  </r>
  <r>
    <s v="03/10"/>
    <s v="1400000086"/>
    <x v="3"/>
    <x v="6"/>
    <x v="6"/>
    <x v="2"/>
    <x v="0"/>
    <x v="0"/>
    <x v="2"/>
    <x v="2"/>
    <x v="5"/>
    <x v="0"/>
    <n v="1530"/>
    <n v="-1530"/>
  </r>
  <r>
    <s v="03/10"/>
    <s v="1400000086"/>
    <x v="3"/>
    <x v="6"/>
    <x v="6"/>
    <x v="4"/>
    <x v="0"/>
    <x v="0"/>
    <x v="4"/>
    <x v="4"/>
    <x v="4"/>
    <x v="1"/>
    <n v="1848"/>
    <n v="1848"/>
  </r>
  <r>
    <s v="03/10"/>
    <s v="1400000086"/>
    <x v="3"/>
    <x v="6"/>
    <x v="6"/>
    <x v="2"/>
    <x v="0"/>
    <x v="0"/>
    <x v="2"/>
    <x v="2"/>
    <x v="5"/>
    <x v="0"/>
    <n v="1848"/>
    <n v="-1848"/>
  </r>
  <r>
    <s v="03/10"/>
    <s v="1400000086"/>
    <x v="3"/>
    <x v="6"/>
    <x v="6"/>
    <x v="4"/>
    <x v="0"/>
    <x v="0"/>
    <x v="4"/>
    <x v="4"/>
    <x v="4"/>
    <x v="1"/>
    <n v="2184"/>
    <n v="2184"/>
  </r>
  <r>
    <s v="03/10"/>
    <s v="1400000086"/>
    <x v="3"/>
    <x v="6"/>
    <x v="6"/>
    <x v="2"/>
    <x v="0"/>
    <x v="0"/>
    <x v="2"/>
    <x v="2"/>
    <x v="5"/>
    <x v="0"/>
    <n v="2184"/>
    <n v="-2184"/>
  </r>
  <r>
    <s v="04/01"/>
    <s v="1400000088"/>
    <x v="4"/>
    <x v="4"/>
    <x v="7"/>
    <x v="4"/>
    <x v="0"/>
    <x v="0"/>
    <x v="4"/>
    <x v="4"/>
    <x v="4"/>
    <x v="1"/>
    <n v="1500"/>
    <n v="1500"/>
  </r>
  <r>
    <s v="02/01"/>
    <s v="4900000036"/>
    <x v="2"/>
    <x v="4"/>
    <x v="4"/>
    <x v="0"/>
    <x v="0"/>
    <x v="0"/>
    <x v="0"/>
    <x v="0"/>
    <x v="0"/>
    <x v="0"/>
    <n v="1458.25"/>
    <n v="-1458.25"/>
  </r>
  <r>
    <s v="02/01"/>
    <s v="4900000036"/>
    <x v="2"/>
    <x v="4"/>
    <x v="4"/>
    <x v="1"/>
    <x v="1"/>
    <x v="1"/>
    <x v="1"/>
    <x v="1"/>
    <x v="1"/>
    <x v="1"/>
    <n v="1458.25"/>
    <n v="1458.25"/>
  </r>
  <r>
    <s v="02/03"/>
    <s v="4900000047"/>
    <x v="2"/>
    <x v="3"/>
    <x v="4"/>
    <x v="0"/>
    <x v="0"/>
    <x v="0"/>
    <x v="0"/>
    <x v="0"/>
    <x v="0"/>
    <x v="0"/>
    <n v="1378.85"/>
    <n v="-1378.85"/>
  </r>
  <r>
    <s v="02/03"/>
    <s v="4900000047"/>
    <x v="2"/>
    <x v="3"/>
    <x v="4"/>
    <x v="1"/>
    <x v="1"/>
    <x v="1"/>
    <x v="1"/>
    <x v="1"/>
    <x v="1"/>
    <x v="1"/>
    <n v="1378.85"/>
    <n v="1378.85"/>
  </r>
  <r>
    <s v="02/03"/>
    <s v="1400000026"/>
    <x v="2"/>
    <x v="3"/>
    <x v="4"/>
    <x v="4"/>
    <x v="0"/>
    <x v="0"/>
    <x v="4"/>
    <x v="4"/>
    <x v="4"/>
    <x v="1"/>
    <n v="2041.97"/>
    <n v="2041.97"/>
  </r>
  <r>
    <s v="02/03"/>
    <s v="1400000026"/>
    <x v="2"/>
    <x v="3"/>
    <x v="4"/>
    <x v="2"/>
    <x v="0"/>
    <x v="0"/>
    <x v="2"/>
    <x v="2"/>
    <x v="5"/>
    <x v="0"/>
    <n v="2041.97"/>
    <n v="-2041.97"/>
  </r>
  <r>
    <s v="02/03"/>
    <s v="1400000026"/>
    <x v="2"/>
    <x v="3"/>
    <x v="4"/>
    <x v="4"/>
    <x v="0"/>
    <x v="0"/>
    <x v="4"/>
    <x v="4"/>
    <x v="4"/>
    <x v="1"/>
    <n v="3797.6"/>
    <n v="3797.6"/>
  </r>
  <r>
    <s v="02/03"/>
    <s v="1400000026"/>
    <x v="2"/>
    <x v="3"/>
    <x v="4"/>
    <x v="2"/>
    <x v="0"/>
    <x v="0"/>
    <x v="2"/>
    <x v="2"/>
    <x v="5"/>
    <x v="0"/>
    <n v="3797.6"/>
    <n v="-3797.6"/>
  </r>
  <r>
    <s v="02/03"/>
    <s v="1400000026"/>
    <x v="2"/>
    <x v="3"/>
    <x v="4"/>
    <x v="4"/>
    <x v="0"/>
    <x v="0"/>
    <x v="4"/>
    <x v="4"/>
    <x v="4"/>
    <x v="1"/>
    <n v="2140.56"/>
    <n v="2140.56"/>
  </r>
  <r>
    <s v="02/03"/>
    <s v="1400000026"/>
    <x v="2"/>
    <x v="3"/>
    <x v="4"/>
    <x v="2"/>
    <x v="0"/>
    <x v="0"/>
    <x v="2"/>
    <x v="2"/>
    <x v="5"/>
    <x v="0"/>
    <n v="2140.56"/>
    <n v="-2140.56"/>
  </r>
  <r>
    <s v="02/03"/>
    <s v="1400000026"/>
    <x v="2"/>
    <x v="3"/>
    <x v="4"/>
    <x v="4"/>
    <x v="0"/>
    <x v="0"/>
    <x v="4"/>
    <x v="4"/>
    <x v="4"/>
    <x v="1"/>
    <n v="1767.5"/>
    <n v="1767.5"/>
  </r>
  <r>
    <s v="02/03"/>
    <s v="1400000026"/>
    <x v="2"/>
    <x v="3"/>
    <x v="4"/>
    <x v="2"/>
    <x v="0"/>
    <x v="0"/>
    <x v="2"/>
    <x v="2"/>
    <x v="5"/>
    <x v="0"/>
    <n v="1767.5"/>
    <n v="-1767.5"/>
  </r>
  <r>
    <s v="02/03"/>
    <s v="1400000026"/>
    <x v="2"/>
    <x v="3"/>
    <x v="4"/>
    <x v="4"/>
    <x v="0"/>
    <x v="0"/>
    <x v="4"/>
    <x v="4"/>
    <x v="4"/>
    <x v="1"/>
    <n v="1421.5"/>
    <n v="1421.5"/>
  </r>
  <r>
    <s v="02/03"/>
    <s v="1400000026"/>
    <x v="2"/>
    <x v="3"/>
    <x v="4"/>
    <x v="2"/>
    <x v="0"/>
    <x v="0"/>
    <x v="2"/>
    <x v="2"/>
    <x v="5"/>
    <x v="0"/>
    <n v="1421.5"/>
    <n v="-1421.5"/>
  </r>
  <r>
    <s v="02/03"/>
    <s v="1400000026"/>
    <x v="2"/>
    <x v="3"/>
    <x v="4"/>
    <x v="4"/>
    <x v="0"/>
    <x v="0"/>
    <x v="4"/>
    <x v="4"/>
    <x v="4"/>
    <x v="1"/>
    <n v="2364.6999999999998"/>
    <n v="2364.6999999999998"/>
  </r>
  <r>
    <s v="02/03"/>
    <s v="1400000026"/>
    <x v="2"/>
    <x v="3"/>
    <x v="4"/>
    <x v="2"/>
    <x v="0"/>
    <x v="0"/>
    <x v="2"/>
    <x v="2"/>
    <x v="5"/>
    <x v="0"/>
    <n v="2364.6999999999998"/>
    <n v="-2364.6999999999998"/>
  </r>
  <r>
    <s v="02/03"/>
    <s v="4900000043"/>
    <x v="2"/>
    <x v="3"/>
    <x v="4"/>
    <x v="0"/>
    <x v="0"/>
    <x v="0"/>
    <x v="0"/>
    <x v="0"/>
    <x v="0"/>
    <x v="0"/>
    <n v="1748.3"/>
    <n v="-1748.3"/>
  </r>
  <r>
    <s v="02/03"/>
    <s v="4900000043"/>
    <x v="2"/>
    <x v="3"/>
    <x v="4"/>
    <x v="1"/>
    <x v="1"/>
    <x v="1"/>
    <x v="1"/>
    <x v="1"/>
    <x v="1"/>
    <x v="1"/>
    <n v="1748.3"/>
    <n v="1748.3"/>
  </r>
  <r>
    <s v="02/03"/>
    <s v="0090002179"/>
    <x v="2"/>
    <x v="3"/>
    <x v="4"/>
    <x v="2"/>
    <x v="0"/>
    <x v="0"/>
    <x v="2"/>
    <x v="2"/>
    <x v="2"/>
    <x v="1"/>
    <n v="368"/>
    <n v="368"/>
  </r>
  <r>
    <s v="02/03"/>
    <s v="0090002179"/>
    <x v="2"/>
    <x v="3"/>
    <x v="4"/>
    <x v="3"/>
    <x v="1"/>
    <x v="2"/>
    <x v="3"/>
    <x v="3"/>
    <x v="3"/>
    <x v="0"/>
    <n v="368"/>
    <n v="-368"/>
  </r>
  <r>
    <s v="02/03"/>
    <s v="1400000028"/>
    <x v="2"/>
    <x v="3"/>
    <x v="4"/>
    <x v="4"/>
    <x v="0"/>
    <x v="0"/>
    <x v="4"/>
    <x v="4"/>
    <x v="4"/>
    <x v="1"/>
    <n v="1580.88"/>
    <n v="1580.88"/>
  </r>
  <r>
    <s v="02/03"/>
    <s v="1400000028"/>
    <x v="2"/>
    <x v="3"/>
    <x v="4"/>
    <x v="2"/>
    <x v="0"/>
    <x v="0"/>
    <x v="2"/>
    <x v="2"/>
    <x v="5"/>
    <x v="0"/>
    <n v="1580.88"/>
    <n v="-1580.88"/>
  </r>
  <r>
    <s v="02/03"/>
    <s v="0090002178"/>
    <x v="2"/>
    <x v="3"/>
    <x v="4"/>
    <x v="2"/>
    <x v="0"/>
    <x v="0"/>
    <x v="2"/>
    <x v="2"/>
    <x v="2"/>
    <x v="1"/>
    <n v="1078"/>
    <n v="1078"/>
  </r>
  <r>
    <s v="02/03"/>
    <s v="0090002178"/>
    <x v="2"/>
    <x v="3"/>
    <x v="4"/>
    <x v="3"/>
    <x v="1"/>
    <x v="2"/>
    <x v="3"/>
    <x v="3"/>
    <x v="3"/>
    <x v="0"/>
    <n v="1078"/>
    <n v="-1078"/>
  </r>
  <r>
    <s v="02/03"/>
    <s v="0090002181"/>
    <x v="2"/>
    <x v="3"/>
    <x v="4"/>
    <x v="2"/>
    <x v="0"/>
    <x v="0"/>
    <x v="2"/>
    <x v="2"/>
    <x v="2"/>
    <x v="1"/>
    <n v="1539"/>
    <n v="1539"/>
  </r>
  <r>
    <s v="02/03"/>
    <s v="0090002181"/>
    <x v="2"/>
    <x v="3"/>
    <x v="4"/>
    <x v="3"/>
    <x v="1"/>
    <x v="2"/>
    <x v="3"/>
    <x v="3"/>
    <x v="3"/>
    <x v="0"/>
    <n v="1539"/>
    <n v="-1539"/>
  </r>
  <r>
    <s v="02/03"/>
    <s v="4900000045"/>
    <x v="2"/>
    <x v="3"/>
    <x v="4"/>
    <x v="0"/>
    <x v="0"/>
    <x v="0"/>
    <x v="0"/>
    <x v="0"/>
    <x v="0"/>
    <x v="0"/>
    <n v="333.01"/>
    <n v="-333.01"/>
  </r>
  <r>
    <s v="02/03"/>
    <s v="4900000045"/>
    <x v="2"/>
    <x v="3"/>
    <x v="4"/>
    <x v="1"/>
    <x v="1"/>
    <x v="1"/>
    <x v="1"/>
    <x v="1"/>
    <x v="1"/>
    <x v="1"/>
    <n v="333.01"/>
    <n v="333.01"/>
  </r>
  <r>
    <s v="02/03"/>
    <s v="0090002177"/>
    <x v="2"/>
    <x v="3"/>
    <x v="4"/>
    <x v="2"/>
    <x v="0"/>
    <x v="0"/>
    <x v="2"/>
    <x v="2"/>
    <x v="2"/>
    <x v="1"/>
    <n v="1932"/>
    <n v="1932"/>
  </r>
  <r>
    <s v="02/03"/>
    <s v="0090002177"/>
    <x v="2"/>
    <x v="3"/>
    <x v="4"/>
    <x v="3"/>
    <x v="1"/>
    <x v="2"/>
    <x v="3"/>
    <x v="3"/>
    <x v="3"/>
    <x v="0"/>
    <n v="1932"/>
    <n v="-1932"/>
  </r>
  <r>
    <s v="02/03"/>
    <s v="0090002180"/>
    <x v="2"/>
    <x v="3"/>
    <x v="4"/>
    <x v="2"/>
    <x v="0"/>
    <x v="0"/>
    <x v="2"/>
    <x v="2"/>
    <x v="2"/>
    <x v="1"/>
    <n v="1960"/>
    <n v="1960"/>
  </r>
  <r>
    <s v="02/03"/>
    <s v="0090002180"/>
    <x v="2"/>
    <x v="3"/>
    <x v="4"/>
    <x v="3"/>
    <x v="1"/>
    <x v="2"/>
    <x v="3"/>
    <x v="3"/>
    <x v="3"/>
    <x v="0"/>
    <n v="1960"/>
    <n v="-1960"/>
  </r>
  <r>
    <s v="02/03"/>
    <s v="1400000027"/>
    <x v="2"/>
    <x v="3"/>
    <x v="4"/>
    <x v="4"/>
    <x v="0"/>
    <x v="0"/>
    <x v="4"/>
    <x v="4"/>
    <x v="4"/>
    <x v="1"/>
    <n v="949.4"/>
    <n v="949.4"/>
  </r>
  <r>
    <s v="02/03"/>
    <s v="1400000027"/>
    <x v="2"/>
    <x v="3"/>
    <x v="4"/>
    <x v="2"/>
    <x v="0"/>
    <x v="0"/>
    <x v="2"/>
    <x v="2"/>
    <x v="5"/>
    <x v="0"/>
    <n v="949.4"/>
    <n v="-949.4"/>
  </r>
  <r>
    <s v="02/03"/>
    <s v="1400000029"/>
    <x v="2"/>
    <x v="3"/>
    <x v="4"/>
    <x v="4"/>
    <x v="0"/>
    <x v="0"/>
    <x v="4"/>
    <x v="4"/>
    <x v="4"/>
    <x v="1"/>
    <n v="1546.15"/>
    <n v="1546.15"/>
  </r>
  <r>
    <s v="02/03"/>
    <s v="1400000029"/>
    <x v="2"/>
    <x v="3"/>
    <x v="4"/>
    <x v="2"/>
    <x v="0"/>
    <x v="0"/>
    <x v="2"/>
    <x v="2"/>
    <x v="5"/>
    <x v="0"/>
    <n v="1546.15"/>
    <n v="-1546.15"/>
  </r>
  <r>
    <s v="02/03"/>
    <s v="4900000044"/>
    <x v="2"/>
    <x v="3"/>
    <x v="4"/>
    <x v="0"/>
    <x v="0"/>
    <x v="0"/>
    <x v="0"/>
    <x v="0"/>
    <x v="0"/>
    <x v="0"/>
    <n v="956.21"/>
    <n v="-956.21"/>
  </r>
  <r>
    <s v="02/03"/>
    <s v="4900000044"/>
    <x v="2"/>
    <x v="3"/>
    <x v="4"/>
    <x v="1"/>
    <x v="1"/>
    <x v="1"/>
    <x v="1"/>
    <x v="1"/>
    <x v="1"/>
    <x v="1"/>
    <n v="956.21"/>
    <n v="956.21"/>
  </r>
  <r>
    <s v="02/03"/>
    <s v="4900000046"/>
    <x v="2"/>
    <x v="3"/>
    <x v="4"/>
    <x v="0"/>
    <x v="0"/>
    <x v="0"/>
    <x v="0"/>
    <x v="0"/>
    <x v="0"/>
    <x v="0"/>
    <n v="1738.56"/>
    <n v="-1738.56"/>
  </r>
  <r>
    <s v="02/03"/>
    <s v="4900000046"/>
    <x v="2"/>
    <x v="3"/>
    <x v="4"/>
    <x v="1"/>
    <x v="1"/>
    <x v="1"/>
    <x v="1"/>
    <x v="1"/>
    <x v="1"/>
    <x v="1"/>
    <n v="1738.56"/>
    <n v="1738.56"/>
  </r>
  <r>
    <s v="02/08"/>
    <s v="1400000050"/>
    <x v="2"/>
    <x v="8"/>
    <x v="3"/>
    <x v="4"/>
    <x v="0"/>
    <x v="0"/>
    <x v="4"/>
    <x v="4"/>
    <x v="4"/>
    <x v="1"/>
    <n v="1539"/>
    <n v="1539"/>
  </r>
  <r>
    <s v="02/08"/>
    <s v="1400000050"/>
    <x v="2"/>
    <x v="8"/>
    <x v="3"/>
    <x v="2"/>
    <x v="0"/>
    <x v="0"/>
    <x v="2"/>
    <x v="2"/>
    <x v="5"/>
    <x v="0"/>
    <n v="1539"/>
    <n v="-1539"/>
  </r>
  <r>
    <s v="02/08"/>
    <s v="4900000062"/>
    <x v="2"/>
    <x v="8"/>
    <x v="3"/>
    <x v="0"/>
    <x v="0"/>
    <x v="0"/>
    <x v="0"/>
    <x v="0"/>
    <x v="0"/>
    <x v="0"/>
    <n v="1581.8"/>
    <n v="-1581.8"/>
  </r>
  <r>
    <s v="02/08"/>
    <s v="4900000062"/>
    <x v="2"/>
    <x v="8"/>
    <x v="3"/>
    <x v="1"/>
    <x v="1"/>
    <x v="1"/>
    <x v="1"/>
    <x v="1"/>
    <x v="1"/>
    <x v="1"/>
    <n v="1581.8"/>
    <n v="1581.8"/>
  </r>
  <r>
    <s v="01/08"/>
    <s v="1400000006"/>
    <x v="0"/>
    <x v="8"/>
    <x v="1"/>
    <x v="2"/>
    <x v="0"/>
    <x v="0"/>
    <x v="2"/>
    <x v="2"/>
    <x v="5"/>
    <x v="0"/>
    <n v="1641.25"/>
    <n v="-1641.25"/>
  </r>
  <r>
    <s v="01/08"/>
    <s v="1400000006"/>
    <x v="0"/>
    <x v="8"/>
    <x v="1"/>
    <x v="4"/>
    <x v="0"/>
    <x v="0"/>
    <x v="4"/>
    <x v="4"/>
    <x v="4"/>
    <x v="1"/>
    <n v="1728.05"/>
    <n v="1728.05"/>
  </r>
  <r>
    <s v="01/08"/>
    <s v="1400000006"/>
    <x v="0"/>
    <x v="8"/>
    <x v="1"/>
    <x v="2"/>
    <x v="0"/>
    <x v="0"/>
    <x v="2"/>
    <x v="2"/>
    <x v="5"/>
    <x v="0"/>
    <n v="1728.05"/>
    <n v="-1728.05"/>
  </r>
  <r>
    <s v="01/08"/>
    <s v="1400000006"/>
    <x v="0"/>
    <x v="8"/>
    <x v="1"/>
    <x v="4"/>
    <x v="0"/>
    <x v="0"/>
    <x v="4"/>
    <x v="4"/>
    <x v="4"/>
    <x v="1"/>
    <n v="2843"/>
    <n v="2843"/>
  </r>
  <r>
    <s v="01/08"/>
    <s v="1400000006"/>
    <x v="0"/>
    <x v="8"/>
    <x v="1"/>
    <x v="2"/>
    <x v="0"/>
    <x v="0"/>
    <x v="2"/>
    <x v="2"/>
    <x v="5"/>
    <x v="0"/>
    <n v="2843"/>
    <n v="-2843"/>
  </r>
  <r>
    <s v="01/08"/>
    <s v="1400000006"/>
    <x v="0"/>
    <x v="8"/>
    <x v="1"/>
    <x v="4"/>
    <x v="0"/>
    <x v="0"/>
    <x v="4"/>
    <x v="4"/>
    <x v="4"/>
    <x v="1"/>
    <n v="2299.12"/>
    <n v="2299.12"/>
  </r>
  <r>
    <s v="01/08"/>
    <s v="1400000006"/>
    <x v="0"/>
    <x v="8"/>
    <x v="1"/>
    <x v="2"/>
    <x v="0"/>
    <x v="0"/>
    <x v="2"/>
    <x v="2"/>
    <x v="5"/>
    <x v="0"/>
    <n v="2299.12"/>
    <n v="-2299.12"/>
  </r>
  <r>
    <s v="01/08"/>
    <s v="1400000006"/>
    <x v="0"/>
    <x v="8"/>
    <x v="1"/>
    <x v="4"/>
    <x v="0"/>
    <x v="0"/>
    <x v="4"/>
    <x v="4"/>
    <x v="4"/>
    <x v="1"/>
    <n v="2173.71"/>
    <n v="2173.71"/>
  </r>
  <r>
    <s v="01/08"/>
    <s v="1400000006"/>
    <x v="0"/>
    <x v="8"/>
    <x v="1"/>
    <x v="2"/>
    <x v="0"/>
    <x v="0"/>
    <x v="2"/>
    <x v="2"/>
    <x v="5"/>
    <x v="0"/>
    <n v="2173.71"/>
    <n v="-2173.71"/>
  </r>
  <r>
    <s v="01/08"/>
    <s v="0090002145"/>
    <x v="0"/>
    <x v="8"/>
    <x v="1"/>
    <x v="2"/>
    <x v="0"/>
    <x v="0"/>
    <x v="2"/>
    <x v="2"/>
    <x v="2"/>
    <x v="1"/>
    <n v="1767.5"/>
    <n v="1767.5"/>
  </r>
  <r>
    <s v="01/08"/>
    <s v="0090002145"/>
    <x v="0"/>
    <x v="8"/>
    <x v="1"/>
    <x v="3"/>
    <x v="1"/>
    <x v="2"/>
    <x v="3"/>
    <x v="3"/>
    <x v="3"/>
    <x v="0"/>
    <n v="1767.5"/>
    <n v="-1767.5"/>
  </r>
  <r>
    <s v="01/08"/>
    <s v="0090002144"/>
    <x v="0"/>
    <x v="8"/>
    <x v="1"/>
    <x v="2"/>
    <x v="0"/>
    <x v="0"/>
    <x v="2"/>
    <x v="2"/>
    <x v="2"/>
    <x v="1"/>
    <n v="3171.2"/>
    <n v="3171.2"/>
  </r>
  <r>
    <s v="01/08"/>
    <s v="0090002144"/>
    <x v="0"/>
    <x v="8"/>
    <x v="1"/>
    <x v="3"/>
    <x v="1"/>
    <x v="2"/>
    <x v="3"/>
    <x v="3"/>
    <x v="3"/>
    <x v="0"/>
    <n v="1664.88"/>
    <n v="-1664.88"/>
  </r>
  <r>
    <s v="01/08"/>
    <s v="0090002144"/>
    <x v="0"/>
    <x v="8"/>
    <x v="1"/>
    <x v="3"/>
    <x v="1"/>
    <x v="2"/>
    <x v="3"/>
    <x v="3"/>
    <x v="3"/>
    <x v="0"/>
    <n v="1506.32"/>
    <n v="-1506.32"/>
  </r>
  <r>
    <s v="01/08"/>
    <s v="1400000008"/>
    <x v="0"/>
    <x v="8"/>
    <x v="1"/>
    <x v="4"/>
    <x v="0"/>
    <x v="0"/>
    <x v="4"/>
    <x v="4"/>
    <x v="4"/>
    <x v="1"/>
    <n v="1646.75"/>
    <n v="1646.75"/>
  </r>
  <r>
    <s v="01/08"/>
    <s v="1400000008"/>
    <x v="0"/>
    <x v="8"/>
    <x v="1"/>
    <x v="2"/>
    <x v="0"/>
    <x v="0"/>
    <x v="2"/>
    <x v="2"/>
    <x v="5"/>
    <x v="0"/>
    <n v="1646.75"/>
    <n v="-1646.75"/>
  </r>
  <r>
    <s v="01/08"/>
    <s v="0090002147"/>
    <x v="0"/>
    <x v="8"/>
    <x v="1"/>
    <x v="2"/>
    <x v="0"/>
    <x v="0"/>
    <x v="2"/>
    <x v="2"/>
    <x v="2"/>
    <x v="1"/>
    <n v="713.52"/>
    <n v="713.52"/>
  </r>
  <r>
    <s v="01/08"/>
    <s v="4900000022"/>
    <x v="0"/>
    <x v="8"/>
    <x v="1"/>
    <x v="0"/>
    <x v="0"/>
    <x v="0"/>
    <x v="0"/>
    <x v="0"/>
    <x v="0"/>
    <x v="0"/>
    <n v="867.69"/>
    <n v="-867.69"/>
  </r>
  <r>
    <s v="01/08"/>
    <s v="4900000022"/>
    <x v="0"/>
    <x v="8"/>
    <x v="1"/>
    <x v="1"/>
    <x v="1"/>
    <x v="1"/>
    <x v="1"/>
    <x v="1"/>
    <x v="1"/>
    <x v="1"/>
    <n v="867.69"/>
    <n v="867.69"/>
  </r>
  <r>
    <s v="01/08"/>
    <s v="4900000022"/>
    <x v="0"/>
    <x v="8"/>
    <x v="1"/>
    <x v="0"/>
    <x v="0"/>
    <x v="0"/>
    <x v="0"/>
    <x v="0"/>
    <x v="0"/>
    <x v="0"/>
    <n v="1866.37"/>
    <n v="-1866.37"/>
  </r>
  <r>
    <s v="01/08"/>
    <s v="4900000022"/>
    <x v="0"/>
    <x v="8"/>
    <x v="1"/>
    <x v="1"/>
    <x v="1"/>
    <x v="1"/>
    <x v="1"/>
    <x v="1"/>
    <x v="1"/>
    <x v="1"/>
    <n v="1866.37"/>
    <n v="1866.37"/>
  </r>
  <r>
    <s v="01/08"/>
    <s v="0090002143"/>
    <x v="0"/>
    <x v="8"/>
    <x v="1"/>
    <x v="2"/>
    <x v="0"/>
    <x v="0"/>
    <x v="2"/>
    <x v="2"/>
    <x v="2"/>
    <x v="1"/>
    <n v="2091.85"/>
    <n v="2091.85"/>
  </r>
  <r>
    <s v="01/08"/>
    <s v="0090002143"/>
    <x v="0"/>
    <x v="8"/>
    <x v="1"/>
    <x v="3"/>
    <x v="1"/>
    <x v="2"/>
    <x v="3"/>
    <x v="3"/>
    <x v="3"/>
    <x v="0"/>
    <n v="2091.85"/>
    <n v="-2091.85"/>
  </r>
  <r>
    <s v="01/08"/>
    <s v="0090002146"/>
    <x v="0"/>
    <x v="8"/>
    <x v="1"/>
    <x v="2"/>
    <x v="0"/>
    <x v="0"/>
    <x v="2"/>
    <x v="2"/>
    <x v="2"/>
    <x v="1"/>
    <n v="1778.49"/>
    <n v="1778.49"/>
  </r>
  <r>
    <s v="01/08"/>
    <s v="0090002146"/>
    <x v="0"/>
    <x v="8"/>
    <x v="1"/>
    <x v="3"/>
    <x v="1"/>
    <x v="2"/>
    <x v="3"/>
    <x v="3"/>
    <x v="3"/>
    <x v="0"/>
    <n v="1778.49"/>
    <n v="-1778.49"/>
  </r>
  <r>
    <s v="01/08"/>
    <s v="4900000025"/>
    <x v="0"/>
    <x v="8"/>
    <x v="1"/>
    <x v="0"/>
    <x v="0"/>
    <x v="0"/>
    <x v="0"/>
    <x v="0"/>
    <x v="0"/>
    <x v="0"/>
    <n v="1615.23"/>
    <n v="-1615.23"/>
  </r>
  <r>
    <s v="01/08"/>
    <s v="4900000025"/>
    <x v="0"/>
    <x v="8"/>
    <x v="1"/>
    <x v="1"/>
    <x v="1"/>
    <x v="1"/>
    <x v="1"/>
    <x v="1"/>
    <x v="1"/>
    <x v="1"/>
    <n v="1615.23"/>
    <n v="1615.23"/>
  </r>
  <r>
    <s v="01/08"/>
    <s v="4900000025"/>
    <x v="0"/>
    <x v="8"/>
    <x v="1"/>
    <x v="0"/>
    <x v="0"/>
    <x v="0"/>
    <x v="0"/>
    <x v="0"/>
    <x v="0"/>
    <x v="0"/>
    <n v="1625.55"/>
    <n v="-1625.55"/>
  </r>
  <r>
    <s v="01/08"/>
    <s v="4900000025"/>
    <x v="0"/>
    <x v="8"/>
    <x v="1"/>
    <x v="1"/>
    <x v="1"/>
    <x v="1"/>
    <x v="1"/>
    <x v="1"/>
    <x v="1"/>
    <x v="1"/>
    <n v="1625.55"/>
    <n v="1625.55"/>
  </r>
  <r>
    <s v="01/08"/>
    <s v="0090002147"/>
    <x v="0"/>
    <x v="8"/>
    <x v="1"/>
    <x v="3"/>
    <x v="1"/>
    <x v="2"/>
    <x v="3"/>
    <x v="3"/>
    <x v="3"/>
    <x v="0"/>
    <n v="713.52"/>
    <n v="-713.52"/>
  </r>
  <r>
    <s v="01/08"/>
    <s v="4900000025"/>
    <x v="0"/>
    <x v="8"/>
    <x v="1"/>
    <x v="0"/>
    <x v="0"/>
    <x v="0"/>
    <x v="0"/>
    <x v="0"/>
    <x v="0"/>
    <x v="0"/>
    <n v="652.16"/>
    <n v="-652.16"/>
  </r>
  <r>
    <s v="01/08"/>
    <s v="4900000025"/>
    <x v="0"/>
    <x v="8"/>
    <x v="1"/>
    <x v="1"/>
    <x v="1"/>
    <x v="1"/>
    <x v="1"/>
    <x v="1"/>
    <x v="1"/>
    <x v="1"/>
    <n v="652.16"/>
    <n v="652.16"/>
  </r>
  <r>
    <s v="01/08"/>
    <s v="0090002141"/>
    <x v="0"/>
    <x v="8"/>
    <x v="1"/>
    <x v="2"/>
    <x v="0"/>
    <x v="0"/>
    <x v="2"/>
    <x v="2"/>
    <x v="2"/>
    <x v="1"/>
    <n v="949.4"/>
    <n v="949.4"/>
  </r>
  <r>
    <s v="01/08"/>
    <s v="0090002141"/>
    <x v="0"/>
    <x v="8"/>
    <x v="1"/>
    <x v="3"/>
    <x v="1"/>
    <x v="2"/>
    <x v="3"/>
    <x v="3"/>
    <x v="3"/>
    <x v="0"/>
    <n v="949.4"/>
    <n v="-949.4"/>
  </r>
  <r>
    <s v="01/08"/>
    <s v="0090002142"/>
    <x v="0"/>
    <x v="8"/>
    <x v="1"/>
    <x v="2"/>
    <x v="0"/>
    <x v="0"/>
    <x v="2"/>
    <x v="2"/>
    <x v="2"/>
    <x v="1"/>
    <n v="2041.97"/>
    <n v="2041.97"/>
  </r>
  <r>
    <s v="01/08"/>
    <s v="0090002142"/>
    <x v="0"/>
    <x v="8"/>
    <x v="1"/>
    <x v="3"/>
    <x v="1"/>
    <x v="2"/>
    <x v="3"/>
    <x v="3"/>
    <x v="3"/>
    <x v="0"/>
    <n v="2041.97"/>
    <n v="-2041.97"/>
  </r>
  <r>
    <s v="02/02"/>
    <s v="4900000040"/>
    <x v="2"/>
    <x v="9"/>
    <x v="4"/>
    <x v="0"/>
    <x v="0"/>
    <x v="0"/>
    <x v="0"/>
    <x v="0"/>
    <x v="0"/>
    <x v="0"/>
    <n v="1831.55"/>
    <n v="-1831.55"/>
  </r>
  <r>
    <s v="02/02"/>
    <s v="4900000040"/>
    <x v="2"/>
    <x v="9"/>
    <x v="4"/>
    <x v="1"/>
    <x v="1"/>
    <x v="1"/>
    <x v="1"/>
    <x v="1"/>
    <x v="1"/>
    <x v="1"/>
    <n v="1831.55"/>
    <n v="1831.55"/>
  </r>
  <r>
    <s v="02/02"/>
    <s v="4900000040"/>
    <x v="2"/>
    <x v="9"/>
    <x v="4"/>
    <x v="0"/>
    <x v="0"/>
    <x v="0"/>
    <x v="0"/>
    <x v="0"/>
    <x v="0"/>
    <x v="0"/>
    <n v="1665.05"/>
    <n v="-1665.05"/>
  </r>
  <r>
    <s v="02/02"/>
    <s v="4900000040"/>
    <x v="2"/>
    <x v="9"/>
    <x v="4"/>
    <x v="1"/>
    <x v="1"/>
    <x v="1"/>
    <x v="1"/>
    <x v="1"/>
    <x v="1"/>
    <x v="1"/>
    <n v="1665.05"/>
    <n v="1665.05"/>
  </r>
  <r>
    <s v="02/02"/>
    <s v="4900000039"/>
    <x v="2"/>
    <x v="9"/>
    <x v="4"/>
    <x v="0"/>
    <x v="0"/>
    <x v="0"/>
    <x v="0"/>
    <x v="0"/>
    <x v="0"/>
    <x v="0"/>
    <n v="138.80000000000001"/>
    <n v="-138.80000000000001"/>
  </r>
  <r>
    <s v="02/02"/>
    <s v="4900000039"/>
    <x v="2"/>
    <x v="9"/>
    <x v="4"/>
    <x v="1"/>
    <x v="1"/>
    <x v="1"/>
    <x v="1"/>
    <x v="1"/>
    <x v="1"/>
    <x v="1"/>
    <n v="138.80000000000001"/>
    <n v="138.80000000000001"/>
  </r>
  <r>
    <s v="02/02"/>
    <s v="4900000038"/>
    <x v="2"/>
    <x v="9"/>
    <x v="4"/>
    <x v="0"/>
    <x v="0"/>
    <x v="0"/>
    <x v="0"/>
    <x v="0"/>
    <x v="0"/>
    <x v="0"/>
    <n v="1741.7"/>
    <n v="-1741.7"/>
  </r>
  <r>
    <s v="02/02"/>
    <s v="4900000038"/>
    <x v="2"/>
    <x v="9"/>
    <x v="4"/>
    <x v="1"/>
    <x v="1"/>
    <x v="1"/>
    <x v="1"/>
    <x v="1"/>
    <x v="1"/>
    <x v="1"/>
    <n v="1741.7"/>
    <n v="1741.7"/>
  </r>
  <r>
    <s v="03/01"/>
    <s v="5100000002"/>
    <x v="3"/>
    <x v="4"/>
    <x v="5"/>
    <x v="7"/>
    <x v="2"/>
    <x v="5"/>
    <x v="7"/>
    <x v="7"/>
    <x v="8"/>
    <x v="1"/>
    <n v="17724.48"/>
    <n v="17724.48"/>
  </r>
  <r>
    <s v="03/01"/>
    <s v="5100000002"/>
    <x v="3"/>
    <x v="4"/>
    <x v="5"/>
    <x v="8"/>
    <x v="2"/>
    <x v="5"/>
    <x v="7"/>
    <x v="8"/>
    <x v="4"/>
    <x v="1"/>
    <n v="142"/>
    <n v="142"/>
  </r>
  <r>
    <s v="03/01"/>
    <s v="5100000002"/>
    <x v="3"/>
    <x v="4"/>
    <x v="5"/>
    <x v="7"/>
    <x v="2"/>
    <x v="5"/>
    <x v="7"/>
    <x v="7"/>
    <x v="8"/>
    <x v="1"/>
    <n v="14325.8"/>
    <n v="14325.8"/>
  </r>
  <r>
    <s v="03/01"/>
    <s v="5100000002"/>
    <x v="3"/>
    <x v="4"/>
    <x v="5"/>
    <x v="8"/>
    <x v="2"/>
    <x v="5"/>
    <x v="7"/>
    <x v="8"/>
    <x v="4"/>
    <x v="1"/>
    <n v="114.77"/>
    <n v="114.77"/>
  </r>
  <r>
    <s v="03/01"/>
    <s v="5100000002"/>
    <x v="3"/>
    <x v="4"/>
    <x v="5"/>
    <x v="0"/>
    <x v="0"/>
    <x v="0"/>
    <x v="0"/>
    <x v="0"/>
    <x v="0"/>
    <x v="0"/>
    <n v="0.01"/>
    <n v="-0.01"/>
  </r>
  <r>
    <s v="03/01"/>
    <s v="4900000073"/>
    <x v="3"/>
    <x v="4"/>
    <x v="5"/>
    <x v="0"/>
    <x v="0"/>
    <x v="0"/>
    <x v="0"/>
    <x v="0"/>
    <x v="0"/>
    <x v="0"/>
    <n v="703.5"/>
    <n v="-703.5"/>
  </r>
  <r>
    <s v="03/01"/>
    <s v="4900000073"/>
    <x v="3"/>
    <x v="4"/>
    <x v="5"/>
    <x v="1"/>
    <x v="1"/>
    <x v="1"/>
    <x v="1"/>
    <x v="1"/>
    <x v="1"/>
    <x v="1"/>
    <n v="703.5"/>
    <n v="703.5"/>
  </r>
  <r>
    <s v="03/01"/>
    <s v="4900000073"/>
    <x v="3"/>
    <x v="4"/>
    <x v="5"/>
    <x v="0"/>
    <x v="0"/>
    <x v="0"/>
    <x v="0"/>
    <x v="0"/>
    <x v="0"/>
    <x v="0"/>
    <n v="1448.15"/>
    <n v="-1448.15"/>
  </r>
  <r>
    <s v="03/01"/>
    <s v="4900000073"/>
    <x v="3"/>
    <x v="4"/>
    <x v="5"/>
    <x v="1"/>
    <x v="1"/>
    <x v="1"/>
    <x v="1"/>
    <x v="1"/>
    <x v="1"/>
    <x v="1"/>
    <n v="1448.15"/>
    <n v="1448.15"/>
  </r>
  <r>
    <s v="03/01"/>
    <s v="4900000073"/>
    <x v="3"/>
    <x v="4"/>
    <x v="5"/>
    <x v="0"/>
    <x v="0"/>
    <x v="0"/>
    <x v="0"/>
    <x v="0"/>
    <x v="0"/>
    <x v="0"/>
    <n v="2032.93"/>
    <n v="-2032.93"/>
  </r>
  <r>
    <s v="03/01"/>
    <s v="4900000073"/>
    <x v="3"/>
    <x v="4"/>
    <x v="5"/>
    <x v="1"/>
    <x v="1"/>
    <x v="1"/>
    <x v="1"/>
    <x v="1"/>
    <x v="1"/>
    <x v="1"/>
    <n v="2032.93"/>
    <n v="2032.93"/>
  </r>
  <r>
    <s v="03/01"/>
    <s v="0090002226"/>
    <x v="3"/>
    <x v="4"/>
    <x v="5"/>
    <x v="2"/>
    <x v="0"/>
    <x v="0"/>
    <x v="2"/>
    <x v="2"/>
    <x v="2"/>
    <x v="1"/>
    <n v="1932"/>
    <n v="1932"/>
  </r>
  <r>
    <s v="03/01"/>
    <s v="0090002226"/>
    <x v="3"/>
    <x v="4"/>
    <x v="5"/>
    <x v="3"/>
    <x v="1"/>
    <x v="2"/>
    <x v="3"/>
    <x v="3"/>
    <x v="3"/>
    <x v="0"/>
    <n v="1932"/>
    <n v="-1932"/>
  </r>
  <r>
    <s v="03/01"/>
    <s v="0090002227"/>
    <x v="3"/>
    <x v="4"/>
    <x v="5"/>
    <x v="2"/>
    <x v="0"/>
    <x v="0"/>
    <x v="2"/>
    <x v="2"/>
    <x v="2"/>
    <x v="1"/>
    <n v="1880"/>
    <n v="1880"/>
  </r>
  <r>
    <s v="03/01"/>
    <s v="0090002227"/>
    <x v="3"/>
    <x v="4"/>
    <x v="5"/>
    <x v="3"/>
    <x v="1"/>
    <x v="2"/>
    <x v="3"/>
    <x v="3"/>
    <x v="3"/>
    <x v="0"/>
    <n v="1880"/>
    <n v="-1880"/>
  </r>
  <r>
    <s v="03/01"/>
    <s v="0090002233"/>
    <x v="3"/>
    <x v="4"/>
    <x v="5"/>
    <x v="2"/>
    <x v="0"/>
    <x v="0"/>
    <x v="2"/>
    <x v="2"/>
    <x v="2"/>
    <x v="1"/>
    <n v="1656"/>
    <n v="1656"/>
  </r>
  <r>
    <s v="03/01"/>
    <s v="0090002233"/>
    <x v="3"/>
    <x v="4"/>
    <x v="5"/>
    <x v="3"/>
    <x v="1"/>
    <x v="2"/>
    <x v="3"/>
    <x v="3"/>
    <x v="3"/>
    <x v="0"/>
    <n v="1656"/>
    <n v="-1656"/>
  </r>
  <r>
    <s v="03/01"/>
    <s v="0090002234"/>
    <x v="3"/>
    <x v="4"/>
    <x v="5"/>
    <x v="2"/>
    <x v="0"/>
    <x v="0"/>
    <x v="2"/>
    <x v="2"/>
    <x v="2"/>
    <x v="1"/>
    <n v="2324"/>
    <n v="2324"/>
  </r>
  <r>
    <s v="03/01"/>
    <s v="0090002234"/>
    <x v="3"/>
    <x v="4"/>
    <x v="5"/>
    <x v="3"/>
    <x v="1"/>
    <x v="2"/>
    <x v="3"/>
    <x v="3"/>
    <x v="3"/>
    <x v="0"/>
    <n v="2324"/>
    <n v="-2324"/>
  </r>
  <r>
    <s v="03/01"/>
    <s v="4900000070"/>
    <x v="3"/>
    <x v="4"/>
    <x v="5"/>
    <x v="0"/>
    <x v="0"/>
    <x v="0"/>
    <x v="0"/>
    <x v="0"/>
    <x v="0"/>
    <x v="0"/>
    <n v="1689.5"/>
    <n v="-1689.5"/>
  </r>
  <r>
    <s v="03/01"/>
    <s v="4900000070"/>
    <x v="3"/>
    <x v="4"/>
    <x v="5"/>
    <x v="1"/>
    <x v="1"/>
    <x v="1"/>
    <x v="1"/>
    <x v="1"/>
    <x v="1"/>
    <x v="1"/>
    <n v="1689.5"/>
    <n v="1689.5"/>
  </r>
  <r>
    <s v="03/03"/>
    <s v="4900000077"/>
    <x v="3"/>
    <x v="3"/>
    <x v="5"/>
    <x v="0"/>
    <x v="0"/>
    <x v="0"/>
    <x v="0"/>
    <x v="0"/>
    <x v="0"/>
    <x v="0"/>
    <n v="1597.3"/>
    <n v="-1597.3"/>
  </r>
  <r>
    <s v="03/03"/>
    <s v="4900000077"/>
    <x v="3"/>
    <x v="3"/>
    <x v="5"/>
    <x v="1"/>
    <x v="1"/>
    <x v="1"/>
    <x v="1"/>
    <x v="1"/>
    <x v="1"/>
    <x v="1"/>
    <n v="1597.3"/>
    <n v="1597.3"/>
  </r>
  <r>
    <s v="03/03"/>
    <s v="0100000009"/>
    <x v="3"/>
    <x v="3"/>
    <x v="5"/>
    <x v="10"/>
    <x v="1"/>
    <x v="6"/>
    <x v="8"/>
    <x v="10"/>
    <x v="4"/>
    <x v="1"/>
    <n v="300"/>
    <n v="300"/>
  </r>
  <r>
    <s v="03/03"/>
    <s v="0100000009"/>
    <x v="3"/>
    <x v="3"/>
    <x v="5"/>
    <x v="4"/>
    <x v="0"/>
    <x v="0"/>
    <x v="4"/>
    <x v="4"/>
    <x v="3"/>
    <x v="0"/>
    <n v="300"/>
    <n v="-300"/>
  </r>
  <r>
    <s v="03/03"/>
    <s v="1400000064"/>
    <x v="3"/>
    <x v="3"/>
    <x v="5"/>
    <x v="4"/>
    <x v="0"/>
    <x v="0"/>
    <x v="4"/>
    <x v="4"/>
    <x v="4"/>
    <x v="1"/>
    <n v="1886"/>
    <n v="1886"/>
  </r>
  <r>
    <s v="03/03"/>
    <s v="1400000064"/>
    <x v="3"/>
    <x v="3"/>
    <x v="5"/>
    <x v="2"/>
    <x v="0"/>
    <x v="0"/>
    <x v="2"/>
    <x v="2"/>
    <x v="5"/>
    <x v="0"/>
    <n v="1886"/>
    <n v="-1886"/>
  </r>
  <r>
    <s v="03/03"/>
    <s v="1400000064"/>
    <x v="3"/>
    <x v="3"/>
    <x v="5"/>
    <x v="4"/>
    <x v="0"/>
    <x v="0"/>
    <x v="4"/>
    <x v="4"/>
    <x v="4"/>
    <x v="1"/>
    <n v="2380"/>
    <n v="2380"/>
  </r>
  <r>
    <s v="03/03"/>
    <s v="1400000064"/>
    <x v="3"/>
    <x v="3"/>
    <x v="5"/>
    <x v="2"/>
    <x v="0"/>
    <x v="0"/>
    <x v="2"/>
    <x v="2"/>
    <x v="5"/>
    <x v="0"/>
    <n v="2380"/>
    <n v="-2380"/>
  </r>
  <r>
    <s v="03/03"/>
    <s v="0090002237"/>
    <x v="3"/>
    <x v="3"/>
    <x v="5"/>
    <x v="2"/>
    <x v="0"/>
    <x v="0"/>
    <x v="2"/>
    <x v="2"/>
    <x v="2"/>
    <x v="1"/>
    <n v="1692"/>
    <n v="1692"/>
  </r>
  <r>
    <s v="03/03"/>
    <s v="0090002237"/>
    <x v="3"/>
    <x v="3"/>
    <x v="5"/>
    <x v="3"/>
    <x v="1"/>
    <x v="2"/>
    <x v="3"/>
    <x v="3"/>
    <x v="3"/>
    <x v="0"/>
    <n v="1692"/>
    <n v="-1692"/>
  </r>
  <r>
    <s v="03/03"/>
    <s v="4900000076"/>
    <x v="3"/>
    <x v="3"/>
    <x v="5"/>
    <x v="0"/>
    <x v="0"/>
    <x v="0"/>
    <x v="0"/>
    <x v="0"/>
    <x v="0"/>
    <x v="0"/>
    <n v="1499.53"/>
    <n v="-1499.53"/>
  </r>
  <r>
    <s v="03/03"/>
    <s v="4900000076"/>
    <x v="3"/>
    <x v="3"/>
    <x v="5"/>
    <x v="1"/>
    <x v="1"/>
    <x v="1"/>
    <x v="1"/>
    <x v="1"/>
    <x v="1"/>
    <x v="1"/>
    <n v="1499.53"/>
    <n v="1499.53"/>
  </r>
  <r>
    <s v="03/03"/>
    <s v="0090002238"/>
    <x v="3"/>
    <x v="3"/>
    <x v="5"/>
    <x v="2"/>
    <x v="0"/>
    <x v="0"/>
    <x v="2"/>
    <x v="2"/>
    <x v="2"/>
    <x v="1"/>
    <n v="1826"/>
    <n v="1826"/>
  </r>
  <r>
    <s v="03/03"/>
    <s v="0090002238"/>
    <x v="3"/>
    <x v="3"/>
    <x v="5"/>
    <x v="3"/>
    <x v="1"/>
    <x v="2"/>
    <x v="3"/>
    <x v="3"/>
    <x v="3"/>
    <x v="0"/>
    <n v="1826"/>
    <n v="-1826"/>
  </r>
  <r>
    <s v="03/03"/>
    <s v="1400000063"/>
    <x v="3"/>
    <x v="3"/>
    <x v="5"/>
    <x v="4"/>
    <x v="0"/>
    <x v="0"/>
    <x v="4"/>
    <x v="4"/>
    <x v="4"/>
    <x v="1"/>
    <n v="1600"/>
    <n v="1600"/>
  </r>
  <r>
    <s v="03/03"/>
    <s v="1400000063"/>
    <x v="3"/>
    <x v="3"/>
    <x v="5"/>
    <x v="2"/>
    <x v="0"/>
    <x v="0"/>
    <x v="2"/>
    <x v="2"/>
    <x v="5"/>
    <x v="0"/>
    <n v="1600"/>
    <n v="-1600"/>
  </r>
  <r>
    <s v="03/03"/>
    <s v="1400000063"/>
    <x v="3"/>
    <x v="3"/>
    <x v="5"/>
    <x v="4"/>
    <x v="0"/>
    <x v="0"/>
    <x v="4"/>
    <x v="4"/>
    <x v="4"/>
    <x v="1"/>
    <n v="3468"/>
    <n v="3468"/>
  </r>
  <r>
    <s v="03/03"/>
    <s v="1400000063"/>
    <x v="3"/>
    <x v="3"/>
    <x v="5"/>
    <x v="2"/>
    <x v="0"/>
    <x v="0"/>
    <x v="2"/>
    <x v="2"/>
    <x v="5"/>
    <x v="0"/>
    <n v="3468"/>
    <n v="-3468"/>
  </r>
  <r>
    <s v="03/03"/>
    <s v="1400000063"/>
    <x v="3"/>
    <x v="3"/>
    <x v="5"/>
    <x v="4"/>
    <x v="0"/>
    <x v="0"/>
    <x v="4"/>
    <x v="4"/>
    <x v="4"/>
    <x v="1"/>
    <n v="700"/>
    <n v="700"/>
  </r>
  <r>
    <s v="03/03"/>
    <s v="1400000063"/>
    <x v="3"/>
    <x v="3"/>
    <x v="5"/>
    <x v="2"/>
    <x v="0"/>
    <x v="0"/>
    <x v="2"/>
    <x v="2"/>
    <x v="5"/>
    <x v="0"/>
    <n v="700"/>
    <n v="-700"/>
  </r>
  <r>
    <s v="03/03"/>
    <s v="1400000065"/>
    <x v="3"/>
    <x v="3"/>
    <x v="5"/>
    <x v="4"/>
    <x v="0"/>
    <x v="0"/>
    <x v="4"/>
    <x v="4"/>
    <x v="4"/>
    <x v="1"/>
    <n v="1722"/>
    <n v="1722"/>
  </r>
  <r>
    <s v="03/03"/>
    <s v="1400000065"/>
    <x v="3"/>
    <x v="3"/>
    <x v="5"/>
    <x v="2"/>
    <x v="0"/>
    <x v="0"/>
    <x v="2"/>
    <x v="2"/>
    <x v="5"/>
    <x v="0"/>
    <n v="1722"/>
    <n v="-1722"/>
  </r>
  <r>
    <s v="03/03"/>
    <s v="1400000065"/>
    <x v="3"/>
    <x v="3"/>
    <x v="5"/>
    <x v="4"/>
    <x v="0"/>
    <x v="0"/>
    <x v="4"/>
    <x v="4"/>
    <x v="4"/>
    <x v="1"/>
    <n v="1829"/>
    <n v="1829"/>
  </r>
  <r>
    <s v="04/01"/>
    <s v="1400000088"/>
    <x v="4"/>
    <x v="4"/>
    <x v="7"/>
    <x v="2"/>
    <x v="0"/>
    <x v="0"/>
    <x v="2"/>
    <x v="2"/>
    <x v="5"/>
    <x v="0"/>
    <n v="1500"/>
    <n v="-1500"/>
  </r>
  <r>
    <s v="04/01"/>
    <s v="1400000088"/>
    <x v="4"/>
    <x v="4"/>
    <x v="7"/>
    <x v="4"/>
    <x v="0"/>
    <x v="0"/>
    <x v="4"/>
    <x v="4"/>
    <x v="4"/>
    <x v="1"/>
    <n v="4116"/>
    <n v="4116"/>
  </r>
  <r>
    <s v="04/01"/>
    <s v="1400000088"/>
    <x v="4"/>
    <x v="4"/>
    <x v="7"/>
    <x v="2"/>
    <x v="0"/>
    <x v="0"/>
    <x v="2"/>
    <x v="2"/>
    <x v="5"/>
    <x v="0"/>
    <n v="4116"/>
    <n v="-4116"/>
  </r>
  <r>
    <s v="04/01"/>
    <s v="1400000089"/>
    <x v="4"/>
    <x v="4"/>
    <x v="7"/>
    <x v="4"/>
    <x v="0"/>
    <x v="0"/>
    <x v="4"/>
    <x v="4"/>
    <x v="4"/>
    <x v="1"/>
    <n v="1980"/>
    <n v="1980"/>
  </r>
  <r>
    <s v="04/01"/>
    <s v="1400000089"/>
    <x v="4"/>
    <x v="4"/>
    <x v="7"/>
    <x v="2"/>
    <x v="0"/>
    <x v="0"/>
    <x v="2"/>
    <x v="2"/>
    <x v="5"/>
    <x v="0"/>
    <n v="1980"/>
    <n v="-1980"/>
  </r>
  <r>
    <s v="04/01"/>
    <s v="1400000089"/>
    <x v="4"/>
    <x v="4"/>
    <x v="7"/>
    <x v="4"/>
    <x v="0"/>
    <x v="0"/>
    <x v="4"/>
    <x v="4"/>
    <x v="4"/>
    <x v="1"/>
    <n v="1610"/>
    <n v="1610"/>
  </r>
  <r>
    <s v="04/01"/>
    <s v="1400000089"/>
    <x v="4"/>
    <x v="4"/>
    <x v="7"/>
    <x v="2"/>
    <x v="0"/>
    <x v="0"/>
    <x v="2"/>
    <x v="2"/>
    <x v="5"/>
    <x v="0"/>
    <n v="1610"/>
    <n v="-1610"/>
  </r>
  <r>
    <s v="04/01"/>
    <s v="1400000091"/>
    <x v="4"/>
    <x v="4"/>
    <x v="7"/>
    <x v="4"/>
    <x v="0"/>
    <x v="0"/>
    <x v="4"/>
    <x v="4"/>
    <x v="4"/>
    <x v="1"/>
    <n v="1425"/>
    <n v="1425"/>
  </r>
  <r>
    <s v="04/01"/>
    <s v="1400000091"/>
    <x v="4"/>
    <x v="4"/>
    <x v="7"/>
    <x v="2"/>
    <x v="0"/>
    <x v="0"/>
    <x v="2"/>
    <x v="2"/>
    <x v="5"/>
    <x v="0"/>
    <n v="1425"/>
    <n v="-1425"/>
  </r>
  <r>
    <s v="04/01"/>
    <s v="4900000102"/>
    <x v="4"/>
    <x v="4"/>
    <x v="7"/>
    <x v="0"/>
    <x v="0"/>
    <x v="0"/>
    <x v="0"/>
    <x v="0"/>
    <x v="0"/>
    <x v="0"/>
    <n v="69.900000000000006"/>
    <n v="-69.900000000000006"/>
  </r>
  <r>
    <s v="04/01"/>
    <s v="4900000102"/>
    <x v="4"/>
    <x v="4"/>
    <x v="7"/>
    <x v="1"/>
    <x v="1"/>
    <x v="1"/>
    <x v="1"/>
    <x v="1"/>
    <x v="1"/>
    <x v="1"/>
    <n v="69.900000000000006"/>
    <n v="69.900000000000006"/>
  </r>
  <r>
    <s v="04/01"/>
    <s v="4900000102"/>
    <x v="4"/>
    <x v="4"/>
    <x v="7"/>
    <x v="0"/>
    <x v="0"/>
    <x v="0"/>
    <x v="0"/>
    <x v="0"/>
    <x v="0"/>
    <x v="0"/>
    <n v="2069.4899999999998"/>
    <n v="-2069.4899999999998"/>
  </r>
  <r>
    <s v="04/01"/>
    <s v="4900000102"/>
    <x v="4"/>
    <x v="4"/>
    <x v="7"/>
    <x v="1"/>
    <x v="1"/>
    <x v="1"/>
    <x v="1"/>
    <x v="1"/>
    <x v="1"/>
    <x v="1"/>
    <n v="2069.4899999999998"/>
    <n v="2069.4899999999998"/>
  </r>
  <r>
    <s v="04/01"/>
    <s v="4900000102"/>
    <x v="4"/>
    <x v="4"/>
    <x v="7"/>
    <x v="0"/>
    <x v="0"/>
    <x v="0"/>
    <x v="0"/>
    <x v="0"/>
    <x v="0"/>
    <x v="0"/>
    <n v="2130.36"/>
    <n v="-2130.36"/>
  </r>
  <r>
    <s v="04/01"/>
    <s v="4900000102"/>
    <x v="4"/>
    <x v="4"/>
    <x v="7"/>
    <x v="1"/>
    <x v="1"/>
    <x v="1"/>
    <x v="1"/>
    <x v="1"/>
    <x v="1"/>
    <x v="1"/>
    <n v="2130.36"/>
    <n v="2130.36"/>
  </r>
  <r>
    <s v="04/01"/>
    <s v="0090002285"/>
    <x v="4"/>
    <x v="4"/>
    <x v="7"/>
    <x v="2"/>
    <x v="0"/>
    <x v="0"/>
    <x v="2"/>
    <x v="2"/>
    <x v="2"/>
    <x v="1"/>
    <n v="4899"/>
    <n v="4899"/>
  </r>
  <r>
    <s v="04/01"/>
    <s v="0090002285"/>
    <x v="4"/>
    <x v="4"/>
    <x v="7"/>
    <x v="3"/>
    <x v="1"/>
    <x v="2"/>
    <x v="3"/>
    <x v="3"/>
    <x v="3"/>
    <x v="0"/>
    <n v="2414"/>
    <n v="-2414"/>
  </r>
  <r>
    <s v="04/01"/>
    <s v="0090002285"/>
    <x v="4"/>
    <x v="4"/>
    <x v="7"/>
    <x v="3"/>
    <x v="1"/>
    <x v="2"/>
    <x v="3"/>
    <x v="3"/>
    <x v="3"/>
    <x v="0"/>
    <n v="2485"/>
    <n v="-2485"/>
  </r>
  <r>
    <s v="04/01"/>
    <s v="1400000090"/>
    <x v="4"/>
    <x v="4"/>
    <x v="7"/>
    <x v="4"/>
    <x v="0"/>
    <x v="0"/>
    <x v="4"/>
    <x v="4"/>
    <x v="4"/>
    <x v="1"/>
    <n v="1815"/>
    <n v="1815"/>
  </r>
  <r>
    <s v="04/01"/>
    <s v="1400000090"/>
    <x v="4"/>
    <x v="4"/>
    <x v="7"/>
    <x v="2"/>
    <x v="0"/>
    <x v="0"/>
    <x v="2"/>
    <x v="2"/>
    <x v="5"/>
    <x v="0"/>
    <n v="1815"/>
    <n v="-1815"/>
  </r>
  <r>
    <s v="04/01"/>
    <s v="0090002284"/>
    <x v="4"/>
    <x v="4"/>
    <x v="7"/>
    <x v="2"/>
    <x v="0"/>
    <x v="0"/>
    <x v="2"/>
    <x v="2"/>
    <x v="2"/>
    <x v="1"/>
    <n v="93"/>
    <n v="93"/>
  </r>
  <r>
    <s v="04/01"/>
    <s v="0090002284"/>
    <x v="4"/>
    <x v="4"/>
    <x v="7"/>
    <x v="3"/>
    <x v="1"/>
    <x v="2"/>
    <x v="3"/>
    <x v="3"/>
    <x v="3"/>
    <x v="0"/>
    <n v="93"/>
    <n v="-93"/>
  </r>
  <r>
    <s v="04/01"/>
    <s v="1500000003"/>
    <x v="4"/>
    <x v="4"/>
    <x v="7"/>
    <x v="4"/>
    <x v="0"/>
    <x v="0"/>
    <x v="4"/>
    <x v="4"/>
    <x v="3"/>
    <x v="0"/>
    <n v="35945.56"/>
    <n v="-35945.56"/>
  </r>
  <r>
    <s v="04/01"/>
    <s v="1500000003"/>
    <x v="4"/>
    <x v="4"/>
    <x v="7"/>
    <x v="9"/>
    <x v="2"/>
    <x v="5"/>
    <x v="7"/>
    <x v="9"/>
    <x v="5"/>
    <x v="1"/>
    <n v="35945.56"/>
    <n v="35945.56"/>
  </r>
  <r>
    <s v="04/05"/>
    <s v="0090002296"/>
    <x v="4"/>
    <x v="10"/>
    <x v="7"/>
    <x v="2"/>
    <x v="0"/>
    <x v="0"/>
    <x v="2"/>
    <x v="2"/>
    <x v="2"/>
    <x v="1"/>
    <n v="2160"/>
    <n v="2160"/>
  </r>
  <r>
    <s v="04/05"/>
    <s v="0090002296"/>
    <x v="4"/>
    <x v="10"/>
    <x v="7"/>
    <x v="3"/>
    <x v="1"/>
    <x v="2"/>
    <x v="3"/>
    <x v="3"/>
    <x v="3"/>
    <x v="0"/>
    <n v="2160"/>
    <n v="-2160"/>
  </r>
  <r>
    <s v="04/05"/>
    <s v="0090002297"/>
    <x v="4"/>
    <x v="10"/>
    <x v="7"/>
    <x v="2"/>
    <x v="0"/>
    <x v="0"/>
    <x v="2"/>
    <x v="2"/>
    <x v="2"/>
    <x v="1"/>
    <n v="1750"/>
    <n v="1750"/>
  </r>
  <r>
    <s v="04/05"/>
    <s v="0090002297"/>
    <x v="4"/>
    <x v="10"/>
    <x v="7"/>
    <x v="3"/>
    <x v="1"/>
    <x v="2"/>
    <x v="3"/>
    <x v="3"/>
    <x v="3"/>
    <x v="0"/>
    <n v="1750"/>
    <n v="-1750"/>
  </r>
  <r>
    <s v="04/05"/>
    <s v="0090002298"/>
    <x v="4"/>
    <x v="10"/>
    <x v="7"/>
    <x v="2"/>
    <x v="0"/>
    <x v="0"/>
    <x v="2"/>
    <x v="2"/>
    <x v="2"/>
    <x v="1"/>
    <n v="2328"/>
    <n v="2328"/>
  </r>
  <r>
    <s v="04/05"/>
    <s v="0090002298"/>
    <x v="4"/>
    <x v="10"/>
    <x v="7"/>
    <x v="3"/>
    <x v="1"/>
    <x v="2"/>
    <x v="3"/>
    <x v="3"/>
    <x v="3"/>
    <x v="0"/>
    <n v="2328"/>
    <n v="-2328"/>
  </r>
  <r>
    <s v="04/05"/>
    <s v="4900000110"/>
    <x v="4"/>
    <x v="10"/>
    <x v="7"/>
    <x v="0"/>
    <x v="0"/>
    <x v="0"/>
    <x v="0"/>
    <x v="0"/>
    <x v="0"/>
    <x v="0"/>
    <n v="1750.14"/>
    <n v="-1750.14"/>
  </r>
  <r>
    <s v="04/05"/>
    <s v="4900000110"/>
    <x v="4"/>
    <x v="10"/>
    <x v="7"/>
    <x v="1"/>
    <x v="1"/>
    <x v="1"/>
    <x v="1"/>
    <x v="1"/>
    <x v="1"/>
    <x v="1"/>
    <n v="1750.14"/>
    <n v="1750.14"/>
  </r>
  <r>
    <s v="04/05"/>
    <s v="4900000110"/>
    <x v="4"/>
    <x v="10"/>
    <x v="7"/>
    <x v="0"/>
    <x v="0"/>
    <x v="0"/>
    <x v="0"/>
    <x v="0"/>
    <x v="0"/>
    <x v="0"/>
    <n v="1312.01"/>
    <n v="-1312.01"/>
  </r>
  <r>
    <s v="04/05"/>
    <s v="4900000110"/>
    <x v="4"/>
    <x v="10"/>
    <x v="7"/>
    <x v="1"/>
    <x v="1"/>
    <x v="1"/>
    <x v="1"/>
    <x v="1"/>
    <x v="1"/>
    <x v="1"/>
    <n v="1312.01"/>
    <n v="1312.01"/>
  </r>
  <r>
    <s v="04/05"/>
    <s v="0100000015"/>
    <x v="4"/>
    <x v="10"/>
    <x v="7"/>
    <x v="11"/>
    <x v="1"/>
    <x v="6"/>
    <x v="8"/>
    <x v="11"/>
    <x v="4"/>
    <x v="1"/>
    <n v="300"/>
    <n v="300"/>
  </r>
  <r>
    <s v="04/05"/>
    <s v="0100000015"/>
    <x v="4"/>
    <x v="10"/>
    <x v="7"/>
    <x v="4"/>
    <x v="0"/>
    <x v="0"/>
    <x v="4"/>
    <x v="4"/>
    <x v="3"/>
    <x v="0"/>
    <n v="300"/>
    <n v="-300"/>
  </r>
  <r>
    <s v="04/05"/>
    <s v="1400000102"/>
    <x v="4"/>
    <x v="10"/>
    <x v="7"/>
    <x v="4"/>
    <x v="0"/>
    <x v="0"/>
    <x v="4"/>
    <x v="4"/>
    <x v="4"/>
    <x v="1"/>
    <n v="4899"/>
    <n v="4899"/>
  </r>
  <r>
    <s v="04/05"/>
    <s v="1400000102"/>
    <x v="4"/>
    <x v="10"/>
    <x v="7"/>
    <x v="2"/>
    <x v="0"/>
    <x v="0"/>
    <x v="2"/>
    <x v="2"/>
    <x v="5"/>
    <x v="0"/>
    <n v="4899"/>
    <n v="-4899"/>
  </r>
  <r>
    <s v="04/05"/>
    <s v="1400000102"/>
    <x v="4"/>
    <x v="10"/>
    <x v="7"/>
    <x v="4"/>
    <x v="0"/>
    <x v="0"/>
    <x v="4"/>
    <x v="4"/>
    <x v="4"/>
    <x v="1"/>
    <n v="93"/>
    <n v="93"/>
  </r>
  <r>
    <s v="04/05"/>
    <s v="1400000102"/>
    <x v="4"/>
    <x v="10"/>
    <x v="7"/>
    <x v="2"/>
    <x v="0"/>
    <x v="0"/>
    <x v="2"/>
    <x v="2"/>
    <x v="5"/>
    <x v="0"/>
    <n v="93"/>
    <n v="-93"/>
  </r>
  <r>
    <s v="04/05"/>
    <s v="4900000109"/>
    <x v="4"/>
    <x v="10"/>
    <x v="7"/>
    <x v="0"/>
    <x v="0"/>
    <x v="0"/>
    <x v="0"/>
    <x v="0"/>
    <x v="0"/>
    <x v="0"/>
    <n v="1154.57"/>
    <n v="-1154.57"/>
  </r>
  <r>
    <s v="04/05"/>
    <s v="4900000109"/>
    <x v="4"/>
    <x v="10"/>
    <x v="7"/>
    <x v="1"/>
    <x v="1"/>
    <x v="1"/>
    <x v="1"/>
    <x v="1"/>
    <x v="1"/>
    <x v="1"/>
    <n v="1154.57"/>
    <n v="1154.57"/>
  </r>
  <r>
    <s v="04/05"/>
    <s v="4900000111"/>
    <x v="4"/>
    <x v="10"/>
    <x v="7"/>
    <x v="0"/>
    <x v="0"/>
    <x v="0"/>
    <x v="0"/>
    <x v="0"/>
    <x v="0"/>
    <x v="0"/>
    <n v="2008.53"/>
    <n v="-2008.53"/>
  </r>
  <r>
    <s v="04/05"/>
    <s v="4900000111"/>
    <x v="4"/>
    <x v="10"/>
    <x v="7"/>
    <x v="1"/>
    <x v="1"/>
    <x v="1"/>
    <x v="1"/>
    <x v="1"/>
    <x v="1"/>
    <x v="1"/>
    <n v="2008.53"/>
    <n v="2008.53"/>
  </r>
  <r>
    <s v="02/08"/>
    <s v="4900000062"/>
    <x v="2"/>
    <x v="8"/>
    <x v="3"/>
    <x v="0"/>
    <x v="0"/>
    <x v="0"/>
    <x v="0"/>
    <x v="0"/>
    <x v="0"/>
    <x v="0"/>
    <n v="2164.56"/>
    <n v="-2164.56"/>
  </r>
  <r>
    <s v="02/08"/>
    <s v="4900000062"/>
    <x v="2"/>
    <x v="8"/>
    <x v="3"/>
    <x v="1"/>
    <x v="1"/>
    <x v="1"/>
    <x v="1"/>
    <x v="1"/>
    <x v="1"/>
    <x v="1"/>
    <n v="2164.56"/>
    <n v="2164.56"/>
  </r>
  <r>
    <s v="02/08"/>
    <s v="4900000062"/>
    <x v="2"/>
    <x v="8"/>
    <x v="3"/>
    <x v="0"/>
    <x v="0"/>
    <x v="0"/>
    <x v="0"/>
    <x v="0"/>
    <x v="0"/>
    <x v="0"/>
    <n v="2171.5"/>
    <n v="-2171.5"/>
  </r>
  <r>
    <s v="02/08"/>
    <s v="4900000062"/>
    <x v="2"/>
    <x v="8"/>
    <x v="3"/>
    <x v="1"/>
    <x v="1"/>
    <x v="1"/>
    <x v="1"/>
    <x v="1"/>
    <x v="1"/>
    <x v="1"/>
    <n v="2171.5"/>
    <n v="2171.5"/>
  </r>
  <r>
    <s v="02/08"/>
    <s v="0090002205"/>
    <x v="2"/>
    <x v="8"/>
    <x v="3"/>
    <x v="2"/>
    <x v="0"/>
    <x v="0"/>
    <x v="2"/>
    <x v="2"/>
    <x v="2"/>
    <x v="1"/>
    <n v="1550"/>
    <n v="1550"/>
  </r>
  <r>
    <s v="02/08"/>
    <s v="0090002205"/>
    <x v="2"/>
    <x v="8"/>
    <x v="3"/>
    <x v="3"/>
    <x v="1"/>
    <x v="2"/>
    <x v="3"/>
    <x v="3"/>
    <x v="3"/>
    <x v="0"/>
    <n v="1550"/>
    <n v="-1550"/>
  </r>
  <r>
    <s v="02/08"/>
    <s v="0090002207"/>
    <x v="2"/>
    <x v="8"/>
    <x v="3"/>
    <x v="2"/>
    <x v="0"/>
    <x v="0"/>
    <x v="2"/>
    <x v="2"/>
    <x v="2"/>
    <x v="1"/>
    <n v="1700"/>
    <n v="1700"/>
  </r>
  <r>
    <s v="02/08"/>
    <s v="0090002207"/>
    <x v="2"/>
    <x v="8"/>
    <x v="3"/>
    <x v="3"/>
    <x v="1"/>
    <x v="2"/>
    <x v="3"/>
    <x v="3"/>
    <x v="3"/>
    <x v="0"/>
    <n v="1700"/>
    <n v="-1700"/>
  </r>
  <r>
    <s v="02/08"/>
    <s v="0090002211"/>
    <x v="2"/>
    <x v="8"/>
    <x v="3"/>
    <x v="2"/>
    <x v="0"/>
    <x v="0"/>
    <x v="2"/>
    <x v="2"/>
    <x v="2"/>
    <x v="1"/>
    <n v="2380"/>
    <n v="2380"/>
  </r>
  <r>
    <s v="02/08"/>
    <s v="0090002211"/>
    <x v="2"/>
    <x v="8"/>
    <x v="3"/>
    <x v="3"/>
    <x v="1"/>
    <x v="2"/>
    <x v="3"/>
    <x v="3"/>
    <x v="3"/>
    <x v="0"/>
    <n v="2380"/>
    <n v="-2380"/>
  </r>
  <r>
    <s v="02/08"/>
    <s v="0090002204"/>
    <x v="2"/>
    <x v="8"/>
    <x v="3"/>
    <x v="2"/>
    <x v="0"/>
    <x v="0"/>
    <x v="2"/>
    <x v="2"/>
    <x v="2"/>
    <x v="1"/>
    <n v="2418"/>
    <n v="2418"/>
  </r>
  <r>
    <s v="02/08"/>
    <s v="0090002204"/>
    <x v="2"/>
    <x v="8"/>
    <x v="3"/>
    <x v="3"/>
    <x v="1"/>
    <x v="2"/>
    <x v="3"/>
    <x v="3"/>
    <x v="3"/>
    <x v="0"/>
    <n v="2418"/>
    <n v="-2418"/>
  </r>
  <r>
    <s v="02/08"/>
    <s v="0090002212"/>
    <x v="2"/>
    <x v="8"/>
    <x v="3"/>
    <x v="2"/>
    <x v="0"/>
    <x v="0"/>
    <x v="2"/>
    <x v="2"/>
    <x v="2"/>
    <x v="1"/>
    <n v="4185"/>
    <n v="4185"/>
  </r>
  <r>
    <s v="02/08"/>
    <s v="0090002212"/>
    <x v="2"/>
    <x v="8"/>
    <x v="3"/>
    <x v="3"/>
    <x v="1"/>
    <x v="2"/>
    <x v="3"/>
    <x v="3"/>
    <x v="3"/>
    <x v="0"/>
    <n v="1767"/>
    <n v="-1767"/>
  </r>
  <r>
    <s v="02/08"/>
    <s v="0090002212"/>
    <x v="2"/>
    <x v="8"/>
    <x v="3"/>
    <x v="3"/>
    <x v="1"/>
    <x v="2"/>
    <x v="3"/>
    <x v="3"/>
    <x v="3"/>
    <x v="0"/>
    <n v="2418"/>
    <n v="-2418"/>
  </r>
  <r>
    <s v="02/08"/>
    <s v="0090002213"/>
    <x v="2"/>
    <x v="8"/>
    <x v="3"/>
    <x v="2"/>
    <x v="0"/>
    <x v="0"/>
    <x v="2"/>
    <x v="2"/>
    <x v="2"/>
    <x v="1"/>
    <n v="2448"/>
    <n v="2448"/>
  </r>
  <r>
    <s v="02/08"/>
    <s v="0090002213"/>
    <x v="2"/>
    <x v="8"/>
    <x v="3"/>
    <x v="3"/>
    <x v="1"/>
    <x v="2"/>
    <x v="3"/>
    <x v="3"/>
    <x v="3"/>
    <x v="0"/>
    <n v="2448"/>
    <n v="-2448"/>
  </r>
  <r>
    <s v="02/08"/>
    <s v="0090002208"/>
    <x v="2"/>
    <x v="8"/>
    <x v="3"/>
    <x v="2"/>
    <x v="0"/>
    <x v="0"/>
    <x v="2"/>
    <x v="2"/>
    <x v="2"/>
    <x v="1"/>
    <n v="1886"/>
    <n v="1886"/>
  </r>
  <r>
    <s v="02/08"/>
    <s v="0090002208"/>
    <x v="2"/>
    <x v="8"/>
    <x v="3"/>
    <x v="3"/>
    <x v="1"/>
    <x v="2"/>
    <x v="3"/>
    <x v="3"/>
    <x v="3"/>
    <x v="0"/>
    <n v="1886"/>
    <n v="-1886"/>
  </r>
  <r>
    <s v="02/08"/>
    <s v="1400000048"/>
    <x v="2"/>
    <x v="8"/>
    <x v="3"/>
    <x v="4"/>
    <x v="0"/>
    <x v="0"/>
    <x v="4"/>
    <x v="4"/>
    <x v="4"/>
    <x v="1"/>
    <n v="1840"/>
    <n v="1840"/>
  </r>
  <r>
    <s v="02/08"/>
    <s v="1400000048"/>
    <x v="2"/>
    <x v="8"/>
    <x v="3"/>
    <x v="2"/>
    <x v="0"/>
    <x v="0"/>
    <x v="2"/>
    <x v="2"/>
    <x v="5"/>
    <x v="0"/>
    <n v="1840"/>
    <n v="-1840"/>
  </r>
  <r>
    <s v="02/08"/>
    <s v="1400000049"/>
    <x v="2"/>
    <x v="8"/>
    <x v="3"/>
    <x v="4"/>
    <x v="0"/>
    <x v="0"/>
    <x v="4"/>
    <x v="4"/>
    <x v="4"/>
    <x v="1"/>
    <n v="1458"/>
    <n v="1458"/>
  </r>
  <r>
    <s v="02/08"/>
    <s v="1400000049"/>
    <x v="2"/>
    <x v="8"/>
    <x v="3"/>
    <x v="2"/>
    <x v="0"/>
    <x v="0"/>
    <x v="2"/>
    <x v="2"/>
    <x v="5"/>
    <x v="0"/>
    <n v="1458"/>
    <n v="-1458"/>
  </r>
  <r>
    <s v="02/08"/>
    <s v="1400000049"/>
    <x v="2"/>
    <x v="8"/>
    <x v="3"/>
    <x v="4"/>
    <x v="0"/>
    <x v="0"/>
    <x v="4"/>
    <x v="4"/>
    <x v="4"/>
    <x v="1"/>
    <n v="92"/>
    <n v="92"/>
  </r>
  <r>
    <s v="02/08"/>
    <s v="1400000049"/>
    <x v="2"/>
    <x v="8"/>
    <x v="3"/>
    <x v="2"/>
    <x v="0"/>
    <x v="0"/>
    <x v="2"/>
    <x v="2"/>
    <x v="5"/>
    <x v="0"/>
    <n v="92"/>
    <n v="-92"/>
  </r>
  <r>
    <s v="02/08"/>
    <s v="4900000060"/>
    <x v="2"/>
    <x v="8"/>
    <x v="3"/>
    <x v="0"/>
    <x v="0"/>
    <x v="0"/>
    <x v="0"/>
    <x v="0"/>
    <x v="0"/>
    <x v="0"/>
    <n v="2164.56"/>
    <n v="-2164.56"/>
  </r>
  <r>
    <s v="02/08"/>
    <s v="4900000060"/>
    <x v="2"/>
    <x v="8"/>
    <x v="3"/>
    <x v="1"/>
    <x v="1"/>
    <x v="1"/>
    <x v="1"/>
    <x v="1"/>
    <x v="1"/>
    <x v="1"/>
    <n v="2164.56"/>
    <n v="2164.56"/>
  </r>
  <r>
    <s v="02/08"/>
    <s v="4900000060"/>
    <x v="2"/>
    <x v="8"/>
    <x v="3"/>
    <x v="0"/>
    <x v="0"/>
    <x v="0"/>
    <x v="0"/>
    <x v="0"/>
    <x v="0"/>
    <x v="0"/>
    <n v="1302.01"/>
    <n v="-1302.01"/>
  </r>
  <r>
    <s v="02/08"/>
    <s v="4900000060"/>
    <x v="2"/>
    <x v="8"/>
    <x v="3"/>
    <x v="1"/>
    <x v="1"/>
    <x v="1"/>
    <x v="1"/>
    <x v="1"/>
    <x v="1"/>
    <x v="1"/>
    <n v="1302.01"/>
    <n v="1302.01"/>
  </r>
  <r>
    <s v="02/08"/>
    <s v="4900000060"/>
    <x v="2"/>
    <x v="8"/>
    <x v="3"/>
    <x v="0"/>
    <x v="0"/>
    <x v="0"/>
    <x v="0"/>
    <x v="0"/>
    <x v="0"/>
    <x v="0"/>
    <n v="300.73"/>
    <n v="-300.73"/>
  </r>
  <r>
    <s v="02/08"/>
    <s v="0090002206"/>
    <x v="2"/>
    <x v="8"/>
    <x v="3"/>
    <x v="2"/>
    <x v="0"/>
    <x v="0"/>
    <x v="2"/>
    <x v="2"/>
    <x v="2"/>
    <x v="1"/>
    <n v="364"/>
    <n v="364"/>
  </r>
  <r>
    <s v="02/08"/>
    <s v="0090002206"/>
    <x v="2"/>
    <x v="8"/>
    <x v="3"/>
    <x v="3"/>
    <x v="1"/>
    <x v="2"/>
    <x v="3"/>
    <x v="3"/>
    <x v="3"/>
    <x v="0"/>
    <n v="364"/>
    <n v="-364"/>
  </r>
  <r>
    <s v="02/08"/>
    <s v="0090002209"/>
    <x v="2"/>
    <x v="8"/>
    <x v="3"/>
    <x v="2"/>
    <x v="0"/>
    <x v="0"/>
    <x v="2"/>
    <x v="2"/>
    <x v="2"/>
    <x v="1"/>
    <n v="1568"/>
    <n v="1568"/>
  </r>
  <r>
    <s v="02/08"/>
    <s v="0090002209"/>
    <x v="2"/>
    <x v="8"/>
    <x v="3"/>
    <x v="3"/>
    <x v="1"/>
    <x v="2"/>
    <x v="3"/>
    <x v="3"/>
    <x v="3"/>
    <x v="0"/>
    <n v="1568"/>
    <n v="-1568"/>
  </r>
  <r>
    <s v="02/08"/>
    <s v="0090002210"/>
    <x v="2"/>
    <x v="8"/>
    <x v="3"/>
    <x v="2"/>
    <x v="0"/>
    <x v="0"/>
    <x v="2"/>
    <x v="2"/>
    <x v="2"/>
    <x v="1"/>
    <n v="1519"/>
    <n v="1519"/>
  </r>
  <r>
    <s v="02/08"/>
    <s v="0090002210"/>
    <x v="2"/>
    <x v="8"/>
    <x v="3"/>
    <x v="3"/>
    <x v="1"/>
    <x v="2"/>
    <x v="3"/>
    <x v="3"/>
    <x v="3"/>
    <x v="0"/>
    <n v="1519"/>
    <n v="-1519"/>
  </r>
  <r>
    <s v="02/08"/>
    <s v="4900000060"/>
    <x v="2"/>
    <x v="8"/>
    <x v="3"/>
    <x v="1"/>
    <x v="1"/>
    <x v="1"/>
    <x v="1"/>
    <x v="1"/>
    <x v="1"/>
    <x v="1"/>
    <n v="300.73"/>
    <n v="300.73"/>
  </r>
  <r>
    <s v="02/08"/>
    <s v="4900000060"/>
    <x v="2"/>
    <x v="8"/>
    <x v="3"/>
    <x v="0"/>
    <x v="0"/>
    <x v="0"/>
    <x v="0"/>
    <x v="0"/>
    <x v="0"/>
    <x v="0"/>
    <n v="1477.78"/>
    <n v="-1477.78"/>
  </r>
  <r>
    <s v="02/08"/>
    <s v="4900000060"/>
    <x v="2"/>
    <x v="8"/>
    <x v="3"/>
    <x v="1"/>
    <x v="1"/>
    <x v="1"/>
    <x v="1"/>
    <x v="1"/>
    <x v="1"/>
    <x v="1"/>
    <n v="1477.78"/>
    <n v="1477.78"/>
  </r>
  <r>
    <s v="02/08"/>
    <s v="4900000061"/>
    <x v="2"/>
    <x v="8"/>
    <x v="3"/>
    <x v="0"/>
    <x v="0"/>
    <x v="0"/>
    <x v="0"/>
    <x v="0"/>
    <x v="0"/>
    <x v="0"/>
    <n v="1669.13"/>
    <n v="-1669.13"/>
  </r>
  <r>
    <s v="02/08"/>
    <s v="4900000061"/>
    <x v="2"/>
    <x v="8"/>
    <x v="3"/>
    <x v="1"/>
    <x v="1"/>
    <x v="1"/>
    <x v="1"/>
    <x v="1"/>
    <x v="1"/>
    <x v="1"/>
    <n v="1669.13"/>
    <n v="1669.13"/>
  </r>
  <r>
    <s v="02/08"/>
    <s v="4900000061"/>
    <x v="2"/>
    <x v="8"/>
    <x v="3"/>
    <x v="0"/>
    <x v="0"/>
    <x v="0"/>
    <x v="0"/>
    <x v="0"/>
    <x v="0"/>
    <x v="0"/>
    <n v="1295.44"/>
    <n v="-1295.44"/>
  </r>
  <r>
    <s v="02/08"/>
    <s v="4900000061"/>
    <x v="2"/>
    <x v="8"/>
    <x v="3"/>
    <x v="1"/>
    <x v="1"/>
    <x v="1"/>
    <x v="1"/>
    <x v="1"/>
    <x v="1"/>
    <x v="1"/>
    <n v="1295.44"/>
    <n v="1295.44"/>
  </r>
  <r>
    <s v="02/08"/>
    <s v="4900000061"/>
    <x v="2"/>
    <x v="8"/>
    <x v="3"/>
    <x v="0"/>
    <x v="0"/>
    <x v="0"/>
    <x v="0"/>
    <x v="0"/>
    <x v="0"/>
    <x v="0"/>
    <n v="1275.96"/>
    <n v="-1275.96"/>
  </r>
  <r>
    <s v="02/02"/>
    <s v="0090002173"/>
    <x v="2"/>
    <x v="9"/>
    <x v="4"/>
    <x v="2"/>
    <x v="0"/>
    <x v="0"/>
    <x v="2"/>
    <x v="2"/>
    <x v="2"/>
    <x v="1"/>
    <n v="1666"/>
    <n v="1666"/>
  </r>
  <r>
    <s v="02/02"/>
    <s v="0090002173"/>
    <x v="2"/>
    <x v="9"/>
    <x v="4"/>
    <x v="3"/>
    <x v="1"/>
    <x v="2"/>
    <x v="3"/>
    <x v="3"/>
    <x v="3"/>
    <x v="0"/>
    <n v="1666"/>
    <n v="-1666"/>
  </r>
  <r>
    <s v="02/02"/>
    <s v="4900000042"/>
    <x v="2"/>
    <x v="9"/>
    <x v="4"/>
    <x v="0"/>
    <x v="0"/>
    <x v="0"/>
    <x v="0"/>
    <x v="0"/>
    <x v="0"/>
    <x v="0"/>
    <n v="1955.88"/>
    <n v="-1955.88"/>
  </r>
  <r>
    <s v="02/02"/>
    <s v="4900000042"/>
    <x v="2"/>
    <x v="9"/>
    <x v="4"/>
    <x v="1"/>
    <x v="1"/>
    <x v="1"/>
    <x v="1"/>
    <x v="1"/>
    <x v="1"/>
    <x v="1"/>
    <n v="1955.88"/>
    <n v="1955.88"/>
  </r>
  <r>
    <s v="02/02"/>
    <s v="4900000042"/>
    <x v="2"/>
    <x v="9"/>
    <x v="4"/>
    <x v="0"/>
    <x v="0"/>
    <x v="0"/>
    <x v="0"/>
    <x v="0"/>
    <x v="0"/>
    <x v="0"/>
    <n v="217.32"/>
    <n v="-217.32"/>
  </r>
  <r>
    <s v="02/02"/>
    <s v="4900000042"/>
    <x v="2"/>
    <x v="9"/>
    <x v="4"/>
    <x v="1"/>
    <x v="1"/>
    <x v="1"/>
    <x v="1"/>
    <x v="1"/>
    <x v="1"/>
    <x v="1"/>
    <n v="217.32"/>
    <n v="217.32"/>
  </r>
  <r>
    <s v="02/02"/>
    <s v="4900000042"/>
    <x v="2"/>
    <x v="9"/>
    <x v="4"/>
    <x v="0"/>
    <x v="0"/>
    <x v="0"/>
    <x v="0"/>
    <x v="0"/>
    <x v="0"/>
    <x v="0"/>
    <n v="1447.67"/>
    <n v="-1447.67"/>
  </r>
  <r>
    <s v="02/02"/>
    <s v="4900000042"/>
    <x v="2"/>
    <x v="9"/>
    <x v="4"/>
    <x v="1"/>
    <x v="1"/>
    <x v="1"/>
    <x v="1"/>
    <x v="1"/>
    <x v="1"/>
    <x v="1"/>
    <n v="1447.67"/>
    <n v="1447.67"/>
  </r>
  <r>
    <s v="02/02"/>
    <s v="0090002172"/>
    <x v="2"/>
    <x v="9"/>
    <x v="4"/>
    <x v="2"/>
    <x v="0"/>
    <x v="0"/>
    <x v="2"/>
    <x v="2"/>
    <x v="2"/>
    <x v="1"/>
    <n v="1500"/>
    <n v="1500"/>
  </r>
  <r>
    <s v="02/02"/>
    <s v="0090002172"/>
    <x v="2"/>
    <x v="9"/>
    <x v="4"/>
    <x v="3"/>
    <x v="1"/>
    <x v="2"/>
    <x v="3"/>
    <x v="3"/>
    <x v="3"/>
    <x v="0"/>
    <n v="1500"/>
    <n v="-1500"/>
  </r>
  <r>
    <s v="02/02"/>
    <s v="4900000041"/>
    <x v="2"/>
    <x v="9"/>
    <x v="4"/>
    <x v="0"/>
    <x v="0"/>
    <x v="0"/>
    <x v="0"/>
    <x v="0"/>
    <x v="0"/>
    <x v="0"/>
    <n v="1302"/>
    <n v="-1302"/>
  </r>
  <r>
    <s v="02/02"/>
    <s v="4900000041"/>
    <x v="2"/>
    <x v="9"/>
    <x v="4"/>
    <x v="1"/>
    <x v="1"/>
    <x v="1"/>
    <x v="1"/>
    <x v="1"/>
    <x v="1"/>
    <x v="1"/>
    <n v="1302"/>
    <n v="1302"/>
  </r>
  <r>
    <s v="02/02"/>
    <s v="4900000041"/>
    <x v="2"/>
    <x v="9"/>
    <x v="4"/>
    <x v="0"/>
    <x v="0"/>
    <x v="0"/>
    <x v="0"/>
    <x v="0"/>
    <x v="0"/>
    <x v="0"/>
    <n v="1477.77"/>
    <n v="-1477.77"/>
  </r>
  <r>
    <s v="02/02"/>
    <s v="4900000041"/>
    <x v="2"/>
    <x v="9"/>
    <x v="4"/>
    <x v="1"/>
    <x v="1"/>
    <x v="1"/>
    <x v="1"/>
    <x v="1"/>
    <x v="1"/>
    <x v="1"/>
    <n v="1477.77"/>
    <n v="1477.77"/>
  </r>
  <r>
    <s v="02/02"/>
    <s v="4900000041"/>
    <x v="2"/>
    <x v="9"/>
    <x v="4"/>
    <x v="0"/>
    <x v="0"/>
    <x v="0"/>
    <x v="0"/>
    <x v="0"/>
    <x v="0"/>
    <x v="0"/>
    <n v="2164.56"/>
    <n v="-2164.56"/>
  </r>
  <r>
    <s v="02/02"/>
    <s v="4900000041"/>
    <x v="2"/>
    <x v="9"/>
    <x v="4"/>
    <x v="1"/>
    <x v="1"/>
    <x v="1"/>
    <x v="1"/>
    <x v="1"/>
    <x v="1"/>
    <x v="1"/>
    <n v="2164.56"/>
    <n v="2164.56"/>
  </r>
  <r>
    <s v="02/02"/>
    <s v="1400000022"/>
    <x v="2"/>
    <x v="9"/>
    <x v="4"/>
    <x v="4"/>
    <x v="0"/>
    <x v="0"/>
    <x v="4"/>
    <x v="4"/>
    <x v="4"/>
    <x v="1"/>
    <n v="949.4"/>
    <n v="949.4"/>
  </r>
  <r>
    <s v="02/02"/>
    <s v="1400000022"/>
    <x v="2"/>
    <x v="9"/>
    <x v="4"/>
    <x v="2"/>
    <x v="0"/>
    <x v="0"/>
    <x v="2"/>
    <x v="2"/>
    <x v="5"/>
    <x v="0"/>
    <n v="949.4"/>
    <n v="-949.4"/>
  </r>
  <r>
    <s v="02/02"/>
    <s v="1400000022"/>
    <x v="2"/>
    <x v="9"/>
    <x v="4"/>
    <x v="4"/>
    <x v="0"/>
    <x v="0"/>
    <x v="4"/>
    <x v="4"/>
    <x v="4"/>
    <x v="1"/>
    <n v="2041.97"/>
    <n v="2041.97"/>
  </r>
  <r>
    <s v="02/02"/>
    <s v="1400000022"/>
    <x v="2"/>
    <x v="9"/>
    <x v="4"/>
    <x v="2"/>
    <x v="0"/>
    <x v="0"/>
    <x v="2"/>
    <x v="2"/>
    <x v="5"/>
    <x v="0"/>
    <n v="2041.97"/>
    <n v="-2041.97"/>
  </r>
  <r>
    <s v="02/02"/>
    <s v="1400000024"/>
    <x v="2"/>
    <x v="9"/>
    <x v="4"/>
    <x v="4"/>
    <x v="0"/>
    <x v="0"/>
    <x v="4"/>
    <x v="4"/>
    <x v="4"/>
    <x v="1"/>
    <n v="3171.2"/>
    <n v="3171.2"/>
  </r>
  <r>
    <s v="02/02"/>
    <s v="1400000024"/>
    <x v="2"/>
    <x v="9"/>
    <x v="4"/>
    <x v="2"/>
    <x v="0"/>
    <x v="0"/>
    <x v="2"/>
    <x v="2"/>
    <x v="5"/>
    <x v="0"/>
    <n v="3171.2"/>
    <n v="-3171.2"/>
  </r>
  <r>
    <s v="02/02"/>
    <s v="1400000025"/>
    <x v="2"/>
    <x v="9"/>
    <x v="4"/>
    <x v="4"/>
    <x v="0"/>
    <x v="0"/>
    <x v="4"/>
    <x v="4"/>
    <x v="4"/>
    <x v="1"/>
    <n v="713.52"/>
    <n v="713.52"/>
  </r>
  <r>
    <s v="02/02"/>
    <s v="1400000025"/>
    <x v="2"/>
    <x v="9"/>
    <x v="4"/>
    <x v="2"/>
    <x v="0"/>
    <x v="0"/>
    <x v="2"/>
    <x v="2"/>
    <x v="5"/>
    <x v="0"/>
    <n v="713.52"/>
    <n v="-713.52"/>
  </r>
  <r>
    <s v="02/02"/>
    <s v="1400000025"/>
    <x v="2"/>
    <x v="9"/>
    <x v="4"/>
    <x v="4"/>
    <x v="0"/>
    <x v="0"/>
    <x v="4"/>
    <x v="4"/>
    <x v="4"/>
    <x v="1"/>
    <n v="1778.49"/>
    <n v="1778.49"/>
  </r>
  <r>
    <s v="02/02"/>
    <s v="1400000025"/>
    <x v="2"/>
    <x v="9"/>
    <x v="4"/>
    <x v="2"/>
    <x v="0"/>
    <x v="0"/>
    <x v="2"/>
    <x v="2"/>
    <x v="5"/>
    <x v="0"/>
    <n v="1778.49"/>
    <n v="-1778.49"/>
  </r>
  <r>
    <s v="02/02"/>
    <s v="1400000025"/>
    <x v="2"/>
    <x v="9"/>
    <x v="4"/>
    <x v="4"/>
    <x v="0"/>
    <x v="0"/>
    <x v="4"/>
    <x v="4"/>
    <x v="4"/>
    <x v="1"/>
    <n v="1767.5"/>
    <n v="1767.5"/>
  </r>
  <r>
    <s v="02/02"/>
    <s v="1400000025"/>
    <x v="2"/>
    <x v="9"/>
    <x v="4"/>
    <x v="2"/>
    <x v="0"/>
    <x v="0"/>
    <x v="2"/>
    <x v="2"/>
    <x v="5"/>
    <x v="0"/>
    <n v="1767.5"/>
    <n v="-1767.5"/>
  </r>
  <r>
    <s v="02/02"/>
    <s v="0090002170"/>
    <x v="2"/>
    <x v="9"/>
    <x v="4"/>
    <x v="2"/>
    <x v="0"/>
    <x v="0"/>
    <x v="2"/>
    <x v="2"/>
    <x v="2"/>
    <x v="1"/>
    <n v="162"/>
    <n v="162"/>
  </r>
  <r>
    <s v="02/02"/>
    <s v="0090002170"/>
    <x v="2"/>
    <x v="9"/>
    <x v="4"/>
    <x v="3"/>
    <x v="1"/>
    <x v="2"/>
    <x v="3"/>
    <x v="3"/>
    <x v="3"/>
    <x v="0"/>
    <n v="162"/>
    <n v="-162"/>
  </r>
  <r>
    <s v="02/02"/>
    <s v="0090002171"/>
    <x v="2"/>
    <x v="9"/>
    <x v="4"/>
    <x v="2"/>
    <x v="0"/>
    <x v="0"/>
    <x v="2"/>
    <x v="2"/>
    <x v="2"/>
    <x v="1"/>
    <n v="3864"/>
    <n v="3864"/>
  </r>
  <r>
    <s v="02/02"/>
    <s v="0090002171"/>
    <x v="2"/>
    <x v="9"/>
    <x v="4"/>
    <x v="3"/>
    <x v="1"/>
    <x v="2"/>
    <x v="3"/>
    <x v="3"/>
    <x v="3"/>
    <x v="0"/>
    <n v="2024"/>
    <n v="-2024"/>
  </r>
  <r>
    <s v="02/02"/>
    <s v="0090002171"/>
    <x v="2"/>
    <x v="9"/>
    <x v="4"/>
    <x v="3"/>
    <x v="1"/>
    <x v="2"/>
    <x v="3"/>
    <x v="3"/>
    <x v="3"/>
    <x v="0"/>
    <n v="1840"/>
    <n v="-1840"/>
  </r>
  <r>
    <s v="02/02"/>
    <s v="0090002174"/>
    <x v="2"/>
    <x v="9"/>
    <x v="4"/>
    <x v="2"/>
    <x v="0"/>
    <x v="0"/>
    <x v="2"/>
    <x v="2"/>
    <x v="2"/>
    <x v="1"/>
    <n v="2392"/>
    <n v="2392"/>
  </r>
  <r>
    <s v="02/02"/>
    <s v="0090002174"/>
    <x v="2"/>
    <x v="9"/>
    <x v="4"/>
    <x v="3"/>
    <x v="1"/>
    <x v="2"/>
    <x v="3"/>
    <x v="3"/>
    <x v="3"/>
    <x v="0"/>
    <n v="2392"/>
    <n v="-2392"/>
  </r>
  <r>
    <s v="02/02"/>
    <s v="0090002176"/>
    <x v="2"/>
    <x v="9"/>
    <x v="4"/>
    <x v="2"/>
    <x v="0"/>
    <x v="0"/>
    <x v="2"/>
    <x v="2"/>
    <x v="2"/>
    <x v="1"/>
    <n v="1608"/>
    <n v="1608"/>
  </r>
  <r>
    <s v="02/02"/>
    <s v="0090002176"/>
    <x v="2"/>
    <x v="9"/>
    <x v="4"/>
    <x v="3"/>
    <x v="1"/>
    <x v="2"/>
    <x v="3"/>
    <x v="3"/>
    <x v="3"/>
    <x v="0"/>
    <n v="1608"/>
    <n v="-1608"/>
  </r>
  <r>
    <s v="02/02"/>
    <s v="1400000023"/>
    <x v="2"/>
    <x v="9"/>
    <x v="4"/>
    <x v="4"/>
    <x v="0"/>
    <x v="0"/>
    <x v="4"/>
    <x v="4"/>
    <x v="4"/>
    <x v="1"/>
    <n v="2091.85"/>
    <n v="2091.85"/>
  </r>
  <r>
    <s v="02/02"/>
    <s v="1400000023"/>
    <x v="2"/>
    <x v="9"/>
    <x v="4"/>
    <x v="2"/>
    <x v="0"/>
    <x v="0"/>
    <x v="2"/>
    <x v="2"/>
    <x v="5"/>
    <x v="0"/>
    <n v="2091.85"/>
    <n v="-2091.85"/>
  </r>
  <r>
    <s v="02/02"/>
    <s v="0090002169"/>
    <x v="2"/>
    <x v="9"/>
    <x v="4"/>
    <x v="2"/>
    <x v="0"/>
    <x v="0"/>
    <x v="2"/>
    <x v="2"/>
    <x v="2"/>
    <x v="1"/>
    <n v="1944"/>
    <n v="1944"/>
  </r>
  <r>
    <s v="02/02"/>
    <s v="0090002169"/>
    <x v="2"/>
    <x v="9"/>
    <x v="4"/>
    <x v="3"/>
    <x v="1"/>
    <x v="2"/>
    <x v="3"/>
    <x v="3"/>
    <x v="3"/>
    <x v="0"/>
    <n v="1944"/>
    <n v="-1944"/>
  </r>
  <r>
    <s v="02/02"/>
    <s v="0090002175"/>
    <x v="2"/>
    <x v="9"/>
    <x v="4"/>
    <x v="2"/>
    <x v="0"/>
    <x v="0"/>
    <x v="2"/>
    <x v="2"/>
    <x v="2"/>
    <x v="1"/>
    <n v="2450"/>
    <n v="2450"/>
  </r>
  <r>
    <s v="02/02"/>
    <s v="0090002175"/>
    <x v="2"/>
    <x v="9"/>
    <x v="4"/>
    <x v="3"/>
    <x v="1"/>
    <x v="2"/>
    <x v="3"/>
    <x v="3"/>
    <x v="3"/>
    <x v="0"/>
    <n v="2205"/>
    <n v="-2205"/>
  </r>
  <r>
    <s v="02/02"/>
    <s v="0090002175"/>
    <x v="2"/>
    <x v="9"/>
    <x v="4"/>
    <x v="3"/>
    <x v="1"/>
    <x v="2"/>
    <x v="3"/>
    <x v="3"/>
    <x v="3"/>
    <x v="0"/>
    <n v="245"/>
    <n v="-245"/>
  </r>
  <r>
    <s v="03/03"/>
    <s v="1400000065"/>
    <x v="3"/>
    <x v="3"/>
    <x v="5"/>
    <x v="2"/>
    <x v="0"/>
    <x v="0"/>
    <x v="2"/>
    <x v="2"/>
    <x v="5"/>
    <x v="0"/>
    <n v="1829"/>
    <n v="-1829"/>
  </r>
  <r>
    <s v="03/03"/>
    <s v="1400000065"/>
    <x v="3"/>
    <x v="3"/>
    <x v="5"/>
    <x v="4"/>
    <x v="0"/>
    <x v="0"/>
    <x v="4"/>
    <x v="4"/>
    <x v="4"/>
    <x v="1"/>
    <n v="2232"/>
    <n v="2232"/>
  </r>
  <r>
    <s v="03/03"/>
    <s v="1400000065"/>
    <x v="3"/>
    <x v="3"/>
    <x v="5"/>
    <x v="2"/>
    <x v="0"/>
    <x v="0"/>
    <x v="2"/>
    <x v="2"/>
    <x v="5"/>
    <x v="0"/>
    <n v="2232"/>
    <n v="-2232"/>
  </r>
  <r>
    <s v="03/03"/>
    <s v="1400000066"/>
    <x v="3"/>
    <x v="3"/>
    <x v="5"/>
    <x v="4"/>
    <x v="0"/>
    <x v="0"/>
    <x v="4"/>
    <x v="4"/>
    <x v="4"/>
    <x v="1"/>
    <n v="1116"/>
    <n v="1116"/>
  </r>
  <r>
    <s v="03/03"/>
    <s v="1400000066"/>
    <x v="3"/>
    <x v="3"/>
    <x v="5"/>
    <x v="2"/>
    <x v="0"/>
    <x v="0"/>
    <x v="2"/>
    <x v="2"/>
    <x v="5"/>
    <x v="0"/>
    <n v="1116"/>
    <n v="-1116"/>
  </r>
  <r>
    <s v="03/05"/>
    <s v="0090002253"/>
    <x v="3"/>
    <x v="10"/>
    <x v="5"/>
    <x v="2"/>
    <x v="0"/>
    <x v="0"/>
    <x v="2"/>
    <x v="2"/>
    <x v="2"/>
    <x v="1"/>
    <n v="2170"/>
    <n v="2170"/>
  </r>
  <r>
    <s v="03/05"/>
    <s v="0090002253"/>
    <x v="3"/>
    <x v="10"/>
    <x v="5"/>
    <x v="3"/>
    <x v="1"/>
    <x v="2"/>
    <x v="3"/>
    <x v="3"/>
    <x v="3"/>
    <x v="0"/>
    <n v="2170"/>
    <n v="-2170"/>
  </r>
  <r>
    <s v="03/05"/>
    <s v="4900000084"/>
    <x v="3"/>
    <x v="10"/>
    <x v="5"/>
    <x v="0"/>
    <x v="0"/>
    <x v="0"/>
    <x v="0"/>
    <x v="0"/>
    <x v="0"/>
    <x v="0"/>
    <n v="1735.03"/>
    <n v="-1735.03"/>
  </r>
  <r>
    <s v="03/05"/>
    <s v="4900000084"/>
    <x v="3"/>
    <x v="10"/>
    <x v="5"/>
    <x v="1"/>
    <x v="1"/>
    <x v="1"/>
    <x v="1"/>
    <x v="1"/>
    <x v="1"/>
    <x v="1"/>
    <n v="1735.03"/>
    <n v="1735.03"/>
  </r>
  <r>
    <s v="03/05"/>
    <s v="4900000084"/>
    <x v="3"/>
    <x v="10"/>
    <x v="5"/>
    <x v="0"/>
    <x v="0"/>
    <x v="0"/>
    <x v="0"/>
    <x v="0"/>
    <x v="0"/>
    <x v="0"/>
    <n v="1224.6099999999999"/>
    <n v="-1224.6099999999999"/>
  </r>
  <r>
    <s v="03/05"/>
    <s v="4900000084"/>
    <x v="3"/>
    <x v="10"/>
    <x v="5"/>
    <x v="1"/>
    <x v="1"/>
    <x v="1"/>
    <x v="1"/>
    <x v="1"/>
    <x v="1"/>
    <x v="1"/>
    <n v="1224.6099999999999"/>
    <n v="1224.6099999999999"/>
  </r>
  <r>
    <s v="03/05"/>
    <s v="4900000084"/>
    <x v="3"/>
    <x v="10"/>
    <x v="5"/>
    <x v="0"/>
    <x v="0"/>
    <x v="0"/>
    <x v="0"/>
    <x v="0"/>
    <x v="0"/>
    <x v="0"/>
    <n v="1511.22"/>
    <n v="-1511.22"/>
  </r>
  <r>
    <s v="03/05"/>
    <s v="4900000084"/>
    <x v="3"/>
    <x v="10"/>
    <x v="5"/>
    <x v="1"/>
    <x v="1"/>
    <x v="1"/>
    <x v="1"/>
    <x v="1"/>
    <x v="1"/>
    <x v="1"/>
    <n v="1511.22"/>
    <n v="1511.22"/>
  </r>
  <r>
    <s v="03/05"/>
    <s v="4900000084"/>
    <x v="3"/>
    <x v="10"/>
    <x v="5"/>
    <x v="0"/>
    <x v="0"/>
    <x v="0"/>
    <x v="0"/>
    <x v="0"/>
    <x v="0"/>
    <x v="0"/>
    <n v="1870.52"/>
    <n v="-1870.52"/>
  </r>
  <r>
    <s v="03/05"/>
    <s v="4900000084"/>
    <x v="3"/>
    <x v="10"/>
    <x v="5"/>
    <x v="1"/>
    <x v="1"/>
    <x v="1"/>
    <x v="1"/>
    <x v="1"/>
    <x v="1"/>
    <x v="1"/>
    <n v="1870.52"/>
    <n v="1870.52"/>
  </r>
  <r>
    <s v="03/05"/>
    <s v="4900000085"/>
    <x v="3"/>
    <x v="10"/>
    <x v="5"/>
    <x v="0"/>
    <x v="0"/>
    <x v="0"/>
    <x v="0"/>
    <x v="0"/>
    <x v="0"/>
    <x v="0"/>
    <n v="2082.69"/>
    <n v="-2082.69"/>
  </r>
  <r>
    <s v="03/05"/>
    <s v="4900000085"/>
    <x v="3"/>
    <x v="10"/>
    <x v="5"/>
    <x v="1"/>
    <x v="1"/>
    <x v="1"/>
    <x v="1"/>
    <x v="1"/>
    <x v="1"/>
    <x v="1"/>
    <n v="2082.69"/>
    <n v="2082.69"/>
  </r>
  <r>
    <s v="03/05"/>
    <s v="4900000085"/>
    <x v="3"/>
    <x v="10"/>
    <x v="5"/>
    <x v="0"/>
    <x v="0"/>
    <x v="0"/>
    <x v="0"/>
    <x v="0"/>
    <x v="0"/>
    <x v="0"/>
    <n v="1499.53"/>
    <n v="-1499.53"/>
  </r>
  <r>
    <s v="03/05"/>
    <s v="4900000085"/>
    <x v="3"/>
    <x v="10"/>
    <x v="5"/>
    <x v="1"/>
    <x v="1"/>
    <x v="1"/>
    <x v="1"/>
    <x v="1"/>
    <x v="1"/>
    <x v="1"/>
    <n v="1499.53"/>
    <n v="1499.53"/>
  </r>
  <r>
    <s v="03/05"/>
    <s v="4900000085"/>
    <x v="3"/>
    <x v="10"/>
    <x v="5"/>
    <x v="0"/>
    <x v="0"/>
    <x v="0"/>
    <x v="0"/>
    <x v="0"/>
    <x v="0"/>
    <x v="0"/>
    <n v="1302.77"/>
    <n v="-1302.77"/>
  </r>
  <r>
    <s v="03/05"/>
    <s v="4900000085"/>
    <x v="3"/>
    <x v="10"/>
    <x v="5"/>
    <x v="1"/>
    <x v="1"/>
    <x v="1"/>
    <x v="1"/>
    <x v="1"/>
    <x v="1"/>
    <x v="1"/>
    <n v="1302.77"/>
    <n v="1302.77"/>
  </r>
  <r>
    <s v="03/05"/>
    <s v="4900000085"/>
    <x v="3"/>
    <x v="10"/>
    <x v="5"/>
    <x v="0"/>
    <x v="0"/>
    <x v="0"/>
    <x v="0"/>
    <x v="0"/>
    <x v="0"/>
    <x v="0"/>
    <n v="1870.52"/>
    <n v="-1870.52"/>
  </r>
  <r>
    <s v="03/05"/>
    <s v="4900000085"/>
    <x v="3"/>
    <x v="10"/>
    <x v="5"/>
    <x v="1"/>
    <x v="1"/>
    <x v="1"/>
    <x v="1"/>
    <x v="1"/>
    <x v="1"/>
    <x v="1"/>
    <n v="1870.52"/>
    <n v="1870.52"/>
  </r>
  <r>
    <s v="03/05"/>
    <s v="0090002252"/>
    <x v="3"/>
    <x v="10"/>
    <x v="5"/>
    <x v="2"/>
    <x v="0"/>
    <x v="0"/>
    <x v="2"/>
    <x v="2"/>
    <x v="2"/>
    <x v="1"/>
    <n v="3465"/>
    <n v="3465"/>
  </r>
  <r>
    <s v="03/05"/>
    <s v="0090002252"/>
    <x v="3"/>
    <x v="10"/>
    <x v="5"/>
    <x v="3"/>
    <x v="1"/>
    <x v="2"/>
    <x v="3"/>
    <x v="3"/>
    <x v="3"/>
    <x v="0"/>
    <n v="1551"/>
    <n v="-1551"/>
  </r>
  <r>
    <s v="03/05"/>
    <s v="0090002252"/>
    <x v="3"/>
    <x v="10"/>
    <x v="5"/>
    <x v="3"/>
    <x v="1"/>
    <x v="2"/>
    <x v="3"/>
    <x v="3"/>
    <x v="3"/>
    <x v="0"/>
    <n v="1914"/>
    <n v="-1914"/>
  </r>
  <r>
    <s v="03/05"/>
    <s v="0090002254"/>
    <x v="3"/>
    <x v="10"/>
    <x v="5"/>
    <x v="2"/>
    <x v="0"/>
    <x v="0"/>
    <x v="2"/>
    <x v="2"/>
    <x v="2"/>
    <x v="1"/>
    <n v="4085"/>
    <n v="4085"/>
  </r>
  <r>
    <s v="03/05"/>
    <s v="0090002254"/>
    <x v="3"/>
    <x v="10"/>
    <x v="5"/>
    <x v="3"/>
    <x v="1"/>
    <x v="2"/>
    <x v="3"/>
    <x v="3"/>
    <x v="3"/>
    <x v="0"/>
    <n v="2375"/>
    <n v="-2375"/>
  </r>
  <r>
    <s v="03/05"/>
    <s v="0090002254"/>
    <x v="3"/>
    <x v="10"/>
    <x v="5"/>
    <x v="3"/>
    <x v="1"/>
    <x v="2"/>
    <x v="3"/>
    <x v="3"/>
    <x v="3"/>
    <x v="0"/>
    <n v="1710"/>
    <n v="-1710"/>
  </r>
  <r>
    <s v="03/05"/>
    <s v="0090002256"/>
    <x v="3"/>
    <x v="10"/>
    <x v="5"/>
    <x v="2"/>
    <x v="0"/>
    <x v="0"/>
    <x v="2"/>
    <x v="2"/>
    <x v="2"/>
    <x v="1"/>
    <n v="2170"/>
    <n v="2170"/>
  </r>
  <r>
    <s v="03/05"/>
    <s v="0090002256"/>
    <x v="3"/>
    <x v="10"/>
    <x v="5"/>
    <x v="3"/>
    <x v="1"/>
    <x v="2"/>
    <x v="3"/>
    <x v="3"/>
    <x v="3"/>
    <x v="0"/>
    <n v="2170"/>
    <n v="-2170"/>
  </r>
  <r>
    <s v="03/05"/>
    <s v="0090002251"/>
    <x v="3"/>
    <x v="10"/>
    <x v="5"/>
    <x v="2"/>
    <x v="0"/>
    <x v="0"/>
    <x v="2"/>
    <x v="2"/>
    <x v="2"/>
    <x v="1"/>
    <n v="2250"/>
    <n v="2250"/>
  </r>
  <r>
    <s v="03/05"/>
    <s v="0090002251"/>
    <x v="3"/>
    <x v="10"/>
    <x v="5"/>
    <x v="3"/>
    <x v="1"/>
    <x v="2"/>
    <x v="3"/>
    <x v="3"/>
    <x v="3"/>
    <x v="0"/>
    <n v="2250"/>
    <n v="-2250"/>
  </r>
  <r>
    <s v="03/05"/>
    <s v="0100000010"/>
    <x v="3"/>
    <x v="10"/>
    <x v="5"/>
    <x v="11"/>
    <x v="1"/>
    <x v="6"/>
    <x v="8"/>
    <x v="11"/>
    <x v="4"/>
    <x v="1"/>
    <n v="300"/>
    <n v="300"/>
  </r>
  <r>
    <s v="03/05"/>
    <s v="0100000010"/>
    <x v="3"/>
    <x v="10"/>
    <x v="5"/>
    <x v="4"/>
    <x v="0"/>
    <x v="0"/>
    <x v="4"/>
    <x v="4"/>
    <x v="3"/>
    <x v="0"/>
    <n v="300"/>
    <n v="-300"/>
  </r>
  <r>
    <s v="03/05"/>
    <s v="1400000070"/>
    <x v="3"/>
    <x v="10"/>
    <x v="5"/>
    <x v="4"/>
    <x v="0"/>
    <x v="0"/>
    <x v="4"/>
    <x v="4"/>
    <x v="4"/>
    <x v="1"/>
    <n v="1932"/>
    <n v="1932"/>
  </r>
  <r>
    <s v="03/05"/>
    <s v="1400000070"/>
    <x v="3"/>
    <x v="10"/>
    <x v="5"/>
    <x v="2"/>
    <x v="0"/>
    <x v="0"/>
    <x v="2"/>
    <x v="2"/>
    <x v="5"/>
    <x v="0"/>
    <n v="1932"/>
    <n v="-1932"/>
  </r>
  <r>
    <s v="03/05"/>
    <s v="1400000071"/>
    <x v="3"/>
    <x v="10"/>
    <x v="5"/>
    <x v="4"/>
    <x v="0"/>
    <x v="0"/>
    <x v="4"/>
    <x v="4"/>
    <x v="4"/>
    <x v="1"/>
    <n v="2415"/>
    <n v="2415"/>
  </r>
  <r>
    <s v="03/05"/>
    <s v="1400000071"/>
    <x v="3"/>
    <x v="10"/>
    <x v="5"/>
    <x v="2"/>
    <x v="0"/>
    <x v="0"/>
    <x v="2"/>
    <x v="2"/>
    <x v="5"/>
    <x v="0"/>
    <n v="2415"/>
    <n v="-2415"/>
  </r>
  <r>
    <s v="03/05"/>
    <s v="1400000072"/>
    <x v="3"/>
    <x v="10"/>
    <x v="5"/>
    <x v="4"/>
    <x v="0"/>
    <x v="0"/>
    <x v="4"/>
    <x v="4"/>
    <x v="4"/>
    <x v="1"/>
    <n v="2240"/>
    <n v="2240"/>
  </r>
  <r>
    <s v="03/05"/>
    <s v="1400000072"/>
    <x v="3"/>
    <x v="10"/>
    <x v="5"/>
    <x v="2"/>
    <x v="0"/>
    <x v="0"/>
    <x v="2"/>
    <x v="2"/>
    <x v="5"/>
    <x v="0"/>
    <n v="2240"/>
    <n v="-2240"/>
  </r>
  <r>
    <s v="03/05"/>
    <s v="1400000072"/>
    <x v="3"/>
    <x v="10"/>
    <x v="5"/>
    <x v="4"/>
    <x v="0"/>
    <x v="0"/>
    <x v="4"/>
    <x v="4"/>
    <x v="4"/>
    <x v="1"/>
    <n v="1794"/>
    <n v="1794"/>
  </r>
  <r>
    <s v="03/05"/>
    <s v="1400000072"/>
    <x v="3"/>
    <x v="10"/>
    <x v="5"/>
    <x v="2"/>
    <x v="0"/>
    <x v="0"/>
    <x v="2"/>
    <x v="2"/>
    <x v="5"/>
    <x v="0"/>
    <n v="1794"/>
    <n v="-1794"/>
  </r>
  <r>
    <s v="03/05"/>
    <s v="1400000073"/>
    <x v="3"/>
    <x v="10"/>
    <x v="5"/>
    <x v="4"/>
    <x v="0"/>
    <x v="0"/>
    <x v="4"/>
    <x v="4"/>
    <x v="4"/>
    <x v="1"/>
    <n v="2324"/>
    <n v="2324"/>
  </r>
  <r>
    <s v="04/05"/>
    <s v="0090002295"/>
    <x v="4"/>
    <x v="10"/>
    <x v="7"/>
    <x v="2"/>
    <x v="0"/>
    <x v="0"/>
    <x v="2"/>
    <x v="2"/>
    <x v="2"/>
    <x v="1"/>
    <n v="1540"/>
    <n v="1540"/>
  </r>
  <r>
    <s v="04/05"/>
    <s v="0090002295"/>
    <x v="4"/>
    <x v="10"/>
    <x v="7"/>
    <x v="3"/>
    <x v="1"/>
    <x v="2"/>
    <x v="3"/>
    <x v="3"/>
    <x v="3"/>
    <x v="0"/>
    <n v="1540"/>
    <n v="-1540"/>
  </r>
  <r>
    <s v="04/05"/>
    <s v="0100000014"/>
    <x v="4"/>
    <x v="10"/>
    <x v="7"/>
    <x v="10"/>
    <x v="1"/>
    <x v="6"/>
    <x v="8"/>
    <x v="10"/>
    <x v="4"/>
    <x v="1"/>
    <n v="200"/>
    <n v="200"/>
  </r>
  <r>
    <s v="04/05"/>
    <s v="0100000014"/>
    <x v="4"/>
    <x v="10"/>
    <x v="7"/>
    <x v="4"/>
    <x v="0"/>
    <x v="0"/>
    <x v="4"/>
    <x v="4"/>
    <x v="3"/>
    <x v="0"/>
    <n v="200"/>
    <n v="-200"/>
  </r>
  <r>
    <s v="04/05"/>
    <s v="1500000004"/>
    <x v="4"/>
    <x v="10"/>
    <x v="7"/>
    <x v="4"/>
    <x v="0"/>
    <x v="0"/>
    <x v="4"/>
    <x v="4"/>
    <x v="3"/>
    <x v="0"/>
    <n v="53128.59"/>
    <n v="-53128.59"/>
  </r>
  <r>
    <s v="04/05"/>
    <s v="1500000004"/>
    <x v="4"/>
    <x v="10"/>
    <x v="7"/>
    <x v="9"/>
    <x v="2"/>
    <x v="5"/>
    <x v="7"/>
    <x v="9"/>
    <x v="5"/>
    <x v="1"/>
    <n v="53128.59"/>
    <n v="53128.59"/>
  </r>
  <r>
    <s v="04/07"/>
    <s v="0090002309"/>
    <x v="4"/>
    <x v="5"/>
    <x v="8"/>
    <x v="2"/>
    <x v="0"/>
    <x v="0"/>
    <x v="2"/>
    <x v="2"/>
    <x v="2"/>
    <x v="1"/>
    <n v="1825"/>
    <n v="1825"/>
  </r>
  <r>
    <s v="04/07"/>
    <s v="0090002309"/>
    <x v="4"/>
    <x v="5"/>
    <x v="8"/>
    <x v="3"/>
    <x v="1"/>
    <x v="2"/>
    <x v="3"/>
    <x v="3"/>
    <x v="3"/>
    <x v="0"/>
    <n v="1825"/>
    <n v="-1825"/>
  </r>
  <r>
    <s v="04/07"/>
    <s v="1400000105"/>
    <x v="4"/>
    <x v="5"/>
    <x v="8"/>
    <x v="4"/>
    <x v="0"/>
    <x v="0"/>
    <x v="4"/>
    <x v="4"/>
    <x v="4"/>
    <x v="1"/>
    <n v="1633"/>
    <n v="1633"/>
  </r>
  <r>
    <s v="04/07"/>
    <s v="1400000105"/>
    <x v="4"/>
    <x v="5"/>
    <x v="8"/>
    <x v="2"/>
    <x v="0"/>
    <x v="0"/>
    <x v="2"/>
    <x v="2"/>
    <x v="5"/>
    <x v="0"/>
    <n v="1633"/>
    <n v="-1633"/>
  </r>
  <r>
    <s v="04/07"/>
    <s v="1400000105"/>
    <x v="4"/>
    <x v="5"/>
    <x v="8"/>
    <x v="4"/>
    <x v="0"/>
    <x v="0"/>
    <x v="4"/>
    <x v="4"/>
    <x v="4"/>
    <x v="1"/>
    <n v="1836"/>
    <n v="1836"/>
  </r>
  <r>
    <s v="04/07"/>
    <s v="1400000105"/>
    <x v="4"/>
    <x v="5"/>
    <x v="8"/>
    <x v="2"/>
    <x v="0"/>
    <x v="0"/>
    <x v="2"/>
    <x v="2"/>
    <x v="5"/>
    <x v="0"/>
    <n v="1836"/>
    <n v="-1836"/>
  </r>
  <r>
    <s v="04/07"/>
    <s v="0090002304"/>
    <x v="4"/>
    <x v="5"/>
    <x v="8"/>
    <x v="2"/>
    <x v="0"/>
    <x v="0"/>
    <x v="2"/>
    <x v="2"/>
    <x v="2"/>
    <x v="1"/>
    <n v="2336"/>
    <n v="2336"/>
  </r>
  <r>
    <s v="04/07"/>
    <s v="0090002304"/>
    <x v="4"/>
    <x v="5"/>
    <x v="8"/>
    <x v="3"/>
    <x v="1"/>
    <x v="2"/>
    <x v="3"/>
    <x v="3"/>
    <x v="3"/>
    <x v="0"/>
    <n v="2336"/>
    <n v="-2336"/>
  </r>
  <r>
    <s v="04/07"/>
    <s v="4900000114"/>
    <x v="4"/>
    <x v="5"/>
    <x v="8"/>
    <x v="0"/>
    <x v="0"/>
    <x v="0"/>
    <x v="0"/>
    <x v="0"/>
    <x v="0"/>
    <x v="0"/>
    <n v="1364.49"/>
    <n v="-1364.49"/>
  </r>
  <r>
    <s v="04/07"/>
    <s v="4900000114"/>
    <x v="4"/>
    <x v="5"/>
    <x v="8"/>
    <x v="1"/>
    <x v="1"/>
    <x v="1"/>
    <x v="1"/>
    <x v="1"/>
    <x v="1"/>
    <x v="1"/>
    <n v="1364.49"/>
    <n v="1364.49"/>
  </r>
  <r>
    <s v="04/07"/>
    <s v="4900000114"/>
    <x v="4"/>
    <x v="5"/>
    <x v="8"/>
    <x v="0"/>
    <x v="0"/>
    <x v="0"/>
    <x v="0"/>
    <x v="0"/>
    <x v="0"/>
    <x v="0"/>
    <n v="1947.76"/>
    <n v="-1947.76"/>
  </r>
  <r>
    <s v="04/07"/>
    <s v="4900000114"/>
    <x v="4"/>
    <x v="5"/>
    <x v="8"/>
    <x v="1"/>
    <x v="1"/>
    <x v="1"/>
    <x v="1"/>
    <x v="1"/>
    <x v="1"/>
    <x v="1"/>
    <n v="1947.76"/>
    <n v="1947.76"/>
  </r>
  <r>
    <s v="04/07"/>
    <s v="4900000114"/>
    <x v="4"/>
    <x v="5"/>
    <x v="8"/>
    <x v="0"/>
    <x v="0"/>
    <x v="0"/>
    <x v="0"/>
    <x v="0"/>
    <x v="0"/>
    <x v="0"/>
    <n v="1548.17"/>
    <n v="-1548.17"/>
  </r>
  <r>
    <s v="04/07"/>
    <s v="4900000114"/>
    <x v="4"/>
    <x v="5"/>
    <x v="8"/>
    <x v="1"/>
    <x v="1"/>
    <x v="1"/>
    <x v="1"/>
    <x v="1"/>
    <x v="1"/>
    <x v="1"/>
    <n v="1548.17"/>
    <n v="1548.17"/>
  </r>
  <r>
    <s v="04/07"/>
    <s v="4900000114"/>
    <x v="4"/>
    <x v="5"/>
    <x v="8"/>
    <x v="0"/>
    <x v="0"/>
    <x v="0"/>
    <x v="0"/>
    <x v="0"/>
    <x v="0"/>
    <x v="0"/>
    <n v="1747.61"/>
    <n v="-1747.61"/>
  </r>
  <r>
    <s v="04/07"/>
    <s v="4900000114"/>
    <x v="4"/>
    <x v="5"/>
    <x v="8"/>
    <x v="1"/>
    <x v="1"/>
    <x v="1"/>
    <x v="1"/>
    <x v="1"/>
    <x v="1"/>
    <x v="1"/>
    <n v="1747.61"/>
    <n v="1747.61"/>
  </r>
  <r>
    <s v="04/07"/>
    <s v="4900000114"/>
    <x v="4"/>
    <x v="5"/>
    <x v="8"/>
    <x v="0"/>
    <x v="0"/>
    <x v="0"/>
    <x v="0"/>
    <x v="0"/>
    <x v="0"/>
    <x v="0"/>
    <n v="1048.5"/>
    <n v="-1048.5"/>
  </r>
  <r>
    <s v="04/07"/>
    <s v="4900000114"/>
    <x v="4"/>
    <x v="5"/>
    <x v="8"/>
    <x v="1"/>
    <x v="1"/>
    <x v="1"/>
    <x v="1"/>
    <x v="1"/>
    <x v="1"/>
    <x v="1"/>
    <n v="1048.5"/>
    <n v="1048.5"/>
  </r>
  <r>
    <s v="04/07"/>
    <s v="4900000115"/>
    <x v="4"/>
    <x v="5"/>
    <x v="8"/>
    <x v="0"/>
    <x v="0"/>
    <x v="0"/>
    <x v="0"/>
    <x v="0"/>
    <x v="0"/>
    <x v="0"/>
    <n v="2038.88"/>
    <n v="-2038.88"/>
  </r>
  <r>
    <s v="04/07"/>
    <s v="4900000115"/>
    <x v="4"/>
    <x v="5"/>
    <x v="8"/>
    <x v="1"/>
    <x v="1"/>
    <x v="1"/>
    <x v="1"/>
    <x v="1"/>
    <x v="1"/>
    <x v="1"/>
    <n v="2038.88"/>
    <n v="2038.88"/>
  </r>
  <r>
    <s v="04/07"/>
    <s v="4900000115"/>
    <x v="4"/>
    <x v="5"/>
    <x v="8"/>
    <x v="0"/>
    <x v="0"/>
    <x v="0"/>
    <x v="0"/>
    <x v="0"/>
    <x v="0"/>
    <x v="0"/>
    <n v="1023.37"/>
    <n v="-1023.37"/>
  </r>
  <r>
    <s v="04/07"/>
    <s v="4900000115"/>
    <x v="4"/>
    <x v="5"/>
    <x v="8"/>
    <x v="1"/>
    <x v="1"/>
    <x v="1"/>
    <x v="1"/>
    <x v="1"/>
    <x v="1"/>
    <x v="1"/>
    <n v="1023.37"/>
    <n v="1023.37"/>
  </r>
  <r>
    <s v="04/07"/>
    <s v="0090002307"/>
    <x v="4"/>
    <x v="5"/>
    <x v="8"/>
    <x v="2"/>
    <x v="0"/>
    <x v="0"/>
    <x v="2"/>
    <x v="2"/>
    <x v="2"/>
    <x v="1"/>
    <n v="2436"/>
    <n v="2436"/>
  </r>
  <r>
    <s v="04/07"/>
    <s v="0090002307"/>
    <x v="4"/>
    <x v="5"/>
    <x v="8"/>
    <x v="3"/>
    <x v="1"/>
    <x v="2"/>
    <x v="3"/>
    <x v="3"/>
    <x v="3"/>
    <x v="0"/>
    <n v="2436"/>
    <n v="-2436"/>
  </r>
  <r>
    <s v="04/07"/>
    <s v="0090002303"/>
    <x v="4"/>
    <x v="5"/>
    <x v="8"/>
    <x v="2"/>
    <x v="0"/>
    <x v="0"/>
    <x v="2"/>
    <x v="2"/>
    <x v="2"/>
    <x v="1"/>
    <n v="3996"/>
    <n v="3996"/>
  </r>
  <r>
    <s v="04/07"/>
    <s v="0090002303"/>
    <x v="4"/>
    <x v="5"/>
    <x v="8"/>
    <x v="3"/>
    <x v="1"/>
    <x v="2"/>
    <x v="3"/>
    <x v="3"/>
    <x v="3"/>
    <x v="0"/>
    <n v="1872"/>
    <n v="-1872"/>
  </r>
  <r>
    <s v="04/07"/>
    <s v="0090002303"/>
    <x v="4"/>
    <x v="5"/>
    <x v="8"/>
    <x v="3"/>
    <x v="1"/>
    <x v="2"/>
    <x v="3"/>
    <x v="3"/>
    <x v="3"/>
    <x v="0"/>
    <n v="2124"/>
    <n v="-2124"/>
  </r>
  <r>
    <s v="04/07"/>
    <s v="0090002306"/>
    <x v="4"/>
    <x v="5"/>
    <x v="8"/>
    <x v="2"/>
    <x v="0"/>
    <x v="0"/>
    <x v="2"/>
    <x v="2"/>
    <x v="2"/>
    <x v="1"/>
    <n v="1485"/>
    <n v="1485"/>
  </r>
  <r>
    <s v="04/07"/>
    <s v="0090002306"/>
    <x v="4"/>
    <x v="5"/>
    <x v="8"/>
    <x v="3"/>
    <x v="1"/>
    <x v="2"/>
    <x v="3"/>
    <x v="3"/>
    <x v="3"/>
    <x v="0"/>
    <n v="1485"/>
    <n v="-1485"/>
  </r>
  <r>
    <s v="04/07"/>
    <s v="0090002308"/>
    <x v="4"/>
    <x v="5"/>
    <x v="8"/>
    <x v="2"/>
    <x v="0"/>
    <x v="0"/>
    <x v="2"/>
    <x v="2"/>
    <x v="2"/>
    <x v="1"/>
    <n v="1404"/>
    <n v="1404"/>
  </r>
  <r>
    <s v="04/07"/>
    <s v="0090002308"/>
    <x v="4"/>
    <x v="5"/>
    <x v="8"/>
    <x v="3"/>
    <x v="1"/>
    <x v="2"/>
    <x v="3"/>
    <x v="3"/>
    <x v="3"/>
    <x v="0"/>
    <n v="1404"/>
    <n v="-1404"/>
  </r>
  <r>
    <s v="04/07"/>
    <s v="4900000116"/>
    <x v="4"/>
    <x v="5"/>
    <x v="8"/>
    <x v="0"/>
    <x v="0"/>
    <x v="0"/>
    <x v="0"/>
    <x v="0"/>
    <x v="0"/>
    <x v="0"/>
    <n v="1521.69"/>
    <n v="-1521.69"/>
  </r>
  <r>
    <s v="04/07"/>
    <s v="4900000116"/>
    <x v="4"/>
    <x v="5"/>
    <x v="8"/>
    <x v="1"/>
    <x v="1"/>
    <x v="1"/>
    <x v="1"/>
    <x v="1"/>
    <x v="1"/>
    <x v="1"/>
    <n v="1521.69"/>
    <n v="1521.69"/>
  </r>
  <r>
    <s v="04/07"/>
    <s v="0090002305"/>
    <x v="4"/>
    <x v="5"/>
    <x v="8"/>
    <x v="2"/>
    <x v="0"/>
    <x v="0"/>
    <x v="2"/>
    <x v="2"/>
    <x v="2"/>
    <x v="1"/>
    <n v="2088"/>
    <n v="2088"/>
  </r>
  <r>
    <s v="04/07"/>
    <s v="0090002305"/>
    <x v="4"/>
    <x v="5"/>
    <x v="8"/>
    <x v="3"/>
    <x v="1"/>
    <x v="2"/>
    <x v="3"/>
    <x v="3"/>
    <x v="3"/>
    <x v="0"/>
    <n v="2088"/>
    <n v="-2088"/>
  </r>
  <r>
    <s v="04/07"/>
    <s v="1400000106"/>
    <x v="4"/>
    <x v="5"/>
    <x v="8"/>
    <x v="4"/>
    <x v="0"/>
    <x v="0"/>
    <x v="4"/>
    <x v="4"/>
    <x v="4"/>
    <x v="1"/>
    <n v="3840"/>
    <n v="3840"/>
  </r>
  <r>
    <s v="04/07"/>
    <s v="1400000106"/>
    <x v="4"/>
    <x v="5"/>
    <x v="8"/>
    <x v="2"/>
    <x v="0"/>
    <x v="0"/>
    <x v="2"/>
    <x v="2"/>
    <x v="5"/>
    <x v="0"/>
    <n v="3840"/>
    <n v="-3840"/>
  </r>
  <r>
    <s v="02/08"/>
    <s v="4900000061"/>
    <x v="2"/>
    <x v="8"/>
    <x v="3"/>
    <x v="1"/>
    <x v="1"/>
    <x v="1"/>
    <x v="1"/>
    <x v="1"/>
    <x v="1"/>
    <x v="1"/>
    <n v="1275.96"/>
    <n v="1275.96"/>
  </r>
  <r>
    <s v="02/08"/>
    <s v="4900000061"/>
    <x v="2"/>
    <x v="8"/>
    <x v="3"/>
    <x v="0"/>
    <x v="0"/>
    <x v="0"/>
    <x v="0"/>
    <x v="0"/>
    <x v="0"/>
    <x v="0"/>
    <n v="2111.1799999999998"/>
    <n v="-2111.1799999999998"/>
  </r>
  <r>
    <s v="02/08"/>
    <s v="4900000061"/>
    <x v="2"/>
    <x v="8"/>
    <x v="3"/>
    <x v="1"/>
    <x v="1"/>
    <x v="1"/>
    <x v="1"/>
    <x v="1"/>
    <x v="1"/>
    <x v="1"/>
    <n v="2111.1799999999998"/>
    <n v="2111.1799999999998"/>
  </r>
  <r>
    <s v="03/08"/>
    <s v="0090002268"/>
    <x v="3"/>
    <x v="8"/>
    <x v="6"/>
    <x v="2"/>
    <x v="0"/>
    <x v="0"/>
    <x v="2"/>
    <x v="2"/>
    <x v="2"/>
    <x v="1"/>
    <n v="1710"/>
    <n v="1710"/>
  </r>
  <r>
    <s v="03/08"/>
    <s v="0090002268"/>
    <x v="3"/>
    <x v="8"/>
    <x v="6"/>
    <x v="3"/>
    <x v="1"/>
    <x v="2"/>
    <x v="3"/>
    <x v="3"/>
    <x v="3"/>
    <x v="0"/>
    <n v="1710"/>
    <n v="-1710"/>
  </r>
  <r>
    <s v="03/08"/>
    <s v="0090002269"/>
    <x v="3"/>
    <x v="8"/>
    <x v="6"/>
    <x v="2"/>
    <x v="0"/>
    <x v="0"/>
    <x v="2"/>
    <x v="2"/>
    <x v="2"/>
    <x v="1"/>
    <n v="1848"/>
    <n v="1848"/>
  </r>
  <r>
    <s v="03/08"/>
    <s v="0090002269"/>
    <x v="3"/>
    <x v="8"/>
    <x v="6"/>
    <x v="3"/>
    <x v="1"/>
    <x v="2"/>
    <x v="3"/>
    <x v="3"/>
    <x v="3"/>
    <x v="0"/>
    <n v="1848"/>
    <n v="-1848"/>
  </r>
  <r>
    <s v="03/08"/>
    <s v="1400000078"/>
    <x v="3"/>
    <x v="8"/>
    <x v="6"/>
    <x v="4"/>
    <x v="0"/>
    <x v="0"/>
    <x v="4"/>
    <x v="4"/>
    <x v="4"/>
    <x v="1"/>
    <n v="1680"/>
    <n v="1680"/>
  </r>
  <r>
    <s v="03/08"/>
    <s v="1400000078"/>
    <x v="3"/>
    <x v="8"/>
    <x v="6"/>
    <x v="2"/>
    <x v="0"/>
    <x v="0"/>
    <x v="2"/>
    <x v="2"/>
    <x v="5"/>
    <x v="0"/>
    <n v="1680"/>
    <n v="-1680"/>
  </r>
  <r>
    <s v="03/08"/>
    <s v="1400000078"/>
    <x v="3"/>
    <x v="8"/>
    <x v="6"/>
    <x v="4"/>
    <x v="0"/>
    <x v="0"/>
    <x v="4"/>
    <x v="4"/>
    <x v="4"/>
    <x v="1"/>
    <n v="1590"/>
    <n v="1590"/>
  </r>
  <r>
    <s v="03/08"/>
    <s v="1400000078"/>
    <x v="3"/>
    <x v="8"/>
    <x v="6"/>
    <x v="2"/>
    <x v="0"/>
    <x v="0"/>
    <x v="2"/>
    <x v="2"/>
    <x v="5"/>
    <x v="0"/>
    <n v="1590"/>
    <n v="-1590"/>
  </r>
  <r>
    <s v="03/08"/>
    <s v="1400000082"/>
    <x v="3"/>
    <x v="8"/>
    <x v="6"/>
    <x v="4"/>
    <x v="0"/>
    <x v="0"/>
    <x v="4"/>
    <x v="4"/>
    <x v="4"/>
    <x v="1"/>
    <n v="1520"/>
    <n v="1520"/>
  </r>
  <r>
    <s v="03/08"/>
    <s v="1400000082"/>
    <x v="3"/>
    <x v="8"/>
    <x v="6"/>
    <x v="2"/>
    <x v="0"/>
    <x v="0"/>
    <x v="2"/>
    <x v="2"/>
    <x v="5"/>
    <x v="0"/>
    <n v="1520"/>
    <n v="-1520"/>
  </r>
  <r>
    <s v="03/08"/>
    <s v="1400000079"/>
    <x v="3"/>
    <x v="8"/>
    <x v="6"/>
    <x v="4"/>
    <x v="0"/>
    <x v="0"/>
    <x v="4"/>
    <x v="4"/>
    <x v="4"/>
    <x v="1"/>
    <n v="2490"/>
    <n v="2490"/>
  </r>
  <r>
    <s v="03/08"/>
    <s v="1400000079"/>
    <x v="3"/>
    <x v="8"/>
    <x v="6"/>
    <x v="2"/>
    <x v="0"/>
    <x v="0"/>
    <x v="2"/>
    <x v="2"/>
    <x v="5"/>
    <x v="0"/>
    <n v="2490"/>
    <n v="-2490"/>
  </r>
  <r>
    <s v="03/08"/>
    <s v="1400000079"/>
    <x v="3"/>
    <x v="8"/>
    <x v="6"/>
    <x v="4"/>
    <x v="0"/>
    <x v="0"/>
    <x v="4"/>
    <x v="4"/>
    <x v="4"/>
    <x v="1"/>
    <n v="1750"/>
    <n v="1750"/>
  </r>
  <r>
    <s v="03/08"/>
    <s v="1400000079"/>
    <x v="3"/>
    <x v="8"/>
    <x v="6"/>
    <x v="2"/>
    <x v="0"/>
    <x v="0"/>
    <x v="2"/>
    <x v="2"/>
    <x v="5"/>
    <x v="0"/>
    <n v="1750"/>
    <n v="-1750"/>
  </r>
  <r>
    <s v="03/08"/>
    <s v="1400000079"/>
    <x v="3"/>
    <x v="8"/>
    <x v="6"/>
    <x v="4"/>
    <x v="0"/>
    <x v="0"/>
    <x v="4"/>
    <x v="4"/>
    <x v="4"/>
    <x v="1"/>
    <n v="1664"/>
    <n v="1664"/>
  </r>
  <r>
    <s v="03/08"/>
    <s v="1400000079"/>
    <x v="3"/>
    <x v="8"/>
    <x v="6"/>
    <x v="2"/>
    <x v="0"/>
    <x v="0"/>
    <x v="2"/>
    <x v="2"/>
    <x v="5"/>
    <x v="0"/>
    <n v="1664"/>
    <n v="-1664"/>
  </r>
  <r>
    <s v="03/08"/>
    <s v="0090002270"/>
    <x v="3"/>
    <x v="8"/>
    <x v="6"/>
    <x v="2"/>
    <x v="0"/>
    <x v="0"/>
    <x v="2"/>
    <x v="2"/>
    <x v="2"/>
    <x v="1"/>
    <n v="1615"/>
    <n v="1615"/>
  </r>
  <r>
    <s v="03/08"/>
    <s v="0090002270"/>
    <x v="3"/>
    <x v="8"/>
    <x v="6"/>
    <x v="3"/>
    <x v="1"/>
    <x v="2"/>
    <x v="3"/>
    <x v="3"/>
    <x v="3"/>
    <x v="0"/>
    <n v="1615"/>
    <n v="-1615"/>
  </r>
  <r>
    <s v="03/08"/>
    <s v="0090002271"/>
    <x v="3"/>
    <x v="8"/>
    <x v="6"/>
    <x v="2"/>
    <x v="0"/>
    <x v="0"/>
    <x v="2"/>
    <x v="2"/>
    <x v="2"/>
    <x v="1"/>
    <n v="1995"/>
    <n v="1995"/>
  </r>
  <r>
    <s v="03/08"/>
    <s v="0090002271"/>
    <x v="3"/>
    <x v="8"/>
    <x v="6"/>
    <x v="3"/>
    <x v="1"/>
    <x v="2"/>
    <x v="3"/>
    <x v="3"/>
    <x v="3"/>
    <x v="0"/>
    <n v="1995"/>
    <n v="-1995"/>
  </r>
  <r>
    <s v="03/08"/>
    <s v="4900000092"/>
    <x v="3"/>
    <x v="8"/>
    <x v="6"/>
    <x v="0"/>
    <x v="0"/>
    <x v="0"/>
    <x v="0"/>
    <x v="0"/>
    <x v="0"/>
    <x v="0"/>
    <n v="1325.15"/>
    <n v="-1325.15"/>
  </r>
  <r>
    <s v="03/08"/>
    <s v="4900000092"/>
    <x v="3"/>
    <x v="8"/>
    <x v="6"/>
    <x v="1"/>
    <x v="1"/>
    <x v="1"/>
    <x v="1"/>
    <x v="1"/>
    <x v="1"/>
    <x v="1"/>
    <n v="1325.15"/>
    <n v="1325.15"/>
  </r>
  <r>
    <s v="03/08"/>
    <s v="4900000092"/>
    <x v="3"/>
    <x v="8"/>
    <x v="6"/>
    <x v="0"/>
    <x v="0"/>
    <x v="0"/>
    <x v="0"/>
    <x v="0"/>
    <x v="0"/>
    <x v="0"/>
    <n v="1462.64"/>
    <n v="-1462.64"/>
  </r>
  <r>
    <s v="03/08"/>
    <s v="4900000092"/>
    <x v="3"/>
    <x v="8"/>
    <x v="6"/>
    <x v="1"/>
    <x v="1"/>
    <x v="1"/>
    <x v="1"/>
    <x v="1"/>
    <x v="1"/>
    <x v="1"/>
    <n v="1462.64"/>
    <n v="1462.64"/>
  </r>
  <r>
    <s v="03/08"/>
    <s v="4900000094"/>
    <x v="3"/>
    <x v="8"/>
    <x v="6"/>
    <x v="0"/>
    <x v="0"/>
    <x v="0"/>
    <x v="0"/>
    <x v="0"/>
    <x v="0"/>
    <x v="0"/>
    <n v="1755.16"/>
    <n v="-1755.16"/>
  </r>
  <r>
    <s v="03/08"/>
    <s v="4900000094"/>
    <x v="3"/>
    <x v="8"/>
    <x v="6"/>
    <x v="1"/>
    <x v="1"/>
    <x v="1"/>
    <x v="1"/>
    <x v="1"/>
    <x v="1"/>
    <x v="1"/>
    <n v="1755.16"/>
    <n v="1755.16"/>
  </r>
  <r>
    <s v="03/08"/>
    <s v="1400000081"/>
    <x v="3"/>
    <x v="8"/>
    <x v="6"/>
    <x v="4"/>
    <x v="0"/>
    <x v="0"/>
    <x v="4"/>
    <x v="4"/>
    <x v="4"/>
    <x v="1"/>
    <n v="1425"/>
    <n v="1425"/>
  </r>
  <r>
    <s v="03/08"/>
    <s v="1400000081"/>
    <x v="3"/>
    <x v="8"/>
    <x v="6"/>
    <x v="2"/>
    <x v="0"/>
    <x v="0"/>
    <x v="2"/>
    <x v="2"/>
    <x v="5"/>
    <x v="0"/>
    <n v="1425"/>
    <n v="-1425"/>
  </r>
  <r>
    <s v="03/08"/>
    <s v="1400000080"/>
    <x v="3"/>
    <x v="8"/>
    <x v="6"/>
    <x v="4"/>
    <x v="0"/>
    <x v="0"/>
    <x v="4"/>
    <x v="4"/>
    <x v="4"/>
    <x v="1"/>
    <n v="1710"/>
    <n v="1710"/>
  </r>
  <r>
    <s v="03/08"/>
    <s v="1400000080"/>
    <x v="3"/>
    <x v="8"/>
    <x v="6"/>
    <x v="2"/>
    <x v="0"/>
    <x v="0"/>
    <x v="2"/>
    <x v="2"/>
    <x v="5"/>
    <x v="0"/>
    <n v="1710"/>
    <n v="-1710"/>
  </r>
  <r>
    <s v="03/08"/>
    <s v="1400000080"/>
    <x v="3"/>
    <x v="8"/>
    <x v="6"/>
    <x v="4"/>
    <x v="0"/>
    <x v="0"/>
    <x v="4"/>
    <x v="4"/>
    <x v="4"/>
    <x v="1"/>
    <n v="2310"/>
    <n v="2310"/>
  </r>
  <r>
    <s v="03/08"/>
    <s v="1400000080"/>
    <x v="3"/>
    <x v="8"/>
    <x v="6"/>
    <x v="2"/>
    <x v="0"/>
    <x v="0"/>
    <x v="2"/>
    <x v="2"/>
    <x v="5"/>
    <x v="0"/>
    <n v="2310"/>
    <n v="-2310"/>
  </r>
  <r>
    <s v="03/08"/>
    <s v="1400000080"/>
    <x v="3"/>
    <x v="8"/>
    <x v="6"/>
    <x v="4"/>
    <x v="0"/>
    <x v="0"/>
    <x v="4"/>
    <x v="4"/>
    <x v="4"/>
    <x v="1"/>
    <n v="2288"/>
    <n v="2288"/>
  </r>
  <r>
    <s v="03/08"/>
    <s v="1400000080"/>
    <x v="3"/>
    <x v="8"/>
    <x v="6"/>
    <x v="2"/>
    <x v="0"/>
    <x v="0"/>
    <x v="2"/>
    <x v="2"/>
    <x v="5"/>
    <x v="0"/>
    <n v="2288"/>
    <n v="-2288"/>
  </r>
  <r>
    <s v="03/08"/>
    <s v="1400000080"/>
    <x v="3"/>
    <x v="8"/>
    <x v="6"/>
    <x v="4"/>
    <x v="0"/>
    <x v="0"/>
    <x v="4"/>
    <x v="4"/>
    <x v="4"/>
    <x v="1"/>
    <n v="99"/>
    <n v="99"/>
  </r>
  <r>
    <s v="03/08"/>
    <s v="1400000080"/>
    <x v="3"/>
    <x v="8"/>
    <x v="6"/>
    <x v="2"/>
    <x v="0"/>
    <x v="0"/>
    <x v="2"/>
    <x v="2"/>
    <x v="5"/>
    <x v="0"/>
    <n v="99"/>
    <n v="-99"/>
  </r>
  <r>
    <s v="03/08"/>
    <s v="4900000093"/>
    <x v="3"/>
    <x v="8"/>
    <x v="6"/>
    <x v="0"/>
    <x v="0"/>
    <x v="0"/>
    <x v="0"/>
    <x v="0"/>
    <x v="0"/>
    <x v="0"/>
    <n v="1420.84"/>
    <n v="-1420.84"/>
  </r>
  <r>
    <s v="03/08"/>
    <s v="4900000093"/>
    <x v="3"/>
    <x v="8"/>
    <x v="6"/>
    <x v="1"/>
    <x v="1"/>
    <x v="1"/>
    <x v="1"/>
    <x v="1"/>
    <x v="1"/>
    <x v="1"/>
    <n v="1420.84"/>
    <n v="1420.84"/>
  </r>
  <r>
    <s v="04/02"/>
    <s v="0100000013"/>
    <x v="4"/>
    <x v="9"/>
    <x v="7"/>
    <x v="10"/>
    <x v="1"/>
    <x v="6"/>
    <x v="8"/>
    <x v="10"/>
    <x v="4"/>
    <x v="1"/>
    <n v="300"/>
    <n v="300"/>
  </r>
  <r>
    <s v="04/02"/>
    <s v="0100000013"/>
    <x v="4"/>
    <x v="9"/>
    <x v="7"/>
    <x v="4"/>
    <x v="0"/>
    <x v="0"/>
    <x v="4"/>
    <x v="4"/>
    <x v="3"/>
    <x v="0"/>
    <n v="300"/>
    <n v="-300"/>
  </r>
  <r>
    <s v="04/02"/>
    <s v="0090002286"/>
    <x v="4"/>
    <x v="9"/>
    <x v="7"/>
    <x v="2"/>
    <x v="0"/>
    <x v="0"/>
    <x v="2"/>
    <x v="2"/>
    <x v="2"/>
    <x v="1"/>
    <n v="217"/>
    <n v="217"/>
  </r>
  <r>
    <s v="02/04"/>
    <s v="1400000031"/>
    <x v="2"/>
    <x v="0"/>
    <x v="4"/>
    <x v="4"/>
    <x v="0"/>
    <x v="0"/>
    <x v="4"/>
    <x v="4"/>
    <x v="4"/>
    <x v="1"/>
    <n v="606"/>
    <n v="606"/>
  </r>
  <r>
    <s v="02/04"/>
    <s v="1400000031"/>
    <x v="2"/>
    <x v="0"/>
    <x v="4"/>
    <x v="2"/>
    <x v="0"/>
    <x v="0"/>
    <x v="2"/>
    <x v="2"/>
    <x v="5"/>
    <x v="0"/>
    <n v="606"/>
    <n v="-606"/>
  </r>
  <r>
    <s v="02/04"/>
    <s v="1400000032"/>
    <x v="2"/>
    <x v="0"/>
    <x v="4"/>
    <x v="4"/>
    <x v="0"/>
    <x v="0"/>
    <x v="4"/>
    <x v="4"/>
    <x v="4"/>
    <x v="1"/>
    <n v="1823.44"/>
    <n v="1823.44"/>
  </r>
  <r>
    <s v="02/04"/>
    <s v="1400000032"/>
    <x v="2"/>
    <x v="0"/>
    <x v="4"/>
    <x v="2"/>
    <x v="0"/>
    <x v="0"/>
    <x v="2"/>
    <x v="2"/>
    <x v="5"/>
    <x v="0"/>
    <n v="1823.44"/>
    <n v="-1823.44"/>
  </r>
  <r>
    <s v="02/04"/>
    <s v="1400000032"/>
    <x v="2"/>
    <x v="0"/>
    <x v="4"/>
    <x v="4"/>
    <x v="0"/>
    <x v="0"/>
    <x v="4"/>
    <x v="4"/>
    <x v="4"/>
    <x v="1"/>
    <n v="1728.05"/>
    <n v="1728.05"/>
  </r>
  <r>
    <s v="02/04"/>
    <s v="1400000032"/>
    <x v="2"/>
    <x v="0"/>
    <x v="4"/>
    <x v="2"/>
    <x v="0"/>
    <x v="0"/>
    <x v="2"/>
    <x v="2"/>
    <x v="5"/>
    <x v="0"/>
    <n v="1728.05"/>
    <n v="-1728.05"/>
  </r>
  <r>
    <s v="02/04"/>
    <s v="0090002183"/>
    <x v="2"/>
    <x v="0"/>
    <x v="4"/>
    <x v="2"/>
    <x v="0"/>
    <x v="0"/>
    <x v="2"/>
    <x v="2"/>
    <x v="2"/>
    <x v="1"/>
    <n v="1458"/>
    <n v="1458"/>
  </r>
  <r>
    <s v="02/04"/>
    <s v="0090002183"/>
    <x v="2"/>
    <x v="0"/>
    <x v="4"/>
    <x v="3"/>
    <x v="1"/>
    <x v="2"/>
    <x v="3"/>
    <x v="3"/>
    <x v="3"/>
    <x v="0"/>
    <n v="1458"/>
    <n v="-1458"/>
  </r>
  <r>
    <s v="02/04"/>
    <s v="0090002184"/>
    <x v="2"/>
    <x v="0"/>
    <x v="4"/>
    <x v="2"/>
    <x v="0"/>
    <x v="0"/>
    <x v="2"/>
    <x v="2"/>
    <x v="2"/>
    <x v="1"/>
    <n v="92"/>
    <n v="92"/>
  </r>
  <r>
    <s v="02/04"/>
    <s v="0090002184"/>
    <x v="2"/>
    <x v="0"/>
    <x v="4"/>
    <x v="3"/>
    <x v="1"/>
    <x v="2"/>
    <x v="3"/>
    <x v="3"/>
    <x v="3"/>
    <x v="0"/>
    <n v="92"/>
    <n v="-92"/>
  </r>
  <r>
    <s v="02/04"/>
    <s v="0090002182"/>
    <x v="2"/>
    <x v="0"/>
    <x v="4"/>
    <x v="2"/>
    <x v="0"/>
    <x v="0"/>
    <x v="2"/>
    <x v="2"/>
    <x v="2"/>
    <x v="1"/>
    <n v="1840"/>
    <n v="1840"/>
  </r>
  <r>
    <s v="02/04"/>
    <s v="0090002182"/>
    <x v="2"/>
    <x v="0"/>
    <x v="4"/>
    <x v="3"/>
    <x v="1"/>
    <x v="2"/>
    <x v="3"/>
    <x v="3"/>
    <x v="3"/>
    <x v="0"/>
    <n v="1840"/>
    <n v="-1840"/>
  </r>
  <r>
    <s v="02/04"/>
    <s v="1400000030"/>
    <x v="2"/>
    <x v="0"/>
    <x v="4"/>
    <x v="4"/>
    <x v="0"/>
    <x v="0"/>
    <x v="4"/>
    <x v="4"/>
    <x v="4"/>
    <x v="1"/>
    <n v="1580.88"/>
    <n v="1580.88"/>
  </r>
  <r>
    <s v="02/04"/>
    <s v="1400000030"/>
    <x v="2"/>
    <x v="0"/>
    <x v="4"/>
    <x v="2"/>
    <x v="0"/>
    <x v="0"/>
    <x v="2"/>
    <x v="2"/>
    <x v="5"/>
    <x v="0"/>
    <n v="1580.88"/>
    <n v="-1580.88"/>
  </r>
  <r>
    <s v="02/04"/>
    <s v="1400000033"/>
    <x v="2"/>
    <x v="0"/>
    <x v="4"/>
    <x v="4"/>
    <x v="0"/>
    <x v="0"/>
    <x v="4"/>
    <x v="4"/>
    <x v="4"/>
    <x v="1"/>
    <n v="5820.8"/>
    <n v="5820.8"/>
  </r>
  <r>
    <s v="02/04"/>
    <s v="1400000033"/>
    <x v="2"/>
    <x v="0"/>
    <x v="4"/>
    <x v="2"/>
    <x v="0"/>
    <x v="0"/>
    <x v="2"/>
    <x v="2"/>
    <x v="5"/>
    <x v="0"/>
    <n v="5820.8"/>
    <n v="-5820.8"/>
  </r>
  <r>
    <s v="02/04"/>
    <s v="1400000033"/>
    <x v="2"/>
    <x v="0"/>
    <x v="4"/>
    <x v="4"/>
    <x v="0"/>
    <x v="0"/>
    <x v="4"/>
    <x v="4"/>
    <x v="4"/>
    <x v="1"/>
    <n v="2278.56"/>
    <n v="2278.56"/>
  </r>
  <r>
    <s v="02/04"/>
    <s v="1400000033"/>
    <x v="2"/>
    <x v="0"/>
    <x v="4"/>
    <x v="2"/>
    <x v="0"/>
    <x v="0"/>
    <x v="2"/>
    <x v="2"/>
    <x v="5"/>
    <x v="0"/>
    <n v="2278.56"/>
    <n v="-2278.56"/>
  </r>
  <r>
    <s v="02/04"/>
    <s v="4900000050"/>
    <x v="2"/>
    <x v="0"/>
    <x v="4"/>
    <x v="0"/>
    <x v="0"/>
    <x v="0"/>
    <x v="0"/>
    <x v="0"/>
    <x v="0"/>
    <x v="0"/>
    <n v="1378.85"/>
    <n v="-1378.85"/>
  </r>
  <r>
    <s v="02/04"/>
    <s v="4900000050"/>
    <x v="2"/>
    <x v="0"/>
    <x v="4"/>
    <x v="1"/>
    <x v="1"/>
    <x v="1"/>
    <x v="1"/>
    <x v="1"/>
    <x v="1"/>
    <x v="1"/>
    <n v="1378.85"/>
    <n v="1378.85"/>
  </r>
  <r>
    <s v="02/04"/>
    <s v="0090002185"/>
    <x v="2"/>
    <x v="0"/>
    <x v="4"/>
    <x v="2"/>
    <x v="0"/>
    <x v="0"/>
    <x v="2"/>
    <x v="2"/>
    <x v="2"/>
    <x v="1"/>
    <n v="1539"/>
    <n v="1539"/>
  </r>
  <r>
    <s v="02/04"/>
    <s v="0090002185"/>
    <x v="2"/>
    <x v="0"/>
    <x v="4"/>
    <x v="3"/>
    <x v="1"/>
    <x v="2"/>
    <x v="3"/>
    <x v="3"/>
    <x v="3"/>
    <x v="0"/>
    <n v="1539"/>
    <n v="-1539"/>
  </r>
  <r>
    <s v="02/04"/>
    <s v="4900000048"/>
    <x v="2"/>
    <x v="0"/>
    <x v="4"/>
    <x v="0"/>
    <x v="0"/>
    <x v="0"/>
    <x v="0"/>
    <x v="0"/>
    <x v="0"/>
    <x v="0"/>
    <n v="1665.05"/>
    <n v="-1665.05"/>
  </r>
  <r>
    <s v="02/04"/>
    <s v="4900000048"/>
    <x v="2"/>
    <x v="0"/>
    <x v="4"/>
    <x v="1"/>
    <x v="1"/>
    <x v="1"/>
    <x v="1"/>
    <x v="1"/>
    <x v="1"/>
    <x v="1"/>
    <n v="1665.05"/>
    <n v="1665.05"/>
  </r>
  <r>
    <s v="02/04"/>
    <s v="4900000049"/>
    <x v="2"/>
    <x v="0"/>
    <x v="4"/>
    <x v="0"/>
    <x v="0"/>
    <x v="0"/>
    <x v="0"/>
    <x v="0"/>
    <x v="0"/>
    <x v="0"/>
    <n v="1306.27"/>
    <n v="-1306.27"/>
  </r>
  <r>
    <s v="02/04"/>
    <s v="4900000049"/>
    <x v="2"/>
    <x v="0"/>
    <x v="4"/>
    <x v="1"/>
    <x v="1"/>
    <x v="1"/>
    <x v="1"/>
    <x v="1"/>
    <x v="1"/>
    <x v="1"/>
    <n v="1306.27"/>
    <n v="1306.27"/>
  </r>
  <r>
    <s v="02/04"/>
    <s v="4900000049"/>
    <x v="2"/>
    <x v="0"/>
    <x v="4"/>
    <x v="0"/>
    <x v="0"/>
    <x v="0"/>
    <x v="0"/>
    <x v="0"/>
    <x v="0"/>
    <x v="0"/>
    <n v="83.25"/>
    <n v="-83.25"/>
  </r>
  <r>
    <s v="02/04"/>
    <s v="4900000049"/>
    <x v="2"/>
    <x v="0"/>
    <x v="4"/>
    <x v="1"/>
    <x v="1"/>
    <x v="1"/>
    <x v="1"/>
    <x v="1"/>
    <x v="1"/>
    <x v="1"/>
    <n v="83.25"/>
    <n v="83.25"/>
  </r>
  <r>
    <s v="02/04"/>
    <s v="0100000006"/>
    <x v="2"/>
    <x v="0"/>
    <x v="4"/>
    <x v="10"/>
    <x v="1"/>
    <x v="6"/>
    <x v="8"/>
    <x v="10"/>
    <x v="4"/>
    <x v="1"/>
    <n v="300"/>
    <n v="300"/>
  </r>
  <r>
    <s v="02/04"/>
    <s v="0100000006"/>
    <x v="2"/>
    <x v="0"/>
    <x v="4"/>
    <x v="4"/>
    <x v="0"/>
    <x v="0"/>
    <x v="4"/>
    <x v="4"/>
    <x v="3"/>
    <x v="0"/>
    <n v="300"/>
    <n v="-300"/>
  </r>
  <r>
    <s v="02/05"/>
    <s v="1400000037"/>
    <x v="2"/>
    <x v="10"/>
    <x v="4"/>
    <x v="2"/>
    <x v="0"/>
    <x v="0"/>
    <x v="2"/>
    <x v="2"/>
    <x v="5"/>
    <x v="0"/>
    <n v="2300"/>
    <n v="-2300"/>
  </r>
  <r>
    <s v="02/05"/>
    <s v="4900000052"/>
    <x v="2"/>
    <x v="10"/>
    <x v="4"/>
    <x v="0"/>
    <x v="0"/>
    <x v="0"/>
    <x v="0"/>
    <x v="0"/>
    <x v="0"/>
    <x v="0"/>
    <n v="1327.03"/>
    <n v="-1327.03"/>
  </r>
  <r>
    <s v="02/05"/>
    <s v="4900000052"/>
    <x v="2"/>
    <x v="10"/>
    <x v="4"/>
    <x v="1"/>
    <x v="1"/>
    <x v="1"/>
    <x v="1"/>
    <x v="1"/>
    <x v="1"/>
    <x v="1"/>
    <n v="1327.03"/>
    <n v="1327.03"/>
  </r>
  <r>
    <s v="02/05"/>
    <s v="4900000052"/>
    <x v="2"/>
    <x v="10"/>
    <x v="4"/>
    <x v="0"/>
    <x v="0"/>
    <x v="0"/>
    <x v="0"/>
    <x v="0"/>
    <x v="0"/>
    <x v="0"/>
    <n v="1085.75"/>
    <n v="-1085.75"/>
  </r>
  <r>
    <s v="02/05"/>
    <s v="4900000052"/>
    <x v="2"/>
    <x v="10"/>
    <x v="4"/>
    <x v="1"/>
    <x v="1"/>
    <x v="1"/>
    <x v="1"/>
    <x v="1"/>
    <x v="1"/>
    <x v="1"/>
    <n v="1085.75"/>
    <n v="1085.75"/>
  </r>
  <r>
    <s v="02/05"/>
    <s v="4900000053"/>
    <x v="2"/>
    <x v="10"/>
    <x v="4"/>
    <x v="0"/>
    <x v="0"/>
    <x v="0"/>
    <x v="0"/>
    <x v="0"/>
    <x v="0"/>
    <x v="0"/>
    <n v="1581.8"/>
    <n v="-1581.8"/>
  </r>
  <r>
    <s v="02/05"/>
    <s v="4900000053"/>
    <x v="2"/>
    <x v="10"/>
    <x v="4"/>
    <x v="1"/>
    <x v="1"/>
    <x v="1"/>
    <x v="1"/>
    <x v="1"/>
    <x v="1"/>
    <x v="1"/>
    <n v="1581.8"/>
    <n v="1581.8"/>
  </r>
  <r>
    <s v="02/05"/>
    <s v="4900000053"/>
    <x v="2"/>
    <x v="10"/>
    <x v="4"/>
    <x v="0"/>
    <x v="0"/>
    <x v="0"/>
    <x v="0"/>
    <x v="0"/>
    <x v="0"/>
    <x v="0"/>
    <n v="1328.05"/>
    <n v="-1328.05"/>
  </r>
  <r>
    <s v="02/05"/>
    <s v="4900000053"/>
    <x v="2"/>
    <x v="10"/>
    <x v="4"/>
    <x v="1"/>
    <x v="1"/>
    <x v="1"/>
    <x v="1"/>
    <x v="1"/>
    <x v="1"/>
    <x v="1"/>
    <n v="1328.05"/>
    <n v="1328.05"/>
  </r>
  <r>
    <s v="02/05"/>
    <s v="4900000053"/>
    <x v="2"/>
    <x v="10"/>
    <x v="4"/>
    <x v="0"/>
    <x v="0"/>
    <x v="0"/>
    <x v="0"/>
    <x v="0"/>
    <x v="0"/>
    <x v="0"/>
    <n v="1581.8"/>
    <n v="-1581.8"/>
  </r>
  <r>
    <s v="02/05"/>
    <s v="4900000053"/>
    <x v="2"/>
    <x v="10"/>
    <x v="4"/>
    <x v="1"/>
    <x v="1"/>
    <x v="1"/>
    <x v="1"/>
    <x v="1"/>
    <x v="1"/>
    <x v="1"/>
    <n v="1581.8"/>
    <n v="1581.8"/>
  </r>
  <r>
    <s v="02/05"/>
    <s v="1400000034"/>
    <x v="2"/>
    <x v="10"/>
    <x v="4"/>
    <x v="4"/>
    <x v="0"/>
    <x v="0"/>
    <x v="4"/>
    <x v="4"/>
    <x v="4"/>
    <x v="1"/>
    <n v="2144"/>
    <n v="2144"/>
  </r>
  <r>
    <s v="02/05"/>
    <s v="1400000034"/>
    <x v="2"/>
    <x v="10"/>
    <x v="4"/>
    <x v="2"/>
    <x v="0"/>
    <x v="0"/>
    <x v="2"/>
    <x v="2"/>
    <x v="5"/>
    <x v="0"/>
    <n v="2144"/>
    <n v="-2144"/>
  </r>
  <r>
    <s v="02/05"/>
    <s v="1400000036"/>
    <x v="2"/>
    <x v="10"/>
    <x v="4"/>
    <x v="4"/>
    <x v="0"/>
    <x v="0"/>
    <x v="4"/>
    <x v="4"/>
    <x v="4"/>
    <x v="1"/>
    <n v="1539"/>
    <n v="1539"/>
  </r>
  <r>
    <s v="03/05"/>
    <s v="1400000073"/>
    <x v="3"/>
    <x v="10"/>
    <x v="5"/>
    <x v="2"/>
    <x v="0"/>
    <x v="0"/>
    <x v="2"/>
    <x v="2"/>
    <x v="5"/>
    <x v="0"/>
    <n v="2324"/>
    <n v="-2324"/>
  </r>
  <r>
    <s v="03/05"/>
    <s v="1400000073"/>
    <x v="3"/>
    <x v="10"/>
    <x v="5"/>
    <x v="4"/>
    <x v="0"/>
    <x v="0"/>
    <x v="4"/>
    <x v="4"/>
    <x v="4"/>
    <x v="1"/>
    <n v="1656"/>
    <n v="1656"/>
  </r>
  <r>
    <s v="03/05"/>
    <s v="1400000073"/>
    <x v="3"/>
    <x v="10"/>
    <x v="5"/>
    <x v="2"/>
    <x v="0"/>
    <x v="0"/>
    <x v="2"/>
    <x v="2"/>
    <x v="5"/>
    <x v="0"/>
    <n v="1656"/>
    <n v="-1656"/>
  </r>
  <r>
    <s v="03/05"/>
    <s v="1400000073"/>
    <x v="3"/>
    <x v="10"/>
    <x v="5"/>
    <x v="4"/>
    <x v="0"/>
    <x v="0"/>
    <x v="4"/>
    <x v="4"/>
    <x v="4"/>
    <x v="1"/>
    <n v="864"/>
    <n v="864"/>
  </r>
  <r>
    <s v="03/05"/>
    <s v="1400000073"/>
    <x v="3"/>
    <x v="10"/>
    <x v="5"/>
    <x v="2"/>
    <x v="0"/>
    <x v="0"/>
    <x v="2"/>
    <x v="2"/>
    <x v="5"/>
    <x v="0"/>
    <n v="864"/>
    <n v="-864"/>
  </r>
  <r>
    <s v="03/05"/>
    <s v="0090002255"/>
    <x v="3"/>
    <x v="10"/>
    <x v="5"/>
    <x v="2"/>
    <x v="0"/>
    <x v="0"/>
    <x v="2"/>
    <x v="2"/>
    <x v="2"/>
    <x v="1"/>
    <n v="1650"/>
    <n v="1650"/>
  </r>
  <r>
    <s v="03/05"/>
    <s v="0090002255"/>
    <x v="3"/>
    <x v="10"/>
    <x v="5"/>
    <x v="3"/>
    <x v="1"/>
    <x v="2"/>
    <x v="3"/>
    <x v="3"/>
    <x v="3"/>
    <x v="0"/>
    <n v="1650"/>
    <n v="-1650"/>
  </r>
  <r>
    <s v="03/05"/>
    <s v="4900000083"/>
    <x v="3"/>
    <x v="10"/>
    <x v="5"/>
    <x v="0"/>
    <x v="0"/>
    <x v="0"/>
    <x v="0"/>
    <x v="0"/>
    <x v="0"/>
    <x v="0"/>
    <n v="1568.82"/>
    <n v="-1568.82"/>
  </r>
  <r>
    <s v="03/05"/>
    <s v="4900000083"/>
    <x v="3"/>
    <x v="10"/>
    <x v="5"/>
    <x v="1"/>
    <x v="1"/>
    <x v="1"/>
    <x v="1"/>
    <x v="1"/>
    <x v="1"/>
    <x v="1"/>
    <n v="1568.82"/>
    <n v="1568.82"/>
  </r>
  <r>
    <s v="03/05"/>
    <s v="0090002250"/>
    <x v="3"/>
    <x v="10"/>
    <x v="5"/>
    <x v="2"/>
    <x v="0"/>
    <x v="0"/>
    <x v="2"/>
    <x v="2"/>
    <x v="2"/>
    <x v="1"/>
    <n v="1820"/>
    <n v="1820"/>
  </r>
  <r>
    <s v="03/05"/>
    <s v="0090002250"/>
    <x v="3"/>
    <x v="10"/>
    <x v="5"/>
    <x v="3"/>
    <x v="1"/>
    <x v="2"/>
    <x v="3"/>
    <x v="3"/>
    <x v="3"/>
    <x v="0"/>
    <n v="1820"/>
    <n v="-1820"/>
  </r>
  <r>
    <s v="03/05"/>
    <s v="1400000071"/>
    <x v="3"/>
    <x v="10"/>
    <x v="5"/>
    <x v="4"/>
    <x v="0"/>
    <x v="0"/>
    <x v="4"/>
    <x v="4"/>
    <x v="4"/>
    <x v="1"/>
    <n v="754"/>
    <n v="754"/>
  </r>
  <r>
    <s v="03/05"/>
    <s v="1400000071"/>
    <x v="3"/>
    <x v="10"/>
    <x v="5"/>
    <x v="2"/>
    <x v="0"/>
    <x v="0"/>
    <x v="2"/>
    <x v="2"/>
    <x v="5"/>
    <x v="0"/>
    <n v="754"/>
    <n v="-754"/>
  </r>
  <r>
    <s v="03/05"/>
    <s v="1400000071"/>
    <x v="3"/>
    <x v="10"/>
    <x v="5"/>
    <x v="4"/>
    <x v="0"/>
    <x v="0"/>
    <x v="4"/>
    <x v="4"/>
    <x v="4"/>
    <x v="1"/>
    <n v="1880"/>
    <n v="1880"/>
  </r>
  <r>
    <s v="03/05"/>
    <s v="1400000071"/>
    <x v="3"/>
    <x v="10"/>
    <x v="5"/>
    <x v="2"/>
    <x v="0"/>
    <x v="0"/>
    <x v="2"/>
    <x v="2"/>
    <x v="5"/>
    <x v="0"/>
    <n v="1880"/>
    <n v="-1880"/>
  </r>
  <r>
    <s v="04/09"/>
    <s v="1400000111"/>
    <x v="4"/>
    <x v="1"/>
    <x v="8"/>
    <x v="4"/>
    <x v="0"/>
    <x v="0"/>
    <x v="4"/>
    <x v="4"/>
    <x v="4"/>
    <x v="1"/>
    <n v="2328"/>
    <n v="2328"/>
  </r>
  <r>
    <s v="04/09"/>
    <s v="1400000111"/>
    <x v="4"/>
    <x v="1"/>
    <x v="8"/>
    <x v="2"/>
    <x v="0"/>
    <x v="0"/>
    <x v="2"/>
    <x v="2"/>
    <x v="5"/>
    <x v="0"/>
    <n v="2328"/>
    <n v="-2328"/>
  </r>
  <r>
    <s v="04/09"/>
    <s v="1400000109"/>
    <x v="4"/>
    <x v="1"/>
    <x v="8"/>
    <x v="4"/>
    <x v="0"/>
    <x v="0"/>
    <x v="4"/>
    <x v="4"/>
    <x v="4"/>
    <x v="1"/>
    <n v="1540"/>
    <n v="1540"/>
  </r>
  <r>
    <s v="04/09"/>
    <s v="1400000109"/>
    <x v="4"/>
    <x v="1"/>
    <x v="8"/>
    <x v="2"/>
    <x v="0"/>
    <x v="0"/>
    <x v="2"/>
    <x v="2"/>
    <x v="5"/>
    <x v="0"/>
    <n v="1540"/>
    <n v="-1540"/>
  </r>
  <r>
    <s v="04/09"/>
    <s v="4900000120"/>
    <x v="4"/>
    <x v="1"/>
    <x v="8"/>
    <x v="0"/>
    <x v="0"/>
    <x v="0"/>
    <x v="0"/>
    <x v="0"/>
    <x v="0"/>
    <x v="0"/>
    <n v="1314.94"/>
    <n v="-1314.94"/>
  </r>
  <r>
    <s v="04/09"/>
    <s v="4900000120"/>
    <x v="4"/>
    <x v="1"/>
    <x v="8"/>
    <x v="1"/>
    <x v="1"/>
    <x v="1"/>
    <x v="1"/>
    <x v="1"/>
    <x v="1"/>
    <x v="1"/>
    <n v="1314.94"/>
    <n v="1314.94"/>
  </r>
  <r>
    <s v="04/09"/>
    <s v="0090002315"/>
    <x v="4"/>
    <x v="1"/>
    <x v="8"/>
    <x v="2"/>
    <x v="0"/>
    <x v="0"/>
    <x v="2"/>
    <x v="2"/>
    <x v="2"/>
    <x v="1"/>
    <n v="1800"/>
    <n v="1800"/>
  </r>
  <r>
    <s v="04/09"/>
    <s v="0090002315"/>
    <x v="4"/>
    <x v="1"/>
    <x v="8"/>
    <x v="3"/>
    <x v="1"/>
    <x v="2"/>
    <x v="3"/>
    <x v="3"/>
    <x v="3"/>
    <x v="0"/>
    <n v="1800"/>
    <n v="-1800"/>
  </r>
  <r>
    <s v="04/09"/>
    <s v="1400000110"/>
    <x v="4"/>
    <x v="1"/>
    <x v="8"/>
    <x v="4"/>
    <x v="0"/>
    <x v="0"/>
    <x v="4"/>
    <x v="4"/>
    <x v="4"/>
    <x v="1"/>
    <n v="2160"/>
    <n v="2160"/>
  </r>
  <r>
    <s v="04/09"/>
    <s v="1400000110"/>
    <x v="4"/>
    <x v="1"/>
    <x v="8"/>
    <x v="2"/>
    <x v="0"/>
    <x v="0"/>
    <x v="2"/>
    <x v="2"/>
    <x v="5"/>
    <x v="0"/>
    <n v="2160"/>
    <n v="-2160"/>
  </r>
  <r>
    <s v="04/09"/>
    <s v="1400000110"/>
    <x v="4"/>
    <x v="1"/>
    <x v="8"/>
    <x v="4"/>
    <x v="0"/>
    <x v="0"/>
    <x v="4"/>
    <x v="4"/>
    <x v="4"/>
    <x v="1"/>
    <n v="1750"/>
    <n v="1750"/>
  </r>
  <r>
    <s v="04/09"/>
    <s v="1400000110"/>
    <x v="4"/>
    <x v="1"/>
    <x v="8"/>
    <x v="2"/>
    <x v="0"/>
    <x v="0"/>
    <x v="2"/>
    <x v="2"/>
    <x v="5"/>
    <x v="0"/>
    <n v="1750"/>
    <n v="-1750"/>
  </r>
  <r>
    <s v="04/10"/>
    <s v="1400000112"/>
    <x v="4"/>
    <x v="6"/>
    <x v="8"/>
    <x v="4"/>
    <x v="0"/>
    <x v="0"/>
    <x v="4"/>
    <x v="4"/>
    <x v="4"/>
    <x v="1"/>
    <n v="2450"/>
    <n v="2450"/>
  </r>
  <r>
    <s v="04/10"/>
    <s v="1400000112"/>
    <x v="4"/>
    <x v="6"/>
    <x v="8"/>
    <x v="2"/>
    <x v="0"/>
    <x v="0"/>
    <x v="2"/>
    <x v="2"/>
    <x v="5"/>
    <x v="0"/>
    <n v="2450"/>
    <n v="-2450"/>
  </r>
  <r>
    <s v="04/10"/>
    <s v="1400000112"/>
    <x v="4"/>
    <x v="6"/>
    <x v="8"/>
    <x v="4"/>
    <x v="0"/>
    <x v="0"/>
    <x v="4"/>
    <x v="4"/>
    <x v="4"/>
    <x v="1"/>
    <n v="1800"/>
    <n v="1800"/>
  </r>
  <r>
    <s v="04/10"/>
    <s v="1400000112"/>
    <x v="4"/>
    <x v="6"/>
    <x v="8"/>
    <x v="2"/>
    <x v="0"/>
    <x v="0"/>
    <x v="2"/>
    <x v="2"/>
    <x v="5"/>
    <x v="0"/>
    <n v="1800"/>
    <n v="-1800"/>
  </r>
  <r>
    <s v="04/10"/>
    <s v="0090002316"/>
    <x v="4"/>
    <x v="6"/>
    <x v="8"/>
    <x v="2"/>
    <x v="0"/>
    <x v="0"/>
    <x v="2"/>
    <x v="2"/>
    <x v="2"/>
    <x v="1"/>
    <n v="1998"/>
    <n v="1998"/>
  </r>
  <r>
    <s v="04/10"/>
    <s v="0090002316"/>
    <x v="4"/>
    <x v="6"/>
    <x v="8"/>
    <x v="3"/>
    <x v="1"/>
    <x v="2"/>
    <x v="3"/>
    <x v="3"/>
    <x v="3"/>
    <x v="0"/>
    <n v="1998"/>
    <n v="-1998"/>
  </r>
  <r>
    <s v="04/10"/>
    <s v="0100000017"/>
    <x v="4"/>
    <x v="6"/>
    <x v="8"/>
    <x v="11"/>
    <x v="1"/>
    <x v="6"/>
    <x v="8"/>
    <x v="11"/>
    <x v="4"/>
    <x v="1"/>
    <n v="600"/>
    <n v="600"/>
  </r>
  <r>
    <s v="04/10"/>
    <s v="0100000017"/>
    <x v="4"/>
    <x v="6"/>
    <x v="8"/>
    <x v="4"/>
    <x v="0"/>
    <x v="0"/>
    <x v="4"/>
    <x v="4"/>
    <x v="3"/>
    <x v="0"/>
    <n v="600"/>
    <n v="-600"/>
  </r>
  <r>
    <s v="04/10"/>
    <s v="4900000121"/>
    <x v="4"/>
    <x v="6"/>
    <x v="8"/>
    <x v="0"/>
    <x v="0"/>
    <x v="0"/>
    <x v="0"/>
    <x v="0"/>
    <x v="0"/>
    <x v="0"/>
    <n v="1645.07"/>
    <n v="-1645.07"/>
  </r>
  <r>
    <s v="04/10"/>
    <s v="4900000121"/>
    <x v="4"/>
    <x v="6"/>
    <x v="8"/>
    <x v="1"/>
    <x v="1"/>
    <x v="1"/>
    <x v="1"/>
    <x v="1"/>
    <x v="1"/>
    <x v="1"/>
    <n v="1645.07"/>
    <n v="1645.07"/>
  </r>
  <r>
    <s v="04/10"/>
    <s v="4900000121"/>
    <x v="4"/>
    <x v="6"/>
    <x v="8"/>
    <x v="0"/>
    <x v="0"/>
    <x v="0"/>
    <x v="0"/>
    <x v="0"/>
    <x v="0"/>
    <x v="0"/>
    <n v="1525.33"/>
    <n v="-1525.33"/>
  </r>
  <r>
    <s v="04/10"/>
    <s v="4900000121"/>
    <x v="4"/>
    <x v="6"/>
    <x v="8"/>
    <x v="1"/>
    <x v="1"/>
    <x v="1"/>
    <x v="1"/>
    <x v="1"/>
    <x v="1"/>
    <x v="1"/>
    <n v="1525.33"/>
    <n v="1525.33"/>
  </r>
  <r>
    <s v="04/10"/>
    <s v="4900000121"/>
    <x v="4"/>
    <x v="6"/>
    <x v="8"/>
    <x v="0"/>
    <x v="0"/>
    <x v="0"/>
    <x v="0"/>
    <x v="0"/>
    <x v="0"/>
    <x v="0"/>
    <n v="1182.51"/>
    <n v="-1182.51"/>
  </r>
  <r>
    <s v="04/10"/>
    <s v="4900000121"/>
    <x v="4"/>
    <x v="6"/>
    <x v="8"/>
    <x v="1"/>
    <x v="1"/>
    <x v="1"/>
    <x v="1"/>
    <x v="1"/>
    <x v="1"/>
    <x v="1"/>
    <n v="1182.51"/>
    <n v="1182.51"/>
  </r>
  <r>
    <s v="04/10"/>
    <s v="0090002317"/>
    <x v="4"/>
    <x v="6"/>
    <x v="8"/>
    <x v="2"/>
    <x v="0"/>
    <x v="0"/>
    <x v="2"/>
    <x v="2"/>
    <x v="2"/>
    <x v="1"/>
    <n v="2146"/>
    <n v="2146"/>
  </r>
  <r>
    <s v="04/10"/>
    <s v="0090002317"/>
    <x v="4"/>
    <x v="6"/>
    <x v="8"/>
    <x v="3"/>
    <x v="1"/>
    <x v="2"/>
    <x v="3"/>
    <x v="3"/>
    <x v="3"/>
    <x v="0"/>
    <n v="2146"/>
    <n v="-2146"/>
  </r>
  <r>
    <s v="04/10"/>
    <s v="0090002318"/>
    <x v="4"/>
    <x v="6"/>
    <x v="8"/>
    <x v="2"/>
    <x v="0"/>
    <x v="0"/>
    <x v="2"/>
    <x v="2"/>
    <x v="2"/>
    <x v="1"/>
    <n v="1512"/>
    <n v="1512"/>
  </r>
  <r>
    <s v="04/02"/>
    <s v="0090002286"/>
    <x v="4"/>
    <x v="9"/>
    <x v="7"/>
    <x v="3"/>
    <x v="1"/>
    <x v="2"/>
    <x v="3"/>
    <x v="3"/>
    <x v="3"/>
    <x v="0"/>
    <n v="217"/>
    <n v="-217"/>
  </r>
  <r>
    <s v="04/02"/>
    <s v="0090002287"/>
    <x v="4"/>
    <x v="9"/>
    <x v="7"/>
    <x v="2"/>
    <x v="0"/>
    <x v="0"/>
    <x v="2"/>
    <x v="2"/>
    <x v="2"/>
    <x v="1"/>
    <n v="1984"/>
    <n v="1984"/>
  </r>
  <r>
    <s v="04/02"/>
    <s v="0090002287"/>
    <x v="4"/>
    <x v="9"/>
    <x v="7"/>
    <x v="3"/>
    <x v="1"/>
    <x v="2"/>
    <x v="3"/>
    <x v="3"/>
    <x v="3"/>
    <x v="0"/>
    <n v="1984"/>
    <n v="-1984"/>
  </r>
  <r>
    <s v="04/02"/>
    <s v="4900000104"/>
    <x v="4"/>
    <x v="9"/>
    <x v="7"/>
    <x v="0"/>
    <x v="0"/>
    <x v="0"/>
    <x v="0"/>
    <x v="0"/>
    <x v="0"/>
    <x v="0"/>
    <n v="1491.2"/>
    <n v="-1491.2"/>
  </r>
  <r>
    <s v="04/02"/>
    <s v="4900000104"/>
    <x v="4"/>
    <x v="9"/>
    <x v="7"/>
    <x v="1"/>
    <x v="1"/>
    <x v="1"/>
    <x v="1"/>
    <x v="1"/>
    <x v="1"/>
    <x v="1"/>
    <n v="1491.2"/>
    <n v="1491.2"/>
  </r>
  <r>
    <s v="04/02"/>
    <s v="1400000093"/>
    <x v="4"/>
    <x v="9"/>
    <x v="7"/>
    <x v="4"/>
    <x v="0"/>
    <x v="0"/>
    <x v="4"/>
    <x v="4"/>
    <x v="4"/>
    <x v="1"/>
    <n v="1615"/>
    <n v="1615"/>
  </r>
  <r>
    <s v="04/02"/>
    <s v="1400000093"/>
    <x v="4"/>
    <x v="9"/>
    <x v="7"/>
    <x v="2"/>
    <x v="0"/>
    <x v="0"/>
    <x v="2"/>
    <x v="2"/>
    <x v="5"/>
    <x v="0"/>
    <n v="1615"/>
    <n v="-1615"/>
  </r>
  <r>
    <s v="04/02"/>
    <s v="1400000092"/>
    <x v="4"/>
    <x v="9"/>
    <x v="7"/>
    <x v="4"/>
    <x v="0"/>
    <x v="0"/>
    <x v="4"/>
    <x v="4"/>
    <x v="4"/>
    <x v="1"/>
    <n v="1710"/>
    <n v="1710"/>
  </r>
  <r>
    <s v="04/02"/>
    <s v="1400000092"/>
    <x v="4"/>
    <x v="9"/>
    <x v="7"/>
    <x v="2"/>
    <x v="0"/>
    <x v="0"/>
    <x v="2"/>
    <x v="2"/>
    <x v="5"/>
    <x v="0"/>
    <n v="1710"/>
    <n v="-1710"/>
  </r>
  <r>
    <s v="04/02"/>
    <s v="1400000092"/>
    <x v="4"/>
    <x v="9"/>
    <x v="7"/>
    <x v="4"/>
    <x v="0"/>
    <x v="0"/>
    <x v="4"/>
    <x v="4"/>
    <x v="4"/>
    <x v="1"/>
    <n v="1848"/>
    <n v="1848"/>
  </r>
  <r>
    <s v="04/02"/>
    <s v="1400000092"/>
    <x v="4"/>
    <x v="9"/>
    <x v="7"/>
    <x v="2"/>
    <x v="0"/>
    <x v="0"/>
    <x v="2"/>
    <x v="2"/>
    <x v="5"/>
    <x v="0"/>
    <n v="1848"/>
    <n v="-1848"/>
  </r>
  <r>
    <s v="04/02"/>
    <s v="1400000094"/>
    <x v="4"/>
    <x v="9"/>
    <x v="7"/>
    <x v="4"/>
    <x v="0"/>
    <x v="0"/>
    <x v="4"/>
    <x v="4"/>
    <x v="4"/>
    <x v="1"/>
    <n v="1995"/>
    <n v="1995"/>
  </r>
  <r>
    <s v="04/02"/>
    <s v="1400000094"/>
    <x v="4"/>
    <x v="9"/>
    <x v="7"/>
    <x v="2"/>
    <x v="0"/>
    <x v="0"/>
    <x v="2"/>
    <x v="2"/>
    <x v="5"/>
    <x v="0"/>
    <n v="1995"/>
    <n v="-1995"/>
  </r>
  <r>
    <s v="04/02"/>
    <s v="4900000103"/>
    <x v="4"/>
    <x v="9"/>
    <x v="7"/>
    <x v="0"/>
    <x v="0"/>
    <x v="0"/>
    <x v="0"/>
    <x v="0"/>
    <x v="0"/>
    <x v="0"/>
    <n v="163.1"/>
    <n v="-163.1"/>
  </r>
  <r>
    <s v="04/02"/>
    <s v="4900000103"/>
    <x v="4"/>
    <x v="9"/>
    <x v="7"/>
    <x v="1"/>
    <x v="1"/>
    <x v="1"/>
    <x v="1"/>
    <x v="1"/>
    <x v="1"/>
    <x v="1"/>
    <n v="163.1"/>
    <n v="163.1"/>
  </r>
  <r>
    <s v="04/06"/>
    <s v="0090002300"/>
    <x v="4"/>
    <x v="7"/>
    <x v="8"/>
    <x v="2"/>
    <x v="0"/>
    <x v="0"/>
    <x v="2"/>
    <x v="2"/>
    <x v="2"/>
    <x v="1"/>
    <n v="1800"/>
    <n v="1800"/>
  </r>
  <r>
    <s v="04/06"/>
    <s v="0090002300"/>
    <x v="4"/>
    <x v="7"/>
    <x v="8"/>
    <x v="3"/>
    <x v="1"/>
    <x v="2"/>
    <x v="3"/>
    <x v="3"/>
    <x v="3"/>
    <x v="0"/>
    <n v="1800"/>
    <n v="-1800"/>
  </r>
  <r>
    <s v="04/06"/>
    <s v="0090002302"/>
    <x v="4"/>
    <x v="7"/>
    <x v="8"/>
    <x v="2"/>
    <x v="0"/>
    <x v="0"/>
    <x v="2"/>
    <x v="2"/>
    <x v="2"/>
    <x v="1"/>
    <n v="1746"/>
    <n v="1746"/>
  </r>
  <r>
    <s v="04/06"/>
    <s v="0090002302"/>
    <x v="4"/>
    <x v="7"/>
    <x v="8"/>
    <x v="3"/>
    <x v="1"/>
    <x v="2"/>
    <x v="3"/>
    <x v="3"/>
    <x v="3"/>
    <x v="0"/>
    <n v="1746"/>
    <n v="-1746"/>
  </r>
  <r>
    <s v="04/06"/>
    <s v="1400000104"/>
    <x v="4"/>
    <x v="7"/>
    <x v="8"/>
    <x v="4"/>
    <x v="0"/>
    <x v="0"/>
    <x v="4"/>
    <x v="4"/>
    <x v="4"/>
    <x v="1"/>
    <n v="1984"/>
    <n v="1984"/>
  </r>
  <r>
    <s v="04/06"/>
    <s v="1400000104"/>
    <x v="4"/>
    <x v="7"/>
    <x v="8"/>
    <x v="2"/>
    <x v="0"/>
    <x v="0"/>
    <x v="2"/>
    <x v="2"/>
    <x v="5"/>
    <x v="0"/>
    <n v="1984"/>
    <n v="-1984"/>
  </r>
  <r>
    <s v="04/06"/>
    <s v="1400000103"/>
    <x v="4"/>
    <x v="7"/>
    <x v="8"/>
    <x v="4"/>
    <x v="0"/>
    <x v="0"/>
    <x v="4"/>
    <x v="4"/>
    <x v="4"/>
    <x v="1"/>
    <n v="217"/>
    <n v="217"/>
  </r>
  <r>
    <s v="04/06"/>
    <s v="1400000103"/>
    <x v="4"/>
    <x v="7"/>
    <x v="8"/>
    <x v="2"/>
    <x v="0"/>
    <x v="0"/>
    <x v="2"/>
    <x v="2"/>
    <x v="5"/>
    <x v="0"/>
    <n v="217"/>
    <n v="-217"/>
  </r>
  <r>
    <s v="04/06"/>
    <s v="0090002299"/>
    <x v="4"/>
    <x v="7"/>
    <x v="8"/>
    <x v="2"/>
    <x v="0"/>
    <x v="0"/>
    <x v="2"/>
    <x v="2"/>
    <x v="2"/>
    <x v="1"/>
    <n v="2450"/>
    <n v="2450"/>
  </r>
  <r>
    <s v="04/06"/>
    <s v="0090002299"/>
    <x v="4"/>
    <x v="7"/>
    <x v="8"/>
    <x v="3"/>
    <x v="1"/>
    <x v="2"/>
    <x v="3"/>
    <x v="3"/>
    <x v="3"/>
    <x v="0"/>
    <n v="2450"/>
    <n v="-2450"/>
  </r>
  <r>
    <s v="04/06"/>
    <s v="0090002301"/>
    <x v="4"/>
    <x v="7"/>
    <x v="8"/>
    <x v="2"/>
    <x v="0"/>
    <x v="0"/>
    <x v="2"/>
    <x v="2"/>
    <x v="2"/>
    <x v="1"/>
    <n v="1512"/>
    <n v="1512"/>
  </r>
  <r>
    <s v="04/06"/>
    <s v="0090002301"/>
    <x v="4"/>
    <x v="7"/>
    <x v="8"/>
    <x v="3"/>
    <x v="1"/>
    <x v="2"/>
    <x v="3"/>
    <x v="3"/>
    <x v="3"/>
    <x v="0"/>
    <n v="1512"/>
    <n v="-1512"/>
  </r>
  <r>
    <s v="04/06"/>
    <s v="4900000112"/>
    <x v="4"/>
    <x v="7"/>
    <x v="8"/>
    <x v="0"/>
    <x v="0"/>
    <x v="0"/>
    <x v="0"/>
    <x v="0"/>
    <x v="0"/>
    <x v="0"/>
    <n v="1836.82"/>
    <n v="-1836.82"/>
  </r>
  <r>
    <s v="04/06"/>
    <s v="4900000112"/>
    <x v="4"/>
    <x v="7"/>
    <x v="8"/>
    <x v="1"/>
    <x v="1"/>
    <x v="1"/>
    <x v="1"/>
    <x v="1"/>
    <x v="1"/>
    <x v="1"/>
    <n v="1836.82"/>
    <n v="1836.82"/>
  </r>
  <r>
    <s v="04/06"/>
    <s v="4900000112"/>
    <x v="4"/>
    <x v="7"/>
    <x v="8"/>
    <x v="0"/>
    <x v="0"/>
    <x v="0"/>
    <x v="0"/>
    <x v="0"/>
    <x v="0"/>
    <x v="0"/>
    <n v="1521.69"/>
    <n v="-1521.69"/>
  </r>
  <r>
    <s v="04/06"/>
    <s v="4900000112"/>
    <x v="4"/>
    <x v="7"/>
    <x v="8"/>
    <x v="1"/>
    <x v="1"/>
    <x v="1"/>
    <x v="1"/>
    <x v="1"/>
    <x v="1"/>
    <x v="1"/>
    <n v="1521.69"/>
    <n v="1521.69"/>
  </r>
  <r>
    <s v="04/06"/>
    <s v="4900000113"/>
    <x v="4"/>
    <x v="7"/>
    <x v="8"/>
    <x v="0"/>
    <x v="0"/>
    <x v="0"/>
    <x v="0"/>
    <x v="0"/>
    <x v="0"/>
    <x v="0"/>
    <n v="1225.0999999999999"/>
    <n v="-1225.0999999999999"/>
  </r>
  <r>
    <s v="04/06"/>
    <s v="4900000113"/>
    <x v="4"/>
    <x v="7"/>
    <x v="8"/>
    <x v="1"/>
    <x v="1"/>
    <x v="1"/>
    <x v="1"/>
    <x v="1"/>
    <x v="1"/>
    <x v="1"/>
    <n v="1225.0999999999999"/>
    <n v="1225.0999999999999"/>
  </r>
  <r>
    <s v="04/06"/>
    <s v="4900000113"/>
    <x v="4"/>
    <x v="7"/>
    <x v="8"/>
    <x v="0"/>
    <x v="0"/>
    <x v="0"/>
    <x v="0"/>
    <x v="0"/>
    <x v="0"/>
    <x v="0"/>
    <n v="1506.4"/>
    <n v="-1506.4"/>
  </r>
  <r>
    <s v="04/06"/>
    <s v="4900000113"/>
    <x v="4"/>
    <x v="7"/>
    <x v="8"/>
    <x v="1"/>
    <x v="1"/>
    <x v="1"/>
    <x v="1"/>
    <x v="1"/>
    <x v="1"/>
    <x v="1"/>
    <n v="1506.4"/>
    <n v="1506.4"/>
  </r>
  <r>
    <s v="04/10"/>
    <s v="0090002318"/>
    <x v="4"/>
    <x v="6"/>
    <x v="8"/>
    <x v="3"/>
    <x v="1"/>
    <x v="2"/>
    <x v="3"/>
    <x v="3"/>
    <x v="3"/>
    <x v="0"/>
    <n v="1512"/>
    <n v="-1512"/>
  </r>
  <r>
    <s v="04/10"/>
    <s v="1400000113"/>
    <x v="4"/>
    <x v="6"/>
    <x v="8"/>
    <x v="4"/>
    <x v="0"/>
    <x v="0"/>
    <x v="4"/>
    <x v="4"/>
    <x v="4"/>
    <x v="1"/>
    <n v="1512"/>
    <n v="1512"/>
  </r>
  <r>
    <s v="04/10"/>
    <s v="1400000113"/>
    <x v="4"/>
    <x v="6"/>
    <x v="8"/>
    <x v="2"/>
    <x v="0"/>
    <x v="0"/>
    <x v="2"/>
    <x v="2"/>
    <x v="5"/>
    <x v="0"/>
    <n v="1512"/>
    <n v="-1512"/>
  </r>
  <r>
    <s v="04/10"/>
    <s v="1400000113"/>
    <x v="4"/>
    <x v="6"/>
    <x v="8"/>
    <x v="4"/>
    <x v="0"/>
    <x v="0"/>
    <x v="4"/>
    <x v="4"/>
    <x v="4"/>
    <x v="1"/>
    <n v="1746"/>
    <n v="1746"/>
  </r>
  <r>
    <s v="04/10"/>
    <s v="1400000113"/>
    <x v="4"/>
    <x v="6"/>
    <x v="8"/>
    <x v="2"/>
    <x v="0"/>
    <x v="0"/>
    <x v="2"/>
    <x v="2"/>
    <x v="5"/>
    <x v="0"/>
    <n v="1746"/>
    <n v="-1746"/>
  </r>
  <r>
    <s v="02/05"/>
    <s v="1400000036"/>
    <x v="2"/>
    <x v="10"/>
    <x v="4"/>
    <x v="2"/>
    <x v="0"/>
    <x v="0"/>
    <x v="2"/>
    <x v="2"/>
    <x v="5"/>
    <x v="0"/>
    <n v="1539"/>
    <n v="-1539"/>
  </r>
  <r>
    <s v="02/05"/>
    <s v="1400000036"/>
    <x v="2"/>
    <x v="10"/>
    <x v="4"/>
    <x v="4"/>
    <x v="0"/>
    <x v="0"/>
    <x v="4"/>
    <x v="4"/>
    <x v="4"/>
    <x v="1"/>
    <n v="1680"/>
    <n v="1680"/>
  </r>
  <r>
    <s v="02/05"/>
    <s v="1400000036"/>
    <x v="2"/>
    <x v="10"/>
    <x v="4"/>
    <x v="2"/>
    <x v="0"/>
    <x v="0"/>
    <x v="2"/>
    <x v="2"/>
    <x v="5"/>
    <x v="0"/>
    <n v="1680"/>
    <n v="-1680"/>
  </r>
  <r>
    <s v="02/05"/>
    <s v="0090002186"/>
    <x v="2"/>
    <x v="10"/>
    <x v="4"/>
    <x v="2"/>
    <x v="0"/>
    <x v="0"/>
    <x v="2"/>
    <x v="2"/>
    <x v="2"/>
    <x v="1"/>
    <n v="2268"/>
    <n v="2268"/>
  </r>
  <r>
    <s v="02/05"/>
    <s v="0090002186"/>
    <x v="2"/>
    <x v="10"/>
    <x v="4"/>
    <x v="3"/>
    <x v="1"/>
    <x v="2"/>
    <x v="3"/>
    <x v="3"/>
    <x v="3"/>
    <x v="0"/>
    <n v="2268"/>
    <n v="-2268"/>
  </r>
  <r>
    <s v="02/05"/>
    <s v="4900000051"/>
    <x v="2"/>
    <x v="10"/>
    <x v="4"/>
    <x v="0"/>
    <x v="0"/>
    <x v="0"/>
    <x v="0"/>
    <x v="0"/>
    <x v="0"/>
    <x v="0"/>
    <n v="1873.76"/>
    <n v="-1873.76"/>
  </r>
  <r>
    <s v="02/05"/>
    <s v="4900000051"/>
    <x v="2"/>
    <x v="10"/>
    <x v="4"/>
    <x v="1"/>
    <x v="1"/>
    <x v="1"/>
    <x v="1"/>
    <x v="1"/>
    <x v="1"/>
    <x v="1"/>
    <n v="1873.76"/>
    <n v="1873.76"/>
  </r>
  <r>
    <s v="02/05"/>
    <s v="4900000051"/>
    <x v="2"/>
    <x v="10"/>
    <x v="4"/>
    <x v="0"/>
    <x v="0"/>
    <x v="0"/>
    <x v="0"/>
    <x v="0"/>
    <x v="0"/>
    <x v="0"/>
    <n v="1275.96"/>
    <n v="-1275.96"/>
  </r>
  <r>
    <s v="02/05"/>
    <s v="4900000051"/>
    <x v="2"/>
    <x v="10"/>
    <x v="4"/>
    <x v="1"/>
    <x v="1"/>
    <x v="1"/>
    <x v="1"/>
    <x v="1"/>
    <x v="1"/>
    <x v="1"/>
    <n v="1275.96"/>
    <n v="1275.96"/>
  </r>
  <r>
    <s v="02/05"/>
    <s v="4900000051"/>
    <x v="2"/>
    <x v="10"/>
    <x v="4"/>
    <x v="0"/>
    <x v="0"/>
    <x v="0"/>
    <x v="0"/>
    <x v="0"/>
    <x v="0"/>
    <x v="0"/>
    <n v="1688.95"/>
    <n v="-1688.95"/>
  </r>
  <r>
    <s v="02/05"/>
    <s v="4900000051"/>
    <x v="2"/>
    <x v="10"/>
    <x v="4"/>
    <x v="1"/>
    <x v="1"/>
    <x v="1"/>
    <x v="1"/>
    <x v="1"/>
    <x v="1"/>
    <x v="1"/>
    <n v="1688.95"/>
    <n v="1688.95"/>
  </r>
  <r>
    <s v="02/05"/>
    <s v="1400000035"/>
    <x v="2"/>
    <x v="10"/>
    <x v="4"/>
    <x v="4"/>
    <x v="0"/>
    <x v="0"/>
    <x v="4"/>
    <x v="4"/>
    <x v="4"/>
    <x v="1"/>
    <n v="268"/>
    <n v="268"/>
  </r>
  <r>
    <s v="02/05"/>
    <s v="1400000035"/>
    <x v="2"/>
    <x v="10"/>
    <x v="4"/>
    <x v="2"/>
    <x v="0"/>
    <x v="0"/>
    <x v="2"/>
    <x v="2"/>
    <x v="5"/>
    <x v="0"/>
    <n v="268"/>
    <n v="-268"/>
  </r>
  <r>
    <s v="02/05"/>
    <s v="0090002189"/>
    <x v="2"/>
    <x v="10"/>
    <x v="4"/>
    <x v="2"/>
    <x v="0"/>
    <x v="0"/>
    <x v="2"/>
    <x v="2"/>
    <x v="2"/>
    <x v="1"/>
    <n v="2720"/>
    <n v="2720"/>
  </r>
  <r>
    <s v="02/05"/>
    <s v="0090002189"/>
    <x v="2"/>
    <x v="10"/>
    <x v="4"/>
    <x v="3"/>
    <x v="1"/>
    <x v="2"/>
    <x v="3"/>
    <x v="3"/>
    <x v="3"/>
    <x v="0"/>
    <n v="1496"/>
    <n v="-1496"/>
  </r>
  <r>
    <s v="02/05"/>
    <s v="0090002189"/>
    <x v="2"/>
    <x v="10"/>
    <x v="4"/>
    <x v="3"/>
    <x v="1"/>
    <x v="2"/>
    <x v="3"/>
    <x v="3"/>
    <x v="3"/>
    <x v="0"/>
    <n v="1224"/>
    <n v="-1224"/>
  </r>
  <r>
    <s v="02/05"/>
    <s v="0090002187"/>
    <x v="2"/>
    <x v="10"/>
    <x v="4"/>
    <x v="2"/>
    <x v="0"/>
    <x v="0"/>
    <x v="2"/>
    <x v="2"/>
    <x v="2"/>
    <x v="1"/>
    <n v="1519"/>
    <n v="1519"/>
  </r>
  <r>
    <s v="02/05"/>
    <s v="0090002187"/>
    <x v="2"/>
    <x v="10"/>
    <x v="4"/>
    <x v="3"/>
    <x v="1"/>
    <x v="2"/>
    <x v="3"/>
    <x v="3"/>
    <x v="3"/>
    <x v="0"/>
    <n v="1519"/>
    <n v="-1519"/>
  </r>
  <r>
    <s v="02/05"/>
    <s v="0090002188"/>
    <x v="2"/>
    <x v="10"/>
    <x v="4"/>
    <x v="2"/>
    <x v="0"/>
    <x v="0"/>
    <x v="2"/>
    <x v="2"/>
    <x v="2"/>
    <x v="1"/>
    <n v="1904"/>
    <n v="1904"/>
  </r>
  <r>
    <s v="02/05"/>
    <s v="0090002188"/>
    <x v="2"/>
    <x v="10"/>
    <x v="4"/>
    <x v="3"/>
    <x v="1"/>
    <x v="2"/>
    <x v="3"/>
    <x v="3"/>
    <x v="3"/>
    <x v="0"/>
    <n v="1904"/>
    <n v="-1904"/>
  </r>
  <r>
    <s v="02/05"/>
    <s v="0090002190"/>
    <x v="2"/>
    <x v="10"/>
    <x v="4"/>
    <x v="2"/>
    <x v="0"/>
    <x v="0"/>
    <x v="2"/>
    <x v="2"/>
    <x v="2"/>
    <x v="1"/>
    <n v="3534"/>
    <n v="3534"/>
  </r>
  <r>
    <s v="02/05"/>
    <s v="0090002190"/>
    <x v="2"/>
    <x v="10"/>
    <x v="4"/>
    <x v="3"/>
    <x v="1"/>
    <x v="2"/>
    <x v="3"/>
    <x v="3"/>
    <x v="3"/>
    <x v="0"/>
    <n v="1767"/>
    <n v="-1767"/>
  </r>
  <r>
    <s v="02/05"/>
    <s v="0090002190"/>
    <x v="2"/>
    <x v="10"/>
    <x v="4"/>
    <x v="3"/>
    <x v="1"/>
    <x v="2"/>
    <x v="3"/>
    <x v="3"/>
    <x v="3"/>
    <x v="0"/>
    <n v="1767"/>
    <n v="-1767"/>
  </r>
  <r>
    <s v="02/05"/>
    <s v="0090002191"/>
    <x v="2"/>
    <x v="10"/>
    <x v="4"/>
    <x v="2"/>
    <x v="0"/>
    <x v="0"/>
    <x v="2"/>
    <x v="2"/>
    <x v="2"/>
    <x v="1"/>
    <n v="1581"/>
    <n v="1581"/>
  </r>
  <r>
    <s v="02/05"/>
    <s v="0090002191"/>
    <x v="2"/>
    <x v="10"/>
    <x v="4"/>
    <x v="3"/>
    <x v="1"/>
    <x v="2"/>
    <x v="3"/>
    <x v="3"/>
    <x v="3"/>
    <x v="0"/>
    <n v="1581"/>
    <n v="-1581"/>
  </r>
  <r>
    <s v="02/05"/>
    <s v="1400000037"/>
    <x v="2"/>
    <x v="10"/>
    <x v="4"/>
    <x v="4"/>
    <x v="0"/>
    <x v="0"/>
    <x v="4"/>
    <x v="4"/>
    <x v="4"/>
    <x v="1"/>
    <n v="737"/>
    <n v="737"/>
  </r>
  <r>
    <s v="02/05"/>
    <s v="1400000037"/>
    <x v="2"/>
    <x v="10"/>
    <x v="4"/>
    <x v="2"/>
    <x v="0"/>
    <x v="0"/>
    <x v="2"/>
    <x v="2"/>
    <x v="5"/>
    <x v="0"/>
    <n v="737"/>
    <n v="-737"/>
  </r>
  <r>
    <s v="02/05"/>
    <s v="1400000037"/>
    <x v="2"/>
    <x v="10"/>
    <x v="4"/>
    <x v="4"/>
    <x v="0"/>
    <x v="0"/>
    <x v="4"/>
    <x v="4"/>
    <x v="4"/>
    <x v="1"/>
    <n v="2300"/>
    <n v="2300"/>
  </r>
  <r>
    <s v="02/09"/>
    <s v="0090002215"/>
    <x v="2"/>
    <x v="1"/>
    <x v="3"/>
    <x v="2"/>
    <x v="0"/>
    <x v="0"/>
    <x v="2"/>
    <x v="2"/>
    <x v="2"/>
    <x v="1"/>
    <n v="3468"/>
    <n v="3468"/>
  </r>
  <r>
    <s v="02/09"/>
    <s v="0090002215"/>
    <x v="2"/>
    <x v="1"/>
    <x v="3"/>
    <x v="3"/>
    <x v="1"/>
    <x v="2"/>
    <x v="3"/>
    <x v="3"/>
    <x v="3"/>
    <x v="0"/>
    <n v="1768"/>
    <n v="-1768"/>
  </r>
  <r>
    <s v="02/09"/>
    <s v="0090002215"/>
    <x v="2"/>
    <x v="1"/>
    <x v="3"/>
    <x v="3"/>
    <x v="1"/>
    <x v="2"/>
    <x v="3"/>
    <x v="3"/>
    <x v="3"/>
    <x v="0"/>
    <n v="1700"/>
    <n v="-1700"/>
  </r>
  <r>
    <s v="02/09"/>
    <s v="0090002217"/>
    <x v="2"/>
    <x v="1"/>
    <x v="3"/>
    <x v="2"/>
    <x v="0"/>
    <x v="0"/>
    <x v="2"/>
    <x v="2"/>
    <x v="2"/>
    <x v="1"/>
    <n v="1886"/>
    <n v="1886"/>
  </r>
  <r>
    <s v="02/09"/>
    <s v="0090002217"/>
    <x v="2"/>
    <x v="1"/>
    <x v="3"/>
    <x v="3"/>
    <x v="1"/>
    <x v="2"/>
    <x v="3"/>
    <x v="3"/>
    <x v="3"/>
    <x v="0"/>
    <n v="1886"/>
    <n v="-1886"/>
  </r>
  <r>
    <s v="02/09"/>
    <s v="0090002219"/>
    <x v="2"/>
    <x v="1"/>
    <x v="3"/>
    <x v="2"/>
    <x v="0"/>
    <x v="0"/>
    <x v="2"/>
    <x v="2"/>
    <x v="2"/>
    <x v="1"/>
    <n v="2232"/>
    <n v="2232"/>
  </r>
  <r>
    <s v="02/09"/>
    <s v="0090002219"/>
    <x v="2"/>
    <x v="1"/>
    <x v="3"/>
    <x v="3"/>
    <x v="1"/>
    <x v="2"/>
    <x v="3"/>
    <x v="3"/>
    <x v="3"/>
    <x v="0"/>
    <n v="2232"/>
    <n v="-2232"/>
  </r>
  <r>
    <s v="02/09"/>
    <s v="0090002220"/>
    <x v="2"/>
    <x v="1"/>
    <x v="3"/>
    <x v="2"/>
    <x v="0"/>
    <x v="0"/>
    <x v="2"/>
    <x v="2"/>
    <x v="2"/>
    <x v="1"/>
    <n v="1829"/>
    <n v="1829"/>
  </r>
  <r>
    <s v="02/09"/>
    <s v="0090002220"/>
    <x v="2"/>
    <x v="1"/>
    <x v="3"/>
    <x v="3"/>
    <x v="1"/>
    <x v="2"/>
    <x v="3"/>
    <x v="3"/>
    <x v="3"/>
    <x v="0"/>
    <n v="1829"/>
    <n v="-1829"/>
  </r>
  <r>
    <s v="02/09"/>
    <s v="0090002221"/>
    <x v="2"/>
    <x v="1"/>
    <x v="3"/>
    <x v="2"/>
    <x v="0"/>
    <x v="0"/>
    <x v="2"/>
    <x v="2"/>
    <x v="2"/>
    <x v="1"/>
    <n v="1722"/>
    <n v="1722"/>
  </r>
  <r>
    <s v="02/09"/>
    <s v="0090002221"/>
    <x v="2"/>
    <x v="1"/>
    <x v="3"/>
    <x v="3"/>
    <x v="1"/>
    <x v="2"/>
    <x v="3"/>
    <x v="3"/>
    <x v="3"/>
    <x v="0"/>
    <n v="1722"/>
    <n v="-1722"/>
  </r>
  <r>
    <s v="02/09"/>
    <s v="0090002222"/>
    <x v="2"/>
    <x v="1"/>
    <x v="3"/>
    <x v="2"/>
    <x v="0"/>
    <x v="0"/>
    <x v="2"/>
    <x v="2"/>
    <x v="2"/>
    <x v="1"/>
    <n v="1116"/>
    <n v="1116"/>
  </r>
  <r>
    <s v="02/09"/>
    <s v="0090002222"/>
    <x v="2"/>
    <x v="1"/>
    <x v="3"/>
    <x v="3"/>
    <x v="1"/>
    <x v="2"/>
    <x v="3"/>
    <x v="3"/>
    <x v="3"/>
    <x v="0"/>
    <n v="1116"/>
    <n v="-1116"/>
  </r>
  <r>
    <s v="02/09"/>
    <s v="0090002214"/>
    <x v="2"/>
    <x v="1"/>
    <x v="3"/>
    <x v="2"/>
    <x v="0"/>
    <x v="0"/>
    <x v="2"/>
    <x v="2"/>
    <x v="2"/>
    <x v="1"/>
    <n v="700"/>
    <n v="700"/>
  </r>
  <r>
    <s v="02/09"/>
    <s v="0090002214"/>
    <x v="2"/>
    <x v="1"/>
    <x v="3"/>
    <x v="3"/>
    <x v="1"/>
    <x v="2"/>
    <x v="3"/>
    <x v="3"/>
    <x v="3"/>
    <x v="0"/>
    <n v="700"/>
    <n v="-700"/>
  </r>
  <r>
    <s v="02/09"/>
    <s v="0090002216"/>
    <x v="2"/>
    <x v="1"/>
    <x v="3"/>
    <x v="2"/>
    <x v="0"/>
    <x v="0"/>
    <x v="2"/>
    <x v="2"/>
    <x v="2"/>
    <x v="1"/>
    <n v="1600"/>
    <n v="1600"/>
  </r>
  <r>
    <s v="02/09"/>
    <s v="0090002216"/>
    <x v="2"/>
    <x v="1"/>
    <x v="3"/>
    <x v="3"/>
    <x v="1"/>
    <x v="2"/>
    <x v="3"/>
    <x v="3"/>
    <x v="3"/>
    <x v="0"/>
    <n v="1600"/>
    <n v="-1600"/>
  </r>
  <r>
    <s v="02/09"/>
    <s v="1400000052"/>
    <x v="2"/>
    <x v="1"/>
    <x v="3"/>
    <x v="4"/>
    <x v="0"/>
    <x v="0"/>
    <x v="4"/>
    <x v="4"/>
    <x v="4"/>
    <x v="1"/>
    <n v="2720"/>
    <n v="2720"/>
  </r>
  <r>
    <s v="02/09"/>
    <s v="1400000052"/>
    <x v="2"/>
    <x v="1"/>
    <x v="3"/>
    <x v="2"/>
    <x v="0"/>
    <x v="0"/>
    <x v="2"/>
    <x v="2"/>
    <x v="5"/>
    <x v="0"/>
    <n v="2720"/>
    <n v="-2720"/>
  </r>
  <r>
    <s v="02/09"/>
    <s v="1400000053"/>
    <x v="2"/>
    <x v="1"/>
    <x v="3"/>
    <x v="4"/>
    <x v="0"/>
    <x v="0"/>
    <x v="4"/>
    <x v="4"/>
    <x v="4"/>
    <x v="1"/>
    <n v="1581"/>
    <n v="1581"/>
  </r>
  <r>
    <s v="02/09"/>
    <s v="1400000053"/>
    <x v="2"/>
    <x v="1"/>
    <x v="3"/>
    <x v="2"/>
    <x v="0"/>
    <x v="0"/>
    <x v="2"/>
    <x v="2"/>
    <x v="5"/>
    <x v="0"/>
    <n v="1581"/>
    <n v="-1581"/>
  </r>
  <r>
    <s v="02/09"/>
    <s v="1400000053"/>
    <x v="2"/>
    <x v="1"/>
    <x v="3"/>
    <x v="4"/>
    <x v="0"/>
    <x v="0"/>
    <x v="4"/>
    <x v="4"/>
    <x v="4"/>
    <x v="1"/>
    <n v="3534"/>
    <n v="3534"/>
  </r>
  <r>
    <s v="02/09"/>
    <s v="1400000053"/>
    <x v="2"/>
    <x v="1"/>
    <x v="3"/>
    <x v="2"/>
    <x v="0"/>
    <x v="0"/>
    <x v="2"/>
    <x v="2"/>
    <x v="5"/>
    <x v="0"/>
    <n v="3534"/>
    <n v="-3534"/>
  </r>
  <r>
    <s v="02/09"/>
    <s v="1400000051"/>
    <x v="2"/>
    <x v="1"/>
    <x v="3"/>
    <x v="4"/>
    <x v="0"/>
    <x v="0"/>
    <x v="4"/>
    <x v="4"/>
    <x v="4"/>
    <x v="1"/>
    <n v="1904"/>
    <n v="1904"/>
  </r>
  <r>
    <s v="02/09"/>
    <s v="1400000051"/>
    <x v="2"/>
    <x v="1"/>
    <x v="3"/>
    <x v="2"/>
    <x v="0"/>
    <x v="0"/>
    <x v="2"/>
    <x v="2"/>
    <x v="5"/>
    <x v="0"/>
    <n v="1904"/>
    <n v="-1904"/>
  </r>
  <r>
    <s v="02/09"/>
    <s v="1400000051"/>
    <x v="2"/>
    <x v="1"/>
    <x v="3"/>
    <x v="4"/>
    <x v="0"/>
    <x v="0"/>
    <x v="4"/>
    <x v="4"/>
    <x v="4"/>
    <x v="1"/>
    <n v="1519"/>
    <n v="1519"/>
  </r>
  <r>
    <s v="02/09"/>
    <s v="1400000051"/>
    <x v="2"/>
    <x v="1"/>
    <x v="3"/>
    <x v="2"/>
    <x v="0"/>
    <x v="0"/>
    <x v="2"/>
    <x v="2"/>
    <x v="5"/>
    <x v="0"/>
    <n v="1519"/>
    <n v="-1519"/>
  </r>
  <r>
    <s v="02/09"/>
    <s v="1400000051"/>
    <x v="2"/>
    <x v="1"/>
    <x v="3"/>
    <x v="4"/>
    <x v="0"/>
    <x v="0"/>
    <x v="4"/>
    <x v="4"/>
    <x v="4"/>
    <x v="1"/>
    <n v="2268"/>
    <n v="2268"/>
  </r>
  <r>
    <s v="02/09"/>
    <s v="1400000051"/>
    <x v="2"/>
    <x v="1"/>
    <x v="3"/>
    <x v="2"/>
    <x v="0"/>
    <x v="0"/>
    <x v="2"/>
    <x v="2"/>
    <x v="5"/>
    <x v="0"/>
    <n v="2268"/>
    <n v="-2268"/>
  </r>
  <r>
    <s v="02/09"/>
    <s v="0090002218"/>
    <x v="2"/>
    <x v="1"/>
    <x v="3"/>
    <x v="2"/>
    <x v="0"/>
    <x v="0"/>
    <x v="2"/>
    <x v="2"/>
    <x v="2"/>
    <x v="1"/>
    <n v="2380"/>
    <n v="2380"/>
  </r>
  <r>
    <s v="02/09"/>
    <s v="0090002218"/>
    <x v="2"/>
    <x v="1"/>
    <x v="3"/>
    <x v="3"/>
    <x v="1"/>
    <x v="2"/>
    <x v="3"/>
    <x v="3"/>
    <x v="3"/>
    <x v="0"/>
    <n v="2380"/>
    <n v="-2380"/>
  </r>
  <r>
    <s v="02/09"/>
    <s v="4900000065"/>
    <x v="2"/>
    <x v="1"/>
    <x v="3"/>
    <x v="0"/>
    <x v="0"/>
    <x v="0"/>
    <x v="0"/>
    <x v="0"/>
    <x v="0"/>
    <x v="0"/>
    <n v="1998.06"/>
    <n v="-1998.06"/>
  </r>
  <r>
    <s v="02/09"/>
    <s v="4900000065"/>
    <x v="2"/>
    <x v="1"/>
    <x v="3"/>
    <x v="1"/>
    <x v="1"/>
    <x v="1"/>
    <x v="1"/>
    <x v="1"/>
    <x v="1"/>
    <x v="1"/>
    <n v="1998.06"/>
    <n v="1998.06"/>
  </r>
  <r>
    <s v="02/09"/>
    <s v="4900000065"/>
    <x v="2"/>
    <x v="1"/>
    <x v="3"/>
    <x v="0"/>
    <x v="0"/>
    <x v="0"/>
    <x v="0"/>
    <x v="0"/>
    <x v="0"/>
    <x v="0"/>
    <n v="1536.37"/>
    <n v="-1536.37"/>
  </r>
  <r>
    <s v="02/09"/>
    <s v="4900000065"/>
    <x v="2"/>
    <x v="1"/>
    <x v="3"/>
    <x v="1"/>
    <x v="1"/>
    <x v="1"/>
    <x v="1"/>
    <x v="1"/>
    <x v="1"/>
    <x v="1"/>
    <n v="1536.37"/>
    <n v="1536.37"/>
  </r>
  <r>
    <s v="02/09"/>
    <s v="4900000065"/>
    <x v="2"/>
    <x v="1"/>
    <x v="3"/>
    <x v="0"/>
    <x v="0"/>
    <x v="0"/>
    <x v="0"/>
    <x v="0"/>
    <x v="0"/>
    <x v="0"/>
    <n v="1523.99"/>
    <n v="-1523.99"/>
  </r>
  <r>
    <s v="02/09"/>
    <s v="4900000065"/>
    <x v="2"/>
    <x v="1"/>
    <x v="3"/>
    <x v="1"/>
    <x v="1"/>
    <x v="1"/>
    <x v="1"/>
    <x v="1"/>
    <x v="1"/>
    <x v="1"/>
    <n v="1523.99"/>
    <n v="1523.99"/>
  </r>
  <r>
    <s v="02/09"/>
    <s v="4900000063"/>
    <x v="2"/>
    <x v="1"/>
    <x v="3"/>
    <x v="0"/>
    <x v="0"/>
    <x v="0"/>
    <x v="0"/>
    <x v="0"/>
    <x v="0"/>
    <x v="0"/>
    <n v="578.32000000000005"/>
    <n v="-578.32000000000005"/>
  </r>
  <r>
    <s v="02/09"/>
    <s v="4900000063"/>
    <x v="2"/>
    <x v="1"/>
    <x v="3"/>
    <x v="1"/>
    <x v="1"/>
    <x v="1"/>
    <x v="1"/>
    <x v="1"/>
    <x v="1"/>
    <x v="1"/>
    <n v="578.32000000000005"/>
    <n v="578.32000000000005"/>
  </r>
  <r>
    <s v="02/09"/>
    <s v="4900000063"/>
    <x v="2"/>
    <x v="1"/>
    <x v="3"/>
    <x v="0"/>
    <x v="0"/>
    <x v="0"/>
    <x v="0"/>
    <x v="0"/>
    <x v="0"/>
    <x v="0"/>
    <n v="1568.31"/>
    <n v="-1568.31"/>
  </r>
  <r>
    <s v="02/09"/>
    <s v="4900000063"/>
    <x v="2"/>
    <x v="1"/>
    <x v="3"/>
    <x v="1"/>
    <x v="1"/>
    <x v="1"/>
    <x v="1"/>
    <x v="1"/>
    <x v="1"/>
    <x v="1"/>
    <n v="1568.31"/>
    <n v="1568.31"/>
  </r>
  <r>
    <s v="02/09"/>
    <s v="4900000063"/>
    <x v="2"/>
    <x v="1"/>
    <x v="3"/>
    <x v="0"/>
    <x v="0"/>
    <x v="0"/>
    <x v="0"/>
    <x v="0"/>
    <x v="0"/>
    <x v="0"/>
    <n v="1507.99"/>
    <n v="-1507.99"/>
  </r>
  <r>
    <s v="02/09"/>
    <s v="4900000063"/>
    <x v="2"/>
    <x v="1"/>
    <x v="3"/>
    <x v="1"/>
    <x v="1"/>
    <x v="1"/>
    <x v="1"/>
    <x v="1"/>
    <x v="1"/>
    <x v="1"/>
    <n v="1507.99"/>
    <n v="1507.99"/>
  </r>
  <r>
    <s v="02/09"/>
    <s v="4900000063"/>
    <x v="2"/>
    <x v="1"/>
    <x v="3"/>
    <x v="0"/>
    <x v="0"/>
    <x v="0"/>
    <x v="0"/>
    <x v="0"/>
    <x v="0"/>
    <x v="0"/>
    <n v="1390.85"/>
    <n v="-1390.85"/>
  </r>
  <r>
    <s v="02/09"/>
    <s v="4900000063"/>
    <x v="2"/>
    <x v="1"/>
    <x v="3"/>
    <x v="1"/>
    <x v="1"/>
    <x v="1"/>
    <x v="1"/>
    <x v="1"/>
    <x v="1"/>
    <x v="1"/>
    <n v="1390.85"/>
    <n v="1390.85"/>
  </r>
  <r>
    <s v="02/09"/>
    <s v="4900000064"/>
    <x v="2"/>
    <x v="1"/>
    <x v="3"/>
    <x v="0"/>
    <x v="0"/>
    <x v="0"/>
    <x v="0"/>
    <x v="0"/>
    <x v="0"/>
    <x v="0"/>
    <n v="1669.13"/>
    <n v="-1669.13"/>
  </r>
  <r>
    <s v="02/09"/>
    <s v="4900000064"/>
    <x v="2"/>
    <x v="1"/>
    <x v="3"/>
    <x v="1"/>
    <x v="1"/>
    <x v="1"/>
    <x v="1"/>
    <x v="1"/>
    <x v="1"/>
    <x v="1"/>
    <n v="1669.13"/>
    <n v="1669.13"/>
  </r>
  <r>
    <s v="02/09"/>
    <s v="4900000064"/>
    <x v="2"/>
    <x v="1"/>
    <x v="3"/>
    <x v="0"/>
    <x v="0"/>
    <x v="0"/>
    <x v="0"/>
    <x v="0"/>
    <x v="0"/>
    <x v="0"/>
    <n v="2111.19"/>
    <n v="-2111.19"/>
  </r>
  <r>
    <s v="02/09"/>
    <s v="4900000064"/>
    <x v="2"/>
    <x v="1"/>
    <x v="3"/>
    <x v="1"/>
    <x v="1"/>
    <x v="1"/>
    <x v="1"/>
    <x v="1"/>
    <x v="1"/>
    <x v="1"/>
    <n v="2111.19"/>
    <n v="2111.19"/>
  </r>
  <r>
    <s v="02/09"/>
    <s v="4900000066"/>
    <x v="2"/>
    <x v="1"/>
    <x v="3"/>
    <x v="0"/>
    <x v="0"/>
    <x v="0"/>
    <x v="0"/>
    <x v="0"/>
    <x v="0"/>
    <x v="0"/>
    <n v="999.03"/>
    <n v="-999.03"/>
  </r>
  <r>
    <s v="02/09"/>
    <s v="4900000066"/>
    <x v="2"/>
    <x v="1"/>
    <x v="3"/>
    <x v="1"/>
    <x v="1"/>
    <x v="1"/>
    <x v="1"/>
    <x v="1"/>
    <x v="1"/>
    <x v="1"/>
    <n v="999.03"/>
    <n v="999.03"/>
  </r>
  <r>
    <s v="03/02"/>
    <s v="4900000075"/>
    <x v="3"/>
    <x v="9"/>
    <x v="5"/>
    <x v="0"/>
    <x v="0"/>
    <x v="0"/>
    <x v="0"/>
    <x v="0"/>
    <x v="0"/>
    <x v="0"/>
    <n v="1434.29"/>
    <n v="-1434.29"/>
  </r>
  <r>
    <s v="03/02"/>
    <s v="4900000075"/>
    <x v="3"/>
    <x v="9"/>
    <x v="5"/>
    <x v="1"/>
    <x v="1"/>
    <x v="1"/>
    <x v="1"/>
    <x v="1"/>
    <x v="1"/>
    <x v="1"/>
    <n v="1434.29"/>
    <n v="1434.29"/>
  </r>
  <r>
    <s v="03/02"/>
    <s v="4900000074"/>
    <x v="3"/>
    <x v="9"/>
    <x v="5"/>
    <x v="0"/>
    <x v="0"/>
    <x v="0"/>
    <x v="0"/>
    <x v="0"/>
    <x v="0"/>
    <x v="0"/>
    <n v="1478.37"/>
    <n v="-1478.37"/>
  </r>
  <r>
    <s v="03/02"/>
    <s v="4900000074"/>
    <x v="3"/>
    <x v="9"/>
    <x v="5"/>
    <x v="1"/>
    <x v="1"/>
    <x v="1"/>
    <x v="1"/>
    <x v="1"/>
    <x v="1"/>
    <x v="1"/>
    <n v="1478.37"/>
    <n v="1478.37"/>
  </r>
  <r>
    <s v="03/02"/>
    <s v="0090002236"/>
    <x v="3"/>
    <x v="9"/>
    <x v="5"/>
    <x v="2"/>
    <x v="0"/>
    <x v="0"/>
    <x v="2"/>
    <x v="2"/>
    <x v="2"/>
    <x v="1"/>
    <n v="1798"/>
    <n v="1798"/>
  </r>
  <r>
    <s v="03/02"/>
    <s v="0090002236"/>
    <x v="3"/>
    <x v="9"/>
    <x v="5"/>
    <x v="3"/>
    <x v="1"/>
    <x v="2"/>
    <x v="3"/>
    <x v="3"/>
    <x v="3"/>
    <x v="0"/>
    <n v="1798"/>
    <n v="-1798"/>
  </r>
  <r>
    <s v="03/02"/>
    <s v="1400000060"/>
    <x v="3"/>
    <x v="9"/>
    <x v="5"/>
    <x v="4"/>
    <x v="0"/>
    <x v="0"/>
    <x v="4"/>
    <x v="4"/>
    <x v="4"/>
    <x v="1"/>
    <n v="1700"/>
    <n v="1700"/>
  </r>
  <r>
    <s v="03/02"/>
    <s v="1400000060"/>
    <x v="3"/>
    <x v="9"/>
    <x v="5"/>
    <x v="2"/>
    <x v="0"/>
    <x v="0"/>
    <x v="2"/>
    <x v="2"/>
    <x v="5"/>
    <x v="0"/>
    <n v="1700"/>
    <n v="-1700"/>
  </r>
  <r>
    <s v="03/02"/>
    <s v="1400000060"/>
    <x v="3"/>
    <x v="9"/>
    <x v="5"/>
    <x v="4"/>
    <x v="0"/>
    <x v="0"/>
    <x v="4"/>
    <x v="4"/>
    <x v="4"/>
    <x v="1"/>
    <n v="364"/>
    <n v="364"/>
  </r>
  <r>
    <s v="03/02"/>
    <s v="1400000060"/>
    <x v="3"/>
    <x v="9"/>
    <x v="5"/>
    <x v="2"/>
    <x v="0"/>
    <x v="0"/>
    <x v="2"/>
    <x v="2"/>
    <x v="5"/>
    <x v="0"/>
    <n v="364"/>
    <n v="-364"/>
  </r>
  <r>
    <s v="03/02"/>
    <s v="1400000060"/>
    <x v="3"/>
    <x v="9"/>
    <x v="5"/>
    <x v="4"/>
    <x v="0"/>
    <x v="0"/>
    <x v="4"/>
    <x v="4"/>
    <x v="4"/>
    <x v="1"/>
    <n v="1550"/>
    <n v="1550"/>
  </r>
  <r>
    <s v="03/02"/>
    <s v="1400000060"/>
    <x v="3"/>
    <x v="9"/>
    <x v="5"/>
    <x v="2"/>
    <x v="0"/>
    <x v="0"/>
    <x v="2"/>
    <x v="2"/>
    <x v="5"/>
    <x v="0"/>
    <n v="1550"/>
    <n v="-1550"/>
  </r>
  <r>
    <s v="03/02"/>
    <s v="1400000060"/>
    <x v="3"/>
    <x v="9"/>
    <x v="5"/>
    <x v="4"/>
    <x v="0"/>
    <x v="0"/>
    <x v="4"/>
    <x v="4"/>
    <x v="4"/>
    <x v="1"/>
    <n v="2418"/>
    <n v="2418"/>
  </r>
  <r>
    <s v="03/02"/>
    <s v="1400000060"/>
    <x v="3"/>
    <x v="9"/>
    <x v="5"/>
    <x v="2"/>
    <x v="0"/>
    <x v="0"/>
    <x v="2"/>
    <x v="2"/>
    <x v="5"/>
    <x v="0"/>
    <n v="2418"/>
    <n v="-2418"/>
  </r>
  <r>
    <s v="03/02"/>
    <s v="1400000061"/>
    <x v="3"/>
    <x v="9"/>
    <x v="5"/>
    <x v="4"/>
    <x v="0"/>
    <x v="0"/>
    <x v="4"/>
    <x v="4"/>
    <x v="4"/>
    <x v="1"/>
    <n v="2380"/>
    <n v="2380"/>
  </r>
  <r>
    <s v="03/02"/>
    <s v="1400000061"/>
    <x v="3"/>
    <x v="9"/>
    <x v="5"/>
    <x v="2"/>
    <x v="0"/>
    <x v="0"/>
    <x v="2"/>
    <x v="2"/>
    <x v="5"/>
    <x v="0"/>
    <n v="2380"/>
    <n v="-2380"/>
  </r>
  <r>
    <s v="03/02"/>
    <s v="1400000061"/>
    <x v="3"/>
    <x v="9"/>
    <x v="5"/>
    <x v="4"/>
    <x v="0"/>
    <x v="0"/>
    <x v="4"/>
    <x v="4"/>
    <x v="4"/>
    <x v="1"/>
    <n v="1519"/>
    <n v="1519"/>
  </r>
  <r>
    <s v="03/02"/>
    <s v="1400000061"/>
    <x v="3"/>
    <x v="9"/>
    <x v="5"/>
    <x v="2"/>
    <x v="0"/>
    <x v="0"/>
    <x v="2"/>
    <x v="2"/>
    <x v="5"/>
    <x v="0"/>
    <n v="1519"/>
    <n v="-1519"/>
  </r>
  <r>
    <s v="03/02"/>
    <s v="1400000061"/>
    <x v="3"/>
    <x v="9"/>
    <x v="5"/>
    <x v="4"/>
    <x v="0"/>
    <x v="0"/>
    <x v="4"/>
    <x v="4"/>
    <x v="4"/>
    <x v="1"/>
    <n v="1568"/>
    <n v="1568"/>
  </r>
  <r>
    <s v="03/02"/>
    <s v="1400000061"/>
    <x v="3"/>
    <x v="9"/>
    <x v="5"/>
    <x v="2"/>
    <x v="0"/>
    <x v="0"/>
    <x v="2"/>
    <x v="2"/>
    <x v="5"/>
    <x v="0"/>
    <n v="1568"/>
    <n v="-1568"/>
  </r>
  <r>
    <s v="03/02"/>
    <s v="1400000061"/>
    <x v="3"/>
    <x v="9"/>
    <x v="5"/>
    <x v="4"/>
    <x v="0"/>
    <x v="0"/>
    <x v="4"/>
    <x v="4"/>
    <x v="4"/>
    <x v="1"/>
    <n v="1886"/>
    <n v="1886"/>
  </r>
  <r>
    <s v="03/02"/>
    <s v="1400000061"/>
    <x v="3"/>
    <x v="9"/>
    <x v="5"/>
    <x v="2"/>
    <x v="0"/>
    <x v="0"/>
    <x v="2"/>
    <x v="2"/>
    <x v="5"/>
    <x v="0"/>
    <n v="1886"/>
    <n v="-1886"/>
  </r>
  <r>
    <s v="03/02"/>
    <s v="1400000062"/>
    <x v="3"/>
    <x v="9"/>
    <x v="5"/>
    <x v="4"/>
    <x v="0"/>
    <x v="0"/>
    <x v="4"/>
    <x v="4"/>
    <x v="4"/>
    <x v="1"/>
    <n v="2448"/>
    <n v="2448"/>
  </r>
  <r>
    <s v="03/02"/>
    <s v="1400000062"/>
    <x v="3"/>
    <x v="9"/>
    <x v="5"/>
    <x v="2"/>
    <x v="0"/>
    <x v="0"/>
    <x v="2"/>
    <x v="2"/>
    <x v="5"/>
    <x v="0"/>
    <n v="2448"/>
    <n v="-2448"/>
  </r>
  <r>
    <s v="03/02"/>
    <s v="1400000062"/>
    <x v="3"/>
    <x v="9"/>
    <x v="5"/>
    <x v="4"/>
    <x v="0"/>
    <x v="0"/>
    <x v="4"/>
    <x v="4"/>
    <x v="4"/>
    <x v="1"/>
    <n v="4185"/>
    <n v="4185"/>
  </r>
  <r>
    <s v="03/02"/>
    <s v="1400000062"/>
    <x v="3"/>
    <x v="9"/>
    <x v="5"/>
    <x v="2"/>
    <x v="0"/>
    <x v="0"/>
    <x v="2"/>
    <x v="2"/>
    <x v="5"/>
    <x v="0"/>
    <n v="4185"/>
    <n v="-4185"/>
  </r>
  <r>
    <s v="03/02"/>
    <s v="0090002235"/>
    <x v="3"/>
    <x v="9"/>
    <x v="5"/>
    <x v="2"/>
    <x v="0"/>
    <x v="0"/>
    <x v="2"/>
    <x v="2"/>
    <x v="2"/>
    <x v="1"/>
    <n v="1734"/>
    <n v="1734"/>
  </r>
  <r>
    <s v="03/02"/>
    <s v="0090002235"/>
    <x v="3"/>
    <x v="9"/>
    <x v="5"/>
    <x v="3"/>
    <x v="1"/>
    <x v="2"/>
    <x v="3"/>
    <x v="3"/>
    <x v="3"/>
    <x v="0"/>
    <n v="1734"/>
    <n v="-1734"/>
  </r>
  <r>
    <s v="03/07"/>
    <s v="0090002265"/>
    <x v="3"/>
    <x v="5"/>
    <x v="6"/>
    <x v="2"/>
    <x v="0"/>
    <x v="0"/>
    <x v="2"/>
    <x v="2"/>
    <x v="2"/>
    <x v="1"/>
    <n v="1610"/>
    <n v="1610"/>
  </r>
  <r>
    <s v="03/07"/>
    <s v="0090002265"/>
    <x v="3"/>
    <x v="5"/>
    <x v="6"/>
    <x v="3"/>
    <x v="1"/>
    <x v="2"/>
    <x v="3"/>
    <x v="3"/>
    <x v="3"/>
    <x v="0"/>
    <n v="1610"/>
    <n v="-1610"/>
  </r>
  <r>
    <s v="03/07"/>
    <s v="1400000076"/>
    <x v="3"/>
    <x v="5"/>
    <x v="6"/>
    <x v="4"/>
    <x v="0"/>
    <x v="0"/>
    <x v="4"/>
    <x v="4"/>
    <x v="4"/>
    <x v="1"/>
    <n v="1692"/>
    <n v="1692"/>
  </r>
  <r>
    <s v="03/07"/>
    <s v="1400000076"/>
    <x v="3"/>
    <x v="5"/>
    <x v="6"/>
    <x v="2"/>
    <x v="0"/>
    <x v="0"/>
    <x v="2"/>
    <x v="2"/>
    <x v="5"/>
    <x v="0"/>
    <n v="1692"/>
    <n v="-1692"/>
  </r>
  <r>
    <s v="03/07"/>
    <s v="0090002263"/>
    <x v="3"/>
    <x v="5"/>
    <x v="6"/>
    <x v="2"/>
    <x v="0"/>
    <x v="0"/>
    <x v="2"/>
    <x v="2"/>
    <x v="2"/>
    <x v="1"/>
    <n v="1500"/>
    <n v="1500"/>
  </r>
  <r>
    <s v="03/07"/>
    <s v="0090002263"/>
    <x v="3"/>
    <x v="5"/>
    <x v="6"/>
    <x v="3"/>
    <x v="1"/>
    <x v="2"/>
    <x v="3"/>
    <x v="3"/>
    <x v="3"/>
    <x v="0"/>
    <n v="1500"/>
    <n v="-1500"/>
  </r>
  <r>
    <s v="03/07"/>
    <s v="4900000091"/>
    <x v="3"/>
    <x v="5"/>
    <x v="6"/>
    <x v="0"/>
    <x v="0"/>
    <x v="0"/>
    <x v="0"/>
    <x v="0"/>
    <x v="0"/>
    <x v="0"/>
    <n v="1253.68"/>
    <n v="-1253.68"/>
  </r>
  <r>
    <s v="03/07"/>
    <s v="4900000091"/>
    <x v="3"/>
    <x v="5"/>
    <x v="6"/>
    <x v="1"/>
    <x v="1"/>
    <x v="1"/>
    <x v="1"/>
    <x v="1"/>
    <x v="1"/>
    <x v="1"/>
    <n v="1253.68"/>
    <n v="1253.68"/>
  </r>
  <r>
    <s v="03/07"/>
    <s v="0090002262"/>
    <x v="3"/>
    <x v="5"/>
    <x v="6"/>
    <x v="2"/>
    <x v="0"/>
    <x v="0"/>
    <x v="2"/>
    <x v="2"/>
    <x v="2"/>
    <x v="1"/>
    <n v="4116"/>
    <n v="4116"/>
  </r>
  <r>
    <s v="03/07"/>
    <s v="0090002262"/>
    <x v="3"/>
    <x v="5"/>
    <x v="6"/>
    <x v="3"/>
    <x v="1"/>
    <x v="2"/>
    <x v="3"/>
    <x v="3"/>
    <x v="3"/>
    <x v="0"/>
    <n v="1932"/>
    <n v="-1932"/>
  </r>
  <r>
    <s v="03/07"/>
    <s v="0090002262"/>
    <x v="3"/>
    <x v="5"/>
    <x v="6"/>
    <x v="3"/>
    <x v="1"/>
    <x v="2"/>
    <x v="3"/>
    <x v="3"/>
    <x v="3"/>
    <x v="0"/>
    <n v="2184"/>
    <n v="-2184"/>
  </r>
  <r>
    <s v="03/07"/>
    <s v="4900000089"/>
    <x v="3"/>
    <x v="5"/>
    <x v="6"/>
    <x v="0"/>
    <x v="0"/>
    <x v="0"/>
    <x v="0"/>
    <x v="0"/>
    <x v="0"/>
    <x v="0"/>
    <n v="1567.12"/>
    <n v="-1567.12"/>
  </r>
  <r>
    <s v="03/07"/>
    <s v="4900000089"/>
    <x v="3"/>
    <x v="5"/>
    <x v="6"/>
    <x v="1"/>
    <x v="1"/>
    <x v="1"/>
    <x v="1"/>
    <x v="1"/>
    <x v="1"/>
    <x v="1"/>
    <n v="1567.12"/>
    <n v="1567.12"/>
  </r>
  <r>
    <s v="03/07"/>
    <s v="4900000089"/>
    <x v="3"/>
    <x v="5"/>
    <x v="6"/>
    <x v="0"/>
    <x v="0"/>
    <x v="0"/>
    <x v="0"/>
    <x v="0"/>
    <x v="0"/>
    <x v="0"/>
    <n v="1398.79"/>
    <n v="-1398.79"/>
  </r>
  <r>
    <s v="03/07"/>
    <s v="4900000089"/>
    <x v="3"/>
    <x v="5"/>
    <x v="6"/>
    <x v="1"/>
    <x v="1"/>
    <x v="1"/>
    <x v="1"/>
    <x v="1"/>
    <x v="1"/>
    <x v="1"/>
    <n v="1398.79"/>
    <n v="1398.79"/>
  </r>
  <r>
    <s v="03/07"/>
    <s v="4900000090"/>
    <x v="3"/>
    <x v="5"/>
    <x v="6"/>
    <x v="0"/>
    <x v="0"/>
    <x v="0"/>
    <x v="0"/>
    <x v="0"/>
    <x v="0"/>
    <x v="0"/>
    <n v="1436.53"/>
    <n v="-1436.53"/>
  </r>
  <r>
    <s v="03/07"/>
    <s v="4900000090"/>
    <x v="3"/>
    <x v="5"/>
    <x v="6"/>
    <x v="1"/>
    <x v="1"/>
    <x v="1"/>
    <x v="1"/>
    <x v="1"/>
    <x v="1"/>
    <x v="1"/>
    <n v="1436.53"/>
    <n v="1436.53"/>
  </r>
  <r>
    <s v="03/07"/>
    <s v="0090002264"/>
    <x v="3"/>
    <x v="5"/>
    <x v="6"/>
    <x v="2"/>
    <x v="0"/>
    <x v="0"/>
    <x v="2"/>
    <x v="2"/>
    <x v="2"/>
    <x v="1"/>
    <n v="1980"/>
    <n v="1980"/>
  </r>
  <r>
    <s v="03/07"/>
    <s v="0090002264"/>
    <x v="3"/>
    <x v="5"/>
    <x v="6"/>
    <x v="3"/>
    <x v="1"/>
    <x v="2"/>
    <x v="3"/>
    <x v="3"/>
    <x v="3"/>
    <x v="0"/>
    <n v="1980"/>
    <n v="-1980"/>
  </r>
  <r>
    <s v="03/07"/>
    <s v="0090002266"/>
    <x v="3"/>
    <x v="5"/>
    <x v="6"/>
    <x v="2"/>
    <x v="0"/>
    <x v="0"/>
    <x v="2"/>
    <x v="2"/>
    <x v="2"/>
    <x v="1"/>
    <n v="1815"/>
    <n v="1815"/>
  </r>
  <r>
    <s v="03/07"/>
    <s v="0090002266"/>
    <x v="3"/>
    <x v="5"/>
    <x v="6"/>
    <x v="3"/>
    <x v="1"/>
    <x v="2"/>
    <x v="3"/>
    <x v="3"/>
    <x v="3"/>
    <x v="0"/>
    <n v="1815"/>
    <n v="-1815"/>
  </r>
  <r>
    <s v="03/07"/>
    <s v="0090002267"/>
    <x v="3"/>
    <x v="5"/>
    <x v="6"/>
    <x v="2"/>
    <x v="0"/>
    <x v="0"/>
    <x v="2"/>
    <x v="2"/>
    <x v="2"/>
    <x v="1"/>
    <n v="1425"/>
    <n v="1425"/>
  </r>
  <r>
    <s v="03/07"/>
    <s v="0090002267"/>
    <x v="3"/>
    <x v="5"/>
    <x v="6"/>
    <x v="3"/>
    <x v="1"/>
    <x v="2"/>
    <x v="3"/>
    <x v="3"/>
    <x v="3"/>
    <x v="0"/>
    <n v="1425"/>
    <n v="-1425"/>
  </r>
  <r>
    <s v="03/07"/>
    <s v="4900000088"/>
    <x v="3"/>
    <x v="5"/>
    <x v="6"/>
    <x v="0"/>
    <x v="0"/>
    <x v="0"/>
    <x v="0"/>
    <x v="0"/>
    <x v="0"/>
    <x v="0"/>
    <n v="1672.83"/>
    <n v="-1672.83"/>
  </r>
  <r>
    <s v="03/07"/>
    <s v="4900000088"/>
    <x v="3"/>
    <x v="5"/>
    <x v="6"/>
    <x v="1"/>
    <x v="1"/>
    <x v="1"/>
    <x v="1"/>
    <x v="1"/>
    <x v="1"/>
    <x v="1"/>
    <n v="1672.83"/>
    <n v="1672.83"/>
  </r>
  <r>
    <s v="03/07"/>
    <s v="4900000088"/>
    <x v="3"/>
    <x v="5"/>
    <x v="6"/>
    <x v="0"/>
    <x v="0"/>
    <x v="0"/>
    <x v="0"/>
    <x v="0"/>
    <x v="0"/>
    <x v="0"/>
    <n v="1162.4100000000001"/>
    <n v="-1162.4100000000001"/>
  </r>
  <r>
    <s v="03/07"/>
    <s v="4900000088"/>
    <x v="3"/>
    <x v="5"/>
    <x v="6"/>
    <x v="1"/>
    <x v="1"/>
    <x v="1"/>
    <x v="1"/>
    <x v="1"/>
    <x v="1"/>
    <x v="1"/>
    <n v="1162.4100000000001"/>
    <n v="1162.4100000000001"/>
  </r>
  <r>
    <s v="03/07"/>
    <s v="4900000088"/>
    <x v="3"/>
    <x v="5"/>
    <x v="6"/>
    <x v="0"/>
    <x v="0"/>
    <x v="0"/>
    <x v="0"/>
    <x v="0"/>
    <x v="0"/>
    <x v="0"/>
    <n v="1891.03"/>
    <n v="-1891.03"/>
  </r>
  <r>
    <s v="03/07"/>
    <s v="4900000088"/>
    <x v="3"/>
    <x v="5"/>
    <x v="6"/>
    <x v="1"/>
    <x v="1"/>
    <x v="1"/>
    <x v="1"/>
    <x v="1"/>
    <x v="1"/>
    <x v="1"/>
    <n v="1891.03"/>
    <n v="1891.03"/>
  </r>
  <r>
    <s v="03/07"/>
    <s v="1400000077"/>
    <x v="3"/>
    <x v="5"/>
    <x v="6"/>
    <x v="4"/>
    <x v="0"/>
    <x v="0"/>
    <x v="4"/>
    <x v="4"/>
    <x v="4"/>
    <x v="1"/>
    <n v="1826"/>
    <n v="1826"/>
  </r>
  <r>
    <s v="03/07"/>
    <s v="1400000077"/>
    <x v="3"/>
    <x v="5"/>
    <x v="6"/>
    <x v="2"/>
    <x v="0"/>
    <x v="0"/>
    <x v="2"/>
    <x v="2"/>
    <x v="5"/>
    <x v="0"/>
    <n v="1826"/>
    <n v="-1826"/>
  </r>
  <r>
    <s v="03/09"/>
    <s v="0090002275"/>
    <x v="3"/>
    <x v="1"/>
    <x v="6"/>
    <x v="2"/>
    <x v="0"/>
    <x v="0"/>
    <x v="2"/>
    <x v="2"/>
    <x v="2"/>
    <x v="1"/>
    <n v="1508"/>
    <n v="1508"/>
  </r>
  <r>
    <s v="03/09"/>
    <s v="0090002275"/>
    <x v="3"/>
    <x v="1"/>
    <x v="6"/>
    <x v="3"/>
    <x v="1"/>
    <x v="2"/>
    <x v="3"/>
    <x v="3"/>
    <x v="3"/>
    <x v="0"/>
    <n v="1508"/>
    <n v="-1508"/>
  </r>
  <r>
    <s v="03/09"/>
    <s v="0090002278"/>
    <x v="3"/>
    <x v="1"/>
    <x v="6"/>
    <x v="2"/>
    <x v="0"/>
    <x v="0"/>
    <x v="2"/>
    <x v="2"/>
    <x v="2"/>
    <x v="1"/>
    <n v="2444"/>
    <n v="2444"/>
  </r>
  <r>
    <s v="03/09"/>
    <s v="0090002278"/>
    <x v="3"/>
    <x v="1"/>
    <x v="6"/>
    <x v="3"/>
    <x v="1"/>
    <x v="2"/>
    <x v="3"/>
    <x v="3"/>
    <x v="3"/>
    <x v="0"/>
    <n v="2444"/>
    <n v="-2444"/>
  </r>
  <r>
    <s v="03/09"/>
    <s v="4900000098"/>
    <x v="3"/>
    <x v="1"/>
    <x v="6"/>
    <x v="0"/>
    <x v="0"/>
    <x v="0"/>
    <x v="0"/>
    <x v="0"/>
    <x v="0"/>
    <x v="0"/>
    <n v="2051.41"/>
    <n v="-2051.41"/>
  </r>
  <r>
    <s v="03/09"/>
    <s v="4900000098"/>
    <x v="3"/>
    <x v="1"/>
    <x v="6"/>
    <x v="1"/>
    <x v="1"/>
    <x v="1"/>
    <x v="1"/>
    <x v="1"/>
    <x v="1"/>
    <x v="1"/>
    <n v="2051.41"/>
    <n v="2051.41"/>
  </r>
  <r>
    <s v="03/09"/>
    <s v="1400000084"/>
    <x v="3"/>
    <x v="1"/>
    <x v="6"/>
    <x v="4"/>
    <x v="0"/>
    <x v="0"/>
    <x v="4"/>
    <x v="4"/>
    <x v="4"/>
    <x v="1"/>
    <n v="2170"/>
    <n v="2170"/>
  </r>
  <r>
    <s v="03/09"/>
    <s v="1400000084"/>
    <x v="3"/>
    <x v="1"/>
    <x v="6"/>
    <x v="2"/>
    <x v="0"/>
    <x v="0"/>
    <x v="2"/>
    <x v="2"/>
    <x v="5"/>
    <x v="0"/>
    <n v="2170"/>
    <n v="-2170"/>
  </r>
  <r>
    <s v="03/09"/>
    <s v="1400000084"/>
    <x v="3"/>
    <x v="1"/>
    <x v="6"/>
    <x v="4"/>
    <x v="0"/>
    <x v="0"/>
    <x v="4"/>
    <x v="4"/>
    <x v="4"/>
    <x v="1"/>
    <n v="3465"/>
    <n v="3465"/>
  </r>
  <r>
    <s v="03/09"/>
    <s v="1400000084"/>
    <x v="3"/>
    <x v="1"/>
    <x v="6"/>
    <x v="2"/>
    <x v="0"/>
    <x v="0"/>
    <x v="2"/>
    <x v="2"/>
    <x v="5"/>
    <x v="0"/>
    <n v="3465"/>
    <n v="-3465"/>
  </r>
  <r>
    <s v="03/09"/>
    <s v="1400000084"/>
    <x v="3"/>
    <x v="1"/>
    <x v="6"/>
    <x v="4"/>
    <x v="0"/>
    <x v="0"/>
    <x v="4"/>
    <x v="4"/>
    <x v="4"/>
    <x v="1"/>
    <n v="2250"/>
    <n v="2250"/>
  </r>
  <r>
    <s v="03/09"/>
    <s v="1400000084"/>
    <x v="3"/>
    <x v="1"/>
    <x v="6"/>
    <x v="2"/>
    <x v="0"/>
    <x v="0"/>
    <x v="2"/>
    <x v="2"/>
    <x v="5"/>
    <x v="0"/>
    <n v="2250"/>
    <n v="-2250"/>
  </r>
  <r>
    <s v="03/09"/>
    <s v="4900000095"/>
    <x v="3"/>
    <x v="1"/>
    <x v="6"/>
    <x v="0"/>
    <x v="0"/>
    <x v="0"/>
    <x v="0"/>
    <x v="0"/>
    <x v="0"/>
    <x v="0"/>
    <n v="1946.15"/>
    <n v="-1946.15"/>
  </r>
  <r>
    <s v="03/09"/>
    <s v="4900000095"/>
    <x v="3"/>
    <x v="1"/>
    <x v="6"/>
    <x v="1"/>
    <x v="1"/>
    <x v="1"/>
    <x v="1"/>
    <x v="1"/>
    <x v="1"/>
    <x v="1"/>
    <n v="1946.15"/>
    <n v="1946.15"/>
  </r>
  <r>
    <s v="03/09"/>
    <s v="4900000095"/>
    <x v="3"/>
    <x v="1"/>
    <x v="6"/>
    <x v="0"/>
    <x v="0"/>
    <x v="0"/>
    <x v="0"/>
    <x v="0"/>
    <x v="0"/>
    <x v="0"/>
    <n v="1859.86"/>
    <n v="-1859.86"/>
  </r>
  <r>
    <s v="03/09"/>
    <s v="4900000095"/>
    <x v="3"/>
    <x v="1"/>
    <x v="6"/>
    <x v="1"/>
    <x v="1"/>
    <x v="1"/>
    <x v="1"/>
    <x v="1"/>
    <x v="1"/>
    <x v="1"/>
    <n v="1859.86"/>
    <n v="1859.86"/>
  </r>
  <r>
    <s v="03/09"/>
    <s v="4900000095"/>
    <x v="3"/>
    <x v="1"/>
    <x v="6"/>
    <x v="0"/>
    <x v="0"/>
    <x v="0"/>
    <x v="0"/>
    <x v="0"/>
    <x v="0"/>
    <x v="0"/>
    <n v="1658.59"/>
    <n v="-1658.59"/>
  </r>
  <r>
    <s v="03/09"/>
    <s v="4900000095"/>
    <x v="3"/>
    <x v="1"/>
    <x v="6"/>
    <x v="1"/>
    <x v="1"/>
    <x v="1"/>
    <x v="1"/>
    <x v="1"/>
    <x v="1"/>
    <x v="1"/>
    <n v="1658.59"/>
    <n v="1658.59"/>
  </r>
  <r>
    <s v="03/09"/>
    <s v="4900000095"/>
    <x v="3"/>
    <x v="1"/>
    <x v="6"/>
    <x v="0"/>
    <x v="0"/>
    <x v="0"/>
    <x v="0"/>
    <x v="0"/>
    <x v="0"/>
    <x v="0"/>
    <n v="1614.94"/>
    <n v="-1614.94"/>
  </r>
  <r>
    <s v="03/09"/>
    <s v="4900000095"/>
    <x v="3"/>
    <x v="1"/>
    <x v="6"/>
    <x v="1"/>
    <x v="1"/>
    <x v="1"/>
    <x v="1"/>
    <x v="1"/>
    <x v="1"/>
    <x v="1"/>
    <n v="1614.94"/>
    <n v="1614.94"/>
  </r>
  <r>
    <s v="03/09"/>
    <s v="0090002273"/>
    <x v="3"/>
    <x v="1"/>
    <x v="6"/>
    <x v="2"/>
    <x v="0"/>
    <x v="0"/>
    <x v="2"/>
    <x v="2"/>
    <x v="2"/>
    <x v="1"/>
    <n v="2400"/>
    <n v="2400"/>
  </r>
  <r>
    <s v="03/09"/>
    <s v="0090002273"/>
    <x v="3"/>
    <x v="1"/>
    <x v="6"/>
    <x v="3"/>
    <x v="1"/>
    <x v="2"/>
    <x v="3"/>
    <x v="3"/>
    <x v="3"/>
    <x v="0"/>
    <n v="2400"/>
    <n v="-2400"/>
  </r>
  <r>
    <s v="03/09"/>
    <s v="0090002274"/>
    <x v="3"/>
    <x v="1"/>
    <x v="6"/>
    <x v="2"/>
    <x v="0"/>
    <x v="0"/>
    <x v="2"/>
    <x v="2"/>
    <x v="2"/>
    <x v="1"/>
    <n v="3900"/>
    <n v="3900"/>
  </r>
  <r>
    <s v="03/09"/>
    <s v="0090002274"/>
    <x v="3"/>
    <x v="1"/>
    <x v="6"/>
    <x v="3"/>
    <x v="1"/>
    <x v="2"/>
    <x v="3"/>
    <x v="3"/>
    <x v="3"/>
    <x v="0"/>
    <n v="1976"/>
    <n v="-1976"/>
  </r>
  <r>
    <s v="03/09"/>
    <s v="0090002274"/>
    <x v="3"/>
    <x v="1"/>
    <x v="6"/>
    <x v="3"/>
    <x v="1"/>
    <x v="2"/>
    <x v="3"/>
    <x v="3"/>
    <x v="3"/>
    <x v="0"/>
    <n v="1924"/>
    <n v="-1924"/>
  </r>
  <r>
    <s v="03/09"/>
    <s v="0090002276"/>
    <x v="3"/>
    <x v="1"/>
    <x v="6"/>
    <x v="2"/>
    <x v="0"/>
    <x v="0"/>
    <x v="2"/>
    <x v="2"/>
    <x v="2"/>
    <x v="1"/>
    <n v="2871"/>
    <n v="2871"/>
  </r>
  <r>
    <s v="03/09"/>
    <s v="0090002276"/>
    <x v="3"/>
    <x v="1"/>
    <x v="6"/>
    <x v="3"/>
    <x v="1"/>
    <x v="2"/>
    <x v="3"/>
    <x v="3"/>
    <x v="3"/>
    <x v="0"/>
    <n v="2013"/>
    <n v="-2013"/>
  </r>
  <r>
    <s v="03/09"/>
    <s v="0090002276"/>
    <x v="3"/>
    <x v="1"/>
    <x v="6"/>
    <x v="3"/>
    <x v="1"/>
    <x v="2"/>
    <x v="3"/>
    <x v="3"/>
    <x v="3"/>
    <x v="0"/>
    <n v="858"/>
    <n v="-858"/>
  </r>
  <r>
    <s v="03/09"/>
    <s v="0090002277"/>
    <x v="3"/>
    <x v="1"/>
    <x v="6"/>
    <x v="2"/>
    <x v="0"/>
    <x v="0"/>
    <x v="2"/>
    <x v="2"/>
    <x v="2"/>
    <x v="1"/>
    <n v="1530"/>
    <n v="1530"/>
  </r>
  <r>
    <s v="03/09"/>
    <s v="0090002277"/>
    <x v="3"/>
    <x v="1"/>
    <x v="6"/>
    <x v="3"/>
    <x v="1"/>
    <x v="2"/>
    <x v="3"/>
    <x v="3"/>
    <x v="3"/>
    <x v="0"/>
    <n v="1530"/>
    <n v="-1530"/>
  </r>
  <r>
    <s v="03/09"/>
    <s v="4900000097"/>
    <x v="3"/>
    <x v="1"/>
    <x v="6"/>
    <x v="0"/>
    <x v="0"/>
    <x v="0"/>
    <x v="0"/>
    <x v="0"/>
    <x v="0"/>
    <x v="0"/>
    <n v="1593.24"/>
    <n v="-1593.24"/>
  </r>
  <r>
    <s v="03/09"/>
    <s v="4900000097"/>
    <x v="3"/>
    <x v="1"/>
    <x v="6"/>
    <x v="1"/>
    <x v="1"/>
    <x v="1"/>
    <x v="1"/>
    <x v="1"/>
    <x v="1"/>
    <x v="1"/>
    <n v="1593.24"/>
    <n v="1593.24"/>
  </r>
  <r>
    <s v="03/09"/>
    <s v="4900000097"/>
    <x v="3"/>
    <x v="1"/>
    <x v="6"/>
    <x v="0"/>
    <x v="0"/>
    <x v="0"/>
    <x v="0"/>
    <x v="0"/>
    <x v="0"/>
    <x v="0"/>
    <n v="679.09"/>
    <n v="-679.09"/>
  </r>
  <r>
    <s v="03/09"/>
    <s v="4900000097"/>
    <x v="3"/>
    <x v="1"/>
    <x v="6"/>
    <x v="1"/>
    <x v="1"/>
    <x v="1"/>
    <x v="1"/>
    <x v="1"/>
    <x v="1"/>
    <x v="1"/>
    <n v="679.09"/>
    <n v="679.09"/>
  </r>
  <r>
    <s v="03/09"/>
    <s v="4900000097"/>
    <x v="3"/>
    <x v="1"/>
    <x v="6"/>
    <x v="0"/>
    <x v="0"/>
    <x v="0"/>
    <x v="0"/>
    <x v="0"/>
    <x v="0"/>
    <x v="0"/>
    <n v="1185.6600000000001"/>
    <n v="-1185.6600000000001"/>
  </r>
  <r>
    <s v="03/09"/>
    <s v="4900000097"/>
    <x v="3"/>
    <x v="1"/>
    <x v="6"/>
    <x v="1"/>
    <x v="1"/>
    <x v="1"/>
    <x v="1"/>
    <x v="1"/>
    <x v="1"/>
    <x v="1"/>
    <n v="1185.6600000000001"/>
    <n v="1185.6600000000001"/>
  </r>
  <r>
    <s v="03/09"/>
    <s v="0090002272"/>
    <x v="3"/>
    <x v="1"/>
    <x v="6"/>
    <x v="2"/>
    <x v="0"/>
    <x v="0"/>
    <x v="2"/>
    <x v="2"/>
    <x v="2"/>
    <x v="1"/>
    <n v="2240"/>
    <n v="2240"/>
  </r>
  <r>
    <s v="03/09"/>
    <s v="0090002272"/>
    <x v="3"/>
    <x v="1"/>
    <x v="6"/>
    <x v="3"/>
    <x v="1"/>
    <x v="2"/>
    <x v="3"/>
    <x v="3"/>
    <x v="3"/>
    <x v="0"/>
    <n v="2240"/>
    <n v="-2240"/>
  </r>
  <r>
    <s v="03/09"/>
    <s v="1400000085"/>
    <x v="3"/>
    <x v="1"/>
    <x v="6"/>
    <x v="4"/>
    <x v="0"/>
    <x v="0"/>
    <x v="4"/>
    <x v="4"/>
    <x v="4"/>
    <x v="1"/>
    <n v="2170"/>
    <n v="2170"/>
  </r>
  <r>
    <s v="03/09"/>
    <s v="1400000085"/>
    <x v="3"/>
    <x v="1"/>
    <x v="6"/>
    <x v="2"/>
    <x v="0"/>
    <x v="0"/>
    <x v="2"/>
    <x v="2"/>
    <x v="5"/>
    <x v="0"/>
    <n v="2170"/>
    <n v="-2170"/>
  </r>
  <r>
    <s v="03/09"/>
    <s v="1400000085"/>
    <x v="3"/>
    <x v="1"/>
    <x v="6"/>
    <x v="4"/>
    <x v="0"/>
    <x v="0"/>
    <x v="4"/>
    <x v="4"/>
    <x v="4"/>
    <x v="1"/>
    <n v="1650"/>
    <n v="1650"/>
  </r>
  <r>
    <s v="03/09"/>
    <s v="1400000085"/>
    <x v="3"/>
    <x v="1"/>
    <x v="6"/>
    <x v="2"/>
    <x v="0"/>
    <x v="0"/>
    <x v="2"/>
    <x v="2"/>
    <x v="5"/>
    <x v="0"/>
    <n v="1650"/>
    <n v="-1650"/>
  </r>
  <r>
    <s v="03/09"/>
    <s v="1400000085"/>
    <x v="3"/>
    <x v="1"/>
    <x v="6"/>
    <x v="4"/>
    <x v="0"/>
    <x v="0"/>
    <x v="4"/>
    <x v="4"/>
    <x v="4"/>
    <x v="1"/>
    <n v="4085"/>
    <n v="4085"/>
  </r>
  <r>
    <s v="03/09"/>
    <s v="1400000085"/>
    <x v="3"/>
    <x v="1"/>
    <x v="6"/>
    <x v="2"/>
    <x v="0"/>
    <x v="0"/>
    <x v="2"/>
    <x v="2"/>
    <x v="5"/>
    <x v="0"/>
    <n v="4085"/>
    <n v="-4085"/>
  </r>
  <r>
    <s v="03/09"/>
    <s v="0100000012"/>
    <x v="3"/>
    <x v="1"/>
    <x v="6"/>
    <x v="10"/>
    <x v="1"/>
    <x v="6"/>
    <x v="8"/>
    <x v="10"/>
    <x v="4"/>
    <x v="1"/>
    <n v="300"/>
    <n v="300"/>
  </r>
  <r>
    <s v="03/09"/>
    <s v="0100000012"/>
    <x v="3"/>
    <x v="1"/>
    <x v="6"/>
    <x v="4"/>
    <x v="0"/>
    <x v="0"/>
    <x v="4"/>
    <x v="4"/>
    <x v="3"/>
    <x v="0"/>
    <n v="300"/>
    <n v="-300"/>
  </r>
  <r>
    <s v="03/09"/>
    <s v="1400000083"/>
    <x v="3"/>
    <x v="1"/>
    <x v="6"/>
    <x v="4"/>
    <x v="0"/>
    <x v="0"/>
    <x v="4"/>
    <x v="4"/>
    <x v="4"/>
    <x v="1"/>
    <n v="1820"/>
    <n v="1820"/>
  </r>
  <r>
    <s v="03/09"/>
    <s v="1400000083"/>
    <x v="3"/>
    <x v="1"/>
    <x v="6"/>
    <x v="2"/>
    <x v="0"/>
    <x v="0"/>
    <x v="2"/>
    <x v="2"/>
    <x v="5"/>
    <x v="0"/>
    <n v="1820"/>
    <n v="-1820"/>
  </r>
  <r>
    <s v="03/09"/>
    <s v="4900000096"/>
    <x v="3"/>
    <x v="1"/>
    <x v="6"/>
    <x v="0"/>
    <x v="0"/>
    <x v="0"/>
    <x v="0"/>
    <x v="0"/>
    <x v="0"/>
    <x v="0"/>
    <n v="1265.77"/>
    <n v="-1265.77"/>
  </r>
  <r>
    <s v="03/09"/>
    <s v="4900000096"/>
    <x v="3"/>
    <x v="1"/>
    <x v="6"/>
    <x v="1"/>
    <x v="1"/>
    <x v="1"/>
    <x v="1"/>
    <x v="1"/>
    <x v="1"/>
    <x v="1"/>
    <n v="1265.77"/>
    <n v="1265.77"/>
  </r>
  <r>
    <s v="04/03"/>
    <s v="1400000095"/>
    <x v="4"/>
    <x v="3"/>
    <x v="7"/>
    <x v="4"/>
    <x v="0"/>
    <x v="0"/>
    <x v="4"/>
    <x v="4"/>
    <x v="4"/>
    <x v="1"/>
    <n v="3900"/>
    <n v="3900"/>
  </r>
  <r>
    <s v="04/03"/>
    <s v="1400000095"/>
    <x v="4"/>
    <x v="3"/>
    <x v="7"/>
    <x v="2"/>
    <x v="0"/>
    <x v="0"/>
    <x v="2"/>
    <x v="2"/>
    <x v="5"/>
    <x v="0"/>
    <n v="3900"/>
    <n v="-3900"/>
  </r>
  <r>
    <s v="04/03"/>
    <s v="1400000095"/>
    <x v="4"/>
    <x v="3"/>
    <x v="7"/>
    <x v="4"/>
    <x v="0"/>
    <x v="0"/>
    <x v="4"/>
    <x v="4"/>
    <x v="4"/>
    <x v="1"/>
    <n v="2400"/>
    <n v="2400"/>
  </r>
  <r>
    <s v="04/03"/>
    <s v="1400000095"/>
    <x v="4"/>
    <x v="3"/>
    <x v="7"/>
    <x v="2"/>
    <x v="0"/>
    <x v="0"/>
    <x v="2"/>
    <x v="2"/>
    <x v="5"/>
    <x v="0"/>
    <n v="2400"/>
    <n v="-2400"/>
  </r>
  <r>
    <s v="04/03"/>
    <s v="1400000095"/>
    <x v="4"/>
    <x v="3"/>
    <x v="7"/>
    <x v="4"/>
    <x v="0"/>
    <x v="0"/>
    <x v="4"/>
    <x v="4"/>
    <x v="4"/>
    <x v="1"/>
    <n v="2240"/>
    <n v="2240"/>
  </r>
  <r>
    <s v="04/03"/>
    <s v="1400000095"/>
    <x v="4"/>
    <x v="3"/>
    <x v="7"/>
    <x v="2"/>
    <x v="0"/>
    <x v="0"/>
    <x v="2"/>
    <x v="2"/>
    <x v="5"/>
    <x v="0"/>
    <n v="2240"/>
    <n v="-2240"/>
  </r>
  <r>
    <s v="04/03"/>
    <s v="1400000098"/>
    <x v="4"/>
    <x v="3"/>
    <x v="7"/>
    <x v="4"/>
    <x v="0"/>
    <x v="0"/>
    <x v="4"/>
    <x v="4"/>
    <x v="4"/>
    <x v="1"/>
    <n v="2444"/>
    <n v="2444"/>
  </r>
  <r>
    <s v="04/03"/>
    <s v="1400000098"/>
    <x v="4"/>
    <x v="3"/>
    <x v="7"/>
    <x v="2"/>
    <x v="0"/>
    <x v="0"/>
    <x v="2"/>
    <x v="2"/>
    <x v="5"/>
    <x v="0"/>
    <n v="2444"/>
    <n v="-2444"/>
  </r>
  <r>
    <s v="04/03"/>
    <s v="4900000106"/>
    <x v="4"/>
    <x v="3"/>
    <x v="7"/>
    <x v="0"/>
    <x v="0"/>
    <x v="0"/>
    <x v="0"/>
    <x v="0"/>
    <x v="0"/>
    <x v="0"/>
    <n v="1757.47"/>
    <n v="-1757.47"/>
  </r>
  <r>
    <s v="04/03"/>
    <s v="4900000106"/>
    <x v="4"/>
    <x v="3"/>
    <x v="7"/>
    <x v="1"/>
    <x v="1"/>
    <x v="1"/>
    <x v="1"/>
    <x v="1"/>
    <x v="1"/>
    <x v="1"/>
    <n v="1757.47"/>
    <n v="1757.47"/>
  </r>
  <r>
    <s v="04/03"/>
    <s v="4900000106"/>
    <x v="4"/>
    <x v="3"/>
    <x v="7"/>
    <x v="0"/>
    <x v="0"/>
    <x v="0"/>
    <x v="0"/>
    <x v="0"/>
    <x v="0"/>
    <x v="0"/>
    <n v="1590.09"/>
    <n v="-1590.09"/>
  </r>
  <r>
    <s v="04/03"/>
    <s v="4900000106"/>
    <x v="4"/>
    <x v="3"/>
    <x v="7"/>
    <x v="1"/>
    <x v="1"/>
    <x v="1"/>
    <x v="1"/>
    <x v="1"/>
    <x v="1"/>
    <x v="1"/>
    <n v="1590.09"/>
    <n v="1590.09"/>
  </r>
  <r>
    <s v="04/03"/>
    <s v="0090002288"/>
    <x v="4"/>
    <x v="3"/>
    <x v="7"/>
    <x v="2"/>
    <x v="0"/>
    <x v="0"/>
    <x v="2"/>
    <x v="2"/>
    <x v="2"/>
    <x v="1"/>
    <n v="1633"/>
    <n v="1633"/>
  </r>
  <r>
    <s v="04/03"/>
    <s v="0090002288"/>
    <x v="4"/>
    <x v="3"/>
    <x v="7"/>
    <x v="3"/>
    <x v="1"/>
    <x v="2"/>
    <x v="3"/>
    <x v="3"/>
    <x v="3"/>
    <x v="0"/>
    <n v="1633"/>
    <n v="-1633"/>
  </r>
  <r>
    <s v="04/03"/>
    <s v="0090002289"/>
    <x v="4"/>
    <x v="3"/>
    <x v="7"/>
    <x v="2"/>
    <x v="0"/>
    <x v="0"/>
    <x v="2"/>
    <x v="2"/>
    <x v="2"/>
    <x v="1"/>
    <n v="1836"/>
    <n v="1836"/>
  </r>
  <r>
    <s v="04/03"/>
    <s v="0090002289"/>
    <x v="4"/>
    <x v="3"/>
    <x v="7"/>
    <x v="3"/>
    <x v="1"/>
    <x v="2"/>
    <x v="3"/>
    <x v="3"/>
    <x v="3"/>
    <x v="0"/>
    <n v="1836"/>
    <n v="-1836"/>
  </r>
  <r>
    <s v="04/03"/>
    <s v="1400000096"/>
    <x v="4"/>
    <x v="3"/>
    <x v="7"/>
    <x v="4"/>
    <x v="0"/>
    <x v="0"/>
    <x v="4"/>
    <x v="4"/>
    <x v="4"/>
    <x v="1"/>
    <n v="1508"/>
    <n v="1508"/>
  </r>
  <r>
    <s v="04/03"/>
    <s v="1400000096"/>
    <x v="4"/>
    <x v="3"/>
    <x v="7"/>
    <x v="2"/>
    <x v="0"/>
    <x v="0"/>
    <x v="2"/>
    <x v="2"/>
    <x v="5"/>
    <x v="0"/>
    <n v="1508"/>
    <n v="-1508"/>
  </r>
  <r>
    <s v="04/03"/>
    <s v="0090002290"/>
    <x v="4"/>
    <x v="3"/>
    <x v="7"/>
    <x v="2"/>
    <x v="0"/>
    <x v="0"/>
    <x v="2"/>
    <x v="2"/>
    <x v="2"/>
    <x v="1"/>
    <n v="3840"/>
    <n v="3840"/>
  </r>
  <r>
    <s v="04/03"/>
    <s v="0090002290"/>
    <x v="4"/>
    <x v="3"/>
    <x v="7"/>
    <x v="3"/>
    <x v="1"/>
    <x v="2"/>
    <x v="3"/>
    <x v="3"/>
    <x v="3"/>
    <x v="0"/>
    <n v="2016"/>
    <n v="-2016"/>
  </r>
  <r>
    <s v="04/03"/>
    <s v="0090002290"/>
    <x v="4"/>
    <x v="3"/>
    <x v="7"/>
    <x v="3"/>
    <x v="1"/>
    <x v="2"/>
    <x v="3"/>
    <x v="3"/>
    <x v="3"/>
    <x v="0"/>
    <n v="1824"/>
    <n v="-1824"/>
  </r>
  <r>
    <s v="04/03"/>
    <s v="4900000105"/>
    <x v="4"/>
    <x v="3"/>
    <x v="7"/>
    <x v="0"/>
    <x v="0"/>
    <x v="0"/>
    <x v="0"/>
    <x v="0"/>
    <x v="0"/>
    <x v="0"/>
    <n v="1399.95"/>
    <n v="-1399.95"/>
  </r>
  <r>
    <s v="04/03"/>
    <s v="4900000105"/>
    <x v="4"/>
    <x v="3"/>
    <x v="7"/>
    <x v="1"/>
    <x v="1"/>
    <x v="1"/>
    <x v="1"/>
    <x v="1"/>
    <x v="1"/>
    <x v="1"/>
    <n v="1399.95"/>
    <n v="1399.95"/>
  </r>
  <r>
    <s v="04/03"/>
    <s v="4900000105"/>
    <x v="4"/>
    <x v="3"/>
    <x v="7"/>
    <x v="0"/>
    <x v="0"/>
    <x v="0"/>
    <x v="0"/>
    <x v="0"/>
    <x v="0"/>
    <x v="0"/>
    <n v="1416.97"/>
    <n v="-1416.97"/>
  </r>
  <r>
    <s v="04/03"/>
    <s v="4900000105"/>
    <x v="4"/>
    <x v="3"/>
    <x v="7"/>
    <x v="1"/>
    <x v="1"/>
    <x v="1"/>
    <x v="1"/>
    <x v="1"/>
    <x v="1"/>
    <x v="1"/>
    <n v="1416.97"/>
    <n v="1416.97"/>
  </r>
  <r>
    <s v="04/03"/>
    <s v="1400000097"/>
    <x v="4"/>
    <x v="3"/>
    <x v="7"/>
    <x v="4"/>
    <x v="0"/>
    <x v="0"/>
    <x v="4"/>
    <x v="4"/>
    <x v="4"/>
    <x v="1"/>
    <n v="1530"/>
    <n v="1530"/>
  </r>
  <r>
    <s v="04/03"/>
    <s v="1400000097"/>
    <x v="4"/>
    <x v="3"/>
    <x v="7"/>
    <x v="2"/>
    <x v="0"/>
    <x v="0"/>
    <x v="2"/>
    <x v="2"/>
    <x v="5"/>
    <x v="0"/>
    <n v="1530"/>
    <n v="-1530"/>
  </r>
  <r>
    <s v="04/03"/>
    <s v="1400000097"/>
    <x v="4"/>
    <x v="3"/>
    <x v="7"/>
    <x v="4"/>
    <x v="0"/>
    <x v="0"/>
    <x v="4"/>
    <x v="4"/>
    <x v="4"/>
    <x v="1"/>
    <n v="2871"/>
    <n v="2871"/>
  </r>
  <r>
    <s v="04/03"/>
    <s v="1400000097"/>
    <x v="4"/>
    <x v="3"/>
    <x v="7"/>
    <x v="2"/>
    <x v="0"/>
    <x v="0"/>
    <x v="2"/>
    <x v="2"/>
    <x v="5"/>
    <x v="0"/>
    <n v="2871"/>
    <n v="-2871"/>
  </r>
  <r>
    <s v="04/08"/>
    <s v="4900000118"/>
    <x v="4"/>
    <x v="8"/>
    <x v="8"/>
    <x v="0"/>
    <x v="0"/>
    <x v="0"/>
    <x v="0"/>
    <x v="0"/>
    <x v="0"/>
    <x v="0"/>
    <n v="1676.64"/>
    <n v="-1676.64"/>
  </r>
  <r>
    <s v="04/08"/>
    <s v="4900000118"/>
    <x v="4"/>
    <x v="8"/>
    <x v="8"/>
    <x v="1"/>
    <x v="1"/>
    <x v="1"/>
    <x v="1"/>
    <x v="1"/>
    <x v="1"/>
    <x v="1"/>
    <n v="1676.64"/>
    <n v="1676.64"/>
  </r>
  <r>
    <s v="04/08"/>
    <s v="4900000118"/>
    <x v="4"/>
    <x v="8"/>
    <x v="8"/>
    <x v="0"/>
    <x v="0"/>
    <x v="0"/>
    <x v="0"/>
    <x v="0"/>
    <x v="0"/>
    <x v="0"/>
    <n v="1645.07"/>
    <n v="-1645.07"/>
  </r>
  <r>
    <s v="04/08"/>
    <s v="4900000118"/>
    <x v="4"/>
    <x v="8"/>
    <x v="8"/>
    <x v="1"/>
    <x v="1"/>
    <x v="1"/>
    <x v="1"/>
    <x v="1"/>
    <x v="1"/>
    <x v="1"/>
    <n v="1645.07"/>
    <n v="1645.07"/>
  </r>
  <r>
    <s v="04/08"/>
    <s v="5100000005"/>
    <x v="4"/>
    <x v="8"/>
    <x v="8"/>
    <x v="9"/>
    <x v="2"/>
    <x v="5"/>
    <x v="7"/>
    <x v="9"/>
    <x v="2"/>
    <x v="0"/>
    <n v="52232.23"/>
    <n v="-52232.23"/>
  </r>
  <r>
    <s v="04/08"/>
    <s v="5100000005"/>
    <x v="4"/>
    <x v="8"/>
    <x v="8"/>
    <x v="7"/>
    <x v="2"/>
    <x v="5"/>
    <x v="7"/>
    <x v="7"/>
    <x v="8"/>
    <x v="1"/>
    <n v="9157.0499999999993"/>
    <n v="9157.0499999999993"/>
  </r>
  <r>
    <s v="04/08"/>
    <s v="5100000005"/>
    <x v="4"/>
    <x v="8"/>
    <x v="8"/>
    <x v="8"/>
    <x v="2"/>
    <x v="5"/>
    <x v="7"/>
    <x v="8"/>
    <x v="4"/>
    <x v="1"/>
    <n v="178.74"/>
    <n v="178.74"/>
  </r>
  <r>
    <s v="04/08"/>
    <s v="5100000005"/>
    <x v="4"/>
    <x v="8"/>
    <x v="8"/>
    <x v="7"/>
    <x v="2"/>
    <x v="5"/>
    <x v="7"/>
    <x v="7"/>
    <x v="8"/>
    <x v="1"/>
    <n v="5261.11"/>
    <n v="5261.11"/>
  </r>
  <r>
    <s v="04/08"/>
    <s v="5100000005"/>
    <x v="4"/>
    <x v="8"/>
    <x v="8"/>
    <x v="8"/>
    <x v="2"/>
    <x v="5"/>
    <x v="7"/>
    <x v="8"/>
    <x v="4"/>
    <x v="1"/>
    <n v="102.69"/>
    <n v="102.69"/>
  </r>
  <r>
    <s v="04/08"/>
    <s v="5100000005"/>
    <x v="4"/>
    <x v="8"/>
    <x v="8"/>
    <x v="7"/>
    <x v="2"/>
    <x v="5"/>
    <x v="7"/>
    <x v="7"/>
    <x v="8"/>
    <x v="1"/>
    <n v="13235.2"/>
    <n v="13235.2"/>
  </r>
  <r>
    <s v="04/08"/>
    <s v="5100000005"/>
    <x v="4"/>
    <x v="8"/>
    <x v="8"/>
    <x v="8"/>
    <x v="2"/>
    <x v="5"/>
    <x v="7"/>
    <x v="8"/>
    <x v="4"/>
    <x v="1"/>
    <n v="258.33999999999997"/>
    <n v="258.33999999999997"/>
  </r>
  <r>
    <s v="04/08"/>
    <s v="4900000117"/>
    <x v="4"/>
    <x v="8"/>
    <x v="8"/>
    <x v="0"/>
    <x v="0"/>
    <x v="0"/>
    <x v="0"/>
    <x v="0"/>
    <x v="0"/>
    <x v="0"/>
    <n v="1357.7"/>
    <n v="-1357.7"/>
  </r>
  <r>
    <s v="04/08"/>
    <s v="4900000117"/>
    <x v="4"/>
    <x v="8"/>
    <x v="8"/>
    <x v="1"/>
    <x v="1"/>
    <x v="1"/>
    <x v="1"/>
    <x v="1"/>
    <x v="1"/>
    <x v="1"/>
    <n v="1357.7"/>
    <n v="1357.7"/>
  </r>
  <r>
    <s v="04/08"/>
    <s v="0090002313"/>
    <x v="4"/>
    <x v="8"/>
    <x v="8"/>
    <x v="2"/>
    <x v="0"/>
    <x v="0"/>
    <x v="2"/>
    <x v="2"/>
    <x v="2"/>
    <x v="1"/>
    <n v="2263"/>
    <n v="2263"/>
  </r>
  <r>
    <s v="04/08"/>
    <s v="0090002313"/>
    <x v="4"/>
    <x v="8"/>
    <x v="8"/>
    <x v="3"/>
    <x v="1"/>
    <x v="2"/>
    <x v="3"/>
    <x v="3"/>
    <x v="3"/>
    <x v="0"/>
    <n v="2263"/>
    <n v="-2263"/>
  </r>
  <r>
    <s v="04/08"/>
    <s v="0090002310"/>
    <x v="4"/>
    <x v="8"/>
    <x v="8"/>
    <x v="2"/>
    <x v="0"/>
    <x v="0"/>
    <x v="2"/>
    <x v="2"/>
    <x v="2"/>
    <x v="1"/>
    <n v="1705"/>
    <n v="1705"/>
  </r>
  <r>
    <s v="04/08"/>
    <s v="0090002310"/>
    <x v="4"/>
    <x v="8"/>
    <x v="8"/>
    <x v="3"/>
    <x v="1"/>
    <x v="2"/>
    <x v="3"/>
    <x v="3"/>
    <x v="3"/>
    <x v="0"/>
    <n v="1705"/>
    <n v="-1705"/>
  </r>
  <r>
    <s v="04/08"/>
    <s v="0090002311"/>
    <x v="4"/>
    <x v="8"/>
    <x v="8"/>
    <x v="2"/>
    <x v="0"/>
    <x v="0"/>
    <x v="2"/>
    <x v="2"/>
    <x v="2"/>
    <x v="1"/>
    <n v="2001"/>
    <n v="2001"/>
  </r>
  <r>
    <s v="04/08"/>
    <s v="0090002311"/>
    <x v="4"/>
    <x v="8"/>
    <x v="8"/>
    <x v="3"/>
    <x v="1"/>
    <x v="2"/>
    <x v="3"/>
    <x v="3"/>
    <x v="3"/>
    <x v="0"/>
    <n v="2001"/>
    <n v="-2001"/>
  </r>
  <r>
    <s v="04/08"/>
    <s v="0090002312"/>
    <x v="4"/>
    <x v="8"/>
    <x v="8"/>
    <x v="2"/>
    <x v="0"/>
    <x v="0"/>
    <x v="2"/>
    <x v="2"/>
    <x v="2"/>
    <x v="1"/>
    <n v="1971"/>
    <n v="1971"/>
  </r>
  <r>
    <s v="04/08"/>
    <s v="0090002312"/>
    <x v="4"/>
    <x v="8"/>
    <x v="8"/>
    <x v="3"/>
    <x v="1"/>
    <x v="2"/>
    <x v="3"/>
    <x v="3"/>
    <x v="3"/>
    <x v="0"/>
    <n v="1971"/>
    <n v="-1971"/>
  </r>
  <r>
    <s v="04/08"/>
    <s v="5000000005"/>
    <x v="4"/>
    <x v="8"/>
    <x v="8"/>
    <x v="0"/>
    <x v="0"/>
    <x v="0"/>
    <x v="0"/>
    <x v="0"/>
    <x v="6"/>
    <x v="1"/>
    <n v="9335.7900000000009"/>
    <n v="9335.7900000000009"/>
  </r>
  <r>
    <s v="04/08"/>
    <s v="5000000005"/>
    <x v="4"/>
    <x v="8"/>
    <x v="8"/>
    <x v="7"/>
    <x v="2"/>
    <x v="5"/>
    <x v="7"/>
    <x v="7"/>
    <x v="7"/>
    <x v="0"/>
    <n v="9157.0499999999993"/>
    <n v="-9157.0499999999993"/>
  </r>
  <r>
    <s v="04/08"/>
    <s v="5000000005"/>
    <x v="4"/>
    <x v="8"/>
    <x v="8"/>
    <x v="8"/>
    <x v="2"/>
    <x v="5"/>
    <x v="7"/>
    <x v="8"/>
    <x v="3"/>
    <x v="0"/>
    <n v="178.74"/>
    <n v="-178.74"/>
  </r>
  <r>
    <s v="04/08"/>
    <s v="5000000005"/>
    <x v="4"/>
    <x v="8"/>
    <x v="8"/>
    <x v="0"/>
    <x v="0"/>
    <x v="0"/>
    <x v="0"/>
    <x v="0"/>
    <x v="6"/>
    <x v="1"/>
    <n v="5363.8"/>
    <n v="5363.8"/>
  </r>
  <r>
    <s v="04/08"/>
    <s v="5000000005"/>
    <x v="4"/>
    <x v="8"/>
    <x v="8"/>
    <x v="7"/>
    <x v="2"/>
    <x v="5"/>
    <x v="7"/>
    <x v="7"/>
    <x v="7"/>
    <x v="0"/>
    <n v="5261.11"/>
    <n v="-5261.11"/>
  </r>
  <r>
    <s v="04/08"/>
    <s v="5000000005"/>
    <x v="4"/>
    <x v="8"/>
    <x v="8"/>
    <x v="8"/>
    <x v="2"/>
    <x v="5"/>
    <x v="7"/>
    <x v="8"/>
    <x v="3"/>
    <x v="0"/>
    <n v="102.69"/>
    <n v="-102.69"/>
  </r>
  <r>
    <s v="04/08"/>
    <s v="5000000005"/>
    <x v="4"/>
    <x v="8"/>
    <x v="8"/>
    <x v="0"/>
    <x v="0"/>
    <x v="0"/>
    <x v="0"/>
    <x v="0"/>
    <x v="6"/>
    <x v="1"/>
    <n v="13493.54"/>
    <n v="13493.54"/>
  </r>
  <r>
    <s v="04/08"/>
    <s v="0090002314"/>
    <x v="4"/>
    <x v="8"/>
    <x v="8"/>
    <x v="2"/>
    <x v="0"/>
    <x v="0"/>
    <x v="2"/>
    <x v="2"/>
    <x v="2"/>
    <x v="1"/>
    <n v="2352"/>
    <n v="2352"/>
  </r>
  <r>
    <s v="04/08"/>
    <s v="0090002314"/>
    <x v="4"/>
    <x v="8"/>
    <x v="8"/>
    <x v="3"/>
    <x v="1"/>
    <x v="2"/>
    <x v="3"/>
    <x v="3"/>
    <x v="3"/>
    <x v="0"/>
    <n v="2352"/>
    <n v="-2352"/>
  </r>
  <r>
    <s v="04/08"/>
    <s v="0100000016"/>
    <x v="4"/>
    <x v="8"/>
    <x v="8"/>
    <x v="10"/>
    <x v="1"/>
    <x v="6"/>
    <x v="8"/>
    <x v="10"/>
    <x v="4"/>
    <x v="1"/>
    <n v="200"/>
    <n v="200"/>
  </r>
  <r>
    <s v="04/08"/>
    <s v="0100000016"/>
    <x v="4"/>
    <x v="8"/>
    <x v="8"/>
    <x v="4"/>
    <x v="0"/>
    <x v="0"/>
    <x v="4"/>
    <x v="4"/>
    <x v="3"/>
    <x v="0"/>
    <n v="200"/>
    <n v="-200"/>
  </r>
  <r>
    <s v="04/08"/>
    <s v="4900000119"/>
    <x v="4"/>
    <x v="8"/>
    <x v="8"/>
    <x v="0"/>
    <x v="0"/>
    <x v="0"/>
    <x v="0"/>
    <x v="0"/>
    <x v="0"/>
    <x v="0"/>
    <n v="1888.78"/>
    <n v="-1888.78"/>
  </r>
  <r>
    <s v="04/08"/>
    <s v="4900000119"/>
    <x v="4"/>
    <x v="8"/>
    <x v="8"/>
    <x v="1"/>
    <x v="1"/>
    <x v="1"/>
    <x v="1"/>
    <x v="1"/>
    <x v="1"/>
    <x v="1"/>
    <n v="1888.78"/>
    <n v="1888.78"/>
  </r>
  <r>
    <s v="04/08"/>
    <s v="4900000119"/>
    <x v="4"/>
    <x v="8"/>
    <x v="8"/>
    <x v="0"/>
    <x v="0"/>
    <x v="0"/>
    <x v="0"/>
    <x v="0"/>
    <x v="0"/>
    <x v="0"/>
    <n v="2010.52"/>
    <n v="-2010.52"/>
  </r>
  <r>
    <s v="04/08"/>
    <s v="4900000119"/>
    <x v="4"/>
    <x v="8"/>
    <x v="8"/>
    <x v="1"/>
    <x v="1"/>
    <x v="1"/>
    <x v="1"/>
    <x v="1"/>
    <x v="1"/>
    <x v="1"/>
    <n v="2010.52"/>
    <n v="2010.52"/>
  </r>
  <r>
    <s v="04/08"/>
    <s v="5100000005"/>
    <x v="4"/>
    <x v="8"/>
    <x v="8"/>
    <x v="7"/>
    <x v="2"/>
    <x v="5"/>
    <x v="7"/>
    <x v="7"/>
    <x v="8"/>
    <x v="1"/>
    <n v="6779.76"/>
    <n v="6779.76"/>
  </r>
  <r>
    <s v="04/08"/>
    <s v="5100000005"/>
    <x v="4"/>
    <x v="8"/>
    <x v="8"/>
    <x v="8"/>
    <x v="2"/>
    <x v="5"/>
    <x v="7"/>
    <x v="8"/>
    <x v="4"/>
    <x v="1"/>
    <n v="132.33000000000001"/>
    <n v="132.33000000000001"/>
  </r>
  <r>
    <s v="04/08"/>
    <s v="5100000005"/>
    <x v="4"/>
    <x v="8"/>
    <x v="8"/>
    <x v="7"/>
    <x v="2"/>
    <x v="5"/>
    <x v="7"/>
    <x v="7"/>
    <x v="8"/>
    <x v="1"/>
    <n v="12095.76"/>
    <n v="12095.76"/>
  </r>
  <r>
    <s v="04/08"/>
    <s v="5100000005"/>
    <x v="4"/>
    <x v="8"/>
    <x v="8"/>
    <x v="8"/>
    <x v="2"/>
    <x v="5"/>
    <x v="7"/>
    <x v="8"/>
    <x v="4"/>
    <x v="1"/>
    <n v="236.1"/>
    <n v="236.1"/>
  </r>
  <r>
    <s v="04/08"/>
    <s v="5100000005"/>
    <x v="4"/>
    <x v="8"/>
    <x v="8"/>
    <x v="7"/>
    <x v="2"/>
    <x v="5"/>
    <x v="7"/>
    <x v="7"/>
    <x v="8"/>
    <x v="1"/>
    <n v="4703.3500000000004"/>
    <n v="4703.3500000000004"/>
  </r>
  <r>
    <s v="04/08"/>
    <s v="5100000005"/>
    <x v="4"/>
    <x v="8"/>
    <x v="8"/>
    <x v="8"/>
    <x v="2"/>
    <x v="5"/>
    <x v="7"/>
    <x v="8"/>
    <x v="4"/>
    <x v="1"/>
    <n v="91.8"/>
    <n v="91.8"/>
  </r>
  <r>
    <s v="04/08"/>
    <s v="1400000108"/>
    <x v="4"/>
    <x v="8"/>
    <x v="8"/>
    <x v="4"/>
    <x v="0"/>
    <x v="0"/>
    <x v="4"/>
    <x v="4"/>
    <x v="4"/>
    <x v="1"/>
    <n v="1365"/>
    <n v="1365"/>
  </r>
  <r>
    <s v="04/08"/>
    <s v="1400000108"/>
    <x v="4"/>
    <x v="8"/>
    <x v="8"/>
    <x v="2"/>
    <x v="0"/>
    <x v="0"/>
    <x v="2"/>
    <x v="2"/>
    <x v="5"/>
    <x v="0"/>
    <n v="1365"/>
    <n v="-1365"/>
  </r>
  <r>
    <s v="04/08"/>
    <s v="1400000108"/>
    <x v="4"/>
    <x v="8"/>
    <x v="8"/>
    <x v="4"/>
    <x v="0"/>
    <x v="0"/>
    <x v="4"/>
    <x v="4"/>
    <x v="4"/>
    <x v="1"/>
    <n v="2214"/>
    <n v="2214"/>
  </r>
  <r>
    <s v="04/08"/>
    <s v="1400000108"/>
    <x v="4"/>
    <x v="8"/>
    <x v="8"/>
    <x v="2"/>
    <x v="0"/>
    <x v="0"/>
    <x v="2"/>
    <x v="2"/>
    <x v="5"/>
    <x v="0"/>
    <n v="2214"/>
    <n v="-2214"/>
  </r>
  <r>
    <s v="04/08"/>
    <s v="1400000107"/>
    <x v="4"/>
    <x v="8"/>
    <x v="8"/>
    <x v="4"/>
    <x v="0"/>
    <x v="0"/>
    <x v="4"/>
    <x v="4"/>
    <x v="4"/>
    <x v="1"/>
    <n v="2208"/>
    <n v="2208"/>
  </r>
  <r>
    <s v="04/08"/>
    <s v="1400000107"/>
    <x v="4"/>
    <x v="8"/>
    <x v="8"/>
    <x v="2"/>
    <x v="0"/>
    <x v="0"/>
    <x v="2"/>
    <x v="2"/>
    <x v="5"/>
    <x v="0"/>
    <n v="2208"/>
    <n v="-2208"/>
  </r>
  <r>
    <s v="04/08"/>
    <s v="1400000107"/>
    <x v="4"/>
    <x v="8"/>
    <x v="8"/>
    <x v="4"/>
    <x v="0"/>
    <x v="0"/>
    <x v="4"/>
    <x v="4"/>
    <x v="4"/>
    <x v="1"/>
    <n v="1785"/>
    <n v="1785"/>
  </r>
  <r>
    <s v="04/08"/>
    <s v="1400000107"/>
    <x v="4"/>
    <x v="8"/>
    <x v="8"/>
    <x v="2"/>
    <x v="0"/>
    <x v="0"/>
    <x v="2"/>
    <x v="2"/>
    <x v="5"/>
    <x v="0"/>
    <n v="1785"/>
    <n v="-1785"/>
  </r>
  <r>
    <s v="04/08"/>
    <s v="5000000005"/>
    <x v="4"/>
    <x v="8"/>
    <x v="8"/>
    <x v="7"/>
    <x v="2"/>
    <x v="5"/>
    <x v="7"/>
    <x v="7"/>
    <x v="7"/>
    <x v="0"/>
    <n v="13235.2"/>
    <n v="-13235.2"/>
  </r>
  <r>
    <s v="04/08"/>
    <s v="5000000005"/>
    <x v="4"/>
    <x v="8"/>
    <x v="8"/>
    <x v="8"/>
    <x v="2"/>
    <x v="5"/>
    <x v="7"/>
    <x v="8"/>
    <x v="3"/>
    <x v="0"/>
    <n v="258.33999999999997"/>
    <n v="-258.33999999999997"/>
  </r>
  <r>
    <s v="04/08"/>
    <s v="5000000005"/>
    <x v="4"/>
    <x v="8"/>
    <x v="8"/>
    <x v="0"/>
    <x v="0"/>
    <x v="0"/>
    <x v="0"/>
    <x v="0"/>
    <x v="6"/>
    <x v="1"/>
    <n v="6912.09"/>
    <n v="6912.09"/>
  </r>
  <r>
    <s v="04/08"/>
    <s v="5000000005"/>
    <x v="4"/>
    <x v="8"/>
    <x v="8"/>
    <x v="7"/>
    <x v="2"/>
    <x v="5"/>
    <x v="7"/>
    <x v="7"/>
    <x v="7"/>
    <x v="0"/>
    <n v="6779.76"/>
    <n v="-6779.76"/>
  </r>
  <r>
    <s v="04/08"/>
    <s v="5000000005"/>
    <x v="4"/>
    <x v="8"/>
    <x v="8"/>
    <x v="8"/>
    <x v="2"/>
    <x v="5"/>
    <x v="7"/>
    <x v="8"/>
    <x v="3"/>
    <x v="0"/>
    <n v="132.33000000000001"/>
    <n v="-132.33000000000001"/>
  </r>
  <r>
    <s v="04/08"/>
    <s v="5000000005"/>
    <x v="4"/>
    <x v="8"/>
    <x v="8"/>
    <x v="0"/>
    <x v="0"/>
    <x v="0"/>
    <x v="0"/>
    <x v="0"/>
    <x v="6"/>
    <x v="1"/>
    <n v="12331.86"/>
    <n v="12331.86"/>
  </r>
  <r>
    <s v="04/08"/>
    <s v="5000000005"/>
    <x v="4"/>
    <x v="8"/>
    <x v="8"/>
    <x v="7"/>
    <x v="2"/>
    <x v="5"/>
    <x v="7"/>
    <x v="7"/>
    <x v="7"/>
    <x v="0"/>
    <n v="12095.76"/>
    <n v="-12095.76"/>
  </r>
  <r>
    <s v="04/08"/>
    <s v="5000000005"/>
    <x v="4"/>
    <x v="8"/>
    <x v="8"/>
    <x v="8"/>
    <x v="2"/>
    <x v="5"/>
    <x v="7"/>
    <x v="8"/>
    <x v="3"/>
    <x v="0"/>
    <n v="236.1"/>
    <n v="-236.1"/>
  </r>
  <r>
    <s v="04/08"/>
    <s v="5000000005"/>
    <x v="4"/>
    <x v="8"/>
    <x v="8"/>
    <x v="0"/>
    <x v="0"/>
    <x v="0"/>
    <x v="0"/>
    <x v="0"/>
    <x v="6"/>
    <x v="1"/>
    <n v="4795.1499999999996"/>
    <n v="4795.1499999999996"/>
  </r>
  <r>
    <s v="04/08"/>
    <s v="5000000005"/>
    <x v="4"/>
    <x v="8"/>
    <x v="8"/>
    <x v="7"/>
    <x v="2"/>
    <x v="5"/>
    <x v="7"/>
    <x v="7"/>
    <x v="7"/>
    <x v="0"/>
    <n v="4703.3500000000004"/>
    <n v="-4703.3500000000004"/>
  </r>
  <r>
    <s v="04/08"/>
    <s v="5000000005"/>
    <x v="4"/>
    <x v="8"/>
    <x v="8"/>
    <x v="8"/>
    <x v="2"/>
    <x v="5"/>
    <x v="7"/>
    <x v="8"/>
    <x v="3"/>
    <x v="0"/>
    <n v="91.8"/>
    <n v="-91.8"/>
  </r>
  <r>
    <s v="03/04"/>
    <s v="4900000080"/>
    <x v="3"/>
    <x v="0"/>
    <x v="5"/>
    <x v="0"/>
    <x v="0"/>
    <x v="0"/>
    <x v="0"/>
    <x v="0"/>
    <x v="0"/>
    <x v="0"/>
    <n v="1913.19"/>
    <n v="-1913.19"/>
  </r>
  <r>
    <s v="03/04"/>
    <s v="4900000080"/>
    <x v="3"/>
    <x v="0"/>
    <x v="5"/>
    <x v="1"/>
    <x v="1"/>
    <x v="1"/>
    <x v="1"/>
    <x v="1"/>
    <x v="1"/>
    <x v="1"/>
    <n v="1913.19"/>
    <n v="1913.19"/>
  </r>
  <r>
    <s v="03/04"/>
    <s v="4900000080"/>
    <x v="3"/>
    <x v="0"/>
    <x v="5"/>
    <x v="0"/>
    <x v="0"/>
    <x v="0"/>
    <x v="0"/>
    <x v="0"/>
    <x v="0"/>
    <x v="0"/>
    <n v="1991.2"/>
    <n v="-1991.2"/>
  </r>
  <r>
    <s v="03/04"/>
    <s v="4900000080"/>
    <x v="3"/>
    <x v="0"/>
    <x v="5"/>
    <x v="1"/>
    <x v="1"/>
    <x v="1"/>
    <x v="1"/>
    <x v="1"/>
    <x v="1"/>
    <x v="1"/>
    <n v="1991.2"/>
    <n v="1991.2"/>
  </r>
  <r>
    <s v="03/04"/>
    <s v="4900000080"/>
    <x v="3"/>
    <x v="0"/>
    <x v="5"/>
    <x v="0"/>
    <x v="0"/>
    <x v="0"/>
    <x v="0"/>
    <x v="0"/>
    <x v="0"/>
    <x v="0"/>
    <n v="1499.53"/>
    <n v="-1499.53"/>
  </r>
  <r>
    <s v="03/04"/>
    <s v="4900000080"/>
    <x v="3"/>
    <x v="0"/>
    <x v="5"/>
    <x v="1"/>
    <x v="1"/>
    <x v="1"/>
    <x v="1"/>
    <x v="1"/>
    <x v="1"/>
    <x v="1"/>
    <n v="1499.53"/>
    <n v="1499.53"/>
  </r>
  <r>
    <s v="03/04"/>
    <s v="4900000080"/>
    <x v="3"/>
    <x v="0"/>
    <x v="5"/>
    <x v="0"/>
    <x v="0"/>
    <x v="0"/>
    <x v="0"/>
    <x v="0"/>
    <x v="0"/>
    <x v="0"/>
    <n v="78.17"/>
    <n v="-78.17"/>
  </r>
  <r>
    <s v="03/04"/>
    <s v="4900000080"/>
    <x v="3"/>
    <x v="0"/>
    <x v="5"/>
    <x v="1"/>
    <x v="1"/>
    <x v="1"/>
    <x v="1"/>
    <x v="1"/>
    <x v="1"/>
    <x v="1"/>
    <n v="78.17"/>
    <n v="78.17"/>
  </r>
  <r>
    <s v="03/04"/>
    <s v="0090002239"/>
    <x v="3"/>
    <x v="0"/>
    <x v="5"/>
    <x v="2"/>
    <x v="0"/>
    <x v="0"/>
    <x v="2"/>
    <x v="2"/>
    <x v="2"/>
    <x v="1"/>
    <n v="1680"/>
    <n v="1680"/>
  </r>
  <r>
    <s v="03/04"/>
    <s v="0090002239"/>
    <x v="3"/>
    <x v="0"/>
    <x v="5"/>
    <x v="3"/>
    <x v="1"/>
    <x v="2"/>
    <x v="3"/>
    <x v="3"/>
    <x v="3"/>
    <x v="0"/>
    <n v="1680"/>
    <n v="-1680"/>
  </r>
  <r>
    <s v="03/04"/>
    <s v="0090002246"/>
    <x v="3"/>
    <x v="0"/>
    <x v="5"/>
    <x v="2"/>
    <x v="0"/>
    <x v="0"/>
    <x v="2"/>
    <x v="2"/>
    <x v="2"/>
    <x v="1"/>
    <n v="2310"/>
    <n v="2310"/>
  </r>
  <r>
    <s v="03/04"/>
    <s v="0090002246"/>
    <x v="3"/>
    <x v="0"/>
    <x v="5"/>
    <x v="3"/>
    <x v="1"/>
    <x v="2"/>
    <x v="3"/>
    <x v="3"/>
    <x v="3"/>
    <x v="0"/>
    <n v="2310"/>
    <n v="-2310"/>
  </r>
  <r>
    <s v="03/04"/>
    <s v="0090002248"/>
    <x v="3"/>
    <x v="0"/>
    <x v="5"/>
    <x v="2"/>
    <x v="0"/>
    <x v="0"/>
    <x v="2"/>
    <x v="2"/>
    <x v="2"/>
    <x v="1"/>
    <n v="1425"/>
    <n v="1425"/>
  </r>
  <r>
    <s v="03/04"/>
    <s v="0090002248"/>
    <x v="3"/>
    <x v="0"/>
    <x v="5"/>
    <x v="3"/>
    <x v="1"/>
    <x v="2"/>
    <x v="3"/>
    <x v="3"/>
    <x v="3"/>
    <x v="0"/>
    <n v="1425"/>
    <n v="-1425"/>
  </r>
  <r>
    <s v="01/02"/>
    <s v="0100000002"/>
    <x v="0"/>
    <x v="9"/>
    <x v="0"/>
    <x v="10"/>
    <x v="1"/>
    <x v="6"/>
    <x v="8"/>
    <x v="10"/>
    <x v="4"/>
    <x v="1"/>
    <n v="300"/>
    <n v="300"/>
  </r>
  <r>
    <s v="01/02"/>
    <s v="0100000002"/>
    <x v="0"/>
    <x v="9"/>
    <x v="0"/>
    <x v="4"/>
    <x v="0"/>
    <x v="0"/>
    <x v="4"/>
    <x v="4"/>
    <x v="3"/>
    <x v="0"/>
    <n v="300"/>
    <n v="-300"/>
  </r>
  <r>
    <s v="01/05"/>
    <s v="0090002117"/>
    <x v="0"/>
    <x v="10"/>
    <x v="0"/>
    <x v="2"/>
    <x v="0"/>
    <x v="0"/>
    <x v="2"/>
    <x v="2"/>
    <x v="2"/>
    <x v="1"/>
    <n v="757.5"/>
    <n v="757.5"/>
  </r>
  <r>
    <s v="01/05"/>
    <s v="0090002117"/>
    <x v="0"/>
    <x v="10"/>
    <x v="0"/>
    <x v="3"/>
    <x v="1"/>
    <x v="2"/>
    <x v="3"/>
    <x v="3"/>
    <x v="3"/>
    <x v="0"/>
    <n v="757.5"/>
    <n v="-757.5"/>
  </r>
  <r>
    <s v="01/05"/>
    <s v="0100000003"/>
    <x v="0"/>
    <x v="10"/>
    <x v="0"/>
    <x v="10"/>
    <x v="1"/>
    <x v="6"/>
    <x v="8"/>
    <x v="10"/>
    <x v="4"/>
    <x v="1"/>
    <n v="300"/>
    <n v="300"/>
  </r>
  <r>
    <s v="01/05"/>
    <s v="0100000003"/>
    <x v="0"/>
    <x v="10"/>
    <x v="0"/>
    <x v="4"/>
    <x v="0"/>
    <x v="0"/>
    <x v="4"/>
    <x v="4"/>
    <x v="3"/>
    <x v="0"/>
    <n v="300"/>
    <n v="-300"/>
  </r>
  <r>
    <s v="01/05"/>
    <s v="4900000010"/>
    <x v="0"/>
    <x v="10"/>
    <x v="0"/>
    <x v="0"/>
    <x v="0"/>
    <x v="0"/>
    <x v="0"/>
    <x v="0"/>
    <x v="0"/>
    <x v="0"/>
    <n v="807.62"/>
    <n v="-807.62"/>
  </r>
  <r>
    <s v="01/05"/>
    <s v="4900000010"/>
    <x v="0"/>
    <x v="10"/>
    <x v="0"/>
    <x v="1"/>
    <x v="1"/>
    <x v="1"/>
    <x v="1"/>
    <x v="1"/>
    <x v="1"/>
    <x v="1"/>
    <n v="807.62"/>
    <n v="807.62"/>
  </r>
  <r>
    <s v="01/05"/>
    <s v="0090002115"/>
    <x v="0"/>
    <x v="10"/>
    <x v="0"/>
    <x v="2"/>
    <x v="0"/>
    <x v="0"/>
    <x v="2"/>
    <x v="2"/>
    <x v="2"/>
    <x v="1"/>
    <n v="883.75"/>
    <n v="883.75"/>
  </r>
  <r>
    <s v="01/05"/>
    <s v="0090002115"/>
    <x v="0"/>
    <x v="10"/>
    <x v="0"/>
    <x v="3"/>
    <x v="1"/>
    <x v="2"/>
    <x v="3"/>
    <x v="3"/>
    <x v="3"/>
    <x v="0"/>
    <n v="883.75"/>
    <n v="-883.75"/>
  </r>
  <r>
    <s v="01/05"/>
    <s v="0090002116"/>
    <x v="0"/>
    <x v="10"/>
    <x v="0"/>
    <x v="2"/>
    <x v="0"/>
    <x v="0"/>
    <x v="2"/>
    <x v="2"/>
    <x v="2"/>
    <x v="1"/>
    <n v="1728.05"/>
    <n v="1728.05"/>
  </r>
  <r>
    <s v="01/05"/>
    <s v="0090002116"/>
    <x v="0"/>
    <x v="10"/>
    <x v="0"/>
    <x v="3"/>
    <x v="1"/>
    <x v="2"/>
    <x v="3"/>
    <x v="3"/>
    <x v="3"/>
    <x v="0"/>
    <n v="1455.2"/>
    <n v="-1455.2"/>
  </r>
  <r>
    <s v="01/05"/>
    <s v="0090002116"/>
    <x v="0"/>
    <x v="10"/>
    <x v="0"/>
    <x v="3"/>
    <x v="1"/>
    <x v="2"/>
    <x v="3"/>
    <x v="3"/>
    <x v="3"/>
    <x v="0"/>
    <n v="272.85000000000002"/>
    <n v="-272.85000000000002"/>
  </r>
  <r>
    <s v="01/05"/>
    <s v="0090002118"/>
    <x v="0"/>
    <x v="10"/>
    <x v="0"/>
    <x v="2"/>
    <x v="0"/>
    <x v="0"/>
    <x v="2"/>
    <x v="2"/>
    <x v="2"/>
    <x v="1"/>
    <n v="1708.92"/>
    <n v="1708.92"/>
  </r>
  <r>
    <s v="01/05"/>
    <s v="0090002118"/>
    <x v="0"/>
    <x v="10"/>
    <x v="0"/>
    <x v="3"/>
    <x v="1"/>
    <x v="2"/>
    <x v="3"/>
    <x v="3"/>
    <x v="3"/>
    <x v="0"/>
    <n v="1708.92"/>
    <n v="-1708.92"/>
  </r>
  <r>
    <s v="01/05"/>
    <s v="4900000011"/>
    <x v="0"/>
    <x v="10"/>
    <x v="0"/>
    <x v="0"/>
    <x v="0"/>
    <x v="0"/>
    <x v="0"/>
    <x v="0"/>
    <x v="0"/>
    <x v="0"/>
    <n v="1330.07"/>
    <n v="-1330.07"/>
  </r>
  <r>
    <s v="01/05"/>
    <s v="4900000011"/>
    <x v="0"/>
    <x v="10"/>
    <x v="0"/>
    <x v="1"/>
    <x v="1"/>
    <x v="1"/>
    <x v="1"/>
    <x v="1"/>
    <x v="1"/>
    <x v="1"/>
    <n v="1330.07"/>
    <n v="1330.07"/>
  </r>
  <r>
    <s v="01/05"/>
    <s v="4900000011"/>
    <x v="0"/>
    <x v="10"/>
    <x v="0"/>
    <x v="0"/>
    <x v="0"/>
    <x v="0"/>
    <x v="0"/>
    <x v="0"/>
    <x v="0"/>
    <x v="0"/>
    <n v="692.24"/>
    <n v="-692.24"/>
  </r>
  <r>
    <s v="01/05"/>
    <s v="4900000011"/>
    <x v="0"/>
    <x v="10"/>
    <x v="0"/>
    <x v="1"/>
    <x v="1"/>
    <x v="1"/>
    <x v="1"/>
    <x v="1"/>
    <x v="1"/>
    <x v="1"/>
    <n v="692.24"/>
    <n v="692.24"/>
  </r>
  <r>
    <s v="01/05"/>
    <s v="4900000011"/>
    <x v="0"/>
    <x v="10"/>
    <x v="0"/>
    <x v="0"/>
    <x v="0"/>
    <x v="0"/>
    <x v="0"/>
    <x v="0"/>
    <x v="0"/>
    <x v="0"/>
    <n v="1561.84"/>
    <n v="-1561.84"/>
  </r>
  <r>
    <s v="01/05"/>
    <s v="4900000011"/>
    <x v="0"/>
    <x v="10"/>
    <x v="0"/>
    <x v="1"/>
    <x v="1"/>
    <x v="1"/>
    <x v="1"/>
    <x v="1"/>
    <x v="1"/>
    <x v="1"/>
    <n v="1561.84"/>
    <n v="1561.84"/>
  </r>
  <r>
    <s v="01/05"/>
    <s v="4900000011"/>
    <x v="0"/>
    <x v="10"/>
    <x v="0"/>
    <x v="0"/>
    <x v="0"/>
    <x v="0"/>
    <x v="0"/>
    <x v="0"/>
    <x v="0"/>
    <x v="0"/>
    <n v="249.39"/>
    <n v="-249.39"/>
  </r>
  <r>
    <s v="01/05"/>
    <s v="4900000011"/>
    <x v="0"/>
    <x v="10"/>
    <x v="0"/>
    <x v="1"/>
    <x v="1"/>
    <x v="1"/>
    <x v="1"/>
    <x v="1"/>
    <x v="1"/>
    <x v="1"/>
    <n v="249.39"/>
    <n v="249.39"/>
  </r>
  <r>
    <s v="01/07"/>
    <s v="4900000017"/>
    <x v="0"/>
    <x v="5"/>
    <x v="1"/>
    <x v="0"/>
    <x v="0"/>
    <x v="0"/>
    <x v="0"/>
    <x v="0"/>
    <x v="0"/>
    <x v="0"/>
    <n v="1388.31"/>
    <n v="-1388.31"/>
  </r>
  <r>
    <s v="01/07"/>
    <s v="4900000017"/>
    <x v="0"/>
    <x v="5"/>
    <x v="1"/>
    <x v="1"/>
    <x v="1"/>
    <x v="1"/>
    <x v="1"/>
    <x v="1"/>
    <x v="1"/>
    <x v="1"/>
    <n v="1388.31"/>
    <n v="1388.31"/>
  </r>
  <r>
    <s v="01/07"/>
    <s v="4900000017"/>
    <x v="0"/>
    <x v="5"/>
    <x v="1"/>
    <x v="0"/>
    <x v="0"/>
    <x v="0"/>
    <x v="0"/>
    <x v="0"/>
    <x v="0"/>
    <x v="0"/>
    <n v="1521.7"/>
    <n v="-1521.7"/>
  </r>
  <r>
    <s v="01/07"/>
    <s v="4900000017"/>
    <x v="0"/>
    <x v="5"/>
    <x v="1"/>
    <x v="1"/>
    <x v="1"/>
    <x v="1"/>
    <x v="1"/>
    <x v="1"/>
    <x v="1"/>
    <x v="1"/>
    <n v="1521.7"/>
    <n v="1521.7"/>
  </r>
  <r>
    <s v="01/07"/>
    <s v="4900000021"/>
    <x v="0"/>
    <x v="5"/>
    <x v="1"/>
    <x v="0"/>
    <x v="0"/>
    <x v="0"/>
    <x v="0"/>
    <x v="0"/>
    <x v="0"/>
    <x v="0"/>
    <n v="1806.17"/>
    <n v="-1806.17"/>
  </r>
  <r>
    <s v="01/07"/>
    <s v="4900000021"/>
    <x v="0"/>
    <x v="5"/>
    <x v="1"/>
    <x v="1"/>
    <x v="1"/>
    <x v="1"/>
    <x v="1"/>
    <x v="1"/>
    <x v="1"/>
    <x v="1"/>
    <n v="1806.17"/>
    <n v="1806.17"/>
  </r>
  <r>
    <s v="01/07"/>
    <s v="0090002134"/>
    <x v="0"/>
    <x v="5"/>
    <x v="1"/>
    <x v="2"/>
    <x v="0"/>
    <x v="0"/>
    <x v="2"/>
    <x v="2"/>
    <x v="2"/>
    <x v="1"/>
    <n v="2278.56"/>
    <n v="2278.56"/>
  </r>
  <r>
    <s v="01/07"/>
    <s v="0090002134"/>
    <x v="0"/>
    <x v="5"/>
    <x v="1"/>
    <x v="3"/>
    <x v="1"/>
    <x v="2"/>
    <x v="3"/>
    <x v="3"/>
    <x v="3"/>
    <x v="0"/>
    <n v="2278.56"/>
    <n v="-2278.56"/>
  </r>
  <r>
    <s v="01/07"/>
    <s v="0090002140"/>
    <x v="0"/>
    <x v="5"/>
    <x v="1"/>
    <x v="2"/>
    <x v="0"/>
    <x v="0"/>
    <x v="2"/>
    <x v="2"/>
    <x v="2"/>
    <x v="1"/>
    <n v="1976.1"/>
    <n v="1976.1"/>
  </r>
  <r>
    <s v="01/07"/>
    <s v="0090002140"/>
    <x v="0"/>
    <x v="5"/>
    <x v="1"/>
    <x v="3"/>
    <x v="1"/>
    <x v="2"/>
    <x v="3"/>
    <x v="3"/>
    <x v="3"/>
    <x v="0"/>
    <n v="1976.1"/>
    <n v="-1976.1"/>
  </r>
  <r>
    <s v="01/07"/>
    <s v="4900000019"/>
    <x v="0"/>
    <x v="5"/>
    <x v="1"/>
    <x v="0"/>
    <x v="0"/>
    <x v="0"/>
    <x v="0"/>
    <x v="0"/>
    <x v="0"/>
    <x v="0"/>
    <n v="1666.62"/>
    <n v="-1666.62"/>
  </r>
  <r>
    <s v="01/07"/>
    <s v="4900000019"/>
    <x v="0"/>
    <x v="5"/>
    <x v="1"/>
    <x v="1"/>
    <x v="1"/>
    <x v="1"/>
    <x v="1"/>
    <x v="1"/>
    <x v="1"/>
    <x v="1"/>
    <n v="1666.62"/>
    <n v="1666.62"/>
  </r>
  <r>
    <s v="01/07"/>
    <s v="4900000019"/>
    <x v="0"/>
    <x v="5"/>
    <x v="1"/>
    <x v="0"/>
    <x v="0"/>
    <x v="0"/>
    <x v="0"/>
    <x v="0"/>
    <x v="0"/>
    <x v="0"/>
    <n v="1986.78"/>
    <n v="-1986.78"/>
  </r>
  <r>
    <s v="01/07"/>
    <s v="4900000019"/>
    <x v="0"/>
    <x v="5"/>
    <x v="1"/>
    <x v="1"/>
    <x v="1"/>
    <x v="1"/>
    <x v="1"/>
    <x v="1"/>
    <x v="1"/>
    <x v="1"/>
    <n v="1986.78"/>
    <n v="1986.78"/>
  </r>
  <r>
    <s v="01/07"/>
    <s v="0090002133"/>
    <x v="0"/>
    <x v="5"/>
    <x v="1"/>
    <x v="2"/>
    <x v="0"/>
    <x v="0"/>
    <x v="2"/>
    <x v="2"/>
    <x v="2"/>
    <x v="1"/>
    <n v="1712.62"/>
    <n v="1712.62"/>
  </r>
  <r>
    <s v="01/07"/>
    <s v="0090002133"/>
    <x v="0"/>
    <x v="5"/>
    <x v="1"/>
    <x v="3"/>
    <x v="1"/>
    <x v="2"/>
    <x v="3"/>
    <x v="3"/>
    <x v="3"/>
    <x v="0"/>
    <n v="1712.62"/>
    <n v="-1712.62"/>
  </r>
  <r>
    <s v="01/07"/>
    <s v="0090002139"/>
    <x v="0"/>
    <x v="5"/>
    <x v="1"/>
    <x v="2"/>
    <x v="0"/>
    <x v="0"/>
    <x v="2"/>
    <x v="2"/>
    <x v="2"/>
    <x v="1"/>
    <n v="1728.05"/>
    <n v="1728.05"/>
  </r>
  <r>
    <s v="01/07"/>
    <s v="0090002139"/>
    <x v="0"/>
    <x v="5"/>
    <x v="1"/>
    <x v="3"/>
    <x v="1"/>
    <x v="2"/>
    <x v="3"/>
    <x v="3"/>
    <x v="3"/>
    <x v="0"/>
    <n v="1637.1"/>
    <n v="-1637.1"/>
  </r>
  <r>
    <s v="01/07"/>
    <s v="0090002139"/>
    <x v="0"/>
    <x v="5"/>
    <x v="1"/>
    <x v="3"/>
    <x v="1"/>
    <x v="2"/>
    <x v="3"/>
    <x v="3"/>
    <x v="3"/>
    <x v="0"/>
    <n v="90.95"/>
    <n v="-90.95"/>
  </r>
  <r>
    <s v="01/07"/>
    <s v="1400000001"/>
    <x v="0"/>
    <x v="5"/>
    <x v="1"/>
    <x v="4"/>
    <x v="0"/>
    <x v="0"/>
    <x v="4"/>
    <x v="4"/>
    <x v="4"/>
    <x v="1"/>
    <n v="3038.08"/>
    <n v="3038.08"/>
  </r>
  <r>
    <s v="01/07"/>
    <s v="1400000001"/>
    <x v="0"/>
    <x v="5"/>
    <x v="1"/>
    <x v="2"/>
    <x v="0"/>
    <x v="0"/>
    <x v="2"/>
    <x v="2"/>
    <x v="5"/>
    <x v="0"/>
    <n v="3038.08"/>
    <n v="-3038.08"/>
  </r>
  <r>
    <s v="01/07"/>
    <s v="1400000001"/>
    <x v="0"/>
    <x v="5"/>
    <x v="1"/>
    <x v="4"/>
    <x v="0"/>
    <x v="0"/>
    <x v="4"/>
    <x v="4"/>
    <x v="4"/>
    <x v="1"/>
    <n v="2525"/>
    <n v="2525"/>
  </r>
  <r>
    <s v="01/07"/>
    <s v="1400000001"/>
    <x v="0"/>
    <x v="5"/>
    <x v="1"/>
    <x v="2"/>
    <x v="0"/>
    <x v="0"/>
    <x v="2"/>
    <x v="2"/>
    <x v="5"/>
    <x v="0"/>
    <n v="2525"/>
    <n v="-2525"/>
  </r>
  <r>
    <s v="01/07"/>
    <s v="4900000018"/>
    <x v="0"/>
    <x v="5"/>
    <x v="1"/>
    <x v="0"/>
    <x v="0"/>
    <x v="0"/>
    <x v="0"/>
    <x v="0"/>
    <x v="0"/>
    <x v="0"/>
    <n v="2001.27"/>
    <n v="-2001.27"/>
  </r>
  <r>
    <s v="01/07"/>
    <s v="4900000018"/>
    <x v="0"/>
    <x v="5"/>
    <x v="1"/>
    <x v="1"/>
    <x v="1"/>
    <x v="1"/>
    <x v="1"/>
    <x v="1"/>
    <x v="1"/>
    <x v="1"/>
    <n v="2001.27"/>
    <n v="2001.27"/>
  </r>
  <r>
    <s v="01/07"/>
    <s v="4900000018"/>
    <x v="0"/>
    <x v="5"/>
    <x v="1"/>
    <x v="0"/>
    <x v="0"/>
    <x v="0"/>
    <x v="0"/>
    <x v="0"/>
    <x v="0"/>
    <x v="0"/>
    <n v="1565.34"/>
    <n v="-1565.34"/>
  </r>
  <r>
    <s v="01/07"/>
    <s v="4900000018"/>
    <x v="0"/>
    <x v="5"/>
    <x v="1"/>
    <x v="1"/>
    <x v="1"/>
    <x v="1"/>
    <x v="1"/>
    <x v="1"/>
    <x v="1"/>
    <x v="1"/>
    <n v="1565.34"/>
    <n v="1565.34"/>
  </r>
  <r>
    <s v="01/07"/>
    <s v="4900000018"/>
    <x v="0"/>
    <x v="5"/>
    <x v="1"/>
    <x v="0"/>
    <x v="0"/>
    <x v="0"/>
    <x v="0"/>
    <x v="0"/>
    <x v="0"/>
    <x v="0"/>
    <n v="597.78"/>
    <n v="-597.78"/>
  </r>
  <r>
    <s v="01/07"/>
    <s v="4900000018"/>
    <x v="0"/>
    <x v="5"/>
    <x v="1"/>
    <x v="1"/>
    <x v="1"/>
    <x v="1"/>
    <x v="1"/>
    <x v="1"/>
    <x v="1"/>
    <x v="1"/>
    <n v="597.78"/>
    <n v="597.78"/>
  </r>
  <r>
    <s v="01/07"/>
    <s v="4900000018"/>
    <x v="0"/>
    <x v="5"/>
    <x v="1"/>
    <x v="0"/>
    <x v="0"/>
    <x v="0"/>
    <x v="0"/>
    <x v="0"/>
    <x v="0"/>
    <x v="0"/>
    <n v="2082.46"/>
    <n v="-2082.46"/>
  </r>
  <r>
    <s v="01/07"/>
    <s v="4900000018"/>
    <x v="0"/>
    <x v="5"/>
    <x v="1"/>
    <x v="1"/>
    <x v="1"/>
    <x v="1"/>
    <x v="1"/>
    <x v="1"/>
    <x v="1"/>
    <x v="1"/>
    <n v="2082.46"/>
    <n v="2082.46"/>
  </r>
  <r>
    <s v="01/07"/>
    <s v="4900000018"/>
    <x v="0"/>
    <x v="5"/>
    <x v="1"/>
    <x v="0"/>
    <x v="0"/>
    <x v="0"/>
    <x v="0"/>
    <x v="0"/>
    <x v="0"/>
    <x v="0"/>
    <n v="1499.86"/>
    <n v="-1499.86"/>
  </r>
  <r>
    <s v="01/07"/>
    <s v="4900000018"/>
    <x v="0"/>
    <x v="5"/>
    <x v="1"/>
    <x v="1"/>
    <x v="1"/>
    <x v="1"/>
    <x v="1"/>
    <x v="1"/>
    <x v="1"/>
    <x v="1"/>
    <n v="1499.86"/>
    <n v="1499.86"/>
  </r>
  <r>
    <s v="01/07"/>
    <s v="1400000000"/>
    <x v="0"/>
    <x v="5"/>
    <x v="1"/>
    <x v="4"/>
    <x v="0"/>
    <x v="0"/>
    <x v="4"/>
    <x v="4"/>
    <x v="4"/>
    <x v="1"/>
    <n v="1708.92"/>
    <n v="1708.92"/>
  </r>
  <r>
    <s v="01/07"/>
    <s v="1400000000"/>
    <x v="0"/>
    <x v="5"/>
    <x v="1"/>
    <x v="2"/>
    <x v="0"/>
    <x v="0"/>
    <x v="2"/>
    <x v="2"/>
    <x v="5"/>
    <x v="0"/>
    <n v="1708.92"/>
    <n v="-1708.92"/>
  </r>
  <r>
    <s v="01/07"/>
    <s v="1400000000"/>
    <x v="0"/>
    <x v="5"/>
    <x v="1"/>
    <x v="4"/>
    <x v="0"/>
    <x v="0"/>
    <x v="4"/>
    <x v="4"/>
    <x v="4"/>
    <x v="1"/>
    <n v="4149.8100000000004"/>
    <n v="4149.8100000000004"/>
  </r>
  <r>
    <s v="01/07"/>
    <s v="1400000000"/>
    <x v="0"/>
    <x v="5"/>
    <x v="1"/>
    <x v="2"/>
    <x v="0"/>
    <x v="0"/>
    <x v="2"/>
    <x v="2"/>
    <x v="5"/>
    <x v="0"/>
    <n v="4149.8100000000004"/>
    <n v="-4149.8100000000004"/>
  </r>
  <r>
    <s v="01/07"/>
    <s v="1400000000"/>
    <x v="0"/>
    <x v="5"/>
    <x v="1"/>
    <x v="4"/>
    <x v="0"/>
    <x v="0"/>
    <x v="4"/>
    <x v="4"/>
    <x v="4"/>
    <x v="1"/>
    <n v="2843"/>
    <n v="2843"/>
  </r>
  <r>
    <s v="01/07"/>
    <s v="1400000000"/>
    <x v="0"/>
    <x v="5"/>
    <x v="1"/>
    <x v="2"/>
    <x v="0"/>
    <x v="0"/>
    <x v="2"/>
    <x v="2"/>
    <x v="5"/>
    <x v="0"/>
    <n v="2843"/>
    <n v="-2843"/>
  </r>
  <r>
    <s v="01/07"/>
    <s v="0090002132"/>
    <x v="0"/>
    <x v="5"/>
    <x v="1"/>
    <x v="2"/>
    <x v="0"/>
    <x v="0"/>
    <x v="2"/>
    <x v="2"/>
    <x v="2"/>
    <x v="1"/>
    <n v="2843"/>
    <n v="2843"/>
  </r>
  <r>
    <s v="01/07"/>
    <s v="0090002132"/>
    <x v="0"/>
    <x v="5"/>
    <x v="1"/>
    <x v="3"/>
    <x v="1"/>
    <x v="2"/>
    <x v="3"/>
    <x v="3"/>
    <x v="3"/>
    <x v="0"/>
    <n v="2189.11"/>
    <n v="-2189.11"/>
  </r>
  <r>
    <s v="01/07"/>
    <s v="0090002132"/>
    <x v="0"/>
    <x v="5"/>
    <x v="1"/>
    <x v="3"/>
    <x v="1"/>
    <x v="2"/>
    <x v="3"/>
    <x v="3"/>
    <x v="3"/>
    <x v="0"/>
    <n v="653.89"/>
    <n v="-653.89"/>
  </r>
  <r>
    <s v="01/07"/>
    <s v="0090002137"/>
    <x v="0"/>
    <x v="5"/>
    <x v="1"/>
    <x v="2"/>
    <x v="0"/>
    <x v="0"/>
    <x v="2"/>
    <x v="2"/>
    <x v="2"/>
    <x v="1"/>
    <n v="2173.71"/>
    <n v="2173.71"/>
  </r>
  <r>
    <s v="01/07"/>
    <s v="0090002137"/>
    <x v="0"/>
    <x v="5"/>
    <x v="1"/>
    <x v="3"/>
    <x v="1"/>
    <x v="2"/>
    <x v="3"/>
    <x v="3"/>
    <x v="3"/>
    <x v="0"/>
    <n v="2173.71"/>
    <n v="-2173.71"/>
  </r>
  <r>
    <s v="01/07"/>
    <s v="0090002130"/>
    <x v="0"/>
    <x v="5"/>
    <x v="1"/>
    <x v="2"/>
    <x v="0"/>
    <x v="0"/>
    <x v="2"/>
    <x v="2"/>
    <x v="2"/>
    <x v="1"/>
    <n v="1519.04"/>
    <n v="1519.04"/>
  </r>
  <r>
    <s v="01/07"/>
    <s v="0090002130"/>
    <x v="0"/>
    <x v="5"/>
    <x v="1"/>
    <x v="3"/>
    <x v="1"/>
    <x v="2"/>
    <x v="3"/>
    <x v="3"/>
    <x v="3"/>
    <x v="0"/>
    <n v="1519.04"/>
    <n v="-1519.04"/>
  </r>
  <r>
    <s v="01/07"/>
    <s v="0090002131"/>
    <x v="0"/>
    <x v="5"/>
    <x v="1"/>
    <x v="2"/>
    <x v="0"/>
    <x v="0"/>
    <x v="2"/>
    <x v="2"/>
    <x v="2"/>
    <x v="1"/>
    <n v="1664.88"/>
    <n v="1664.88"/>
  </r>
  <r>
    <s v="01/07"/>
    <s v="0090002131"/>
    <x v="0"/>
    <x v="5"/>
    <x v="1"/>
    <x v="3"/>
    <x v="1"/>
    <x v="2"/>
    <x v="3"/>
    <x v="3"/>
    <x v="3"/>
    <x v="0"/>
    <n v="1664.88"/>
    <n v="-1664.88"/>
  </r>
  <r>
    <s v="01/07"/>
    <s v="0090002135"/>
    <x v="0"/>
    <x v="5"/>
    <x v="1"/>
    <x v="2"/>
    <x v="0"/>
    <x v="0"/>
    <x v="2"/>
    <x v="2"/>
    <x v="2"/>
    <x v="1"/>
    <n v="1641.25"/>
    <n v="1641.25"/>
  </r>
  <r>
    <s v="01/07"/>
    <s v="0090002135"/>
    <x v="0"/>
    <x v="5"/>
    <x v="1"/>
    <x v="3"/>
    <x v="1"/>
    <x v="2"/>
    <x v="3"/>
    <x v="3"/>
    <x v="3"/>
    <x v="0"/>
    <n v="1641.25"/>
    <n v="-1641.25"/>
  </r>
  <r>
    <s v="01/07"/>
    <s v="1400000003"/>
    <x v="0"/>
    <x v="5"/>
    <x v="1"/>
    <x v="4"/>
    <x v="0"/>
    <x v="0"/>
    <x v="4"/>
    <x v="4"/>
    <x v="4"/>
    <x v="1"/>
    <n v="1819"/>
    <n v="1819"/>
  </r>
  <r>
    <s v="01/07"/>
    <s v="1400000003"/>
    <x v="0"/>
    <x v="5"/>
    <x v="1"/>
    <x v="2"/>
    <x v="0"/>
    <x v="0"/>
    <x v="2"/>
    <x v="2"/>
    <x v="5"/>
    <x v="0"/>
    <n v="1819"/>
    <n v="-1819"/>
  </r>
  <r>
    <s v="01/07"/>
    <s v="1400000003"/>
    <x v="0"/>
    <x v="5"/>
    <x v="1"/>
    <x v="4"/>
    <x v="0"/>
    <x v="0"/>
    <x v="4"/>
    <x v="4"/>
    <x v="4"/>
    <x v="1"/>
    <n v="1778.49"/>
    <n v="1778.49"/>
  </r>
  <r>
    <s v="01/07"/>
    <s v="1400000003"/>
    <x v="0"/>
    <x v="5"/>
    <x v="1"/>
    <x v="2"/>
    <x v="0"/>
    <x v="0"/>
    <x v="2"/>
    <x v="2"/>
    <x v="5"/>
    <x v="0"/>
    <n v="1778.49"/>
    <n v="-1778.49"/>
  </r>
  <r>
    <s v="01/07"/>
    <s v="4900000020"/>
    <x v="0"/>
    <x v="5"/>
    <x v="1"/>
    <x v="0"/>
    <x v="0"/>
    <x v="0"/>
    <x v="0"/>
    <x v="0"/>
    <x v="0"/>
    <x v="0"/>
    <n v="1811.54"/>
    <n v="-1811.54"/>
  </r>
  <r>
    <s v="01/07"/>
    <s v="4900000020"/>
    <x v="0"/>
    <x v="5"/>
    <x v="1"/>
    <x v="1"/>
    <x v="1"/>
    <x v="1"/>
    <x v="1"/>
    <x v="1"/>
    <x v="1"/>
    <x v="1"/>
    <n v="1811.54"/>
    <n v="1811.54"/>
  </r>
  <r>
    <s v="01/07"/>
    <s v="4900000020"/>
    <x v="0"/>
    <x v="5"/>
    <x v="1"/>
    <x v="0"/>
    <x v="0"/>
    <x v="0"/>
    <x v="0"/>
    <x v="0"/>
    <x v="0"/>
    <x v="0"/>
    <n v="1496.33"/>
    <n v="-1496.33"/>
  </r>
  <r>
    <s v="01/07"/>
    <s v="4900000020"/>
    <x v="0"/>
    <x v="5"/>
    <x v="1"/>
    <x v="1"/>
    <x v="1"/>
    <x v="1"/>
    <x v="1"/>
    <x v="1"/>
    <x v="1"/>
    <x v="1"/>
    <n v="1496.33"/>
    <n v="1496.33"/>
  </r>
  <r>
    <s v="01/07"/>
    <s v="4900000020"/>
    <x v="0"/>
    <x v="5"/>
    <x v="1"/>
    <x v="0"/>
    <x v="0"/>
    <x v="0"/>
    <x v="0"/>
    <x v="0"/>
    <x v="0"/>
    <x v="0"/>
    <n v="83.13"/>
    <n v="-83.13"/>
  </r>
  <r>
    <s v="01/07"/>
    <s v="4900000020"/>
    <x v="0"/>
    <x v="5"/>
    <x v="1"/>
    <x v="1"/>
    <x v="1"/>
    <x v="1"/>
    <x v="1"/>
    <x v="1"/>
    <x v="1"/>
    <x v="1"/>
    <n v="83.13"/>
    <n v="83.13"/>
  </r>
  <r>
    <s v="01/07"/>
    <s v="1400000002"/>
    <x v="0"/>
    <x v="5"/>
    <x v="1"/>
    <x v="4"/>
    <x v="0"/>
    <x v="0"/>
    <x v="4"/>
    <x v="4"/>
    <x v="4"/>
    <x v="1"/>
    <n v="1902.72"/>
    <n v="1902.72"/>
  </r>
  <r>
    <s v="01/07"/>
    <s v="1400000002"/>
    <x v="0"/>
    <x v="5"/>
    <x v="1"/>
    <x v="2"/>
    <x v="0"/>
    <x v="0"/>
    <x v="2"/>
    <x v="2"/>
    <x v="5"/>
    <x v="0"/>
    <n v="1902.72"/>
    <n v="-1902.72"/>
  </r>
  <r>
    <s v="01/07"/>
    <s v="1400000002"/>
    <x v="0"/>
    <x v="5"/>
    <x v="1"/>
    <x v="4"/>
    <x v="0"/>
    <x v="0"/>
    <x v="4"/>
    <x v="4"/>
    <x v="4"/>
    <x v="1"/>
    <n v="3910.85"/>
    <n v="3910.85"/>
  </r>
  <r>
    <s v="01/07"/>
    <s v="1400000002"/>
    <x v="0"/>
    <x v="5"/>
    <x v="1"/>
    <x v="2"/>
    <x v="0"/>
    <x v="0"/>
    <x v="2"/>
    <x v="2"/>
    <x v="5"/>
    <x v="0"/>
    <n v="3910.85"/>
    <n v="-3910.85"/>
  </r>
  <r>
    <s v="01/07"/>
    <s v="1400000004"/>
    <x v="0"/>
    <x v="5"/>
    <x v="1"/>
    <x v="4"/>
    <x v="0"/>
    <x v="0"/>
    <x v="4"/>
    <x v="4"/>
    <x v="4"/>
    <x v="1"/>
    <n v="1982"/>
    <n v="1982"/>
  </r>
  <r>
    <s v="01/07"/>
    <s v="1400000004"/>
    <x v="0"/>
    <x v="5"/>
    <x v="1"/>
    <x v="2"/>
    <x v="0"/>
    <x v="0"/>
    <x v="2"/>
    <x v="2"/>
    <x v="5"/>
    <x v="0"/>
    <n v="1982"/>
    <n v="-1982"/>
  </r>
  <r>
    <s v="01/07"/>
    <s v="1400000004"/>
    <x v="0"/>
    <x v="5"/>
    <x v="1"/>
    <x v="4"/>
    <x v="0"/>
    <x v="0"/>
    <x v="4"/>
    <x v="4"/>
    <x v="4"/>
    <x v="1"/>
    <n v="658.7"/>
    <n v="658.7"/>
  </r>
  <r>
    <s v="01/07"/>
    <s v="1400000004"/>
    <x v="0"/>
    <x v="5"/>
    <x v="1"/>
    <x v="2"/>
    <x v="0"/>
    <x v="0"/>
    <x v="2"/>
    <x v="2"/>
    <x v="5"/>
    <x v="0"/>
    <n v="658.7"/>
    <n v="-658.7"/>
  </r>
  <r>
    <s v="01/07"/>
    <s v="0090002136"/>
    <x v="0"/>
    <x v="5"/>
    <x v="1"/>
    <x v="2"/>
    <x v="0"/>
    <x v="0"/>
    <x v="2"/>
    <x v="2"/>
    <x v="2"/>
    <x v="1"/>
    <n v="1823.44"/>
    <n v="1823.44"/>
  </r>
  <r>
    <s v="01/07"/>
    <s v="0090002136"/>
    <x v="0"/>
    <x v="5"/>
    <x v="1"/>
    <x v="3"/>
    <x v="1"/>
    <x v="2"/>
    <x v="3"/>
    <x v="3"/>
    <x v="3"/>
    <x v="0"/>
    <n v="1823.44"/>
    <n v="-1823.44"/>
  </r>
  <r>
    <s v="01/07"/>
    <s v="0090002138"/>
    <x v="0"/>
    <x v="5"/>
    <x v="1"/>
    <x v="2"/>
    <x v="0"/>
    <x v="0"/>
    <x v="2"/>
    <x v="2"/>
    <x v="2"/>
    <x v="1"/>
    <n v="1982"/>
    <n v="1982"/>
  </r>
  <r>
    <s v="01/07"/>
    <s v="0090002138"/>
    <x v="0"/>
    <x v="5"/>
    <x v="1"/>
    <x v="3"/>
    <x v="1"/>
    <x v="2"/>
    <x v="3"/>
    <x v="3"/>
    <x v="3"/>
    <x v="0"/>
    <n v="1982"/>
    <n v="-1982"/>
  </r>
  <r>
    <s v="02/06"/>
    <s v="0090002192"/>
    <x v="2"/>
    <x v="7"/>
    <x v="3"/>
    <x v="2"/>
    <x v="0"/>
    <x v="0"/>
    <x v="2"/>
    <x v="2"/>
    <x v="2"/>
    <x v="1"/>
    <n v="1596"/>
    <n v="1596"/>
  </r>
  <r>
    <s v="02/06"/>
    <s v="0090002192"/>
    <x v="2"/>
    <x v="7"/>
    <x v="3"/>
    <x v="3"/>
    <x v="1"/>
    <x v="2"/>
    <x v="3"/>
    <x v="3"/>
    <x v="3"/>
    <x v="0"/>
    <n v="1596"/>
    <n v="-1596"/>
  </r>
  <r>
    <s v="02/06"/>
    <s v="4900000056"/>
    <x v="2"/>
    <x v="7"/>
    <x v="3"/>
    <x v="0"/>
    <x v="0"/>
    <x v="0"/>
    <x v="0"/>
    <x v="0"/>
    <x v="0"/>
    <x v="0"/>
    <n v="1718.65"/>
    <n v="-1718.65"/>
  </r>
  <r>
    <s v="02/06"/>
    <s v="4900000056"/>
    <x v="2"/>
    <x v="7"/>
    <x v="3"/>
    <x v="1"/>
    <x v="1"/>
    <x v="1"/>
    <x v="1"/>
    <x v="1"/>
    <x v="1"/>
    <x v="1"/>
    <n v="1718.65"/>
    <n v="1718.65"/>
  </r>
  <r>
    <s v="02/06"/>
    <s v="4900000056"/>
    <x v="2"/>
    <x v="7"/>
    <x v="3"/>
    <x v="0"/>
    <x v="0"/>
    <x v="0"/>
    <x v="0"/>
    <x v="0"/>
    <x v="0"/>
    <x v="0"/>
    <n v="885.36"/>
    <n v="-885.36"/>
  </r>
  <r>
    <s v="02/06"/>
    <s v="4900000056"/>
    <x v="2"/>
    <x v="7"/>
    <x v="3"/>
    <x v="1"/>
    <x v="1"/>
    <x v="1"/>
    <x v="1"/>
    <x v="1"/>
    <x v="1"/>
    <x v="1"/>
    <n v="885.36"/>
    <n v="885.36"/>
  </r>
  <r>
    <s v="02/06"/>
    <s v="0090002193"/>
    <x v="2"/>
    <x v="7"/>
    <x v="3"/>
    <x v="2"/>
    <x v="0"/>
    <x v="0"/>
    <x v="2"/>
    <x v="2"/>
    <x v="2"/>
    <x v="1"/>
    <n v="2050"/>
    <n v="2050"/>
  </r>
  <r>
    <s v="02/06"/>
    <s v="0090002193"/>
    <x v="2"/>
    <x v="7"/>
    <x v="3"/>
    <x v="3"/>
    <x v="1"/>
    <x v="2"/>
    <x v="3"/>
    <x v="3"/>
    <x v="3"/>
    <x v="0"/>
    <n v="2050"/>
    <n v="-2050"/>
  </r>
  <r>
    <s v="02/06"/>
    <s v="0090002194"/>
    <x v="2"/>
    <x v="7"/>
    <x v="3"/>
    <x v="2"/>
    <x v="0"/>
    <x v="0"/>
    <x v="2"/>
    <x v="2"/>
    <x v="2"/>
    <x v="1"/>
    <n v="2350"/>
    <n v="2350"/>
  </r>
  <r>
    <s v="02/06"/>
    <s v="0090002194"/>
    <x v="2"/>
    <x v="7"/>
    <x v="3"/>
    <x v="3"/>
    <x v="1"/>
    <x v="2"/>
    <x v="3"/>
    <x v="3"/>
    <x v="3"/>
    <x v="0"/>
    <n v="2350"/>
    <n v="-2350"/>
  </r>
  <r>
    <s v="02/06"/>
    <s v="0090002197"/>
    <x v="2"/>
    <x v="7"/>
    <x v="3"/>
    <x v="2"/>
    <x v="0"/>
    <x v="0"/>
    <x v="2"/>
    <x v="2"/>
    <x v="2"/>
    <x v="1"/>
    <n v="1950"/>
    <n v="1950"/>
  </r>
  <r>
    <s v="02/06"/>
    <s v="0090002197"/>
    <x v="2"/>
    <x v="7"/>
    <x v="3"/>
    <x v="3"/>
    <x v="1"/>
    <x v="2"/>
    <x v="3"/>
    <x v="3"/>
    <x v="3"/>
    <x v="0"/>
    <n v="1950"/>
    <n v="-1950"/>
  </r>
  <r>
    <s v="02/06"/>
    <s v="1400000038"/>
    <x v="2"/>
    <x v="7"/>
    <x v="3"/>
    <x v="4"/>
    <x v="0"/>
    <x v="0"/>
    <x v="4"/>
    <x v="4"/>
    <x v="4"/>
    <x v="1"/>
    <n v="1944"/>
    <n v="1944"/>
  </r>
  <r>
    <s v="02/06"/>
    <s v="1400000038"/>
    <x v="2"/>
    <x v="7"/>
    <x v="3"/>
    <x v="2"/>
    <x v="0"/>
    <x v="0"/>
    <x v="2"/>
    <x v="2"/>
    <x v="5"/>
    <x v="0"/>
    <n v="1944"/>
    <n v="-1944"/>
  </r>
  <r>
    <s v="02/06"/>
    <s v="1400000040"/>
    <x v="2"/>
    <x v="7"/>
    <x v="3"/>
    <x v="4"/>
    <x v="0"/>
    <x v="0"/>
    <x v="4"/>
    <x v="4"/>
    <x v="4"/>
    <x v="1"/>
    <n v="3864"/>
    <n v="3864"/>
  </r>
  <r>
    <s v="02/06"/>
    <s v="1400000040"/>
    <x v="2"/>
    <x v="7"/>
    <x v="3"/>
    <x v="2"/>
    <x v="0"/>
    <x v="0"/>
    <x v="2"/>
    <x v="2"/>
    <x v="5"/>
    <x v="0"/>
    <n v="3864"/>
    <n v="-3864"/>
  </r>
  <r>
    <s v="02/06"/>
    <s v="1500000001"/>
    <x v="2"/>
    <x v="7"/>
    <x v="3"/>
    <x v="4"/>
    <x v="0"/>
    <x v="0"/>
    <x v="4"/>
    <x v="4"/>
    <x v="3"/>
    <x v="0"/>
    <n v="126112.13"/>
    <n v="-126112.13"/>
  </r>
  <r>
    <s v="02/06"/>
    <s v="1500000001"/>
    <x v="2"/>
    <x v="7"/>
    <x v="3"/>
    <x v="9"/>
    <x v="2"/>
    <x v="5"/>
    <x v="7"/>
    <x v="9"/>
    <x v="5"/>
    <x v="1"/>
    <n v="126112.13"/>
    <n v="126112.13"/>
  </r>
  <r>
    <s v="02/06"/>
    <s v="4900000057"/>
    <x v="2"/>
    <x v="7"/>
    <x v="3"/>
    <x v="0"/>
    <x v="0"/>
    <x v="0"/>
    <x v="0"/>
    <x v="0"/>
    <x v="0"/>
    <x v="0"/>
    <n v="1695.09"/>
    <n v="-1695.09"/>
  </r>
  <r>
    <s v="02/06"/>
    <s v="4900000057"/>
    <x v="2"/>
    <x v="7"/>
    <x v="3"/>
    <x v="1"/>
    <x v="1"/>
    <x v="1"/>
    <x v="1"/>
    <x v="1"/>
    <x v="1"/>
    <x v="1"/>
    <n v="1695.09"/>
    <n v="1695.09"/>
  </r>
  <r>
    <s v="02/06"/>
    <s v="4900000057"/>
    <x v="2"/>
    <x v="7"/>
    <x v="3"/>
    <x v="0"/>
    <x v="0"/>
    <x v="0"/>
    <x v="0"/>
    <x v="0"/>
    <x v="0"/>
    <x v="0"/>
    <n v="1998.06"/>
    <n v="-1998.06"/>
  </r>
  <r>
    <s v="02/06"/>
    <s v="4900000057"/>
    <x v="2"/>
    <x v="7"/>
    <x v="3"/>
    <x v="1"/>
    <x v="1"/>
    <x v="1"/>
    <x v="1"/>
    <x v="1"/>
    <x v="1"/>
    <x v="1"/>
    <n v="1998.06"/>
    <n v="1998.06"/>
  </r>
  <r>
    <s v="02/06"/>
    <s v="4900000057"/>
    <x v="2"/>
    <x v="7"/>
    <x v="3"/>
    <x v="0"/>
    <x v="0"/>
    <x v="0"/>
    <x v="0"/>
    <x v="0"/>
    <x v="0"/>
    <x v="0"/>
    <n v="1498.54"/>
    <n v="-1498.54"/>
  </r>
  <r>
    <s v="02/06"/>
    <s v="4900000057"/>
    <x v="2"/>
    <x v="7"/>
    <x v="3"/>
    <x v="1"/>
    <x v="1"/>
    <x v="1"/>
    <x v="1"/>
    <x v="1"/>
    <x v="1"/>
    <x v="1"/>
    <n v="1498.54"/>
    <n v="1498.54"/>
  </r>
  <r>
    <s v="02/06"/>
    <s v="0090002195"/>
    <x v="2"/>
    <x v="7"/>
    <x v="3"/>
    <x v="2"/>
    <x v="0"/>
    <x v="0"/>
    <x v="2"/>
    <x v="2"/>
    <x v="2"/>
    <x v="1"/>
    <n v="4536"/>
    <n v="4536"/>
  </r>
  <r>
    <s v="02/06"/>
    <s v="0090002195"/>
    <x v="2"/>
    <x v="7"/>
    <x v="3"/>
    <x v="3"/>
    <x v="1"/>
    <x v="2"/>
    <x v="3"/>
    <x v="3"/>
    <x v="3"/>
    <x v="0"/>
    <n v="2492"/>
    <n v="-2492"/>
  </r>
  <r>
    <s v="02/06"/>
    <s v="0090002195"/>
    <x v="2"/>
    <x v="7"/>
    <x v="3"/>
    <x v="3"/>
    <x v="1"/>
    <x v="2"/>
    <x v="3"/>
    <x v="3"/>
    <x v="3"/>
    <x v="0"/>
    <n v="2044"/>
    <n v="-2044"/>
  </r>
  <r>
    <s v="02/06"/>
    <s v="0090002198"/>
    <x v="2"/>
    <x v="7"/>
    <x v="3"/>
    <x v="2"/>
    <x v="0"/>
    <x v="0"/>
    <x v="2"/>
    <x v="2"/>
    <x v="2"/>
    <x v="1"/>
    <n v="3906"/>
    <n v="3906"/>
  </r>
  <r>
    <s v="02/06"/>
    <s v="0090002198"/>
    <x v="2"/>
    <x v="7"/>
    <x v="3"/>
    <x v="3"/>
    <x v="1"/>
    <x v="2"/>
    <x v="3"/>
    <x v="3"/>
    <x v="3"/>
    <x v="0"/>
    <n v="2232"/>
    <n v="-2232"/>
  </r>
  <r>
    <s v="02/06"/>
    <s v="0090002198"/>
    <x v="2"/>
    <x v="7"/>
    <x v="3"/>
    <x v="3"/>
    <x v="1"/>
    <x v="2"/>
    <x v="3"/>
    <x v="3"/>
    <x v="3"/>
    <x v="0"/>
    <n v="1674"/>
    <n v="-1674"/>
  </r>
  <r>
    <s v="02/06"/>
    <s v="1400000042"/>
    <x v="2"/>
    <x v="7"/>
    <x v="3"/>
    <x v="4"/>
    <x v="0"/>
    <x v="0"/>
    <x v="4"/>
    <x v="4"/>
    <x v="4"/>
    <x v="1"/>
    <n v="1608"/>
    <n v="1608"/>
  </r>
  <r>
    <s v="02/06"/>
    <s v="1400000042"/>
    <x v="2"/>
    <x v="7"/>
    <x v="3"/>
    <x v="2"/>
    <x v="0"/>
    <x v="0"/>
    <x v="2"/>
    <x v="2"/>
    <x v="5"/>
    <x v="0"/>
    <n v="1608"/>
    <n v="-1608"/>
  </r>
  <r>
    <s v="02/06"/>
    <s v="1400000042"/>
    <x v="2"/>
    <x v="7"/>
    <x v="3"/>
    <x v="4"/>
    <x v="0"/>
    <x v="0"/>
    <x v="4"/>
    <x v="4"/>
    <x v="4"/>
    <x v="1"/>
    <n v="2450"/>
    <n v="2450"/>
  </r>
  <r>
    <s v="02/06"/>
    <s v="1400000042"/>
    <x v="2"/>
    <x v="7"/>
    <x v="3"/>
    <x v="2"/>
    <x v="0"/>
    <x v="0"/>
    <x v="2"/>
    <x v="2"/>
    <x v="5"/>
    <x v="0"/>
    <n v="2450"/>
    <n v="-2450"/>
  </r>
  <r>
    <s v="02/06"/>
    <s v="0090002196"/>
    <x v="2"/>
    <x v="7"/>
    <x v="3"/>
    <x v="2"/>
    <x v="0"/>
    <x v="0"/>
    <x v="2"/>
    <x v="2"/>
    <x v="2"/>
    <x v="1"/>
    <n v="3100"/>
    <n v="3100"/>
  </r>
  <r>
    <s v="02/06"/>
    <s v="0090002196"/>
    <x v="2"/>
    <x v="7"/>
    <x v="3"/>
    <x v="3"/>
    <x v="1"/>
    <x v="2"/>
    <x v="3"/>
    <x v="3"/>
    <x v="3"/>
    <x v="0"/>
    <n v="2046"/>
    <n v="-2046"/>
  </r>
  <r>
    <s v="02/06"/>
    <s v="0090002196"/>
    <x v="2"/>
    <x v="7"/>
    <x v="3"/>
    <x v="3"/>
    <x v="1"/>
    <x v="2"/>
    <x v="3"/>
    <x v="3"/>
    <x v="3"/>
    <x v="0"/>
    <n v="1054"/>
    <n v="-1054"/>
  </r>
  <r>
    <s v="02/06"/>
    <s v="4900000054"/>
    <x v="2"/>
    <x v="7"/>
    <x v="3"/>
    <x v="0"/>
    <x v="0"/>
    <x v="0"/>
    <x v="0"/>
    <x v="0"/>
    <x v="0"/>
    <x v="0"/>
    <n v="1318.57"/>
    <n v="-1318.57"/>
  </r>
  <r>
    <s v="02/06"/>
    <s v="4900000054"/>
    <x v="2"/>
    <x v="7"/>
    <x v="3"/>
    <x v="1"/>
    <x v="1"/>
    <x v="1"/>
    <x v="1"/>
    <x v="1"/>
    <x v="1"/>
    <x v="1"/>
    <n v="1318.57"/>
    <n v="1318.57"/>
  </r>
  <r>
    <s v="02/06"/>
    <s v="4900000054"/>
    <x v="2"/>
    <x v="7"/>
    <x v="3"/>
    <x v="0"/>
    <x v="0"/>
    <x v="0"/>
    <x v="0"/>
    <x v="0"/>
    <x v="0"/>
    <x v="0"/>
    <n v="1814.27"/>
    <n v="-1814.27"/>
  </r>
  <r>
    <s v="02/06"/>
    <s v="4900000054"/>
    <x v="2"/>
    <x v="7"/>
    <x v="3"/>
    <x v="1"/>
    <x v="1"/>
    <x v="1"/>
    <x v="1"/>
    <x v="1"/>
    <x v="1"/>
    <x v="1"/>
    <n v="1814.27"/>
    <n v="1814.27"/>
  </r>
  <r>
    <s v="02/06"/>
    <s v="4900000054"/>
    <x v="2"/>
    <x v="7"/>
    <x v="3"/>
    <x v="0"/>
    <x v="0"/>
    <x v="0"/>
    <x v="0"/>
    <x v="0"/>
    <x v="0"/>
    <x v="0"/>
    <n v="2042.81"/>
    <n v="-2042.81"/>
  </r>
  <r>
    <s v="02/06"/>
    <s v="4900000054"/>
    <x v="2"/>
    <x v="7"/>
    <x v="3"/>
    <x v="1"/>
    <x v="1"/>
    <x v="1"/>
    <x v="1"/>
    <x v="1"/>
    <x v="1"/>
    <x v="1"/>
    <n v="2042.81"/>
    <n v="2042.81"/>
  </r>
  <r>
    <s v="02/06"/>
    <s v="1400000039"/>
    <x v="2"/>
    <x v="7"/>
    <x v="3"/>
    <x v="4"/>
    <x v="0"/>
    <x v="0"/>
    <x v="4"/>
    <x v="4"/>
    <x v="4"/>
    <x v="1"/>
    <n v="162"/>
    <n v="162"/>
  </r>
  <r>
    <s v="02/06"/>
    <s v="1400000039"/>
    <x v="2"/>
    <x v="7"/>
    <x v="3"/>
    <x v="2"/>
    <x v="0"/>
    <x v="0"/>
    <x v="2"/>
    <x v="2"/>
    <x v="5"/>
    <x v="0"/>
    <n v="162"/>
    <n v="-162"/>
  </r>
  <r>
    <s v="02/06"/>
    <s v="1400000041"/>
    <x v="2"/>
    <x v="7"/>
    <x v="3"/>
    <x v="4"/>
    <x v="0"/>
    <x v="0"/>
    <x v="4"/>
    <x v="4"/>
    <x v="4"/>
    <x v="1"/>
    <n v="2392"/>
    <n v="2392"/>
  </r>
  <r>
    <s v="02/06"/>
    <s v="1400000041"/>
    <x v="2"/>
    <x v="7"/>
    <x v="3"/>
    <x v="2"/>
    <x v="0"/>
    <x v="0"/>
    <x v="2"/>
    <x v="2"/>
    <x v="5"/>
    <x v="0"/>
    <n v="2392"/>
    <n v="-2392"/>
  </r>
  <r>
    <s v="02/06"/>
    <s v="1400000041"/>
    <x v="2"/>
    <x v="7"/>
    <x v="3"/>
    <x v="4"/>
    <x v="0"/>
    <x v="0"/>
    <x v="4"/>
    <x v="4"/>
    <x v="4"/>
    <x v="1"/>
    <n v="1666"/>
    <n v="1666"/>
  </r>
  <r>
    <s v="02/06"/>
    <s v="1400000041"/>
    <x v="2"/>
    <x v="7"/>
    <x v="3"/>
    <x v="2"/>
    <x v="0"/>
    <x v="0"/>
    <x v="2"/>
    <x v="2"/>
    <x v="5"/>
    <x v="0"/>
    <n v="1666"/>
    <n v="-1666"/>
  </r>
  <r>
    <s v="02/06"/>
    <s v="1400000041"/>
    <x v="2"/>
    <x v="7"/>
    <x v="3"/>
    <x v="4"/>
    <x v="0"/>
    <x v="0"/>
    <x v="4"/>
    <x v="4"/>
    <x v="4"/>
    <x v="1"/>
    <n v="1500"/>
    <n v="1500"/>
  </r>
  <r>
    <s v="02/06"/>
    <s v="1400000041"/>
    <x v="2"/>
    <x v="7"/>
    <x v="3"/>
    <x v="2"/>
    <x v="0"/>
    <x v="0"/>
    <x v="2"/>
    <x v="2"/>
    <x v="5"/>
    <x v="0"/>
    <n v="1500"/>
    <n v="-1500"/>
  </r>
  <r>
    <s v="02/06"/>
    <s v="4900000055"/>
    <x v="2"/>
    <x v="7"/>
    <x v="3"/>
    <x v="0"/>
    <x v="0"/>
    <x v="0"/>
    <x v="0"/>
    <x v="0"/>
    <x v="0"/>
    <x v="0"/>
    <n v="2058.8200000000002"/>
    <n v="-2058.8200000000002"/>
  </r>
  <r>
    <s v="02/06"/>
    <s v="4900000055"/>
    <x v="2"/>
    <x v="7"/>
    <x v="3"/>
    <x v="1"/>
    <x v="1"/>
    <x v="1"/>
    <x v="1"/>
    <x v="1"/>
    <x v="1"/>
    <x v="1"/>
    <n v="2058.8200000000002"/>
    <n v="2058.8200000000002"/>
  </r>
  <r>
    <s v="02/06"/>
    <s v="4900000055"/>
    <x v="2"/>
    <x v="7"/>
    <x v="3"/>
    <x v="0"/>
    <x v="0"/>
    <x v="0"/>
    <x v="0"/>
    <x v="0"/>
    <x v="0"/>
    <x v="0"/>
    <n v="1688.7"/>
    <n v="-1688.7"/>
  </r>
  <r>
    <s v="02/06"/>
    <s v="4900000055"/>
    <x v="2"/>
    <x v="7"/>
    <x v="3"/>
    <x v="1"/>
    <x v="1"/>
    <x v="1"/>
    <x v="1"/>
    <x v="1"/>
    <x v="1"/>
    <x v="1"/>
    <n v="1688.7"/>
    <n v="1688.7"/>
  </r>
  <r>
    <s v="03/06"/>
    <s v="0090002260"/>
    <x v="3"/>
    <x v="7"/>
    <x v="6"/>
    <x v="2"/>
    <x v="0"/>
    <x v="0"/>
    <x v="2"/>
    <x v="2"/>
    <x v="2"/>
    <x v="1"/>
    <n v="1848"/>
    <n v="1848"/>
  </r>
  <r>
    <s v="03/06"/>
    <s v="0090002260"/>
    <x v="3"/>
    <x v="7"/>
    <x v="6"/>
    <x v="3"/>
    <x v="1"/>
    <x v="2"/>
    <x v="3"/>
    <x v="3"/>
    <x v="3"/>
    <x v="0"/>
    <n v="1848"/>
    <n v="-1848"/>
  </r>
  <r>
    <s v="03/06"/>
    <s v="4900000086"/>
    <x v="3"/>
    <x v="7"/>
    <x v="6"/>
    <x v="0"/>
    <x v="0"/>
    <x v="0"/>
    <x v="0"/>
    <x v="0"/>
    <x v="0"/>
    <x v="0"/>
    <n v="1833.18"/>
    <n v="-1833.18"/>
  </r>
  <r>
    <s v="03/06"/>
    <s v="4900000086"/>
    <x v="3"/>
    <x v="7"/>
    <x v="6"/>
    <x v="1"/>
    <x v="1"/>
    <x v="1"/>
    <x v="1"/>
    <x v="1"/>
    <x v="1"/>
    <x v="1"/>
    <n v="1833.18"/>
    <n v="1833.18"/>
  </r>
  <r>
    <s v="03/06"/>
    <s v="4900000086"/>
    <x v="3"/>
    <x v="7"/>
    <x v="6"/>
    <x v="0"/>
    <x v="0"/>
    <x v="0"/>
    <x v="0"/>
    <x v="0"/>
    <x v="0"/>
    <x v="0"/>
    <n v="1462.65"/>
    <n v="-1462.65"/>
  </r>
  <r>
    <s v="03/06"/>
    <s v="4900000086"/>
    <x v="3"/>
    <x v="7"/>
    <x v="6"/>
    <x v="1"/>
    <x v="1"/>
    <x v="1"/>
    <x v="1"/>
    <x v="1"/>
    <x v="1"/>
    <x v="1"/>
    <n v="1462.65"/>
    <n v="1462.65"/>
  </r>
  <r>
    <s v="03/06"/>
    <s v="4900000086"/>
    <x v="3"/>
    <x v="7"/>
    <x v="6"/>
    <x v="0"/>
    <x v="0"/>
    <x v="0"/>
    <x v="0"/>
    <x v="0"/>
    <x v="0"/>
    <x v="0"/>
    <n v="1185.6600000000001"/>
    <n v="-1185.6600000000001"/>
  </r>
  <r>
    <s v="03/06"/>
    <s v="4900000086"/>
    <x v="3"/>
    <x v="7"/>
    <x v="6"/>
    <x v="1"/>
    <x v="1"/>
    <x v="1"/>
    <x v="1"/>
    <x v="1"/>
    <x v="1"/>
    <x v="1"/>
    <n v="1185.6600000000001"/>
    <n v="1185.6600000000001"/>
  </r>
  <r>
    <s v="03/06"/>
    <s v="4900000086"/>
    <x v="3"/>
    <x v="7"/>
    <x v="6"/>
    <x v="0"/>
    <x v="0"/>
    <x v="0"/>
    <x v="0"/>
    <x v="0"/>
    <x v="0"/>
    <x v="0"/>
    <n v="1600.1"/>
    <n v="-1600.1"/>
  </r>
  <r>
    <s v="03/06"/>
    <s v="4900000086"/>
    <x v="3"/>
    <x v="7"/>
    <x v="6"/>
    <x v="1"/>
    <x v="1"/>
    <x v="1"/>
    <x v="1"/>
    <x v="1"/>
    <x v="1"/>
    <x v="1"/>
    <n v="1600.1"/>
    <n v="1600.1"/>
  </r>
  <r>
    <s v="03/06"/>
    <s v="1400000074"/>
    <x v="3"/>
    <x v="7"/>
    <x v="6"/>
    <x v="4"/>
    <x v="0"/>
    <x v="0"/>
    <x v="4"/>
    <x v="4"/>
    <x v="4"/>
    <x v="1"/>
    <n v="1734"/>
    <n v="1734"/>
  </r>
  <r>
    <s v="03/06"/>
    <s v="1400000074"/>
    <x v="3"/>
    <x v="7"/>
    <x v="6"/>
    <x v="2"/>
    <x v="0"/>
    <x v="0"/>
    <x v="2"/>
    <x v="2"/>
    <x v="5"/>
    <x v="0"/>
    <n v="1734"/>
    <n v="-1734"/>
  </r>
  <r>
    <s v="03/06"/>
    <s v="0090002258"/>
    <x v="3"/>
    <x v="7"/>
    <x v="6"/>
    <x v="2"/>
    <x v="0"/>
    <x v="0"/>
    <x v="2"/>
    <x v="2"/>
    <x v="2"/>
    <x v="1"/>
    <n v="1848"/>
    <n v="1848"/>
  </r>
  <r>
    <s v="03/06"/>
    <s v="0090002258"/>
    <x v="3"/>
    <x v="7"/>
    <x v="6"/>
    <x v="3"/>
    <x v="1"/>
    <x v="2"/>
    <x v="3"/>
    <x v="3"/>
    <x v="3"/>
    <x v="0"/>
    <n v="1848"/>
    <n v="-1848"/>
  </r>
  <r>
    <s v="03/06"/>
    <s v="0090002261"/>
    <x v="3"/>
    <x v="7"/>
    <x v="6"/>
    <x v="2"/>
    <x v="0"/>
    <x v="0"/>
    <x v="2"/>
    <x v="2"/>
    <x v="2"/>
    <x v="1"/>
    <n v="2178"/>
    <n v="2178"/>
  </r>
  <r>
    <s v="03/06"/>
    <s v="0090002261"/>
    <x v="3"/>
    <x v="7"/>
    <x v="6"/>
    <x v="3"/>
    <x v="1"/>
    <x v="2"/>
    <x v="3"/>
    <x v="3"/>
    <x v="3"/>
    <x v="0"/>
    <n v="2178"/>
    <n v="-2178"/>
  </r>
  <r>
    <s v="03/06"/>
    <s v="0090002257"/>
    <x v="3"/>
    <x v="7"/>
    <x v="6"/>
    <x v="2"/>
    <x v="0"/>
    <x v="0"/>
    <x v="2"/>
    <x v="2"/>
    <x v="2"/>
    <x v="1"/>
    <n v="2184"/>
    <n v="2184"/>
  </r>
  <r>
    <s v="03/06"/>
    <s v="0090002257"/>
    <x v="3"/>
    <x v="7"/>
    <x v="6"/>
    <x v="3"/>
    <x v="1"/>
    <x v="2"/>
    <x v="3"/>
    <x v="3"/>
    <x v="3"/>
    <x v="0"/>
    <n v="2184"/>
    <n v="-2184"/>
  </r>
  <r>
    <s v="03/06"/>
    <s v="4900000087"/>
    <x v="3"/>
    <x v="7"/>
    <x v="6"/>
    <x v="0"/>
    <x v="0"/>
    <x v="0"/>
    <x v="0"/>
    <x v="0"/>
    <x v="0"/>
    <x v="0"/>
    <n v="1723.83"/>
    <n v="-1723.83"/>
  </r>
  <r>
    <s v="03/06"/>
    <s v="4900000087"/>
    <x v="3"/>
    <x v="7"/>
    <x v="6"/>
    <x v="1"/>
    <x v="1"/>
    <x v="1"/>
    <x v="1"/>
    <x v="1"/>
    <x v="1"/>
    <x v="1"/>
    <n v="1723.83"/>
    <n v="1723.83"/>
  </r>
  <r>
    <s v="03/06"/>
    <s v="5100000003"/>
    <x v="3"/>
    <x v="7"/>
    <x v="6"/>
    <x v="9"/>
    <x v="2"/>
    <x v="5"/>
    <x v="7"/>
    <x v="9"/>
    <x v="2"/>
    <x v="0"/>
    <n v="35945.56"/>
    <n v="-35945.56"/>
  </r>
  <r>
    <s v="03/06"/>
    <s v="5100000003"/>
    <x v="3"/>
    <x v="7"/>
    <x v="6"/>
    <x v="7"/>
    <x v="2"/>
    <x v="5"/>
    <x v="7"/>
    <x v="7"/>
    <x v="8"/>
    <x v="1"/>
    <n v="5140.8"/>
    <n v="5140.8"/>
  </r>
  <r>
    <s v="03/06"/>
    <s v="5100000003"/>
    <x v="3"/>
    <x v="7"/>
    <x v="6"/>
    <x v="8"/>
    <x v="2"/>
    <x v="5"/>
    <x v="7"/>
    <x v="8"/>
    <x v="4"/>
    <x v="1"/>
    <n v="147.11000000000001"/>
    <n v="147.11000000000001"/>
  </r>
  <r>
    <s v="03/06"/>
    <s v="5100000003"/>
    <x v="3"/>
    <x v="7"/>
    <x v="6"/>
    <x v="7"/>
    <x v="2"/>
    <x v="5"/>
    <x v="7"/>
    <x v="7"/>
    <x v="8"/>
    <x v="1"/>
    <n v="3603.5"/>
    <n v="3603.5"/>
  </r>
  <r>
    <s v="03/06"/>
    <s v="5100000003"/>
    <x v="3"/>
    <x v="7"/>
    <x v="6"/>
    <x v="8"/>
    <x v="2"/>
    <x v="5"/>
    <x v="7"/>
    <x v="8"/>
    <x v="4"/>
    <x v="1"/>
    <n v="103.12"/>
    <n v="103.12"/>
  </r>
  <r>
    <s v="03/06"/>
    <s v="5100000003"/>
    <x v="3"/>
    <x v="7"/>
    <x v="6"/>
    <x v="7"/>
    <x v="2"/>
    <x v="5"/>
    <x v="7"/>
    <x v="7"/>
    <x v="8"/>
    <x v="1"/>
    <n v="2585"/>
    <n v="2585"/>
  </r>
  <r>
    <s v="03/06"/>
    <s v="5100000003"/>
    <x v="3"/>
    <x v="7"/>
    <x v="6"/>
    <x v="8"/>
    <x v="2"/>
    <x v="5"/>
    <x v="7"/>
    <x v="8"/>
    <x v="4"/>
    <x v="1"/>
    <n v="73.97"/>
    <n v="73.97"/>
  </r>
  <r>
    <s v="03/06"/>
    <s v="5100000003"/>
    <x v="3"/>
    <x v="7"/>
    <x v="6"/>
    <x v="7"/>
    <x v="2"/>
    <x v="5"/>
    <x v="7"/>
    <x v="7"/>
    <x v="8"/>
    <x v="1"/>
    <n v="7193.16"/>
    <n v="7193.16"/>
  </r>
  <r>
    <s v="03/06"/>
    <s v="5100000003"/>
    <x v="3"/>
    <x v="7"/>
    <x v="6"/>
    <x v="8"/>
    <x v="2"/>
    <x v="5"/>
    <x v="7"/>
    <x v="8"/>
    <x v="4"/>
    <x v="1"/>
    <n v="205.84"/>
    <n v="205.84"/>
  </r>
  <r>
    <s v="03/06"/>
    <s v="5100000003"/>
    <x v="3"/>
    <x v="7"/>
    <x v="6"/>
    <x v="7"/>
    <x v="2"/>
    <x v="5"/>
    <x v="7"/>
    <x v="7"/>
    <x v="8"/>
    <x v="1"/>
    <n v="11676.6"/>
    <n v="11676.6"/>
  </r>
  <r>
    <s v="03/06"/>
    <s v="5100000003"/>
    <x v="3"/>
    <x v="7"/>
    <x v="6"/>
    <x v="8"/>
    <x v="2"/>
    <x v="5"/>
    <x v="7"/>
    <x v="8"/>
    <x v="4"/>
    <x v="1"/>
    <n v="334.13"/>
    <n v="334.13"/>
  </r>
  <r>
    <s v="03/06"/>
    <s v="5100000003"/>
    <x v="3"/>
    <x v="7"/>
    <x v="6"/>
    <x v="0"/>
    <x v="0"/>
    <x v="0"/>
    <x v="0"/>
    <x v="0"/>
    <x v="6"/>
    <x v="1"/>
    <n v="0.01"/>
    <n v="0.01"/>
  </r>
  <r>
    <s v="03/06"/>
    <s v="5100000003"/>
    <x v="3"/>
    <x v="7"/>
    <x v="6"/>
    <x v="7"/>
    <x v="2"/>
    <x v="5"/>
    <x v="7"/>
    <x v="7"/>
    <x v="8"/>
    <x v="1"/>
    <n v="4746.5"/>
    <n v="4746.5"/>
  </r>
  <r>
    <s v="03/06"/>
    <s v="5100000003"/>
    <x v="3"/>
    <x v="7"/>
    <x v="6"/>
    <x v="8"/>
    <x v="2"/>
    <x v="5"/>
    <x v="7"/>
    <x v="8"/>
    <x v="4"/>
    <x v="1"/>
    <n v="135.83000000000001"/>
    <n v="135.83000000000001"/>
  </r>
  <r>
    <s v="03/06"/>
    <s v="5100000003"/>
    <x v="3"/>
    <x v="7"/>
    <x v="6"/>
    <x v="0"/>
    <x v="0"/>
    <x v="0"/>
    <x v="0"/>
    <x v="0"/>
    <x v="0"/>
    <x v="0"/>
    <n v="0.01"/>
    <n v="-0.01"/>
  </r>
  <r>
    <s v="03/06"/>
    <s v="0090002259"/>
    <x v="3"/>
    <x v="7"/>
    <x v="6"/>
    <x v="2"/>
    <x v="0"/>
    <x v="0"/>
    <x v="2"/>
    <x v="2"/>
    <x v="2"/>
    <x v="1"/>
    <n v="1530"/>
    <n v="1530"/>
  </r>
  <r>
    <s v="03/06"/>
    <s v="0090002259"/>
    <x v="3"/>
    <x v="7"/>
    <x v="6"/>
    <x v="3"/>
    <x v="1"/>
    <x v="2"/>
    <x v="3"/>
    <x v="3"/>
    <x v="3"/>
    <x v="0"/>
    <n v="1530"/>
    <n v="-1530"/>
  </r>
  <r>
    <s v="03/06"/>
    <s v="0100000011"/>
    <x v="3"/>
    <x v="7"/>
    <x v="6"/>
    <x v="10"/>
    <x v="1"/>
    <x v="6"/>
    <x v="8"/>
    <x v="10"/>
    <x v="4"/>
    <x v="1"/>
    <n v="300"/>
    <n v="300"/>
  </r>
  <r>
    <s v="03/06"/>
    <s v="0100000011"/>
    <x v="3"/>
    <x v="7"/>
    <x v="6"/>
    <x v="4"/>
    <x v="0"/>
    <x v="0"/>
    <x v="4"/>
    <x v="4"/>
    <x v="3"/>
    <x v="0"/>
    <n v="300"/>
    <n v="-300"/>
  </r>
  <r>
    <s v="03/06"/>
    <s v="1400000075"/>
    <x v="3"/>
    <x v="7"/>
    <x v="6"/>
    <x v="4"/>
    <x v="0"/>
    <x v="0"/>
    <x v="4"/>
    <x v="4"/>
    <x v="4"/>
    <x v="1"/>
    <n v="1798"/>
    <n v="1798"/>
  </r>
  <r>
    <s v="03/06"/>
    <s v="1400000075"/>
    <x v="3"/>
    <x v="7"/>
    <x v="6"/>
    <x v="2"/>
    <x v="0"/>
    <x v="0"/>
    <x v="2"/>
    <x v="2"/>
    <x v="5"/>
    <x v="0"/>
    <n v="1798"/>
    <n v="-1798"/>
  </r>
  <r>
    <s v="03/06"/>
    <s v="1500000002"/>
    <x v="3"/>
    <x v="7"/>
    <x v="6"/>
    <x v="4"/>
    <x v="0"/>
    <x v="0"/>
    <x v="4"/>
    <x v="4"/>
    <x v="3"/>
    <x v="0"/>
    <n v="125821.17"/>
    <n v="-125821.17"/>
  </r>
  <r>
    <s v="03/06"/>
    <s v="1500000002"/>
    <x v="3"/>
    <x v="7"/>
    <x v="6"/>
    <x v="9"/>
    <x v="2"/>
    <x v="5"/>
    <x v="7"/>
    <x v="9"/>
    <x v="5"/>
    <x v="1"/>
    <n v="125821.17"/>
    <n v="125821.17"/>
  </r>
  <r>
    <s v="03/06"/>
    <s v="5000000003"/>
    <x v="3"/>
    <x v="7"/>
    <x v="6"/>
    <x v="0"/>
    <x v="0"/>
    <x v="0"/>
    <x v="0"/>
    <x v="0"/>
    <x v="6"/>
    <x v="1"/>
    <n v="5287.91"/>
    <n v="5287.91"/>
  </r>
  <r>
    <s v="03/06"/>
    <s v="5000000003"/>
    <x v="3"/>
    <x v="7"/>
    <x v="6"/>
    <x v="7"/>
    <x v="2"/>
    <x v="5"/>
    <x v="7"/>
    <x v="7"/>
    <x v="7"/>
    <x v="0"/>
    <n v="5140.8"/>
    <n v="-5140.8"/>
  </r>
  <r>
    <s v="03/06"/>
    <s v="5000000003"/>
    <x v="3"/>
    <x v="7"/>
    <x v="6"/>
    <x v="8"/>
    <x v="2"/>
    <x v="5"/>
    <x v="7"/>
    <x v="8"/>
    <x v="3"/>
    <x v="0"/>
    <n v="147.11000000000001"/>
    <n v="-147.11000000000001"/>
  </r>
  <r>
    <s v="03/06"/>
    <s v="5000000003"/>
    <x v="3"/>
    <x v="7"/>
    <x v="6"/>
    <x v="0"/>
    <x v="0"/>
    <x v="0"/>
    <x v="0"/>
    <x v="0"/>
    <x v="6"/>
    <x v="1"/>
    <n v="3706.62"/>
    <n v="3706.62"/>
  </r>
  <r>
    <s v="03/06"/>
    <s v="5000000003"/>
    <x v="3"/>
    <x v="7"/>
    <x v="6"/>
    <x v="7"/>
    <x v="2"/>
    <x v="5"/>
    <x v="7"/>
    <x v="7"/>
    <x v="7"/>
    <x v="0"/>
    <n v="3603.5"/>
    <n v="-3603.5"/>
  </r>
  <r>
    <s v="03/06"/>
    <s v="5000000003"/>
    <x v="3"/>
    <x v="7"/>
    <x v="6"/>
    <x v="8"/>
    <x v="2"/>
    <x v="5"/>
    <x v="7"/>
    <x v="8"/>
    <x v="3"/>
    <x v="0"/>
    <n v="103.12"/>
    <n v="-103.12"/>
  </r>
  <r>
    <s v="03/06"/>
    <s v="5000000003"/>
    <x v="3"/>
    <x v="7"/>
    <x v="6"/>
    <x v="0"/>
    <x v="0"/>
    <x v="0"/>
    <x v="0"/>
    <x v="0"/>
    <x v="6"/>
    <x v="1"/>
    <n v="2658.97"/>
    <n v="2658.97"/>
  </r>
  <r>
    <s v="03/06"/>
    <s v="5000000003"/>
    <x v="3"/>
    <x v="7"/>
    <x v="6"/>
    <x v="7"/>
    <x v="2"/>
    <x v="5"/>
    <x v="7"/>
    <x v="7"/>
    <x v="7"/>
    <x v="0"/>
    <n v="2585"/>
    <n v="-2585"/>
  </r>
  <r>
    <s v="03/06"/>
    <s v="5000000003"/>
    <x v="3"/>
    <x v="7"/>
    <x v="6"/>
    <x v="8"/>
    <x v="2"/>
    <x v="5"/>
    <x v="7"/>
    <x v="8"/>
    <x v="3"/>
    <x v="0"/>
    <n v="73.97"/>
    <n v="-73.97"/>
  </r>
  <r>
    <s v="03/06"/>
    <s v="5000000003"/>
    <x v="3"/>
    <x v="7"/>
    <x v="6"/>
    <x v="0"/>
    <x v="0"/>
    <x v="0"/>
    <x v="0"/>
    <x v="0"/>
    <x v="6"/>
    <x v="1"/>
    <n v="7399"/>
    <n v="7399"/>
  </r>
  <r>
    <s v="03/06"/>
    <s v="5000000003"/>
    <x v="3"/>
    <x v="7"/>
    <x v="6"/>
    <x v="7"/>
    <x v="2"/>
    <x v="5"/>
    <x v="7"/>
    <x v="7"/>
    <x v="7"/>
    <x v="0"/>
    <n v="7193.16"/>
    <n v="-7193.16"/>
  </r>
  <r>
    <s v="03/06"/>
    <s v="5000000003"/>
    <x v="3"/>
    <x v="7"/>
    <x v="6"/>
    <x v="8"/>
    <x v="2"/>
    <x v="5"/>
    <x v="7"/>
    <x v="8"/>
    <x v="3"/>
    <x v="0"/>
    <n v="205.84"/>
    <n v="-205.84"/>
  </r>
  <r>
    <s v="03/06"/>
    <s v="5000000003"/>
    <x v="3"/>
    <x v="7"/>
    <x v="6"/>
    <x v="0"/>
    <x v="0"/>
    <x v="0"/>
    <x v="0"/>
    <x v="0"/>
    <x v="6"/>
    <x v="1"/>
    <n v="12010.73"/>
    <n v="12010.73"/>
  </r>
  <r>
    <s v="03/06"/>
    <s v="5000000003"/>
    <x v="3"/>
    <x v="7"/>
    <x v="6"/>
    <x v="7"/>
    <x v="2"/>
    <x v="5"/>
    <x v="7"/>
    <x v="7"/>
    <x v="7"/>
    <x v="0"/>
    <n v="11676.6"/>
    <n v="-11676.6"/>
  </r>
  <r>
    <s v="03/06"/>
    <s v="5000000003"/>
    <x v="3"/>
    <x v="7"/>
    <x v="6"/>
    <x v="8"/>
    <x v="2"/>
    <x v="5"/>
    <x v="7"/>
    <x v="8"/>
    <x v="3"/>
    <x v="0"/>
    <n v="334.13"/>
    <n v="-334.13"/>
  </r>
  <r>
    <s v="03/06"/>
    <s v="5000000003"/>
    <x v="3"/>
    <x v="7"/>
    <x v="6"/>
    <x v="0"/>
    <x v="0"/>
    <x v="0"/>
    <x v="0"/>
    <x v="0"/>
    <x v="6"/>
    <x v="1"/>
    <n v="4882.33"/>
    <n v="4882.33"/>
  </r>
  <r>
    <s v="03/06"/>
    <s v="5000000003"/>
    <x v="3"/>
    <x v="7"/>
    <x v="6"/>
    <x v="7"/>
    <x v="2"/>
    <x v="5"/>
    <x v="7"/>
    <x v="7"/>
    <x v="7"/>
    <x v="0"/>
    <n v="4746.5"/>
    <n v="-4746.5"/>
  </r>
  <r>
    <s v="03/06"/>
    <s v="5000000003"/>
    <x v="3"/>
    <x v="7"/>
    <x v="6"/>
    <x v="8"/>
    <x v="2"/>
    <x v="5"/>
    <x v="7"/>
    <x v="8"/>
    <x v="3"/>
    <x v="0"/>
    <n v="135.83000000000001"/>
    <n v="-135.83000000000001"/>
  </r>
  <r>
    <s v="04/04"/>
    <s v="1400000100"/>
    <x v="4"/>
    <x v="0"/>
    <x v="7"/>
    <x v="4"/>
    <x v="0"/>
    <x v="0"/>
    <x v="4"/>
    <x v="4"/>
    <x v="4"/>
    <x v="1"/>
    <n v="1960"/>
    <n v="1960"/>
  </r>
  <r>
    <s v="04/04"/>
    <s v="1400000100"/>
    <x v="4"/>
    <x v="0"/>
    <x v="7"/>
    <x v="2"/>
    <x v="0"/>
    <x v="0"/>
    <x v="2"/>
    <x v="2"/>
    <x v="5"/>
    <x v="0"/>
    <n v="1960"/>
    <n v="-1960"/>
  </r>
  <r>
    <s v="04/04"/>
    <s v="1400000100"/>
    <x v="4"/>
    <x v="0"/>
    <x v="7"/>
    <x v="4"/>
    <x v="0"/>
    <x v="0"/>
    <x v="4"/>
    <x v="4"/>
    <x v="4"/>
    <x v="1"/>
    <n v="1782"/>
    <n v="1782"/>
  </r>
  <r>
    <s v="04/04"/>
    <s v="1400000100"/>
    <x v="4"/>
    <x v="0"/>
    <x v="7"/>
    <x v="2"/>
    <x v="0"/>
    <x v="0"/>
    <x v="2"/>
    <x v="2"/>
    <x v="5"/>
    <x v="0"/>
    <n v="1782"/>
    <n v="-1782"/>
  </r>
  <r>
    <s v="04/04"/>
    <s v="0090002291"/>
    <x v="4"/>
    <x v="0"/>
    <x v="7"/>
    <x v="2"/>
    <x v="0"/>
    <x v="0"/>
    <x v="2"/>
    <x v="2"/>
    <x v="2"/>
    <x v="1"/>
    <n v="2208"/>
    <n v="2208"/>
  </r>
  <r>
    <s v="04/04"/>
    <s v="0090002291"/>
    <x v="4"/>
    <x v="0"/>
    <x v="7"/>
    <x v="3"/>
    <x v="1"/>
    <x v="2"/>
    <x v="3"/>
    <x v="3"/>
    <x v="3"/>
    <x v="0"/>
    <n v="2208"/>
    <n v="-2208"/>
  </r>
  <r>
    <s v="04/04"/>
    <s v="4900000107"/>
    <x v="4"/>
    <x v="0"/>
    <x v="7"/>
    <x v="0"/>
    <x v="0"/>
    <x v="0"/>
    <x v="0"/>
    <x v="0"/>
    <x v="0"/>
    <x v="0"/>
    <n v="1607.7"/>
    <n v="-1607.7"/>
  </r>
  <r>
    <s v="04/04"/>
    <s v="4900000107"/>
    <x v="4"/>
    <x v="0"/>
    <x v="7"/>
    <x v="1"/>
    <x v="1"/>
    <x v="1"/>
    <x v="1"/>
    <x v="1"/>
    <x v="1"/>
    <x v="1"/>
    <n v="1607.7"/>
    <n v="1607.7"/>
  </r>
  <r>
    <s v="04/04"/>
    <s v="4900000107"/>
    <x v="4"/>
    <x v="0"/>
    <x v="7"/>
    <x v="0"/>
    <x v="0"/>
    <x v="0"/>
    <x v="0"/>
    <x v="0"/>
    <x v="0"/>
    <x v="0"/>
    <n v="1338.25"/>
    <n v="-1338.25"/>
  </r>
  <r>
    <s v="04/04"/>
    <s v="4900000107"/>
    <x v="4"/>
    <x v="0"/>
    <x v="7"/>
    <x v="1"/>
    <x v="1"/>
    <x v="1"/>
    <x v="1"/>
    <x v="1"/>
    <x v="1"/>
    <x v="1"/>
    <n v="1338.25"/>
    <n v="1338.25"/>
  </r>
  <r>
    <s v="04/04"/>
    <s v="1400000099"/>
    <x v="4"/>
    <x v="0"/>
    <x v="7"/>
    <x v="4"/>
    <x v="0"/>
    <x v="0"/>
    <x v="4"/>
    <x v="4"/>
    <x v="4"/>
    <x v="1"/>
    <n v="1764"/>
    <n v="1764"/>
  </r>
  <r>
    <s v="04/04"/>
    <s v="1400000099"/>
    <x v="4"/>
    <x v="0"/>
    <x v="7"/>
    <x v="2"/>
    <x v="0"/>
    <x v="0"/>
    <x v="2"/>
    <x v="2"/>
    <x v="5"/>
    <x v="0"/>
    <n v="1764"/>
    <n v="-1764"/>
  </r>
  <r>
    <s v="04/04"/>
    <s v="1400000099"/>
    <x v="4"/>
    <x v="0"/>
    <x v="7"/>
    <x v="4"/>
    <x v="0"/>
    <x v="0"/>
    <x v="4"/>
    <x v="4"/>
    <x v="4"/>
    <x v="1"/>
    <n v="4440"/>
    <n v="4440"/>
  </r>
  <r>
    <s v="04/04"/>
    <s v="1400000099"/>
    <x v="4"/>
    <x v="0"/>
    <x v="7"/>
    <x v="2"/>
    <x v="0"/>
    <x v="0"/>
    <x v="2"/>
    <x v="2"/>
    <x v="5"/>
    <x v="0"/>
    <n v="4440"/>
    <n v="-4440"/>
  </r>
  <r>
    <s v="04/04"/>
    <s v="0090002292"/>
    <x v="4"/>
    <x v="0"/>
    <x v="7"/>
    <x v="2"/>
    <x v="0"/>
    <x v="0"/>
    <x v="2"/>
    <x v="2"/>
    <x v="2"/>
    <x v="1"/>
    <n v="1785"/>
    <n v="1785"/>
  </r>
  <r>
    <s v="04/04"/>
    <s v="0090002292"/>
    <x v="4"/>
    <x v="0"/>
    <x v="7"/>
    <x v="3"/>
    <x v="1"/>
    <x v="2"/>
    <x v="3"/>
    <x v="3"/>
    <x v="3"/>
    <x v="0"/>
    <n v="1785"/>
    <n v="-1785"/>
  </r>
  <r>
    <s v="04/04"/>
    <s v="0090002293"/>
    <x v="4"/>
    <x v="0"/>
    <x v="7"/>
    <x v="2"/>
    <x v="0"/>
    <x v="0"/>
    <x v="2"/>
    <x v="2"/>
    <x v="2"/>
    <x v="1"/>
    <n v="1365"/>
    <n v="1365"/>
  </r>
  <r>
    <s v="04/04"/>
    <s v="0090002293"/>
    <x v="4"/>
    <x v="0"/>
    <x v="7"/>
    <x v="3"/>
    <x v="1"/>
    <x v="2"/>
    <x v="3"/>
    <x v="3"/>
    <x v="3"/>
    <x v="0"/>
    <n v="1365"/>
    <n v="-1365"/>
  </r>
  <r>
    <s v="04/04"/>
    <s v="1400000101"/>
    <x v="4"/>
    <x v="0"/>
    <x v="7"/>
    <x v="4"/>
    <x v="0"/>
    <x v="0"/>
    <x v="4"/>
    <x v="4"/>
    <x v="4"/>
    <x v="1"/>
    <n v="1890"/>
    <n v="1890"/>
  </r>
  <r>
    <s v="04/04"/>
    <s v="1400000101"/>
    <x v="4"/>
    <x v="0"/>
    <x v="7"/>
    <x v="2"/>
    <x v="0"/>
    <x v="0"/>
    <x v="2"/>
    <x v="2"/>
    <x v="5"/>
    <x v="0"/>
    <n v="1890"/>
    <n v="-1890"/>
  </r>
  <r>
    <s v="04/04"/>
    <s v="4900000108"/>
    <x v="4"/>
    <x v="0"/>
    <x v="7"/>
    <x v="0"/>
    <x v="0"/>
    <x v="0"/>
    <x v="0"/>
    <x v="0"/>
    <x v="0"/>
    <x v="0"/>
    <n v="1023.37"/>
    <n v="-1023.37"/>
  </r>
  <r>
    <s v="04/04"/>
    <s v="4900000108"/>
    <x v="4"/>
    <x v="0"/>
    <x v="7"/>
    <x v="1"/>
    <x v="1"/>
    <x v="1"/>
    <x v="1"/>
    <x v="1"/>
    <x v="1"/>
    <x v="1"/>
    <n v="1023.37"/>
    <n v="1023.37"/>
  </r>
  <r>
    <s v="04/04"/>
    <s v="4900000108"/>
    <x v="4"/>
    <x v="0"/>
    <x v="7"/>
    <x v="0"/>
    <x v="0"/>
    <x v="0"/>
    <x v="0"/>
    <x v="0"/>
    <x v="0"/>
    <x v="0"/>
    <n v="1793.89"/>
    <n v="-1793.89"/>
  </r>
  <r>
    <s v="04/04"/>
    <s v="4900000108"/>
    <x v="4"/>
    <x v="0"/>
    <x v="7"/>
    <x v="1"/>
    <x v="1"/>
    <x v="1"/>
    <x v="1"/>
    <x v="1"/>
    <x v="1"/>
    <x v="1"/>
    <n v="1793.89"/>
    <n v="1793.89"/>
  </r>
  <r>
    <s v="04/04"/>
    <s v="0090002294"/>
    <x v="4"/>
    <x v="0"/>
    <x v="7"/>
    <x v="2"/>
    <x v="0"/>
    <x v="0"/>
    <x v="2"/>
    <x v="2"/>
    <x v="2"/>
    <x v="1"/>
    <n v="2214"/>
    <n v="2214"/>
  </r>
  <r>
    <s v="04/04"/>
    <s v="0090002294"/>
    <x v="4"/>
    <x v="0"/>
    <x v="7"/>
    <x v="3"/>
    <x v="1"/>
    <x v="2"/>
    <x v="3"/>
    <x v="3"/>
    <x v="3"/>
    <x v="0"/>
    <n v="2214"/>
    <n v="-221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x v="0"/>
    <x v="0"/>
    <n v="100"/>
  </r>
  <r>
    <x v="1"/>
    <x v="0"/>
    <x v="0"/>
    <n v="95"/>
  </r>
  <r>
    <x v="2"/>
    <x v="0"/>
    <x v="0"/>
    <n v="29"/>
  </r>
  <r>
    <x v="3"/>
    <x v="0"/>
    <x v="0"/>
    <n v="0"/>
  </r>
  <r>
    <x v="4"/>
    <x v="0"/>
    <x v="0"/>
    <n v="100"/>
  </r>
  <r>
    <x v="5"/>
    <x v="0"/>
    <x v="0"/>
    <n v="28"/>
  </r>
  <r>
    <x v="6"/>
    <x v="0"/>
    <x v="0"/>
    <n v="66"/>
  </r>
  <r>
    <x v="7"/>
    <x v="0"/>
    <x v="0"/>
    <n v="108"/>
  </r>
  <r>
    <x v="8"/>
    <x v="0"/>
    <x v="0"/>
    <n v="0"/>
  </r>
  <r>
    <x v="9"/>
    <x v="0"/>
    <x v="0"/>
    <n v="57"/>
  </r>
  <r>
    <x v="10"/>
    <x v="0"/>
    <x v="0"/>
    <n v="80"/>
  </r>
  <r>
    <x v="11"/>
    <x v="0"/>
    <x v="0"/>
    <n v="0"/>
  </r>
  <r>
    <x v="12"/>
    <x v="0"/>
    <x v="0"/>
    <n v="0"/>
  </r>
  <r>
    <x v="0"/>
    <x v="0"/>
    <x v="1"/>
    <n v="100"/>
  </r>
  <r>
    <x v="1"/>
    <x v="0"/>
    <x v="1"/>
    <n v="68"/>
  </r>
  <r>
    <x v="2"/>
    <x v="0"/>
    <x v="1"/>
    <n v="54"/>
  </r>
  <r>
    <x v="3"/>
    <x v="0"/>
    <x v="1"/>
    <n v="0"/>
  </r>
  <r>
    <x v="4"/>
    <x v="0"/>
    <x v="1"/>
    <n v="88"/>
  </r>
  <r>
    <x v="5"/>
    <x v="0"/>
    <x v="1"/>
    <n v="40"/>
  </r>
  <r>
    <x v="6"/>
    <x v="0"/>
    <x v="1"/>
    <n v="48"/>
  </r>
  <r>
    <x v="7"/>
    <x v="0"/>
    <x v="1"/>
    <n v="99"/>
  </r>
  <r>
    <x v="8"/>
    <x v="0"/>
    <x v="1"/>
    <n v="0"/>
  </r>
  <r>
    <x v="9"/>
    <x v="0"/>
    <x v="1"/>
    <n v="96"/>
  </r>
  <r>
    <x v="10"/>
    <x v="0"/>
    <x v="1"/>
    <n v="49"/>
  </r>
  <r>
    <x v="11"/>
    <x v="0"/>
    <x v="1"/>
    <n v="0"/>
  </r>
  <r>
    <x v="12"/>
    <x v="0"/>
    <x v="1"/>
    <n v="0"/>
  </r>
  <r>
    <x v="0"/>
    <x v="0"/>
    <x v="2"/>
    <n v="100"/>
  </r>
  <r>
    <x v="1"/>
    <x v="0"/>
    <x v="2"/>
    <n v="27"/>
  </r>
  <r>
    <x v="2"/>
    <x v="0"/>
    <x v="2"/>
    <n v="27"/>
  </r>
  <r>
    <x v="3"/>
    <x v="0"/>
    <x v="2"/>
    <n v="0"/>
  </r>
  <r>
    <x v="4"/>
    <x v="0"/>
    <x v="2"/>
    <n v="30"/>
  </r>
  <r>
    <x v="5"/>
    <x v="0"/>
    <x v="2"/>
    <n v="0"/>
  </r>
  <r>
    <x v="6"/>
    <x v="0"/>
    <x v="2"/>
    <n v="47"/>
  </r>
  <r>
    <x v="7"/>
    <x v="0"/>
    <x v="2"/>
    <n v="89"/>
  </r>
  <r>
    <x v="8"/>
    <x v="0"/>
    <x v="2"/>
    <n v="0"/>
  </r>
  <r>
    <x v="9"/>
    <x v="0"/>
    <x v="2"/>
    <n v="42"/>
  </r>
  <r>
    <x v="10"/>
    <x v="0"/>
    <x v="2"/>
    <n v="14"/>
  </r>
  <r>
    <x v="0"/>
    <x v="1"/>
    <x v="0"/>
    <n v="100"/>
  </r>
  <r>
    <x v="1"/>
    <x v="1"/>
    <x v="0"/>
    <n v="0"/>
  </r>
  <r>
    <x v="2"/>
    <x v="1"/>
    <x v="0"/>
    <n v="0"/>
  </r>
  <r>
    <x v="3"/>
    <x v="1"/>
    <x v="0"/>
    <n v="33"/>
  </r>
  <r>
    <x v="4"/>
    <x v="1"/>
    <x v="0"/>
    <n v="37"/>
  </r>
  <r>
    <x v="5"/>
    <x v="1"/>
    <x v="0"/>
    <n v="20"/>
  </r>
  <r>
    <x v="6"/>
    <x v="1"/>
    <x v="0"/>
    <n v="24"/>
  </r>
  <r>
    <x v="7"/>
    <x v="1"/>
    <x v="0"/>
    <n v="118"/>
  </r>
  <r>
    <x v="8"/>
    <x v="1"/>
    <x v="0"/>
    <n v="0"/>
  </r>
  <r>
    <x v="9"/>
    <x v="1"/>
    <x v="0"/>
    <n v="3"/>
  </r>
  <r>
    <x v="10"/>
    <x v="1"/>
    <x v="0"/>
    <n v="3"/>
  </r>
  <r>
    <x v="11"/>
    <x v="1"/>
    <x v="0"/>
    <n v="0"/>
  </r>
  <r>
    <x v="12"/>
    <x v="1"/>
    <x v="0"/>
    <n v="0"/>
  </r>
  <r>
    <x v="0"/>
    <x v="1"/>
    <x v="1"/>
    <n v="100"/>
  </r>
  <r>
    <x v="1"/>
    <x v="1"/>
    <x v="1"/>
    <n v="19"/>
  </r>
  <r>
    <x v="2"/>
    <x v="1"/>
    <x v="1"/>
    <n v="0"/>
  </r>
  <r>
    <x v="3"/>
    <x v="1"/>
    <x v="1"/>
    <n v="0"/>
  </r>
  <r>
    <x v="4"/>
    <x v="1"/>
    <x v="1"/>
    <n v="51"/>
  </r>
  <r>
    <x v="5"/>
    <x v="1"/>
    <x v="1"/>
    <n v="0"/>
  </r>
  <r>
    <x v="6"/>
    <x v="1"/>
    <x v="1"/>
    <n v="19"/>
  </r>
  <r>
    <x v="7"/>
    <x v="1"/>
    <x v="1"/>
    <n v="77"/>
  </r>
  <r>
    <x v="8"/>
    <x v="1"/>
    <x v="1"/>
    <n v="0"/>
  </r>
  <r>
    <x v="9"/>
    <x v="1"/>
    <x v="1"/>
    <n v="19"/>
  </r>
  <r>
    <x v="10"/>
    <x v="1"/>
    <x v="1"/>
    <n v="20"/>
  </r>
  <r>
    <x v="11"/>
    <x v="1"/>
    <x v="1"/>
    <n v="0"/>
  </r>
  <r>
    <x v="12"/>
    <x v="1"/>
    <x v="1"/>
    <n v="0"/>
  </r>
  <r>
    <x v="0"/>
    <x v="1"/>
    <x v="2"/>
    <n v="100"/>
  </r>
  <r>
    <x v="1"/>
    <x v="1"/>
    <x v="2"/>
    <n v="81"/>
  </r>
  <r>
    <x v="2"/>
    <x v="1"/>
    <x v="2"/>
    <n v="100"/>
  </r>
  <r>
    <x v="3"/>
    <x v="1"/>
    <x v="2"/>
    <n v="67"/>
  </r>
  <r>
    <x v="4"/>
    <x v="1"/>
    <x v="2"/>
    <n v="79"/>
  </r>
  <r>
    <x v="5"/>
    <x v="1"/>
    <x v="2"/>
    <n v="81"/>
  </r>
  <r>
    <x v="6"/>
    <x v="1"/>
    <x v="2"/>
    <n v="38"/>
  </r>
  <r>
    <x v="7"/>
    <x v="1"/>
    <x v="2"/>
    <n v="172"/>
  </r>
  <r>
    <x v="8"/>
    <x v="1"/>
    <x v="2"/>
    <n v="0"/>
  </r>
  <r>
    <x v="9"/>
    <x v="1"/>
    <x v="2"/>
    <n v="65"/>
  </r>
  <r>
    <x v="10"/>
    <x v="1"/>
    <x v="2"/>
    <n v="73"/>
  </r>
  <r>
    <x v="0"/>
    <x v="2"/>
    <x v="0"/>
    <n v="100"/>
  </r>
  <r>
    <x v="1"/>
    <x v="2"/>
    <x v="0"/>
    <n v="0"/>
  </r>
  <r>
    <x v="2"/>
    <x v="2"/>
    <x v="0"/>
    <n v="47"/>
  </r>
  <r>
    <x v="3"/>
    <x v="2"/>
    <x v="0"/>
    <n v="12"/>
  </r>
  <r>
    <x v="4"/>
    <x v="2"/>
    <x v="0"/>
    <n v="39"/>
  </r>
  <r>
    <x v="5"/>
    <x v="2"/>
    <x v="0"/>
    <n v="25"/>
  </r>
  <r>
    <x v="6"/>
    <x v="2"/>
    <x v="0"/>
    <n v="64"/>
  </r>
  <r>
    <x v="7"/>
    <x v="2"/>
    <x v="0"/>
    <n v="100"/>
  </r>
  <r>
    <x v="8"/>
    <x v="2"/>
    <x v="0"/>
    <n v="0"/>
  </r>
  <r>
    <x v="9"/>
    <x v="2"/>
    <x v="0"/>
    <n v="34"/>
  </r>
  <r>
    <x v="10"/>
    <x v="2"/>
    <x v="0"/>
    <n v="53"/>
  </r>
  <r>
    <x v="11"/>
    <x v="2"/>
    <x v="0"/>
    <n v="0"/>
  </r>
  <r>
    <x v="12"/>
    <x v="2"/>
    <x v="0"/>
    <n v="0"/>
  </r>
  <r>
    <x v="0"/>
    <x v="2"/>
    <x v="1"/>
    <n v="100"/>
  </r>
  <r>
    <x v="1"/>
    <x v="2"/>
    <x v="1"/>
    <n v="54"/>
  </r>
  <r>
    <x v="2"/>
    <x v="2"/>
    <x v="1"/>
    <n v="53"/>
  </r>
  <r>
    <x v="3"/>
    <x v="2"/>
    <x v="1"/>
    <n v="18"/>
  </r>
  <r>
    <x v="4"/>
    <x v="2"/>
    <x v="1"/>
    <n v="41"/>
  </r>
  <r>
    <x v="5"/>
    <x v="2"/>
    <x v="1"/>
    <n v="0"/>
  </r>
  <r>
    <x v="6"/>
    <x v="2"/>
    <x v="1"/>
    <n v="52"/>
  </r>
  <r>
    <x v="7"/>
    <x v="2"/>
    <x v="1"/>
    <n v="89"/>
  </r>
  <r>
    <x v="8"/>
    <x v="2"/>
    <x v="1"/>
    <n v="0"/>
  </r>
  <r>
    <x v="9"/>
    <x v="2"/>
    <x v="1"/>
    <n v="13"/>
  </r>
  <r>
    <x v="10"/>
    <x v="2"/>
    <x v="1"/>
    <n v="15"/>
  </r>
  <r>
    <x v="11"/>
    <x v="2"/>
    <x v="1"/>
    <n v="0"/>
  </r>
  <r>
    <x v="12"/>
    <x v="2"/>
    <x v="1"/>
    <n v="0"/>
  </r>
  <r>
    <x v="0"/>
    <x v="2"/>
    <x v="2"/>
    <n v="100"/>
  </r>
  <r>
    <x v="1"/>
    <x v="2"/>
    <x v="2"/>
    <n v="51"/>
  </r>
  <r>
    <x v="2"/>
    <x v="2"/>
    <x v="2"/>
    <n v="51"/>
  </r>
  <r>
    <x v="3"/>
    <x v="2"/>
    <x v="2"/>
    <n v="14"/>
  </r>
  <r>
    <x v="4"/>
    <x v="2"/>
    <x v="2"/>
    <n v="37"/>
  </r>
  <r>
    <x v="5"/>
    <x v="2"/>
    <x v="2"/>
    <n v="37"/>
  </r>
  <r>
    <x v="6"/>
    <x v="2"/>
    <x v="2"/>
    <n v="60"/>
  </r>
  <r>
    <x v="7"/>
    <x v="2"/>
    <x v="2"/>
    <n v="75"/>
  </r>
  <r>
    <x v="8"/>
    <x v="2"/>
    <x v="2"/>
    <n v="0"/>
  </r>
  <r>
    <x v="9"/>
    <x v="2"/>
    <x v="2"/>
    <n v="3"/>
  </r>
  <r>
    <x v="10"/>
    <x v="2"/>
    <x v="2"/>
    <n v="3"/>
  </r>
  <r>
    <x v="0"/>
    <x v="3"/>
    <x v="0"/>
    <n v="100"/>
  </r>
  <r>
    <x v="1"/>
    <x v="3"/>
    <x v="0"/>
    <n v="100"/>
  </r>
  <r>
    <x v="2"/>
    <x v="3"/>
    <x v="0"/>
    <n v="80"/>
  </r>
  <r>
    <x v="3"/>
    <x v="3"/>
    <x v="0"/>
    <n v="22"/>
  </r>
  <r>
    <x v="4"/>
    <x v="3"/>
    <x v="0"/>
    <n v="100"/>
  </r>
  <r>
    <x v="5"/>
    <x v="3"/>
    <x v="0"/>
    <n v="47"/>
  </r>
  <r>
    <x v="6"/>
    <x v="3"/>
    <x v="0"/>
    <n v="34"/>
  </r>
  <r>
    <x v="7"/>
    <x v="3"/>
    <x v="0"/>
    <n v="182"/>
  </r>
  <r>
    <x v="8"/>
    <x v="3"/>
    <x v="0"/>
    <n v="0"/>
  </r>
  <r>
    <x v="9"/>
    <x v="3"/>
    <x v="0"/>
    <n v="67"/>
  </r>
  <r>
    <x v="10"/>
    <x v="3"/>
    <x v="0"/>
    <n v="100"/>
  </r>
  <r>
    <x v="11"/>
    <x v="3"/>
    <x v="0"/>
    <n v="0"/>
  </r>
  <r>
    <x v="12"/>
    <x v="3"/>
    <x v="0"/>
    <n v="0"/>
  </r>
  <r>
    <x v="0"/>
    <x v="3"/>
    <x v="1"/>
    <n v="100"/>
  </r>
  <r>
    <x v="1"/>
    <x v="3"/>
    <x v="1"/>
    <n v="0"/>
  </r>
  <r>
    <x v="2"/>
    <x v="3"/>
    <x v="1"/>
    <n v="48"/>
  </r>
  <r>
    <x v="3"/>
    <x v="3"/>
    <x v="1"/>
    <n v="4"/>
  </r>
  <r>
    <x v="4"/>
    <x v="3"/>
    <x v="1"/>
    <n v="100"/>
  </r>
  <r>
    <x v="5"/>
    <x v="3"/>
    <x v="1"/>
    <n v="0"/>
  </r>
  <r>
    <x v="6"/>
    <x v="3"/>
    <x v="1"/>
    <n v="17"/>
  </r>
  <r>
    <x v="7"/>
    <x v="3"/>
    <x v="1"/>
    <n v="75"/>
  </r>
  <r>
    <x v="8"/>
    <x v="3"/>
    <x v="1"/>
    <n v="0"/>
  </r>
  <r>
    <x v="9"/>
    <x v="3"/>
    <x v="1"/>
    <n v="38"/>
  </r>
  <r>
    <x v="10"/>
    <x v="3"/>
    <x v="1"/>
    <n v="43"/>
  </r>
  <r>
    <x v="11"/>
    <x v="3"/>
    <x v="1"/>
    <n v="0"/>
  </r>
  <r>
    <x v="12"/>
    <x v="3"/>
    <x v="1"/>
    <n v="0"/>
  </r>
  <r>
    <x v="0"/>
    <x v="3"/>
    <x v="2"/>
    <n v="100"/>
  </r>
  <r>
    <x v="1"/>
    <x v="3"/>
    <x v="2"/>
    <n v="0"/>
  </r>
  <r>
    <x v="2"/>
    <x v="3"/>
    <x v="2"/>
    <n v="36"/>
  </r>
  <r>
    <x v="3"/>
    <x v="3"/>
    <x v="2"/>
    <n v="10"/>
  </r>
  <r>
    <x v="4"/>
    <x v="3"/>
    <x v="2"/>
    <n v="78"/>
  </r>
  <r>
    <x v="5"/>
    <x v="3"/>
    <x v="2"/>
    <n v="39"/>
  </r>
  <r>
    <x v="6"/>
    <x v="3"/>
    <x v="2"/>
    <n v="17"/>
  </r>
  <r>
    <x v="7"/>
    <x v="3"/>
    <x v="2"/>
    <n v="75"/>
  </r>
  <r>
    <x v="8"/>
    <x v="3"/>
    <x v="2"/>
    <n v="0"/>
  </r>
  <r>
    <x v="9"/>
    <x v="3"/>
    <x v="2"/>
    <n v="5"/>
  </r>
  <r>
    <x v="10"/>
    <x v="3"/>
    <x v="2"/>
    <n v="50"/>
  </r>
  <r>
    <x v="0"/>
    <x v="4"/>
    <x v="0"/>
    <n v="100"/>
  </r>
  <r>
    <x v="1"/>
    <x v="4"/>
    <x v="0"/>
    <n v="100"/>
  </r>
  <r>
    <x v="2"/>
    <x v="4"/>
    <x v="0"/>
    <n v="70"/>
  </r>
  <r>
    <x v="3"/>
    <x v="4"/>
    <x v="0"/>
    <n v="0"/>
  </r>
  <r>
    <x v="4"/>
    <x v="4"/>
    <x v="0"/>
    <n v="300"/>
  </r>
  <r>
    <x v="5"/>
    <x v="4"/>
    <x v="0"/>
    <n v="94"/>
  </r>
  <r>
    <x v="6"/>
    <x v="4"/>
    <x v="0"/>
    <n v="0"/>
  </r>
  <r>
    <x v="7"/>
    <x v="4"/>
    <x v="0"/>
    <n v="300"/>
  </r>
  <r>
    <x v="8"/>
    <x v="4"/>
    <x v="0"/>
    <n v="136"/>
  </r>
  <r>
    <x v="9"/>
    <x v="4"/>
    <x v="0"/>
    <n v="158"/>
  </r>
  <r>
    <x v="10"/>
    <x v="4"/>
    <x v="0"/>
    <n v="231"/>
  </r>
  <r>
    <x v="11"/>
    <x v="4"/>
    <x v="0"/>
    <n v="76"/>
  </r>
  <r>
    <x v="12"/>
    <x v="4"/>
    <x v="0"/>
    <n v="16"/>
  </r>
  <r>
    <x v="0"/>
    <x v="4"/>
    <x v="1"/>
    <n v="100"/>
  </r>
  <r>
    <x v="1"/>
    <x v="4"/>
    <x v="1"/>
    <n v="65"/>
  </r>
  <r>
    <x v="2"/>
    <x v="4"/>
    <x v="1"/>
    <n v="24"/>
  </r>
  <r>
    <x v="3"/>
    <x v="4"/>
    <x v="1"/>
    <n v="0"/>
  </r>
  <r>
    <x v="4"/>
    <x v="4"/>
    <x v="1"/>
    <n v="100"/>
  </r>
  <r>
    <x v="5"/>
    <x v="4"/>
    <x v="1"/>
    <n v="0"/>
  </r>
  <r>
    <x v="6"/>
    <x v="4"/>
    <x v="1"/>
    <n v="0"/>
  </r>
  <r>
    <x v="7"/>
    <x v="4"/>
    <x v="1"/>
    <n v="262"/>
  </r>
  <r>
    <x v="8"/>
    <x v="4"/>
    <x v="1"/>
    <n v="75"/>
  </r>
  <r>
    <x v="9"/>
    <x v="4"/>
    <x v="1"/>
    <n v="0"/>
  </r>
  <r>
    <x v="10"/>
    <x v="4"/>
    <x v="1"/>
    <n v="114"/>
  </r>
  <r>
    <x v="11"/>
    <x v="4"/>
    <x v="1"/>
    <n v="64"/>
  </r>
  <r>
    <x v="12"/>
    <x v="4"/>
    <x v="1"/>
    <n v="0"/>
  </r>
  <r>
    <x v="0"/>
    <x v="4"/>
    <x v="2"/>
    <n v="100"/>
  </r>
  <r>
    <x v="1"/>
    <x v="4"/>
    <x v="2"/>
    <n v="35"/>
  </r>
  <r>
    <x v="2"/>
    <x v="4"/>
    <x v="2"/>
    <n v="6"/>
  </r>
  <r>
    <x v="3"/>
    <x v="4"/>
    <x v="2"/>
    <n v="0"/>
  </r>
  <r>
    <x v="4"/>
    <x v="4"/>
    <x v="2"/>
    <n v="100"/>
  </r>
  <r>
    <x v="5"/>
    <x v="4"/>
    <x v="2"/>
    <n v="0"/>
  </r>
  <r>
    <x v="6"/>
    <x v="4"/>
    <x v="2"/>
    <n v="0"/>
  </r>
  <r>
    <x v="7"/>
    <x v="4"/>
    <x v="2"/>
    <n v="30"/>
  </r>
  <r>
    <x v="8"/>
    <x v="4"/>
    <x v="2"/>
    <n v="0"/>
  </r>
  <r>
    <x v="9"/>
    <x v="4"/>
    <x v="2"/>
    <n v="0"/>
  </r>
  <r>
    <x v="10"/>
    <x v="4"/>
    <x v="2"/>
    <n v="0"/>
  </r>
  <r>
    <x v="0"/>
    <x v="5"/>
    <x v="0"/>
    <n v="100"/>
  </r>
  <r>
    <x v="1"/>
    <x v="5"/>
    <x v="0"/>
    <n v="100"/>
  </r>
  <r>
    <x v="2"/>
    <x v="5"/>
    <x v="0"/>
    <n v="50"/>
  </r>
  <r>
    <x v="3"/>
    <x v="5"/>
    <x v="0"/>
    <n v="0"/>
  </r>
  <r>
    <x v="4"/>
    <x v="5"/>
    <x v="0"/>
    <n v="100"/>
  </r>
  <r>
    <x v="5"/>
    <x v="5"/>
    <x v="0"/>
    <n v="48"/>
  </r>
  <r>
    <x v="6"/>
    <x v="5"/>
    <x v="0"/>
    <n v="0"/>
  </r>
  <r>
    <x v="7"/>
    <x v="5"/>
    <x v="0"/>
    <n v="300"/>
  </r>
  <r>
    <x v="8"/>
    <x v="5"/>
    <x v="0"/>
    <n v="0"/>
  </r>
  <r>
    <x v="9"/>
    <x v="5"/>
    <x v="0"/>
    <n v="56"/>
  </r>
  <r>
    <x v="10"/>
    <x v="5"/>
    <x v="0"/>
    <n v="56"/>
  </r>
  <r>
    <x v="11"/>
    <x v="5"/>
    <x v="0"/>
    <n v="105"/>
  </r>
  <r>
    <x v="12"/>
    <x v="5"/>
    <x v="0"/>
    <n v="74"/>
  </r>
  <r>
    <x v="0"/>
    <x v="5"/>
    <x v="1"/>
    <n v="100"/>
  </r>
  <r>
    <x v="1"/>
    <x v="5"/>
    <x v="1"/>
    <n v="100"/>
  </r>
  <r>
    <x v="2"/>
    <x v="5"/>
    <x v="1"/>
    <n v="50"/>
  </r>
  <r>
    <x v="3"/>
    <x v="5"/>
    <x v="1"/>
    <n v="0"/>
  </r>
  <r>
    <x v="4"/>
    <x v="5"/>
    <x v="1"/>
    <n v="100"/>
  </r>
  <r>
    <x v="5"/>
    <x v="5"/>
    <x v="1"/>
    <n v="97"/>
  </r>
  <r>
    <x v="6"/>
    <x v="5"/>
    <x v="1"/>
    <n v="0"/>
  </r>
  <r>
    <x v="7"/>
    <x v="5"/>
    <x v="1"/>
    <n v="200"/>
  </r>
  <r>
    <x v="8"/>
    <x v="5"/>
    <x v="1"/>
    <n v="108"/>
  </r>
  <r>
    <x v="9"/>
    <x v="5"/>
    <x v="1"/>
    <n v="30"/>
  </r>
  <r>
    <x v="10"/>
    <x v="5"/>
    <x v="1"/>
    <n v="171"/>
  </r>
  <r>
    <x v="11"/>
    <x v="5"/>
    <x v="1"/>
    <n v="39"/>
  </r>
  <r>
    <x v="12"/>
    <x v="5"/>
    <x v="1"/>
    <n v="28"/>
  </r>
  <r>
    <x v="0"/>
    <x v="5"/>
    <x v="2"/>
    <n v="100"/>
  </r>
  <r>
    <x v="1"/>
    <x v="5"/>
    <x v="2"/>
    <n v="0"/>
  </r>
  <r>
    <x v="2"/>
    <x v="5"/>
    <x v="2"/>
    <n v="0"/>
  </r>
  <r>
    <x v="3"/>
    <x v="5"/>
    <x v="2"/>
    <n v="0"/>
  </r>
  <r>
    <x v="4"/>
    <x v="5"/>
    <x v="2"/>
    <n v="56"/>
  </r>
  <r>
    <x v="5"/>
    <x v="5"/>
    <x v="2"/>
    <n v="49"/>
  </r>
  <r>
    <x v="6"/>
    <x v="5"/>
    <x v="2"/>
    <n v="0"/>
  </r>
  <r>
    <x v="7"/>
    <x v="5"/>
    <x v="2"/>
    <n v="200"/>
  </r>
  <r>
    <x v="8"/>
    <x v="5"/>
    <x v="2"/>
    <n v="50"/>
  </r>
  <r>
    <x v="9"/>
    <x v="5"/>
    <x v="2"/>
    <n v="59"/>
  </r>
  <r>
    <x v="10"/>
    <x v="5"/>
    <x v="2"/>
    <n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8"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outline="1" outlineData="1" multipleFieldFilters="0" chartFormat="19" fieldListSortAscending="1">
  <location ref="B3:H7" firstHeaderRow="1" firstDataRow="2" firstDataCol="1"/>
  <pivotFields count="11">
    <pivotField outline="0" showAll="0" defaultSubtotal="0">
      <items count="6">
        <item x="0"/>
        <item x="4"/>
        <item x="1"/>
        <item x="5"/>
        <item x="3"/>
        <item x="2"/>
      </items>
    </pivotField>
    <pivotField axis="axisCol" showAll="0" sortType="ascending">
      <items count="7">
        <item x="3"/>
        <item x="5"/>
        <item x="4"/>
        <item x="2"/>
        <item x="0"/>
        <item x="1"/>
        <item t="default"/>
      </items>
    </pivotField>
    <pivotField showAll="0"/>
    <pivotField showAll="0">
      <items count="5">
        <item x="3"/>
        <item x="2"/>
        <item x="1"/>
        <item x="0"/>
        <item t="default"/>
      </items>
    </pivotField>
    <pivotField axis="axisRow" showAll="0">
      <items count="5">
        <item h="1" x="3"/>
        <item n="North" x="2"/>
        <item n="South" x="1"/>
        <item n="West"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items count="11">
        <item x="6"/>
        <item x="7"/>
        <item x="4"/>
        <item x="1"/>
        <item x="9"/>
        <item x="8"/>
        <item x="0"/>
        <item x="3"/>
        <item x="2"/>
        <item x="5"/>
        <item t="default"/>
      </items>
    </pivotField>
    <pivotField showAll="0">
      <items count="2">
        <item x="0"/>
        <item t="default"/>
      </items>
    </pivotField>
    <pivotField dataField="1" dragToRow="0" dragToCol="0" dragToPage="0" showAll="0" defaultSubtotal="0"/>
    <pivotField dragToRow="0" dragToCol="0" dragToPage="0" showAll="0" defaultSubtotal="0"/>
  </pivotFields>
  <rowFields count="1">
    <field x="4"/>
  </rowFields>
  <rowItems count="3">
    <i>
      <x v="1"/>
    </i>
    <i>
      <x v="2"/>
    </i>
    <i>
      <x v="3"/>
    </i>
  </rowItems>
  <colFields count="1">
    <field x="1"/>
  </colFields>
  <colItems count="6">
    <i>
      <x/>
    </i>
    <i>
      <x v="1"/>
    </i>
    <i>
      <x v="2"/>
    </i>
    <i>
      <x v="3"/>
    </i>
    <i>
      <x v="4"/>
    </i>
    <i>
      <x v="5"/>
    </i>
  </colItems>
  <dataFields count="1">
    <dataField name="Sum of DAILY_SALES" fld="9" baseField="0" baseItem="0" numFmtId="165"/>
  </dataFields>
  <formats count="2">
    <format dxfId="631">
      <pivotArea type="all" dataOnly="0" outline="0" fieldPosition="0"/>
    </format>
    <format dxfId="630">
      <pivotArea type="all" dataOnly="0" outline="0"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38D102-0E04-4C1C-B510-78BA48DA256E}" name="PivotTable6"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423:P431" firstHeaderRow="1" firstDataRow="2" firstDataCol="1"/>
  <pivotFields count="6">
    <pivotField numFmtId="166" showAll="0"/>
    <pivotField numFmtId="166" showAll="0"/>
    <pivotField axis="axisCol" showAll="0">
      <items count="7">
        <item x="0"/>
        <item x="1"/>
        <item x="2"/>
        <item x="3"/>
        <item x="4"/>
        <item x="5"/>
        <item t="default"/>
      </items>
    </pivotField>
    <pivotField axis="axisRow" showAll="0">
      <items count="7">
        <item x="0"/>
        <item x="1"/>
        <item x="2"/>
        <item x="3"/>
        <item x="4"/>
        <item x="5"/>
        <item t="default"/>
      </items>
    </pivotField>
    <pivotField numFmtId="165" showAll="0"/>
    <pivotField dataField="1" numFmtId="165" showAll="0"/>
  </pivotFields>
  <rowFields count="1">
    <field x="3"/>
  </rowFields>
  <rowItems count="7">
    <i>
      <x/>
    </i>
    <i>
      <x v="1"/>
    </i>
    <i>
      <x v="2"/>
    </i>
    <i>
      <x v="3"/>
    </i>
    <i>
      <x v="4"/>
    </i>
    <i>
      <x v="5"/>
    </i>
    <i t="grand">
      <x/>
    </i>
  </rowItems>
  <colFields count="1">
    <field x="2"/>
  </colFields>
  <colItems count="7">
    <i>
      <x/>
    </i>
    <i>
      <x v="1"/>
    </i>
    <i>
      <x v="2"/>
    </i>
    <i>
      <x v="3"/>
    </i>
    <i>
      <x v="4"/>
    </i>
    <i>
      <x v="5"/>
    </i>
    <i t="grand">
      <x/>
    </i>
  </colItems>
  <dataFields count="1">
    <dataField name="Sum of Target Pruchase Level" fld="5" baseField="0" baseItem="0"/>
  </dataField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C04952-61BA-455E-9C84-A1BEC7CEC907}" name="PivotTable5" cacheId="20" applyNumberFormats="0" applyBorderFormats="0" applyFontFormats="0" applyPatternFormats="0" applyAlignmentFormats="0" applyWidthHeightFormats="1" dataCaption="Values" errorCaption="0" showError="1" missingCaption="0" updatedVersion="6" minRefreshableVersion="3" useAutoFormatting="1" colGrandTotals="0" itemPrintTitles="1" createdVersion="6" indent="0" outline="1" outlineData="1" multipleFieldFilters="0" chartFormat="5" colHeaderCaption="" fieldListSortAscending="1">
  <location ref="B56:Z97" firstHeaderRow="1" firstDataRow="3" firstDataCol="1"/>
  <pivotFields count="16">
    <pivotField axis="axisCol" showAll="0">
      <items count="7">
        <item x="1"/>
        <item x="5"/>
        <item x="4"/>
        <item x="2"/>
        <item x="3"/>
        <item x="0"/>
        <item t="default"/>
      </items>
    </pivotField>
    <pivotField showAll="0"/>
    <pivotField axis="axisCol" showAll="0">
      <items count="4">
        <item x="0"/>
        <item x="2"/>
        <item x="1"/>
        <item t="default"/>
      </items>
    </pivotField>
    <pivotField showAll="0">
      <items count="5">
        <item x="0"/>
        <item x="1"/>
        <item x="2"/>
        <item x="3"/>
        <item t="default"/>
      </items>
    </pivotField>
    <pivotField showAll="0"/>
    <pivotField showAll="0"/>
    <pivotField axis="axisRow" showAll="0" sortType="ascending">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m="1" x="52"/>
        <item m="1" x="65"/>
        <item m="1" x="51"/>
        <item m="1" x="64"/>
        <item m="1" x="50"/>
        <item m="1" x="63"/>
        <item m="1" x="49"/>
        <item m="1" x="62"/>
        <item m="1" x="48"/>
        <item m="1" x="40"/>
        <item m="1" x="47"/>
        <item m="1" x="60"/>
        <item m="1" x="46"/>
        <item m="1" x="59"/>
        <item m="1" x="45"/>
        <item m="1" x="58"/>
        <item m="1" x="44"/>
        <item m="1" x="57"/>
        <item m="1" x="43"/>
        <item m="1" x="66"/>
        <item m="1" x="42"/>
        <item m="1" x="56"/>
        <item m="1" x="41"/>
        <item m="1" x="55"/>
        <item m="1" x="39"/>
        <item m="1" x="54"/>
        <item m="1" x="38"/>
        <item m="1" x="53"/>
        <item m="1" x="67"/>
        <item m="1" x="61"/>
        <item t="default"/>
      </items>
    </pivotField>
    <pivotField showAll="0">
      <items count="45">
        <item x="3"/>
        <item x="10"/>
        <item x="12"/>
        <item x="0"/>
        <item x="22"/>
        <item x="8"/>
        <item x="13"/>
        <item x="20"/>
        <item x="26"/>
        <item x="30"/>
        <item x="32"/>
        <item x="37"/>
        <item x="41"/>
        <item x="2"/>
        <item x="11"/>
        <item x="17"/>
        <item x="23"/>
        <item x="25"/>
        <item x="33"/>
        <item x="39"/>
        <item x="43"/>
        <item x="1"/>
        <item x="6"/>
        <item x="14"/>
        <item x="21"/>
        <item x="24"/>
        <item x="29"/>
        <item x="35"/>
        <item x="38"/>
        <item x="42"/>
        <item x="4"/>
        <item x="7"/>
        <item x="16"/>
        <item x="19"/>
        <item x="28"/>
        <item x="36"/>
        <item x="5"/>
        <item x="9"/>
        <item x="15"/>
        <item x="18"/>
        <item x="27"/>
        <item x="31"/>
        <item x="34"/>
        <item x="40"/>
        <item t="default"/>
      </items>
    </pivotField>
    <pivotField dataField="1" showAll="0"/>
    <pivotField showAll="0">
      <items count="183">
        <item x="68"/>
        <item x="152"/>
        <item x="121"/>
        <item x="21"/>
        <item x="55"/>
        <item x="154"/>
        <item x="49"/>
        <item x="87"/>
        <item x="64"/>
        <item x="46"/>
        <item x="10"/>
        <item x="95"/>
        <item x="27"/>
        <item x="40"/>
        <item x="53"/>
        <item x="105"/>
        <item x="20"/>
        <item x="111"/>
        <item x="18"/>
        <item x="36"/>
        <item x="63"/>
        <item x="101"/>
        <item x="104"/>
        <item x="161"/>
        <item x="173"/>
        <item x="41"/>
        <item x="125"/>
        <item x="67"/>
        <item x="168"/>
        <item x="57"/>
        <item x="145"/>
        <item x="167"/>
        <item x="70"/>
        <item x="32"/>
        <item x="126"/>
        <item x="133"/>
        <item x="50"/>
        <item x="162"/>
        <item x="45"/>
        <item x="88"/>
        <item x="90"/>
        <item x="44"/>
        <item x="73"/>
        <item x="117"/>
        <item x="75"/>
        <item x="97"/>
        <item x="60"/>
        <item x="139"/>
        <item x="141"/>
        <item x="157"/>
        <item x="19"/>
        <item x="12"/>
        <item x="17"/>
        <item x="131"/>
        <item x="112"/>
        <item x="120"/>
        <item x="31"/>
        <item x="59"/>
        <item x="51"/>
        <item x="115"/>
        <item x="83"/>
        <item x="175"/>
        <item x="2"/>
        <item x="122"/>
        <item x="33"/>
        <item x="98"/>
        <item x="14"/>
        <item x="113"/>
        <item x="166"/>
        <item x="119"/>
        <item x="149"/>
        <item x="86"/>
        <item x="39"/>
        <item x="8"/>
        <item x="150"/>
        <item x="160"/>
        <item x="109"/>
        <item x="114"/>
        <item x="165"/>
        <item x="85"/>
        <item x="140"/>
        <item x="7"/>
        <item x="127"/>
        <item x="34"/>
        <item x="174"/>
        <item x="116"/>
        <item x="99"/>
        <item x="156"/>
        <item x="66"/>
        <item x="134"/>
        <item x="106"/>
        <item x="91"/>
        <item x="151"/>
        <item x="5"/>
        <item x="71"/>
        <item x="30"/>
        <item x="62"/>
        <item x="54"/>
        <item x="81"/>
        <item x="65"/>
        <item x="177"/>
        <item x="35"/>
        <item x="138"/>
        <item x="9"/>
        <item x="155"/>
        <item x="103"/>
        <item x="142"/>
        <item x="181"/>
        <item x="176"/>
        <item x="24"/>
        <item x="76"/>
        <item x="22"/>
        <item x="102"/>
        <item x="84"/>
        <item x="169"/>
        <item x="37"/>
        <item x="11"/>
        <item x="23"/>
        <item x="16"/>
        <item x="48"/>
        <item x="180"/>
        <item x="163"/>
        <item x="130"/>
        <item x="15"/>
        <item x="136"/>
        <item x="135"/>
        <item x="159"/>
        <item x="82"/>
        <item x="100"/>
        <item x="108"/>
        <item x="128"/>
        <item x="179"/>
        <item x="69"/>
        <item x="25"/>
        <item x="124"/>
        <item x="13"/>
        <item x="52"/>
        <item x="123"/>
        <item x="110"/>
        <item x="164"/>
        <item x="171"/>
        <item x="77"/>
        <item x="178"/>
        <item x="42"/>
        <item x="26"/>
        <item x="28"/>
        <item x="92"/>
        <item x="58"/>
        <item x="143"/>
        <item x="107"/>
        <item x="89"/>
        <item x="172"/>
        <item x="147"/>
        <item x="94"/>
        <item x="61"/>
        <item x="118"/>
        <item x="3"/>
        <item x="72"/>
        <item x="0"/>
        <item x="146"/>
        <item x="4"/>
        <item x="79"/>
        <item x="38"/>
        <item x="129"/>
        <item x="96"/>
        <item x="74"/>
        <item x="29"/>
        <item x="43"/>
        <item x="158"/>
        <item x="56"/>
        <item x="144"/>
        <item x="80"/>
        <item x="6"/>
        <item x="170"/>
        <item x="132"/>
        <item x="137"/>
        <item x="1"/>
        <item x="93"/>
        <item x="148"/>
        <item x="78"/>
        <item x="153"/>
        <item x="47"/>
        <item t="default"/>
      </items>
    </pivotField>
    <pivotField showAll="0">
      <items count="190">
        <item x="158"/>
        <item x="122"/>
        <item x="70"/>
        <item x="22"/>
        <item x="57"/>
        <item x="160"/>
        <item x="51"/>
        <item x="87"/>
        <item x="66"/>
        <item x="48"/>
        <item x="95"/>
        <item x="106"/>
        <item x="10"/>
        <item x="28"/>
        <item x="42"/>
        <item x="55"/>
        <item x="21"/>
        <item x="112"/>
        <item x="19"/>
        <item x="38"/>
        <item x="65"/>
        <item x="102"/>
        <item x="104"/>
        <item x="166"/>
        <item x="176"/>
        <item x="168"/>
        <item x="137"/>
        <item x="188"/>
        <item x="132"/>
        <item x="175"/>
        <item x="118"/>
        <item x="125"/>
        <item x="142"/>
        <item x="150"/>
        <item x="72"/>
        <item x="90"/>
        <item x="43"/>
        <item x="59"/>
        <item x="88"/>
        <item x="130"/>
        <item x="69"/>
        <item x="169"/>
        <item x="186"/>
        <item x="77"/>
        <item x="143"/>
        <item x="75"/>
        <item x="126"/>
        <item x="165"/>
        <item x="181"/>
        <item x="52"/>
        <item x="33"/>
        <item x="97"/>
        <item x="121"/>
        <item x="140"/>
        <item x="162"/>
        <item x="47"/>
        <item x="155"/>
        <item x="145"/>
        <item x="115"/>
        <item x="141"/>
        <item x="46"/>
        <item x="62"/>
        <item x="113"/>
        <item x="53"/>
        <item x="144"/>
        <item x="134"/>
        <item x="157"/>
        <item x="61"/>
        <item x="89"/>
        <item x="114"/>
        <item x="161"/>
        <item x="20"/>
        <item x="116"/>
        <item x="12"/>
        <item x="18"/>
        <item x="174"/>
        <item x="120"/>
        <item x="173"/>
        <item x="32"/>
        <item x="99"/>
        <item x="187"/>
        <item x="154"/>
        <item x="100"/>
        <item x="2"/>
        <item x="34"/>
        <item x="139"/>
        <item x="110"/>
        <item x="15"/>
        <item x="86"/>
        <item x="85"/>
        <item x="117"/>
        <item x="133"/>
        <item x="164"/>
        <item x="41"/>
        <item x="8"/>
        <item x="183"/>
        <item x="7"/>
        <item x="68"/>
        <item x="107"/>
        <item x="35"/>
        <item x="91"/>
        <item x="182"/>
        <item x="73"/>
        <item x="105"/>
        <item x="82"/>
        <item x="156"/>
        <item x="84"/>
        <item x="136"/>
        <item x="127"/>
        <item x="67"/>
        <item x="5"/>
        <item x="56"/>
        <item x="31"/>
        <item x="177"/>
        <item x="64"/>
        <item x="170"/>
        <item x="146"/>
        <item x="167"/>
        <item x="37"/>
        <item x="36"/>
        <item x="9"/>
        <item x="78"/>
        <item x="109"/>
        <item x="103"/>
        <item x="135"/>
        <item x="172"/>
        <item x="147"/>
        <item x="25"/>
        <item x="129"/>
        <item x="71"/>
        <item x="23"/>
        <item x="185"/>
        <item x="39"/>
        <item x="124"/>
        <item x="119"/>
        <item x="11"/>
        <item x="50"/>
        <item x="148"/>
        <item x="179"/>
        <item x="24"/>
        <item x="17"/>
        <item x="83"/>
        <item x="16"/>
        <item x="123"/>
        <item x="101"/>
        <item x="171"/>
        <item x="184"/>
        <item x="111"/>
        <item x="180"/>
        <item x="79"/>
        <item x="152"/>
        <item x="54"/>
        <item x="26"/>
        <item x="13"/>
        <item x="92"/>
        <item x="98"/>
        <item x="108"/>
        <item x="44"/>
        <item x="60"/>
        <item x="27"/>
        <item x="94"/>
        <item x="63"/>
        <item x="29"/>
        <item x="151"/>
        <item x="3"/>
        <item x="74"/>
        <item x="0"/>
        <item x="14"/>
        <item x="81"/>
        <item x="128"/>
        <item x="4"/>
        <item x="40"/>
        <item x="178"/>
        <item x="96"/>
        <item x="76"/>
        <item x="149"/>
        <item x="163"/>
        <item x="30"/>
        <item x="153"/>
        <item x="45"/>
        <item x="58"/>
        <item x="138"/>
        <item x="6"/>
        <item x="131"/>
        <item x="93"/>
        <item x="80"/>
        <item x="1"/>
        <item x="159"/>
        <item x="49"/>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6"/>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2">
    <field x="0"/>
    <field x="2"/>
  </colFields>
  <colItems count="24">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colItems>
  <dataFields count="1">
    <dataField name="Sales (Quantity)" fld="8" baseField="0" baseItem="0" numFmtId="166"/>
  </dataFields>
  <formats count="4">
    <format dxfId="610">
      <pivotArea type="all" dataOnly="0" outline="0" fieldPosition="0"/>
    </format>
    <format dxfId="609">
      <pivotArea field="0" type="button" dataOnly="0" labelOnly="1" outline="0" axis="axisCol" fieldPosition="0"/>
    </format>
    <format dxfId="608">
      <pivotArea dataOnly="0" labelOnly="1" grandRow="1" outline="0" fieldPosition="0"/>
    </format>
    <format dxfId="607">
      <pivotArea type="all" dataOnly="0"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63987C-66FD-46E9-80EE-2D610063E3B9}" name="PivotTable7" cacheId="2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
  <location ref="I433:P435" firstHeaderRow="1" firstDataRow="2" firstDataCol="1"/>
  <pivotFields count="6">
    <pivotField numFmtId="166" showAll="0">
      <items count="5">
        <item x="0"/>
        <item x="1"/>
        <item x="2"/>
        <item x="3"/>
        <item t="default"/>
      </items>
    </pivotField>
    <pivotField numFmtId="166" showAll="0"/>
    <pivotField axis="axisCol" showAll="0">
      <items count="7">
        <item x="0"/>
        <item x="1"/>
        <item x="2"/>
        <item x="3"/>
        <item x="4"/>
        <item x="5"/>
        <item t="default"/>
      </items>
    </pivotField>
    <pivotField showAll="0">
      <items count="7">
        <item x="0"/>
        <item x="1"/>
        <item x="2"/>
        <item x="3"/>
        <item x="4"/>
        <item x="5"/>
        <item t="default"/>
      </items>
    </pivotField>
    <pivotField dataField="1" numFmtId="165" showAll="0"/>
    <pivotField numFmtId="165" showAll="0"/>
  </pivotFields>
  <rowItems count="1">
    <i/>
  </rowItems>
  <colFields count="1">
    <field x="2"/>
  </colFields>
  <colItems count="7">
    <i>
      <x/>
    </i>
    <i>
      <x v="1"/>
    </i>
    <i>
      <x v="2"/>
    </i>
    <i>
      <x v="3"/>
    </i>
    <i>
      <x v="4"/>
    </i>
    <i>
      <x v="5"/>
    </i>
    <i t="grand">
      <x/>
    </i>
  </colItems>
  <dataFields count="1">
    <dataField name="Count of Real Purchase" fld="4" subtotal="count" baseField="0" baseItem="2"/>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03CA03-41A9-43F8-85C8-5898713376CE}" name="PivotTable16"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413:P421" firstHeaderRow="1" firstDataRow="2" firstDataCol="1"/>
  <pivotFields count="6">
    <pivotField numFmtId="166" showAll="0"/>
    <pivotField numFmtId="166" showAll="0"/>
    <pivotField axis="axisCol" showAll="0">
      <items count="7">
        <item x="0"/>
        <item x="1"/>
        <item x="2"/>
        <item x="3"/>
        <item x="4"/>
        <item x="5"/>
        <item t="default"/>
      </items>
    </pivotField>
    <pivotField axis="axisRow" showAll="0">
      <items count="7">
        <item x="0"/>
        <item x="1"/>
        <item x="2"/>
        <item x="3"/>
        <item x="4"/>
        <item x="5"/>
        <item t="default"/>
      </items>
    </pivotField>
    <pivotField dataField="1" numFmtId="165" showAll="0"/>
    <pivotField numFmtId="165" showAll="0"/>
  </pivotFields>
  <rowFields count="1">
    <field x="3"/>
  </rowFields>
  <rowItems count="7">
    <i>
      <x/>
    </i>
    <i>
      <x v="1"/>
    </i>
    <i>
      <x v="2"/>
    </i>
    <i>
      <x v="3"/>
    </i>
    <i>
      <x v="4"/>
    </i>
    <i>
      <x v="5"/>
    </i>
    <i t="grand">
      <x/>
    </i>
  </rowItems>
  <colFields count="1">
    <field x="2"/>
  </colFields>
  <colItems count="7">
    <i>
      <x/>
    </i>
    <i>
      <x v="1"/>
    </i>
    <i>
      <x v="2"/>
    </i>
    <i>
      <x v="3"/>
    </i>
    <i>
      <x v="4"/>
    </i>
    <i>
      <x v="5"/>
    </i>
    <i t="grand">
      <x/>
    </i>
  </colItems>
  <dataFields count="1">
    <dataField name="Sum of Real Purchase" fld="4" baseField="0" baseItem="0"/>
  </dataField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6129C1-4BBB-4A2D-BFA6-3DA91487D53E}" name="PivotTable13"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65:N507" firstHeaderRow="1" firstDataRow="2" firstDataCol="1"/>
  <pivotFields count="4">
    <pivotField axis="axisRow" showAll="0">
      <items count="15">
        <item x="0"/>
        <item x="1"/>
        <item x="2"/>
        <item x="3"/>
        <item x="4"/>
        <item x="5"/>
        <item x="6"/>
        <item x="7"/>
        <item x="8"/>
        <item x="9"/>
        <item x="10"/>
        <item x="11"/>
        <item x="12"/>
        <item m="1" x="13"/>
        <item t="default"/>
      </items>
    </pivotField>
    <pivotField axis="axisCol" showAll="0">
      <items count="7">
        <item x="0"/>
        <item x="1"/>
        <item x="2"/>
        <item x="3"/>
        <item x="4"/>
        <item x="5"/>
        <item t="default"/>
      </items>
    </pivotField>
    <pivotField axis="axisRow" showAll="0">
      <items count="4">
        <item x="0"/>
        <item x="1"/>
        <item x="2"/>
        <item t="default"/>
      </items>
    </pivotField>
    <pivotField dataField="1" showAll="0"/>
  </pivotFields>
  <rowFields count="2">
    <field x="2"/>
    <field x="0"/>
  </rowFields>
  <rowItems count="41">
    <i>
      <x/>
    </i>
    <i r="1">
      <x/>
    </i>
    <i r="1">
      <x v="1"/>
    </i>
    <i r="1">
      <x v="2"/>
    </i>
    <i r="1">
      <x v="3"/>
    </i>
    <i r="1">
      <x v="4"/>
    </i>
    <i r="1">
      <x v="5"/>
    </i>
    <i r="1">
      <x v="6"/>
    </i>
    <i r="1">
      <x v="7"/>
    </i>
    <i r="1">
      <x v="8"/>
    </i>
    <i r="1">
      <x v="9"/>
    </i>
    <i r="1">
      <x v="10"/>
    </i>
    <i r="1">
      <x v="11"/>
    </i>
    <i r="1">
      <x v="12"/>
    </i>
    <i>
      <x v="1"/>
    </i>
    <i r="1">
      <x/>
    </i>
    <i r="1">
      <x v="1"/>
    </i>
    <i r="1">
      <x v="2"/>
    </i>
    <i r="1">
      <x v="3"/>
    </i>
    <i r="1">
      <x v="4"/>
    </i>
    <i r="1">
      <x v="5"/>
    </i>
    <i r="1">
      <x v="6"/>
    </i>
    <i r="1">
      <x v="7"/>
    </i>
    <i r="1">
      <x v="8"/>
    </i>
    <i r="1">
      <x v="9"/>
    </i>
    <i r="1">
      <x v="10"/>
    </i>
    <i r="1">
      <x v="11"/>
    </i>
    <i r="1">
      <x v="12"/>
    </i>
    <i>
      <x v="2"/>
    </i>
    <i r="1">
      <x/>
    </i>
    <i r="1">
      <x v="1"/>
    </i>
    <i r="1">
      <x v="2"/>
    </i>
    <i r="1">
      <x v="3"/>
    </i>
    <i r="1">
      <x v="4"/>
    </i>
    <i r="1">
      <x v="5"/>
    </i>
    <i r="1">
      <x v="6"/>
    </i>
    <i r="1">
      <x v="7"/>
    </i>
    <i r="1">
      <x v="8"/>
    </i>
    <i r="1">
      <x v="9"/>
    </i>
    <i r="1">
      <x v="10"/>
    </i>
    <i t="grand">
      <x/>
    </i>
  </rowItems>
  <colFields count="1">
    <field x="1"/>
  </colFields>
  <colItems count="7">
    <i>
      <x/>
    </i>
    <i>
      <x v="1"/>
    </i>
    <i>
      <x v="2"/>
    </i>
    <i>
      <x v="3"/>
    </i>
    <i>
      <x v="4"/>
    </i>
    <i>
      <x v="5"/>
    </i>
    <i t="grand">
      <x/>
    </i>
  </colItems>
  <dataFields count="1">
    <dataField name="Sum of Quantity" fld="3" baseField="0" baseItem="0"/>
  </dataField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fieldListSortAscending="1">
  <location ref="B5:AG52" firstHeaderRow="1" firstDataRow="3" firstDataCol="1"/>
  <pivotFields count="7">
    <pivotField showAll="0"/>
    <pivotField showAll="0"/>
    <pivotField showAll="0"/>
    <pivotField axis="axisRow"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m="1" x="59"/>
        <item m="1" x="74"/>
        <item m="1" x="58"/>
        <item m="1" x="73"/>
        <item m="1" x="57"/>
        <item m="1" x="72"/>
        <item m="1" x="56"/>
        <item m="1" x="71"/>
        <item m="1" x="55"/>
        <item m="1" x="46"/>
        <item m="1" x="63"/>
        <item m="1" x="53"/>
        <item m="1" x="69"/>
        <item m="1" x="52"/>
        <item m="1" x="68"/>
        <item m="1" x="51"/>
        <item m="1" x="67"/>
        <item m="1" x="50"/>
        <item m="1" x="66"/>
        <item m="1" x="49"/>
        <item m="1" x="75"/>
        <item m="1" x="60"/>
        <item m="1" x="48"/>
        <item m="1" x="65"/>
        <item m="1" x="47"/>
        <item m="1" x="64"/>
        <item m="1" x="45"/>
        <item m="1" x="62"/>
        <item m="1" x="44"/>
        <item m="1" x="61"/>
        <item m="1" x="76"/>
        <item m="1" x="70"/>
        <item m="1" x="54"/>
        <item t="default"/>
      </items>
    </pivotField>
    <pivotField axis="axisCol" showAll="0">
      <items count="7">
        <item x="0"/>
        <item x="1"/>
        <item x="2"/>
        <item x="3"/>
        <item x="4"/>
        <item x="5"/>
        <item t="default"/>
      </items>
    </pivotField>
    <pivotField axis="axisCol" showAll="0">
      <items count="5">
        <item n="Main Warehouse" x="0"/>
        <item n="North" x="1"/>
        <item n="South" x="2"/>
        <item n="West" x="3"/>
        <item t="default"/>
      </items>
    </pivotField>
    <pivotField dataField="1" showAll="0"/>
  </pivotFields>
  <rowFields count="1">
    <field x="3"/>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Fields count="2">
    <field x="4"/>
    <field x="5"/>
  </colFields>
  <colItems count="31">
    <i>
      <x/>
      <x/>
    </i>
    <i r="1">
      <x v="1"/>
    </i>
    <i r="1">
      <x v="2"/>
    </i>
    <i r="1">
      <x v="3"/>
    </i>
    <i t="default">
      <x/>
    </i>
    <i>
      <x v="1"/>
      <x/>
    </i>
    <i r="1">
      <x v="1"/>
    </i>
    <i r="1">
      <x v="2"/>
    </i>
    <i r="1">
      <x v="3"/>
    </i>
    <i t="default">
      <x v="1"/>
    </i>
    <i>
      <x v="2"/>
      <x/>
    </i>
    <i r="1">
      <x v="1"/>
    </i>
    <i r="1">
      <x v="2"/>
    </i>
    <i r="1">
      <x v="3"/>
    </i>
    <i t="default">
      <x v="2"/>
    </i>
    <i>
      <x v="3"/>
      <x/>
    </i>
    <i r="1">
      <x v="1"/>
    </i>
    <i r="1">
      <x v="2"/>
    </i>
    <i r="1">
      <x v="3"/>
    </i>
    <i t="default">
      <x v="3"/>
    </i>
    <i>
      <x v="4"/>
      <x/>
    </i>
    <i r="1">
      <x v="1"/>
    </i>
    <i r="1">
      <x v="2"/>
    </i>
    <i r="1">
      <x v="3"/>
    </i>
    <i t="default">
      <x v="4"/>
    </i>
    <i>
      <x v="5"/>
      <x/>
    </i>
    <i r="1">
      <x v="1"/>
    </i>
    <i r="1">
      <x v="2"/>
    </i>
    <i r="1">
      <x v="3"/>
    </i>
    <i t="default">
      <x v="5"/>
    </i>
    <i t="grand">
      <x/>
    </i>
  </colItems>
  <dataFields count="1">
    <dataField name="Sum of STOCK_LEVEL" fld="6" baseField="0" baseItem="0" numFmtId="166"/>
  </dataFields>
  <formats count="5">
    <format dxfId="615">
      <pivotArea type="all" dataOnly="0" outline="0" fieldPosition="0"/>
    </format>
    <format dxfId="614">
      <pivotArea collapsedLevelsAreSubtotals="1" fieldPosition="0">
        <references count="1">
          <reference field="3" count="23">
            <x v="21"/>
            <x v="22"/>
            <x v="23"/>
            <x v="24"/>
            <x v="25"/>
            <x v="26"/>
            <x v="27"/>
            <x v="28"/>
            <x v="29"/>
            <x v="30"/>
            <x v="31"/>
            <x v="32"/>
            <x v="33"/>
            <x v="34"/>
            <x v="35"/>
            <x v="36"/>
            <x v="37"/>
            <x v="38"/>
            <x v="39"/>
            <x v="40"/>
            <x v="41"/>
            <x v="42"/>
            <x v="43"/>
          </reference>
        </references>
      </pivotArea>
    </format>
    <format dxfId="613">
      <pivotArea dataOnly="0" labelOnly="1" fieldPosition="0">
        <references count="1">
          <reference field="3" count="23">
            <x v="21"/>
            <x v="22"/>
            <x v="23"/>
            <x v="24"/>
            <x v="25"/>
            <x v="26"/>
            <x v="27"/>
            <x v="28"/>
            <x v="29"/>
            <x v="30"/>
            <x v="31"/>
            <x v="32"/>
            <x v="33"/>
            <x v="34"/>
            <x v="35"/>
            <x v="36"/>
            <x v="37"/>
            <x v="38"/>
            <x v="39"/>
            <x v="40"/>
            <x v="41"/>
            <x v="42"/>
            <x v="43"/>
          </reference>
        </references>
      </pivotArea>
    </format>
    <format dxfId="612">
      <pivotArea collapsedLevelsAreSubtotals="1" fieldPosition="0">
        <references count="1">
          <reference field="3" count="1">
            <x v="10"/>
          </reference>
        </references>
      </pivotArea>
    </format>
    <format dxfId="611">
      <pivotArea dataOnly="0" labelOnly="1" fieldPosition="0">
        <references count="1">
          <reference field="3" count="1">
            <x v="10"/>
          </reference>
        </references>
      </pivotArea>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ADE005-5A53-4610-859A-92B87B060A0D}" name="PivotTable2" cacheId="20" applyNumberFormats="0" applyBorderFormats="0" applyFontFormats="0" applyPatternFormats="0" applyAlignmentFormats="0" applyWidthHeightFormats="1" dataCaption="Values" errorCaption="0" showError="1" missingCaption="0" updatedVersion="6" minRefreshableVersion="3" useAutoFormatting="1" colGrandTotals="0" itemPrintTitles="1" createdVersion="6" indent="0" outline="1" outlineData="1" multipleFieldFilters="0" chartFormat="5" colHeaderCaption="" fieldListSortAscending="1">
  <location ref="B163:G170" firstHeaderRow="0" firstDataRow="1" firstDataCol="1"/>
  <pivotFields count="16">
    <pivotField axis="axisRow" showAll="0">
      <items count="7">
        <item x="1"/>
        <item x="5"/>
        <item x="4"/>
        <item x="2"/>
        <item x="3"/>
        <item x="0"/>
        <item t="default"/>
      </items>
    </pivotField>
    <pivotField showAll="0"/>
    <pivotField showAll="0">
      <items count="4">
        <item x="0"/>
        <item x="2"/>
        <item x="1"/>
        <item t="default"/>
      </items>
    </pivotField>
    <pivotField showAll="0">
      <items count="5">
        <item x="0"/>
        <item x="1"/>
        <item x="2"/>
        <item x="3"/>
        <item t="default"/>
      </items>
    </pivotField>
    <pivotField showAll="0"/>
    <pivotField showAll="0">
      <items count="9">
        <item x="0"/>
        <item x="1"/>
        <item x="2"/>
        <item x="3"/>
        <item x="4"/>
        <item x="5"/>
        <item x="6"/>
        <item x="7"/>
        <item t="default"/>
      </items>
    </pivotField>
    <pivotField showAll="0" sortType="ascending">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m="1" x="52"/>
        <item m="1" x="65"/>
        <item m="1" x="51"/>
        <item m="1" x="64"/>
        <item m="1" x="50"/>
        <item m="1" x="63"/>
        <item m="1" x="49"/>
        <item m="1" x="62"/>
        <item m="1" x="48"/>
        <item m="1" x="40"/>
        <item m="1" x="47"/>
        <item m="1" x="60"/>
        <item m="1" x="46"/>
        <item m="1" x="59"/>
        <item m="1" x="45"/>
        <item m="1" x="58"/>
        <item m="1" x="44"/>
        <item m="1" x="57"/>
        <item m="1" x="43"/>
        <item m="1" x="66"/>
        <item m="1" x="42"/>
        <item m="1" x="56"/>
        <item m="1" x="41"/>
        <item m="1" x="55"/>
        <item m="1" x="39"/>
        <item m="1" x="54"/>
        <item m="1" x="38"/>
        <item m="1" x="53"/>
        <item m="1" x="67"/>
        <item m="1" x="61"/>
        <item t="default"/>
      </items>
    </pivotField>
    <pivotField showAll="0">
      <items count="45">
        <item x="3"/>
        <item x="10"/>
        <item x="12"/>
        <item x="0"/>
        <item x="22"/>
        <item x="8"/>
        <item x="13"/>
        <item x="20"/>
        <item x="26"/>
        <item x="30"/>
        <item x="32"/>
        <item x="37"/>
        <item x="41"/>
        <item x="2"/>
        <item x="11"/>
        <item x="17"/>
        <item x="23"/>
        <item x="25"/>
        <item x="33"/>
        <item x="39"/>
        <item x="43"/>
        <item x="1"/>
        <item x="6"/>
        <item x="14"/>
        <item x="21"/>
        <item x="24"/>
        <item x="29"/>
        <item x="35"/>
        <item x="38"/>
        <item x="42"/>
        <item x="4"/>
        <item x="7"/>
        <item x="16"/>
        <item x="19"/>
        <item x="28"/>
        <item x="36"/>
        <item x="5"/>
        <item x="9"/>
        <item x="15"/>
        <item x="18"/>
        <item x="27"/>
        <item x="31"/>
        <item x="34"/>
        <item x="40"/>
        <item t="default"/>
      </items>
    </pivotField>
    <pivotField dataField="1" showAll="0"/>
    <pivotField dataField="1" showAll="0">
      <items count="183">
        <item x="68"/>
        <item x="152"/>
        <item x="121"/>
        <item x="21"/>
        <item x="55"/>
        <item x="154"/>
        <item x="49"/>
        <item x="87"/>
        <item x="64"/>
        <item x="46"/>
        <item x="10"/>
        <item x="95"/>
        <item x="27"/>
        <item x="40"/>
        <item x="53"/>
        <item x="105"/>
        <item x="20"/>
        <item x="111"/>
        <item x="18"/>
        <item x="36"/>
        <item x="63"/>
        <item x="101"/>
        <item x="104"/>
        <item x="161"/>
        <item x="173"/>
        <item x="41"/>
        <item x="125"/>
        <item x="67"/>
        <item x="168"/>
        <item x="57"/>
        <item x="145"/>
        <item x="167"/>
        <item x="70"/>
        <item x="32"/>
        <item x="126"/>
        <item x="133"/>
        <item x="50"/>
        <item x="162"/>
        <item x="45"/>
        <item x="88"/>
        <item x="90"/>
        <item x="44"/>
        <item x="73"/>
        <item x="117"/>
        <item x="75"/>
        <item x="97"/>
        <item x="60"/>
        <item x="139"/>
        <item x="141"/>
        <item x="157"/>
        <item x="19"/>
        <item x="12"/>
        <item x="17"/>
        <item x="131"/>
        <item x="112"/>
        <item x="120"/>
        <item x="31"/>
        <item x="59"/>
        <item x="51"/>
        <item x="115"/>
        <item x="83"/>
        <item x="175"/>
        <item x="2"/>
        <item x="122"/>
        <item x="33"/>
        <item x="98"/>
        <item x="14"/>
        <item x="113"/>
        <item x="166"/>
        <item x="119"/>
        <item x="149"/>
        <item x="86"/>
        <item x="39"/>
        <item x="8"/>
        <item x="150"/>
        <item x="160"/>
        <item x="109"/>
        <item x="114"/>
        <item x="165"/>
        <item x="85"/>
        <item x="140"/>
        <item x="7"/>
        <item x="127"/>
        <item x="34"/>
        <item x="174"/>
        <item x="116"/>
        <item x="99"/>
        <item x="156"/>
        <item x="66"/>
        <item x="134"/>
        <item x="106"/>
        <item x="91"/>
        <item x="151"/>
        <item x="5"/>
        <item x="71"/>
        <item x="30"/>
        <item x="62"/>
        <item x="54"/>
        <item x="81"/>
        <item x="65"/>
        <item x="177"/>
        <item x="35"/>
        <item x="138"/>
        <item x="9"/>
        <item x="155"/>
        <item x="103"/>
        <item x="142"/>
        <item x="181"/>
        <item x="176"/>
        <item x="24"/>
        <item x="76"/>
        <item x="22"/>
        <item x="102"/>
        <item x="84"/>
        <item x="169"/>
        <item x="37"/>
        <item x="11"/>
        <item x="23"/>
        <item x="16"/>
        <item x="48"/>
        <item x="180"/>
        <item x="163"/>
        <item x="130"/>
        <item x="15"/>
        <item x="136"/>
        <item x="135"/>
        <item x="159"/>
        <item x="82"/>
        <item x="100"/>
        <item x="108"/>
        <item x="128"/>
        <item x="179"/>
        <item x="69"/>
        <item x="25"/>
        <item x="124"/>
        <item x="13"/>
        <item x="52"/>
        <item x="123"/>
        <item x="110"/>
        <item x="164"/>
        <item x="171"/>
        <item x="77"/>
        <item x="178"/>
        <item x="42"/>
        <item x="26"/>
        <item x="28"/>
        <item x="92"/>
        <item x="58"/>
        <item x="143"/>
        <item x="107"/>
        <item x="89"/>
        <item x="172"/>
        <item x="147"/>
        <item x="94"/>
        <item x="61"/>
        <item x="118"/>
        <item x="3"/>
        <item x="72"/>
        <item x="0"/>
        <item x="146"/>
        <item x="4"/>
        <item x="79"/>
        <item x="38"/>
        <item x="129"/>
        <item x="96"/>
        <item x="74"/>
        <item x="29"/>
        <item x="43"/>
        <item x="158"/>
        <item x="56"/>
        <item x="144"/>
        <item x="80"/>
        <item x="6"/>
        <item x="170"/>
        <item x="132"/>
        <item x="137"/>
        <item x="1"/>
        <item x="93"/>
        <item x="148"/>
        <item x="78"/>
        <item x="153"/>
        <item x="47"/>
        <item t="default"/>
      </items>
    </pivotField>
    <pivotField showAll="0">
      <items count="190">
        <item x="158"/>
        <item x="122"/>
        <item x="70"/>
        <item x="22"/>
        <item x="57"/>
        <item x="160"/>
        <item x="51"/>
        <item x="87"/>
        <item x="66"/>
        <item x="48"/>
        <item x="95"/>
        <item x="106"/>
        <item x="10"/>
        <item x="28"/>
        <item x="42"/>
        <item x="55"/>
        <item x="21"/>
        <item x="112"/>
        <item x="19"/>
        <item x="38"/>
        <item x="65"/>
        <item x="102"/>
        <item x="104"/>
        <item x="166"/>
        <item x="176"/>
        <item x="168"/>
        <item x="137"/>
        <item x="188"/>
        <item x="132"/>
        <item x="175"/>
        <item x="118"/>
        <item x="125"/>
        <item x="142"/>
        <item x="150"/>
        <item x="72"/>
        <item x="90"/>
        <item x="43"/>
        <item x="59"/>
        <item x="88"/>
        <item x="130"/>
        <item x="69"/>
        <item x="169"/>
        <item x="186"/>
        <item x="77"/>
        <item x="143"/>
        <item x="75"/>
        <item x="126"/>
        <item x="165"/>
        <item x="181"/>
        <item x="52"/>
        <item x="33"/>
        <item x="97"/>
        <item x="121"/>
        <item x="140"/>
        <item x="162"/>
        <item x="47"/>
        <item x="155"/>
        <item x="145"/>
        <item x="115"/>
        <item x="141"/>
        <item x="46"/>
        <item x="62"/>
        <item x="113"/>
        <item x="53"/>
        <item x="144"/>
        <item x="134"/>
        <item x="157"/>
        <item x="61"/>
        <item x="89"/>
        <item x="114"/>
        <item x="161"/>
        <item x="20"/>
        <item x="116"/>
        <item x="12"/>
        <item x="18"/>
        <item x="174"/>
        <item x="120"/>
        <item x="173"/>
        <item x="32"/>
        <item x="99"/>
        <item x="187"/>
        <item x="154"/>
        <item x="100"/>
        <item x="2"/>
        <item x="34"/>
        <item x="139"/>
        <item x="110"/>
        <item x="15"/>
        <item x="86"/>
        <item x="85"/>
        <item x="117"/>
        <item x="133"/>
        <item x="164"/>
        <item x="41"/>
        <item x="8"/>
        <item x="183"/>
        <item x="7"/>
        <item x="68"/>
        <item x="107"/>
        <item x="35"/>
        <item x="91"/>
        <item x="182"/>
        <item x="73"/>
        <item x="105"/>
        <item x="82"/>
        <item x="156"/>
        <item x="84"/>
        <item x="136"/>
        <item x="127"/>
        <item x="67"/>
        <item x="5"/>
        <item x="56"/>
        <item x="31"/>
        <item x="177"/>
        <item x="64"/>
        <item x="170"/>
        <item x="146"/>
        <item x="167"/>
        <item x="37"/>
        <item x="36"/>
        <item x="9"/>
        <item x="78"/>
        <item x="109"/>
        <item x="103"/>
        <item x="135"/>
        <item x="172"/>
        <item x="147"/>
        <item x="25"/>
        <item x="129"/>
        <item x="71"/>
        <item x="23"/>
        <item x="185"/>
        <item x="39"/>
        <item x="124"/>
        <item x="119"/>
        <item x="11"/>
        <item x="50"/>
        <item x="148"/>
        <item x="179"/>
        <item x="24"/>
        <item x="17"/>
        <item x="83"/>
        <item x="16"/>
        <item x="123"/>
        <item x="101"/>
        <item x="171"/>
        <item x="184"/>
        <item x="111"/>
        <item x="180"/>
        <item x="79"/>
        <item x="152"/>
        <item x="54"/>
        <item x="26"/>
        <item x="13"/>
        <item x="92"/>
        <item x="98"/>
        <item x="108"/>
        <item x="44"/>
        <item x="60"/>
        <item x="27"/>
        <item x="94"/>
        <item x="63"/>
        <item x="29"/>
        <item x="151"/>
        <item x="3"/>
        <item x="74"/>
        <item x="0"/>
        <item x="14"/>
        <item x="81"/>
        <item x="128"/>
        <item x="4"/>
        <item x="40"/>
        <item x="178"/>
        <item x="96"/>
        <item x="76"/>
        <item x="149"/>
        <item x="163"/>
        <item x="30"/>
        <item x="153"/>
        <item x="45"/>
        <item x="58"/>
        <item x="138"/>
        <item x="6"/>
        <item x="131"/>
        <item x="93"/>
        <item x="80"/>
        <item x="1"/>
        <item x="159"/>
        <item x="49"/>
        <item t="default"/>
      </items>
    </pivotField>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s>
  <rowFields count="1">
    <field x="0"/>
  </rowFields>
  <rowItems count="7">
    <i>
      <x/>
    </i>
    <i>
      <x v="1"/>
    </i>
    <i>
      <x v="2"/>
    </i>
    <i>
      <x v="3"/>
    </i>
    <i>
      <x v="4"/>
    </i>
    <i>
      <x v="5"/>
    </i>
    <i t="grand">
      <x/>
    </i>
  </rowItems>
  <colFields count="1">
    <field x="-2"/>
  </colFields>
  <colItems count="5">
    <i>
      <x/>
    </i>
    <i i="1">
      <x v="1"/>
    </i>
    <i i="2">
      <x v="2"/>
    </i>
    <i i="3">
      <x v="3"/>
    </i>
    <i i="4">
      <x v="4"/>
    </i>
  </colItems>
  <dataFields count="5">
    <dataField name="Sum of QTY" fld="8" baseField="0" baseItem="0"/>
    <dataField name="Sum of REVENUE" fld="9" baseField="0" baseItem="0"/>
    <dataField name="Sum of PROFIT" fld="11" baseField="0" baseItem="0"/>
    <dataField name="Sum of PROFIT_MARGIN" fld="14" baseField="0" baseItem="0" numFmtId="10"/>
    <dataField name="Sum of COST_UNIT" fld="12" baseField="0" baseItem="0"/>
  </dataFields>
  <formats count="10">
    <format dxfId="203">
      <pivotArea type="all" dataOnly="0" outline="0" fieldPosition="0"/>
    </format>
    <format dxfId="202">
      <pivotArea field="0" type="button" dataOnly="0" labelOnly="1" outline="0" axis="axisRow" fieldPosition="0"/>
    </format>
    <format dxfId="201">
      <pivotArea dataOnly="0" labelOnly="1" grandRow="1" outline="0" fieldPosition="0"/>
    </format>
    <format dxfId="200">
      <pivotArea type="all" dataOnly="0" outline="0" fieldPosition="0"/>
    </format>
    <format dxfId="199">
      <pivotArea dataOnly="0" outline="0" fieldPosition="0">
        <references count="1">
          <reference field="4294967294" count="1">
            <x v="3"/>
          </reference>
        </references>
      </pivotArea>
    </format>
    <format dxfId="198">
      <pivotArea outline="0" fieldPosition="0">
        <references count="1">
          <reference field="4294967294" count="1">
            <x v="0"/>
          </reference>
        </references>
      </pivotArea>
    </format>
    <format dxfId="197">
      <pivotArea outline="0" fieldPosition="0">
        <references count="1">
          <reference field="4294967294" count="1">
            <x v="1"/>
          </reference>
        </references>
      </pivotArea>
    </format>
    <format dxfId="196">
      <pivotArea outline="0" fieldPosition="0">
        <references count="1">
          <reference field="4294967294" count="1">
            <x v="2"/>
          </reference>
        </references>
      </pivotArea>
    </format>
    <format dxfId="195">
      <pivotArea outline="0" collapsedLevelsAreSubtotals="1" fieldPosition="0">
        <references count="1">
          <reference field="4294967294" count="1" selected="0">
            <x v="3"/>
          </reference>
        </references>
      </pivotArea>
    </format>
    <format dxfId="194">
      <pivotArea dataOnly="0" labelOnly="1" outline="0" fieldPosition="0">
        <references count="1">
          <reference field="4294967294" count="1">
            <x v="3"/>
          </reference>
        </references>
      </pivotArea>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3EB7CC-96D1-944A-A3C1-1E8AE681D049}" name="PivotTable1" cacheId="20" applyNumberFormats="0" applyBorderFormats="0" applyFontFormats="0" applyPatternFormats="0" applyAlignmentFormats="0" applyWidthHeightFormats="1" dataCaption="Values" errorCaption="0" showError="1" missingCaption="0" updatedVersion="6" minRefreshableVersion="3" useAutoFormatting="1" colGrandTotals="0" itemPrintTitles="1" createdVersion="6" indent="0" outline="1" outlineData="1" multipleFieldFilters="0" chartFormat="5" colHeaderCaption="" fieldListSortAscending="1">
  <location ref="B3:AX45" firstHeaderRow="1" firstDataRow="4" firstDataCol="1"/>
  <pivotFields count="16">
    <pivotField axis="axisCol" showAll="0">
      <items count="7">
        <item x="1"/>
        <item x="5"/>
        <item x="4"/>
        <item x="2"/>
        <item x="3"/>
        <item x="0"/>
        <item t="default"/>
      </items>
    </pivotField>
    <pivotField showAll="0"/>
    <pivotField axis="axisCol" showAll="0">
      <items count="4">
        <item x="0"/>
        <item x="2"/>
        <item x="1"/>
        <item t="default"/>
      </items>
    </pivotField>
    <pivotField showAll="0">
      <items count="5">
        <item x="0"/>
        <item x="1"/>
        <item x="2"/>
        <item x="3"/>
        <item t="default"/>
      </items>
    </pivotField>
    <pivotField showAll="0"/>
    <pivotField showAll="0"/>
    <pivotField axis="axisRow" showAll="0" sortType="ascending">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m="1" x="52"/>
        <item m="1" x="65"/>
        <item m="1" x="51"/>
        <item m="1" x="64"/>
        <item m="1" x="50"/>
        <item m="1" x="63"/>
        <item m="1" x="49"/>
        <item m="1" x="62"/>
        <item m="1" x="48"/>
        <item m="1" x="40"/>
        <item m="1" x="47"/>
        <item m="1" x="60"/>
        <item m="1" x="46"/>
        <item m="1" x="59"/>
        <item m="1" x="45"/>
        <item m="1" x="58"/>
        <item m="1" x="44"/>
        <item m="1" x="57"/>
        <item m="1" x="43"/>
        <item m="1" x="66"/>
        <item m="1" x="42"/>
        <item m="1" x="56"/>
        <item m="1" x="41"/>
        <item m="1" x="55"/>
        <item m="1" x="39"/>
        <item m="1" x="54"/>
        <item m="1" x="38"/>
        <item m="1" x="53"/>
        <item m="1" x="67"/>
        <item m="1" x="61"/>
        <item t="default"/>
      </items>
    </pivotField>
    <pivotField dataField="1" showAll="0">
      <items count="45">
        <item x="3"/>
        <item x="10"/>
        <item x="12"/>
        <item x="0"/>
        <item x="22"/>
        <item x="8"/>
        <item x="13"/>
        <item x="20"/>
        <item x="26"/>
        <item x="30"/>
        <item x="32"/>
        <item x="37"/>
        <item x="41"/>
        <item x="2"/>
        <item x="11"/>
        <item x="17"/>
        <item x="23"/>
        <item x="25"/>
        <item x="33"/>
        <item x="39"/>
        <item x="43"/>
        <item x="1"/>
        <item x="6"/>
        <item x="14"/>
        <item x="21"/>
        <item x="24"/>
        <item x="29"/>
        <item x="35"/>
        <item x="38"/>
        <item x="42"/>
        <item x="4"/>
        <item x="7"/>
        <item x="16"/>
        <item x="19"/>
        <item x="28"/>
        <item x="36"/>
        <item x="5"/>
        <item x="9"/>
        <item x="15"/>
        <item x="18"/>
        <item x="27"/>
        <item x="31"/>
        <item x="34"/>
        <item x="40"/>
        <item t="default"/>
      </items>
    </pivotField>
    <pivotField dataField="1" showAll="0"/>
    <pivotField showAll="0">
      <items count="183">
        <item x="68"/>
        <item x="152"/>
        <item x="121"/>
        <item x="21"/>
        <item x="55"/>
        <item x="154"/>
        <item x="49"/>
        <item x="87"/>
        <item x="64"/>
        <item x="46"/>
        <item x="10"/>
        <item x="95"/>
        <item x="27"/>
        <item x="40"/>
        <item x="53"/>
        <item x="105"/>
        <item x="20"/>
        <item x="111"/>
        <item x="18"/>
        <item x="36"/>
        <item x="63"/>
        <item x="101"/>
        <item x="104"/>
        <item x="161"/>
        <item x="173"/>
        <item x="41"/>
        <item x="125"/>
        <item x="67"/>
        <item x="168"/>
        <item x="57"/>
        <item x="145"/>
        <item x="167"/>
        <item x="70"/>
        <item x="32"/>
        <item x="126"/>
        <item x="133"/>
        <item x="50"/>
        <item x="162"/>
        <item x="45"/>
        <item x="88"/>
        <item x="90"/>
        <item x="44"/>
        <item x="73"/>
        <item x="117"/>
        <item x="75"/>
        <item x="97"/>
        <item x="60"/>
        <item x="139"/>
        <item x="141"/>
        <item x="157"/>
        <item x="19"/>
        <item x="12"/>
        <item x="17"/>
        <item x="131"/>
        <item x="112"/>
        <item x="120"/>
        <item x="31"/>
        <item x="59"/>
        <item x="51"/>
        <item x="115"/>
        <item x="83"/>
        <item x="175"/>
        <item x="2"/>
        <item x="122"/>
        <item x="33"/>
        <item x="98"/>
        <item x="14"/>
        <item x="113"/>
        <item x="166"/>
        <item x="119"/>
        <item x="149"/>
        <item x="86"/>
        <item x="39"/>
        <item x="8"/>
        <item x="150"/>
        <item x="160"/>
        <item x="109"/>
        <item x="114"/>
        <item x="165"/>
        <item x="85"/>
        <item x="140"/>
        <item x="7"/>
        <item x="127"/>
        <item x="34"/>
        <item x="174"/>
        <item x="116"/>
        <item x="99"/>
        <item x="156"/>
        <item x="66"/>
        <item x="134"/>
        <item x="106"/>
        <item x="91"/>
        <item x="151"/>
        <item x="5"/>
        <item x="71"/>
        <item x="30"/>
        <item x="62"/>
        <item x="54"/>
        <item x="81"/>
        <item x="65"/>
        <item x="177"/>
        <item x="35"/>
        <item x="138"/>
        <item x="9"/>
        <item x="155"/>
        <item x="103"/>
        <item x="142"/>
        <item x="181"/>
        <item x="176"/>
        <item x="24"/>
        <item x="76"/>
        <item x="22"/>
        <item x="102"/>
        <item x="84"/>
        <item x="169"/>
        <item x="37"/>
        <item x="11"/>
        <item x="23"/>
        <item x="16"/>
        <item x="48"/>
        <item x="180"/>
        <item x="163"/>
        <item x="130"/>
        <item x="15"/>
        <item x="136"/>
        <item x="135"/>
        <item x="159"/>
        <item x="82"/>
        <item x="100"/>
        <item x="108"/>
        <item x="128"/>
        <item x="179"/>
        <item x="69"/>
        <item x="25"/>
        <item x="124"/>
        <item x="13"/>
        <item x="52"/>
        <item x="123"/>
        <item x="110"/>
        <item x="164"/>
        <item x="171"/>
        <item x="77"/>
        <item x="178"/>
        <item x="42"/>
        <item x="26"/>
        <item x="28"/>
        <item x="92"/>
        <item x="58"/>
        <item x="143"/>
        <item x="107"/>
        <item x="89"/>
        <item x="172"/>
        <item x="147"/>
        <item x="94"/>
        <item x="61"/>
        <item x="118"/>
        <item x="3"/>
        <item x="72"/>
        <item x="0"/>
        <item x="146"/>
        <item x="4"/>
        <item x="79"/>
        <item x="38"/>
        <item x="129"/>
        <item x="96"/>
        <item x="74"/>
        <item x="29"/>
        <item x="43"/>
        <item x="158"/>
        <item x="56"/>
        <item x="144"/>
        <item x="80"/>
        <item x="6"/>
        <item x="170"/>
        <item x="132"/>
        <item x="137"/>
        <item x="1"/>
        <item x="93"/>
        <item x="148"/>
        <item x="78"/>
        <item x="153"/>
        <item x="47"/>
        <item t="default"/>
      </items>
    </pivotField>
    <pivotField showAll="0">
      <items count="190">
        <item x="158"/>
        <item x="122"/>
        <item x="70"/>
        <item x="22"/>
        <item x="57"/>
        <item x="160"/>
        <item x="51"/>
        <item x="87"/>
        <item x="66"/>
        <item x="48"/>
        <item x="95"/>
        <item x="106"/>
        <item x="10"/>
        <item x="28"/>
        <item x="42"/>
        <item x="55"/>
        <item x="21"/>
        <item x="112"/>
        <item x="19"/>
        <item x="38"/>
        <item x="65"/>
        <item x="102"/>
        <item x="104"/>
        <item x="166"/>
        <item x="176"/>
        <item x="168"/>
        <item x="137"/>
        <item x="188"/>
        <item x="132"/>
        <item x="175"/>
        <item x="118"/>
        <item x="125"/>
        <item x="142"/>
        <item x="150"/>
        <item x="72"/>
        <item x="90"/>
        <item x="43"/>
        <item x="59"/>
        <item x="88"/>
        <item x="130"/>
        <item x="69"/>
        <item x="169"/>
        <item x="186"/>
        <item x="77"/>
        <item x="143"/>
        <item x="75"/>
        <item x="126"/>
        <item x="165"/>
        <item x="181"/>
        <item x="52"/>
        <item x="33"/>
        <item x="97"/>
        <item x="121"/>
        <item x="140"/>
        <item x="162"/>
        <item x="47"/>
        <item x="155"/>
        <item x="145"/>
        <item x="115"/>
        <item x="141"/>
        <item x="46"/>
        <item x="62"/>
        <item x="113"/>
        <item x="53"/>
        <item x="144"/>
        <item x="134"/>
        <item x="157"/>
        <item x="61"/>
        <item x="89"/>
        <item x="114"/>
        <item x="161"/>
        <item x="20"/>
        <item x="116"/>
        <item x="12"/>
        <item x="18"/>
        <item x="174"/>
        <item x="120"/>
        <item x="173"/>
        <item x="32"/>
        <item x="99"/>
        <item x="187"/>
        <item x="154"/>
        <item x="100"/>
        <item x="2"/>
        <item x="34"/>
        <item x="139"/>
        <item x="110"/>
        <item x="15"/>
        <item x="86"/>
        <item x="85"/>
        <item x="117"/>
        <item x="133"/>
        <item x="164"/>
        <item x="41"/>
        <item x="8"/>
        <item x="183"/>
        <item x="7"/>
        <item x="68"/>
        <item x="107"/>
        <item x="35"/>
        <item x="91"/>
        <item x="182"/>
        <item x="73"/>
        <item x="105"/>
        <item x="82"/>
        <item x="156"/>
        <item x="84"/>
        <item x="136"/>
        <item x="127"/>
        <item x="67"/>
        <item x="5"/>
        <item x="56"/>
        <item x="31"/>
        <item x="177"/>
        <item x="64"/>
        <item x="170"/>
        <item x="146"/>
        <item x="167"/>
        <item x="37"/>
        <item x="36"/>
        <item x="9"/>
        <item x="78"/>
        <item x="109"/>
        <item x="103"/>
        <item x="135"/>
        <item x="172"/>
        <item x="147"/>
        <item x="25"/>
        <item x="129"/>
        <item x="71"/>
        <item x="23"/>
        <item x="185"/>
        <item x="39"/>
        <item x="124"/>
        <item x="119"/>
        <item x="11"/>
        <item x="50"/>
        <item x="148"/>
        <item x="179"/>
        <item x="24"/>
        <item x="17"/>
        <item x="83"/>
        <item x="16"/>
        <item x="123"/>
        <item x="101"/>
        <item x="171"/>
        <item x="184"/>
        <item x="111"/>
        <item x="180"/>
        <item x="79"/>
        <item x="152"/>
        <item x="54"/>
        <item x="26"/>
        <item x="13"/>
        <item x="92"/>
        <item x="98"/>
        <item x="108"/>
        <item x="44"/>
        <item x="60"/>
        <item x="27"/>
        <item x="94"/>
        <item x="63"/>
        <item x="29"/>
        <item x="151"/>
        <item x="3"/>
        <item x="74"/>
        <item x="0"/>
        <item x="14"/>
        <item x="81"/>
        <item x="128"/>
        <item x="4"/>
        <item x="40"/>
        <item x="178"/>
        <item x="96"/>
        <item x="76"/>
        <item x="149"/>
        <item x="163"/>
        <item x="30"/>
        <item x="153"/>
        <item x="45"/>
        <item x="58"/>
        <item x="138"/>
        <item x="6"/>
        <item x="131"/>
        <item x="93"/>
        <item x="80"/>
        <item x="1"/>
        <item x="159"/>
        <item x="49"/>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6"/>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3">
    <field x="0"/>
    <field x="2"/>
    <field x="-2"/>
  </colFields>
  <colItems count="48">
    <i>
      <x/>
      <x/>
      <x/>
    </i>
    <i r="2" i="1">
      <x v="1"/>
    </i>
    <i r="1">
      <x v="1"/>
      <x/>
    </i>
    <i r="2" i="1">
      <x v="1"/>
    </i>
    <i r="1">
      <x v="2"/>
      <x/>
    </i>
    <i r="2" i="1">
      <x v="1"/>
    </i>
    <i t="default">
      <x/>
    </i>
    <i t="default" i="1">
      <x/>
    </i>
    <i>
      <x v="1"/>
      <x/>
      <x/>
    </i>
    <i r="2" i="1">
      <x v="1"/>
    </i>
    <i r="1">
      <x v="1"/>
      <x/>
    </i>
    <i r="2" i="1">
      <x v="1"/>
    </i>
    <i r="1">
      <x v="2"/>
      <x/>
    </i>
    <i r="2" i="1">
      <x v="1"/>
    </i>
    <i t="default">
      <x v="1"/>
    </i>
    <i t="default" i="1">
      <x v="1"/>
    </i>
    <i>
      <x v="2"/>
      <x/>
      <x/>
    </i>
    <i r="2" i="1">
      <x v="1"/>
    </i>
    <i r="1">
      <x v="1"/>
      <x/>
    </i>
    <i r="2" i="1">
      <x v="1"/>
    </i>
    <i r="1">
      <x v="2"/>
      <x/>
    </i>
    <i r="2" i="1">
      <x v="1"/>
    </i>
    <i t="default">
      <x v="2"/>
    </i>
    <i t="default" i="1">
      <x v="2"/>
    </i>
    <i>
      <x v="3"/>
      <x/>
      <x/>
    </i>
    <i r="2" i="1">
      <x v="1"/>
    </i>
    <i r="1">
      <x v="1"/>
      <x/>
    </i>
    <i r="2" i="1">
      <x v="1"/>
    </i>
    <i r="1">
      <x v="2"/>
      <x/>
    </i>
    <i r="2" i="1">
      <x v="1"/>
    </i>
    <i t="default">
      <x v="3"/>
    </i>
    <i t="default" i="1">
      <x v="3"/>
    </i>
    <i>
      <x v="4"/>
      <x/>
      <x/>
    </i>
    <i r="2" i="1">
      <x v="1"/>
    </i>
    <i r="1">
      <x v="1"/>
      <x/>
    </i>
    <i r="2" i="1">
      <x v="1"/>
    </i>
    <i r="1">
      <x v="2"/>
      <x/>
    </i>
    <i r="2" i="1">
      <x v="1"/>
    </i>
    <i t="default">
      <x v="4"/>
    </i>
    <i t="default" i="1">
      <x v="4"/>
    </i>
    <i>
      <x v="5"/>
      <x/>
      <x/>
    </i>
    <i r="2" i="1">
      <x v="1"/>
    </i>
    <i r="1">
      <x v="1"/>
      <x/>
    </i>
    <i r="2" i="1">
      <x v="1"/>
    </i>
    <i r="1">
      <x v="2"/>
      <x/>
    </i>
    <i r="2" i="1">
      <x v="1"/>
    </i>
    <i t="default">
      <x v="5"/>
    </i>
    <i t="default" i="1">
      <x v="5"/>
    </i>
  </colItems>
  <dataFields count="2">
    <dataField name="Sum of QTY" fld="8" baseField="0" baseItem="0"/>
    <dataField name="Average of PRICE" fld="7" subtotal="average" baseField="6" baseItem="3"/>
  </dataFields>
  <formats count="5">
    <format dxfId="208">
      <pivotArea type="all" dataOnly="0" outline="0" fieldPosition="0"/>
    </format>
    <format dxfId="207">
      <pivotArea field="0" type="button" dataOnly="0" labelOnly="1" outline="0" axis="axisCol" fieldPosition="0"/>
    </format>
    <format dxfId="206">
      <pivotArea dataOnly="0" labelOnly="1" grandRow="1" outline="0" fieldPosition="0"/>
    </format>
    <format dxfId="205">
      <pivotArea type="all" dataOnly="0" outline="0" fieldPosition="0"/>
    </format>
    <format dxfId="204">
      <pivotArea type="topRight" dataOnly="0" labelOnly="1" outline="0"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6823A8A-27F4-4428-9D3A-2183D22D6491}" name="PivotTable4" cacheId="20" applyNumberFormats="0" applyBorderFormats="0" applyFontFormats="0" applyPatternFormats="0" applyAlignmentFormats="0" applyWidthHeightFormats="1" dataCaption="Values" errorCaption="0" showError="1" missingCaption="0" updatedVersion="6" minRefreshableVersion="3" useAutoFormatting="1" colGrandTotals="0" itemPrintTitles="1" createdVersion="6" indent="0" outline="1" outlineData="1" multipleFieldFilters="0" chartFormat="5" colHeaderCaption="" fieldListSortAscending="1">
  <location ref="B152:F159" firstHeaderRow="0" firstDataRow="1" firstDataCol="1"/>
  <pivotFields count="16">
    <pivotField axis="axisRow" showAll="0">
      <items count="7">
        <item x="1"/>
        <item x="5"/>
        <item x="4"/>
        <item x="2"/>
        <item x="3"/>
        <item x="0"/>
        <item t="default"/>
      </items>
    </pivotField>
    <pivotField showAll="0"/>
    <pivotField showAll="0">
      <items count="4">
        <item x="0"/>
        <item x="2"/>
        <item x="1"/>
        <item t="default"/>
      </items>
    </pivotField>
    <pivotField showAll="0">
      <items count="5">
        <item x="0"/>
        <item x="1"/>
        <item x="2"/>
        <item x="3"/>
        <item t="default"/>
      </items>
    </pivotField>
    <pivotField showAll="0"/>
    <pivotField showAll="0">
      <items count="9">
        <item x="0"/>
        <item x="1"/>
        <item x="2"/>
        <item x="3"/>
        <item x="4"/>
        <item x="5"/>
        <item x="6"/>
        <item x="7"/>
        <item t="default"/>
      </items>
    </pivotField>
    <pivotField showAll="0" sortType="ascending">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m="1" x="52"/>
        <item m="1" x="65"/>
        <item m="1" x="51"/>
        <item m="1" x="64"/>
        <item m="1" x="50"/>
        <item m="1" x="63"/>
        <item m="1" x="49"/>
        <item m="1" x="62"/>
        <item m="1" x="48"/>
        <item m="1" x="40"/>
        <item m="1" x="47"/>
        <item m="1" x="60"/>
        <item m="1" x="46"/>
        <item m="1" x="59"/>
        <item m="1" x="45"/>
        <item m="1" x="58"/>
        <item m="1" x="44"/>
        <item m="1" x="57"/>
        <item m="1" x="43"/>
        <item m="1" x="66"/>
        <item m="1" x="42"/>
        <item m="1" x="56"/>
        <item m="1" x="41"/>
        <item m="1" x="55"/>
        <item m="1" x="39"/>
        <item m="1" x="54"/>
        <item m="1" x="38"/>
        <item m="1" x="53"/>
        <item m="1" x="67"/>
        <item m="1" x="61"/>
        <item t="default"/>
      </items>
    </pivotField>
    <pivotField showAll="0">
      <items count="45">
        <item x="3"/>
        <item x="10"/>
        <item x="12"/>
        <item x="0"/>
        <item x="22"/>
        <item x="8"/>
        <item x="13"/>
        <item x="20"/>
        <item x="26"/>
        <item x="30"/>
        <item x="32"/>
        <item x="37"/>
        <item x="41"/>
        <item x="2"/>
        <item x="11"/>
        <item x="17"/>
        <item x="23"/>
        <item x="25"/>
        <item x="33"/>
        <item x="39"/>
        <item x="43"/>
        <item x="1"/>
        <item x="6"/>
        <item x="14"/>
        <item x="21"/>
        <item x="24"/>
        <item x="29"/>
        <item x="35"/>
        <item x="38"/>
        <item x="42"/>
        <item x="4"/>
        <item x="7"/>
        <item x="16"/>
        <item x="19"/>
        <item x="28"/>
        <item x="36"/>
        <item x="5"/>
        <item x="9"/>
        <item x="15"/>
        <item x="18"/>
        <item x="27"/>
        <item x="31"/>
        <item x="34"/>
        <item x="40"/>
        <item t="default"/>
      </items>
    </pivotField>
    <pivotField dataField="1" showAll="0"/>
    <pivotField dataField="1" showAll="0">
      <items count="183">
        <item x="68"/>
        <item x="152"/>
        <item x="121"/>
        <item x="21"/>
        <item x="55"/>
        <item x="154"/>
        <item x="49"/>
        <item x="87"/>
        <item x="64"/>
        <item x="46"/>
        <item x="10"/>
        <item x="95"/>
        <item x="27"/>
        <item x="40"/>
        <item x="53"/>
        <item x="105"/>
        <item x="20"/>
        <item x="111"/>
        <item x="18"/>
        <item x="36"/>
        <item x="63"/>
        <item x="101"/>
        <item x="104"/>
        <item x="161"/>
        <item x="173"/>
        <item x="41"/>
        <item x="125"/>
        <item x="67"/>
        <item x="168"/>
        <item x="57"/>
        <item x="145"/>
        <item x="167"/>
        <item x="70"/>
        <item x="32"/>
        <item x="126"/>
        <item x="133"/>
        <item x="50"/>
        <item x="162"/>
        <item x="45"/>
        <item x="88"/>
        <item x="90"/>
        <item x="44"/>
        <item x="73"/>
        <item x="117"/>
        <item x="75"/>
        <item x="97"/>
        <item x="60"/>
        <item x="139"/>
        <item x="141"/>
        <item x="157"/>
        <item x="19"/>
        <item x="12"/>
        <item x="17"/>
        <item x="131"/>
        <item x="112"/>
        <item x="120"/>
        <item x="31"/>
        <item x="59"/>
        <item x="51"/>
        <item x="115"/>
        <item x="83"/>
        <item x="175"/>
        <item x="2"/>
        <item x="122"/>
        <item x="33"/>
        <item x="98"/>
        <item x="14"/>
        <item x="113"/>
        <item x="166"/>
        <item x="119"/>
        <item x="149"/>
        <item x="86"/>
        <item x="39"/>
        <item x="8"/>
        <item x="150"/>
        <item x="160"/>
        <item x="109"/>
        <item x="114"/>
        <item x="165"/>
        <item x="85"/>
        <item x="140"/>
        <item x="7"/>
        <item x="127"/>
        <item x="34"/>
        <item x="174"/>
        <item x="116"/>
        <item x="99"/>
        <item x="156"/>
        <item x="66"/>
        <item x="134"/>
        <item x="106"/>
        <item x="91"/>
        <item x="151"/>
        <item x="5"/>
        <item x="71"/>
        <item x="30"/>
        <item x="62"/>
        <item x="54"/>
        <item x="81"/>
        <item x="65"/>
        <item x="177"/>
        <item x="35"/>
        <item x="138"/>
        <item x="9"/>
        <item x="155"/>
        <item x="103"/>
        <item x="142"/>
        <item x="181"/>
        <item x="176"/>
        <item x="24"/>
        <item x="76"/>
        <item x="22"/>
        <item x="102"/>
        <item x="84"/>
        <item x="169"/>
        <item x="37"/>
        <item x="11"/>
        <item x="23"/>
        <item x="16"/>
        <item x="48"/>
        <item x="180"/>
        <item x="163"/>
        <item x="130"/>
        <item x="15"/>
        <item x="136"/>
        <item x="135"/>
        <item x="159"/>
        <item x="82"/>
        <item x="100"/>
        <item x="108"/>
        <item x="128"/>
        <item x="179"/>
        <item x="69"/>
        <item x="25"/>
        <item x="124"/>
        <item x="13"/>
        <item x="52"/>
        <item x="123"/>
        <item x="110"/>
        <item x="164"/>
        <item x="171"/>
        <item x="77"/>
        <item x="178"/>
        <item x="42"/>
        <item x="26"/>
        <item x="28"/>
        <item x="92"/>
        <item x="58"/>
        <item x="143"/>
        <item x="107"/>
        <item x="89"/>
        <item x="172"/>
        <item x="147"/>
        <item x="94"/>
        <item x="61"/>
        <item x="118"/>
        <item x="3"/>
        <item x="72"/>
        <item x="0"/>
        <item x="146"/>
        <item x="4"/>
        <item x="79"/>
        <item x="38"/>
        <item x="129"/>
        <item x="96"/>
        <item x="74"/>
        <item x="29"/>
        <item x="43"/>
        <item x="158"/>
        <item x="56"/>
        <item x="144"/>
        <item x="80"/>
        <item x="6"/>
        <item x="170"/>
        <item x="132"/>
        <item x="137"/>
        <item x="1"/>
        <item x="93"/>
        <item x="148"/>
        <item x="78"/>
        <item x="153"/>
        <item x="47"/>
        <item t="default"/>
      </items>
    </pivotField>
    <pivotField showAll="0">
      <items count="190">
        <item x="158"/>
        <item x="122"/>
        <item x="70"/>
        <item x="22"/>
        <item x="57"/>
        <item x="160"/>
        <item x="51"/>
        <item x="87"/>
        <item x="66"/>
        <item x="48"/>
        <item x="95"/>
        <item x="106"/>
        <item x="10"/>
        <item x="28"/>
        <item x="42"/>
        <item x="55"/>
        <item x="21"/>
        <item x="112"/>
        <item x="19"/>
        <item x="38"/>
        <item x="65"/>
        <item x="102"/>
        <item x="104"/>
        <item x="166"/>
        <item x="176"/>
        <item x="168"/>
        <item x="137"/>
        <item x="188"/>
        <item x="132"/>
        <item x="175"/>
        <item x="118"/>
        <item x="125"/>
        <item x="142"/>
        <item x="150"/>
        <item x="72"/>
        <item x="90"/>
        <item x="43"/>
        <item x="59"/>
        <item x="88"/>
        <item x="130"/>
        <item x="69"/>
        <item x="169"/>
        <item x="186"/>
        <item x="77"/>
        <item x="143"/>
        <item x="75"/>
        <item x="126"/>
        <item x="165"/>
        <item x="181"/>
        <item x="52"/>
        <item x="33"/>
        <item x="97"/>
        <item x="121"/>
        <item x="140"/>
        <item x="162"/>
        <item x="47"/>
        <item x="155"/>
        <item x="145"/>
        <item x="115"/>
        <item x="141"/>
        <item x="46"/>
        <item x="62"/>
        <item x="113"/>
        <item x="53"/>
        <item x="144"/>
        <item x="134"/>
        <item x="157"/>
        <item x="61"/>
        <item x="89"/>
        <item x="114"/>
        <item x="161"/>
        <item x="20"/>
        <item x="116"/>
        <item x="12"/>
        <item x="18"/>
        <item x="174"/>
        <item x="120"/>
        <item x="173"/>
        <item x="32"/>
        <item x="99"/>
        <item x="187"/>
        <item x="154"/>
        <item x="100"/>
        <item x="2"/>
        <item x="34"/>
        <item x="139"/>
        <item x="110"/>
        <item x="15"/>
        <item x="86"/>
        <item x="85"/>
        <item x="117"/>
        <item x="133"/>
        <item x="164"/>
        <item x="41"/>
        <item x="8"/>
        <item x="183"/>
        <item x="7"/>
        <item x="68"/>
        <item x="107"/>
        <item x="35"/>
        <item x="91"/>
        <item x="182"/>
        <item x="73"/>
        <item x="105"/>
        <item x="82"/>
        <item x="156"/>
        <item x="84"/>
        <item x="136"/>
        <item x="127"/>
        <item x="67"/>
        <item x="5"/>
        <item x="56"/>
        <item x="31"/>
        <item x="177"/>
        <item x="64"/>
        <item x="170"/>
        <item x="146"/>
        <item x="167"/>
        <item x="37"/>
        <item x="36"/>
        <item x="9"/>
        <item x="78"/>
        <item x="109"/>
        <item x="103"/>
        <item x="135"/>
        <item x="172"/>
        <item x="147"/>
        <item x="25"/>
        <item x="129"/>
        <item x="71"/>
        <item x="23"/>
        <item x="185"/>
        <item x="39"/>
        <item x="124"/>
        <item x="119"/>
        <item x="11"/>
        <item x="50"/>
        <item x="148"/>
        <item x="179"/>
        <item x="24"/>
        <item x="17"/>
        <item x="83"/>
        <item x="16"/>
        <item x="123"/>
        <item x="101"/>
        <item x="171"/>
        <item x="184"/>
        <item x="111"/>
        <item x="180"/>
        <item x="79"/>
        <item x="152"/>
        <item x="54"/>
        <item x="26"/>
        <item x="13"/>
        <item x="92"/>
        <item x="98"/>
        <item x="108"/>
        <item x="44"/>
        <item x="60"/>
        <item x="27"/>
        <item x="94"/>
        <item x="63"/>
        <item x="29"/>
        <item x="151"/>
        <item x="3"/>
        <item x="74"/>
        <item x="0"/>
        <item x="14"/>
        <item x="81"/>
        <item x="128"/>
        <item x="4"/>
        <item x="40"/>
        <item x="178"/>
        <item x="96"/>
        <item x="76"/>
        <item x="149"/>
        <item x="163"/>
        <item x="30"/>
        <item x="153"/>
        <item x="45"/>
        <item x="58"/>
        <item x="138"/>
        <item x="6"/>
        <item x="131"/>
        <item x="93"/>
        <item x="80"/>
        <item x="1"/>
        <item x="159"/>
        <item x="49"/>
        <item t="default"/>
      </items>
    </pivotField>
    <pivotField dataField="1"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s>
  <rowFields count="1">
    <field x="0"/>
  </rowFields>
  <rowItems count="7">
    <i>
      <x/>
    </i>
    <i>
      <x v="1"/>
    </i>
    <i>
      <x v="2"/>
    </i>
    <i>
      <x v="3"/>
    </i>
    <i>
      <x v="4"/>
    </i>
    <i>
      <x v="5"/>
    </i>
    <i t="grand">
      <x/>
    </i>
  </rowItems>
  <colFields count="1">
    <field x="-2"/>
  </colFields>
  <colItems count="4">
    <i>
      <x/>
    </i>
    <i i="1">
      <x v="1"/>
    </i>
    <i i="2">
      <x v="2"/>
    </i>
    <i i="3">
      <x v="3"/>
    </i>
  </colItems>
  <dataFields count="4">
    <dataField name="Sum of QTY" fld="8" showDataAs="percentOfCol" baseField="0" baseItem="0" numFmtId="10"/>
    <dataField name="Sum of REVENUE" fld="9" showDataAs="percentOfCol" baseField="0" baseItem="0" numFmtId="10"/>
    <dataField name="Sum of PROFIT" fld="11" showDataAs="percentOfCol" baseField="0" baseItem="0" numFmtId="10"/>
    <dataField name="Sum of PROFIT_MARGIN" fld="14" baseField="0" baseItem="0" numFmtId="10"/>
  </dataFields>
  <formats count="10">
    <format dxfId="218">
      <pivotArea type="all" dataOnly="0" outline="0" fieldPosition="0"/>
    </format>
    <format dxfId="217">
      <pivotArea field="0" type="button" dataOnly="0" labelOnly="1" outline="0" axis="axisRow" fieldPosition="0"/>
    </format>
    <format dxfId="216">
      <pivotArea dataOnly="0" labelOnly="1" grandRow="1" outline="0" fieldPosition="0"/>
    </format>
    <format dxfId="215">
      <pivotArea type="all" dataOnly="0" outline="0" fieldPosition="0"/>
    </format>
    <format dxfId="214">
      <pivotArea outline="0" fieldPosition="0">
        <references count="1">
          <reference field="4294967294" count="1">
            <x v="0"/>
          </reference>
        </references>
      </pivotArea>
    </format>
    <format dxfId="213">
      <pivotArea outline="0" fieldPosition="0">
        <references count="1">
          <reference field="4294967294" count="1">
            <x v="1"/>
          </reference>
        </references>
      </pivotArea>
    </format>
    <format dxfId="212">
      <pivotArea outline="0" fieldPosition="0">
        <references count="1">
          <reference field="4294967294" count="1">
            <x v="2"/>
          </reference>
        </references>
      </pivotArea>
    </format>
    <format dxfId="211">
      <pivotArea dataOnly="0" outline="0" fieldPosition="0">
        <references count="1">
          <reference field="4294967294" count="1">
            <x v="3"/>
          </reference>
        </references>
      </pivotArea>
    </format>
    <format dxfId="210">
      <pivotArea outline="0" collapsedLevelsAreSubtotals="1" fieldPosition="0">
        <references count="1">
          <reference field="4294967294" count="1" selected="0">
            <x v="3"/>
          </reference>
        </references>
      </pivotArea>
    </format>
    <format dxfId="209">
      <pivotArea dataOnly="0" labelOnly="1" outline="0" fieldPosition="0">
        <references count="1">
          <reference field="4294967294" count="1">
            <x v="3"/>
          </reference>
        </references>
      </pivotArea>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2BBADAD-EF02-4DAA-AC96-A8F89515D24A}"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fieldListSortAscending="1">
  <location ref="B39:C51" firstHeaderRow="1" firstDataRow="1" firstDataCol="1"/>
  <pivotFields count="16">
    <pivotField showAll="0"/>
    <pivotField showAll="0"/>
    <pivotField showAll="0" defaultSubtotal="0">
      <items count="8">
        <item x="1"/>
        <item x="0"/>
        <item x="2"/>
        <item x="3"/>
        <item x="4"/>
        <item m="1" x="7"/>
        <item m="1" x="5"/>
        <item m="1" x="6"/>
      </items>
    </pivotField>
    <pivotField showAll="0"/>
    <pivotField showAll="0"/>
    <pivotField showAll="0"/>
    <pivotField axis="axisRow" showAll="0">
      <items count="4">
        <item h="1" x="0"/>
        <item h="1" x="2"/>
        <item x="1"/>
        <item t="default"/>
      </items>
    </pivotField>
    <pivotField axis="axisRow" showAll="0">
      <items count="9">
        <item x="0"/>
        <item x="5"/>
        <item x="4"/>
        <item x="1"/>
        <item x="3"/>
        <item x="6"/>
        <item x="2"/>
        <item m="1" x="7"/>
        <item t="default"/>
      </items>
    </pivotField>
    <pivotField axis="axisRow" showAll="0">
      <items count="10">
        <item x="7"/>
        <item x="4"/>
        <item x="6"/>
        <item x="1"/>
        <item x="0"/>
        <item x="5"/>
        <item x="8"/>
        <item x="2"/>
        <item x="3"/>
        <item t="default"/>
      </items>
    </pivotField>
    <pivotField axis="axisRow" showAll="0">
      <items count="13">
        <item x="9"/>
        <item x="6"/>
        <item x="1"/>
        <item x="2"/>
        <item x="0"/>
        <item x="8"/>
        <item x="7"/>
        <item x="5"/>
        <item x="3"/>
        <item x="10"/>
        <item x="11"/>
        <item x="4"/>
        <item t="default"/>
      </items>
    </pivotField>
    <pivotField showAll="0"/>
    <pivotField showAll="0"/>
    <pivotField showAll="0"/>
    <pivotField showAll="0"/>
    <pivotField dragToRow="0" dragToCol="0" dragToPage="0" showAll="0" defaultSubtotal="0"/>
    <pivotField dataField="1" dragToRow="0" dragToCol="0" dragToPage="0" showAll="0" defaultSubtotal="0"/>
  </pivotFields>
  <rowFields count="4">
    <field x="6"/>
    <field x="7"/>
    <field x="8"/>
    <field x="9"/>
  </rowFields>
  <rowItems count="12">
    <i>
      <x v="2"/>
    </i>
    <i r="1">
      <x v="3"/>
    </i>
    <i r="2">
      <x v="3"/>
    </i>
    <i r="3">
      <x v="2"/>
    </i>
    <i r="1">
      <x v="5"/>
    </i>
    <i r="2">
      <x v="6"/>
    </i>
    <i r="3">
      <x v="9"/>
    </i>
    <i r="3">
      <x v="10"/>
    </i>
    <i r="1">
      <x v="6"/>
    </i>
    <i r="2">
      <x v="8"/>
    </i>
    <i r="3">
      <x v="8"/>
    </i>
    <i t="grand">
      <x/>
    </i>
  </rowItems>
  <colItems count="1">
    <i/>
  </colItems>
  <dataFields count="1">
    <dataField name="Sum of ABS_EUROS" fld="15" baseField="0" baseItem="0"/>
  </dataFields>
  <formats count="1">
    <format dxfId="0">
      <pivotArea grandRow="1" outline="0" collapsedLevelsAreSubtotals="1"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2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fieldListSortAscending="1">
  <location ref="B4:H37" firstHeaderRow="1" firstDataRow="2" firstDataCol="1"/>
  <pivotFields count="16">
    <pivotField showAll="0"/>
    <pivotField showAll="0"/>
    <pivotField axis="axisCol" showAll="0" defaultSubtotal="0">
      <items count="8">
        <item x="1"/>
        <item x="0"/>
        <item x="2"/>
        <item x="3"/>
        <item x="4"/>
        <item m="1" x="7"/>
        <item m="1" x="5"/>
        <item m="1" x="6"/>
      </items>
    </pivotField>
    <pivotField showAll="0"/>
    <pivotField showAll="0"/>
    <pivotField showAll="0"/>
    <pivotField axis="axisRow" showAll="0">
      <items count="4">
        <item x="0"/>
        <item x="2"/>
        <item x="1"/>
        <item t="default"/>
      </items>
    </pivotField>
    <pivotField axis="axisRow" showAll="0">
      <items count="9">
        <item x="0"/>
        <item x="5"/>
        <item x="4"/>
        <item x="1"/>
        <item x="3"/>
        <item x="6"/>
        <item x="2"/>
        <item m="1" x="7"/>
        <item t="default"/>
      </items>
    </pivotField>
    <pivotField axis="axisRow" showAll="0">
      <items count="10">
        <item x="7"/>
        <item x="4"/>
        <item x="6"/>
        <item x="1"/>
        <item x="0"/>
        <item x="5"/>
        <item x="8"/>
        <item x="2"/>
        <item x="3"/>
        <item t="default"/>
      </items>
    </pivotField>
    <pivotField axis="axisRow" showAll="0">
      <items count="13">
        <item x="9"/>
        <item x="6"/>
        <item x="1"/>
        <item x="2"/>
        <item x="0"/>
        <item x="8"/>
        <item x="7"/>
        <item x="5"/>
        <item x="3"/>
        <item x="10"/>
        <item x="11"/>
        <item x="4"/>
        <item t="default"/>
      </items>
    </pivotField>
    <pivotField showAll="0"/>
    <pivotField showAll="0"/>
    <pivotField showAll="0"/>
    <pivotField showAll="0"/>
    <pivotField dragToRow="0" dragToCol="0" dragToPage="0" showAll="0" defaultSubtotal="0"/>
    <pivotField dataField="1" dragToRow="0" dragToCol="0" dragToPage="0" showAll="0" defaultSubtotal="0"/>
  </pivotFields>
  <rowFields count="4">
    <field x="6"/>
    <field x="7"/>
    <field x="8"/>
    <field x="9"/>
  </rowFields>
  <rowItems count="32">
    <i>
      <x/>
    </i>
    <i r="1">
      <x/>
    </i>
    <i r="2">
      <x v="1"/>
    </i>
    <i r="3">
      <x v="11"/>
    </i>
    <i r="2">
      <x v="4"/>
    </i>
    <i r="3">
      <x v="4"/>
    </i>
    <i r="2">
      <x v="7"/>
    </i>
    <i r="3">
      <x v="3"/>
    </i>
    <i r="1">
      <x v="4"/>
    </i>
    <i r="2">
      <x v="5"/>
    </i>
    <i r="3">
      <x v="7"/>
    </i>
    <i>
      <x v="1"/>
    </i>
    <i r="1">
      <x v="1"/>
    </i>
    <i r="2">
      <x/>
    </i>
    <i r="3">
      <x/>
    </i>
    <i r="3">
      <x v="5"/>
    </i>
    <i r="3">
      <x v="6"/>
    </i>
    <i r="1">
      <x v="2"/>
    </i>
    <i r="2">
      <x v="2"/>
    </i>
    <i r="3">
      <x v="1"/>
    </i>
    <i>
      <x v="2"/>
    </i>
    <i r="1">
      <x v="3"/>
    </i>
    <i r="2">
      <x v="3"/>
    </i>
    <i r="3">
      <x v="2"/>
    </i>
    <i r="1">
      <x v="5"/>
    </i>
    <i r="2">
      <x v="6"/>
    </i>
    <i r="3">
      <x v="9"/>
    </i>
    <i r="3">
      <x v="10"/>
    </i>
    <i r="1">
      <x v="6"/>
    </i>
    <i r="2">
      <x v="8"/>
    </i>
    <i r="3">
      <x v="8"/>
    </i>
    <i t="grand">
      <x/>
    </i>
  </rowItems>
  <colFields count="1">
    <field x="2"/>
  </colFields>
  <colItems count="6">
    <i>
      <x/>
    </i>
    <i>
      <x v="1"/>
    </i>
    <i>
      <x v="2"/>
    </i>
    <i>
      <x v="3"/>
    </i>
    <i>
      <x v="4"/>
    </i>
    <i t="grand">
      <x/>
    </i>
  </colItems>
  <dataFields count="1">
    <dataField name="Sum of ABS_EUROS" fld="15" baseField="0" baseItem="0"/>
  </dataFields>
  <formats count="1">
    <format dxfId="56">
      <pivotArea grandRow="1" outline="0" collapsedLevelsAreSubtotals="1"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M_ROUND" xr10:uid="{28758DF5-DB59-4BFC-AD36-0EE5268F5F65}" sourceName="SIM_ROUND">
  <pivotTables>
    <pivotTable tabId="10" name="PivotTable1"/>
  </pivotTables>
  <data>
    <tabular pivotCacheId="2">
      <items count="8">
        <i x="0" s="1"/>
        <i x="2" s="1"/>
        <i x="3" s="1"/>
        <i x="4" s="1"/>
        <i x="1" s="1" nd="1"/>
        <i x="7" s="1" nd="1"/>
        <i x="5" s="1" nd="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und 1" xr10:uid="{CDC5E4E8-2F8D-4432-AB47-95EAE233007C}" cache="Slicer_SIM_ROUND" caption="Round" columnCount="2" style="SlicerStyleOther1 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B40E270B-52C7-428B-A604-1DAA7C01FEFF}" name="Table63" displayName="Table63" ref="B11:D26" headerRowCount="0" totalsRowShown="0">
  <tableColumns count="3">
    <tableColumn id="1" xr3:uid="{B437280E-6D15-4A5B-A727-9054DA35B77F}" name="Column1"/>
    <tableColumn id="2" xr3:uid="{8361C4E8-0150-4813-982A-FD678BCC2C16}" name="Column2"/>
    <tableColumn id="3" xr3:uid="{2D34AF9F-C072-4BA1-9043-B7D766DA4DAD}" name="Column3" headerRowDxfId="629" dataDxfId="628" headerRowCellStyle="Comma" dataCellStyle="Comma">
      <calculatedColumnFormula>GETPIVOTDATA("DAILY_SALES",$B$3,"PRODUCT_DESCRIPTION",G$11,"LOCATION",$B11)</calculatedColumnFormula>
    </tableColumn>
  </tableColumns>
  <tableStyleInfo name="TableStyleMedium11"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8D2EBD4-0CBA-4B8D-8CE9-8D466368781E}" name="Table64" displayName="Table64" ref="F11:G17" headerRowCount="0" totalsRowShown="0">
  <tableColumns count="2">
    <tableColumn id="1" xr3:uid="{C24962BB-02F8-469A-8FF8-22C0DC367149}" name="Column1"/>
    <tableColumn id="2" xr3:uid="{A722B033-EB87-4E19-B9D4-BACDA5D4B2CA}" name="Column2">
      <calculatedColumnFormula>Dashboard!D7</calculatedColumnFormula>
    </tableColumn>
  </tableColumns>
  <tableStyleInfo name="TableStyleMedium11"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7C06353-82B7-F741-A560-C3AE8B160080}" name="Table70" displayName="Table70" ref="F20:H25" headerRowCount="0" totalsRowShown="0" headerRowDxfId="627" dataDxfId="626">
  <tableColumns count="3">
    <tableColumn id="1" xr3:uid="{C75E56F9-B12D-2945-A53F-C2AD7D0A5B1A}" name="Column1" headerRowDxfId="625" dataDxfId="624"/>
    <tableColumn id="2" xr3:uid="{981278CB-3CB2-1843-B312-54B03A4683BE}" name="Column2" headerRowDxfId="623" dataDxfId="622">
      <calculatedColumnFormula>GETPIVOTDATA("DAILY_SALES",$B$3,"PRODUCT_DESCRIPTION",F20,"LOCATION",$G$12)</calculatedColumnFormula>
    </tableColumn>
    <tableColumn id="3" xr3:uid="{A916FCBD-D3C8-A043-B3A0-6B8AC59E9F40}" name="Column3" headerRowDxfId="621" dataDxfId="620">
      <calculatedColumnFormula>IF(GETPIVOTDATA("DAILY_SALES",$B$3,"PRODUCT_DESCRIPTION",$G$17,"LOCATION",$G$12)=G20, G20, NA())</calculatedColumnFormula>
    </tableColumn>
  </tableColumns>
  <tableStyleInfo name="TableStyleMedium11"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96BEF45-A02E-4293-9E9E-62F2C101D4A4}" name="Table9" displayName="Table9" ref="B43:D49" totalsRowShown="0" headerRowDxfId="619">
  <autoFilter ref="B43:D49" xr:uid="{10D4694A-14B2-4377-B788-57D13BEE1AA4}"/>
  <sortState xmlns:xlrd2="http://schemas.microsoft.com/office/spreadsheetml/2017/richdata2" ref="B44:D49">
    <sortCondition descending="1" ref="C43:C49"/>
  </sortState>
  <tableColumns count="3">
    <tableColumn id="1" xr3:uid="{EDEE9F97-F6D1-45DD-8B32-55ECE528E2E6}" name="Product" dataDxfId="618"/>
    <tableColumn id="2" xr3:uid="{C4D463D4-7B27-4AF2-83E1-8BB7FEB49A5C}" name="Standard Deviation" dataDxfId="617" dataCellStyle="Comma"/>
    <tableColumn id="3" xr3:uid="{4D9509B6-4F43-4C14-BE9A-8B3EB51FD221}" name="Mean" dataDxfId="616" dataCellStyle="Comma"/>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78561A5-10B6-4AD0-9C5D-BF0312671E20}" name="Table25" displayName="Table25" ref="B106:G151" totalsRowCount="1" headerRowDxfId="606" dataDxfId="605" dataCellStyle="Comma">
  <autoFilter ref="B106:G150" xr:uid="{88464B33-CA6C-44C5-BFC8-F2E9458BF4EF}"/>
  <tableColumns count="6">
    <tableColumn id="1" xr3:uid="{A14D27D7-6BFD-4F1B-90D3-0F77792C2FBF}" name="Date" totalsRowLabel="Total" dataDxfId="604" totalsRowDxfId="603"/>
    <tableColumn id="2" xr3:uid="{F791D7DE-0945-4C79-B2B8-E20280761152}" name="Stock Level  " dataDxfId="602" totalsRowDxfId="601" dataCellStyle="Comma">
      <calculatedColumnFormula>GETPIVOTDATA("STOCK_LEVEL", $B$5, "PRODUCT", $B$103, "INVENTORY_DATE", B107 )</calculatedColumnFormula>
    </tableColumn>
    <tableColumn id="3" xr3:uid="{2ECAB66F-B722-4054-89E6-8A1F057AC3AF}" name="Stock Change (t1-t0)" dataDxfId="600" totalsRowDxfId="599" dataCellStyle="Comma"/>
    <tableColumn id="4" xr3:uid="{D4DFA806-2506-479D-9F7E-B68EFC1B1081}" name="Sales" dataDxfId="598" totalsRowDxfId="597" dataCellStyle="Comma">
      <calculatedColumnFormula>IFERROR(GETPIVOTDATA("QTY",$B$56,"PRODUCT_DESCRIPTION", $B$103, "SALES_ORDER_DATE",Table25[[#This Row],[Date]]), 0)</calculatedColumnFormula>
    </tableColumn>
    <tableColumn id="5" xr3:uid="{3C5573D3-CE57-4C99-AAD2-CA4E2BB8640E}" name="Purchase (Real)" totalsRowFunction="sum" dataDxfId="596" totalsRowDxfId="595" dataCellStyle="Comma">
      <calculatedColumnFormula>Table25[[#This Row],[Stock Change (t1-t0)]]+Table25[[#This Row],[Sales]]</calculatedColumnFormula>
    </tableColumn>
    <tableColumn id="6" xr3:uid="{885C940C-7272-41C9-813C-67DD38482D7A}" name="Purchase (Target)" dataDxfId="594" totalsRowDxfId="593" dataCellStyle="Comma">
      <calculatedColumnFormula>IF(Table25[[#This Row],[Purchase (Real)]]=0, 0, Table25[[#This Row],[Purchase (Real)]]+C106)</calculatedColumnFormula>
    </tableColumn>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2A00BAC-C997-4018-9980-BA81C84750EB}" name="Table2529" displayName="Table2529" ref="I106:N151" totalsRowCount="1" headerRowDxfId="592" dataDxfId="591" dataCellStyle="Comma">
  <autoFilter ref="I106:N150" xr:uid="{807E3903-F92B-4808-9BC1-E4982A1C6BC8}"/>
  <tableColumns count="6">
    <tableColumn id="1" xr3:uid="{6BE71997-8DED-435D-ACA6-6E5B6332979E}" name="Date" totalsRowLabel="Total" dataDxfId="590" totalsRowDxfId="589"/>
    <tableColumn id="2" xr3:uid="{45B35B65-7D3E-4AE2-A37B-63AD1BC6D946}" name="Stock Level  (North)" dataDxfId="588" totalsRowDxfId="587" dataCellStyle="Comma">
      <calculatedColumnFormula>GETPIVOTDATA("STOCK_LEVEL", $B$5, "PRODUCT", $B$103, "INVENTORY_DATE", I107, "STORAGE_LOCATION_ID", "North" )</calculatedColumnFormula>
    </tableColumn>
    <tableColumn id="3" xr3:uid="{3E8FFB07-3852-44F3-B568-EDE976E994B0}" name="Stock Change (t1-t0) (North)" dataDxfId="586" totalsRowDxfId="585" dataCellStyle="Comma"/>
    <tableColumn id="4" xr3:uid="{04C3297E-9933-4E76-A4A5-A8E82C104814}" name="Sales" dataDxfId="584" totalsRowDxfId="583" dataCellStyle="Comma">
      <calculatedColumnFormula>IFERROR(GETPIVOTDATA("QTY",$B$56,"PRODUCT_DESCRIPTION", $B$103, "SALES_ORDER_DATE",Table2529[[#This Row],[Date]], "AREA_NAME", "North"), 0)</calculatedColumnFormula>
    </tableColumn>
    <tableColumn id="5" xr3:uid="{234846D4-57B6-4172-86CA-1193F0C01DCA}" name="Regional Transfer (Real)" totalsRowFunction="custom" dataDxfId="582" totalsRowDxfId="581" dataCellStyle="Comma">
      <calculatedColumnFormula>Table2529[[#This Row],[Stock Change (t1-t0) (North)]]+Table2529[[#This Row],[Sales]]</calculatedColumnFormula>
      <totalsRowFormula array="1">COUNT(IF(Table2529[Regional Transfer (Real)]&lt;&gt;0, Table2529[Regional Transfer (Real)]))</totalsRowFormula>
    </tableColumn>
    <tableColumn id="6" xr3:uid="{558D03AF-9523-4E13-B36B-C69B81657B0C}" name="Regional Transfer (Target)" dataDxfId="580" totalsRowDxfId="579" dataCellStyle="Comma">
      <calculatedColumnFormula>IF(Table2529[[#This Row],[Regional Transfer (Real)]]=0, 0, Table2529[[#This Row],[Regional Transfer (Real)]]+Table2529[[#This Row],[Stock Level  (North)]])</calculatedColumnFormula>
    </tableColumn>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1DF609F-1A3B-4A72-ACFA-35A2EC86BBCC}" name="Table252930" displayName="Table252930" ref="P106:U151" totalsRowCount="1" headerRowDxfId="578" dataDxfId="577" dataCellStyle="Comma">
  <autoFilter ref="P106:U150" xr:uid="{62DBBFBD-C5B6-49B3-B3B7-D87BCA8B0B35}"/>
  <tableColumns count="6">
    <tableColumn id="1" xr3:uid="{2986099B-B210-46C8-B1B4-A27C4E6279B1}" name="Date" totalsRowLabel="Total" dataDxfId="576" totalsRowDxfId="575"/>
    <tableColumn id="2" xr3:uid="{E7D86B10-364F-4C0A-8454-8130A629D2A4}" name="Stock Level  (South)" dataDxfId="574" totalsRowDxfId="573" dataCellStyle="Comma">
      <calculatedColumnFormula>GETPIVOTDATA("STOCK_LEVEL", $B$5, "PRODUCT", $B$103, "INVENTORY_DATE", P107, "STORAGE_LOCATION_ID", "South" )</calculatedColumnFormula>
    </tableColumn>
    <tableColumn id="3" xr3:uid="{45BE96F0-CD66-4BFC-93FF-C25BB33E79DF}" name="Stock Change (t1-t0) (South)" dataDxfId="572" totalsRowDxfId="571" dataCellStyle="Comma"/>
    <tableColumn id="4" xr3:uid="{C0DB2CF1-9797-416B-BBE6-016EC7BB4231}" name="Sales" dataDxfId="570" totalsRowDxfId="569" dataCellStyle="Comma">
      <calculatedColumnFormula>IFERROR(GETPIVOTDATA("QTY",$B$56,"PRODUCT_DESCRIPTION", $B$103, "SALES_ORDER_DATE",Table252930[[#This Row],[Date]], "AREA_NAME", "South"), 0)</calculatedColumnFormula>
    </tableColumn>
    <tableColumn id="5" xr3:uid="{84389C55-8104-40EA-9B59-BD4339E3C652}" name="Regional Transfer (Real)" totalsRowFunction="custom" dataDxfId="568" totalsRowDxfId="567" dataCellStyle="Comma">
      <calculatedColumnFormula>Table252930[[#This Row],[Stock Change (t1-t0) (South)]]+Table252930[[#This Row],[Sales]]</calculatedColumnFormula>
      <totalsRowFormula array="1">COUNT(IF(T107:T150&lt;&gt;0, Table252930[Regional Transfer (Real)]))</totalsRowFormula>
    </tableColumn>
    <tableColumn id="6" xr3:uid="{122A18F1-5915-4873-9E2D-7C6FA46F0A78}" name="Regional Transfer (Target)" dataDxfId="566" totalsRowDxfId="565" dataCellStyle="Comma">
      <calculatedColumnFormula>IF(Table252930[[#This Row],[Regional Transfer (Real)]]=0, 0, Table252930[[#This Row],[Regional Transfer (Real)]]+Table252930[[#This Row],[Stock Level  (South)]])</calculatedColumnFormula>
    </tableColumn>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B33A2960-4E09-4554-8EBC-339261230A73}" name="Table25293032" displayName="Table25293032" ref="W106:AB151" totalsRowCount="1" headerRowDxfId="564" dataDxfId="563" dataCellStyle="Comma">
  <autoFilter ref="W106:AB150" xr:uid="{FF083B7A-4C24-49D8-940F-8B7A0EC7B820}"/>
  <tableColumns count="6">
    <tableColumn id="1" xr3:uid="{9C959A87-D0EF-4E32-B1B8-B66DA3A66492}" name="Date" totalsRowLabel="Total" dataDxfId="562" totalsRowDxfId="561"/>
    <tableColumn id="2" xr3:uid="{97A4889B-A4AD-4C45-AE07-2C411145DF84}" name="Stock Level  (West)" dataDxfId="560" totalsRowDxfId="559" dataCellStyle="Comma">
      <calculatedColumnFormula>GETPIVOTDATA("STOCK_LEVEL", $B$5, "PRODUCT", $B$103, "INVENTORY_DATE", W107, "STORAGE_LOCATION_ID", "West" )</calculatedColumnFormula>
    </tableColumn>
    <tableColumn id="3" xr3:uid="{F9944F66-C9AE-49F7-BCF8-4B310253C69F}" name="Stock Change (t1-t0) (West)" dataDxfId="558" totalsRowDxfId="557" dataCellStyle="Comma"/>
    <tableColumn id="4" xr3:uid="{942E4E10-C80A-48A7-AEC2-F5FBB3360061}" name="Sales" dataDxfId="556" totalsRowDxfId="555" dataCellStyle="Comma">
      <calculatedColumnFormula>IFERROR(GETPIVOTDATA("QTY",$B$56,"PRODUCT_DESCRIPTION", $B$103, "SALES_ORDER_DATE",Table25293032[[#This Row],[Date]], "AREA_NAME", "West"), 0)</calculatedColumnFormula>
    </tableColumn>
    <tableColumn id="5" xr3:uid="{FF7F59DA-D952-461F-84AF-76A3D0D857FA}" name="Regional Transfer (Real)" totalsRowFunction="custom" dataDxfId="554" totalsRowDxfId="553" dataCellStyle="Comma">
      <calculatedColumnFormula>Table25293032[[#This Row],[Stock Change (t1-t0) (West)]]+Table25293032[[#This Row],[Sales]]</calculatedColumnFormula>
      <totalsRowFormula array="1">COUNT(IF(AA107:AA150&lt;&gt;0, Table25293032[Regional Transfer (Real)]))</totalsRowFormula>
    </tableColumn>
    <tableColumn id="6" xr3:uid="{D8058576-75EE-43D6-B8C9-970FD2517BD6}" name="Regional Transfer (Target)" dataDxfId="552" totalsRowDxfId="551" dataCellStyle="Comma">
      <calculatedColumnFormula>IF(Table25293032[[#This Row],[Regional Transfer (Real)]]=0, 0, Table25293032[[#This Row],[Regional Transfer (Real)]]+Table25293032[[#This Row],[Stock Level  (West)]])</calculatedColumnFormula>
    </tableColumn>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E84ECD8C-8861-4E92-9548-B140916BFC74}" name="Table2533" displayName="Table2533" ref="B157:G202" totalsRowCount="1" headerRowDxfId="550" dataDxfId="549" dataCellStyle="Comma">
  <autoFilter ref="B157:G201" xr:uid="{96C88027-DD90-4E0B-A53D-B2D270189540}"/>
  <tableColumns count="6">
    <tableColumn id="1" xr3:uid="{26FDD81A-0385-45DC-9F4A-80F02D4D70C2}" name="Date" totalsRowLabel="Total" dataDxfId="548" totalsRowDxfId="547"/>
    <tableColumn id="2" xr3:uid="{68A95637-F349-4FFF-B2A8-947CC706F7A8}" name="Stock Level  " dataDxfId="546" totalsRowDxfId="545" dataCellStyle="Comma">
      <calculatedColumnFormula>GETPIVOTDATA("STOCK_LEVEL", $B$5, "PRODUCT", $B$154, "INVENTORY_DATE", B158 )</calculatedColumnFormula>
    </tableColumn>
    <tableColumn id="3" xr3:uid="{3EBB98A6-860C-41CF-987F-CB23B7014293}" name="Stock Change (t1-t0)" dataDxfId="544" totalsRowDxfId="543" dataCellStyle="Comma"/>
    <tableColumn id="4" xr3:uid="{6E274ECE-D273-4E81-837F-554712F871C7}" name="Sales" dataDxfId="542" totalsRowDxfId="541" dataCellStyle="Comma">
      <calculatedColumnFormula>IFERROR(GETPIVOTDATA("QTY",$B$56,"PRODUCT_DESCRIPTION", $B$154, "SALES_ORDER_DATE",Table2533[[#This Row],[Date]]), 0)</calculatedColumnFormula>
    </tableColumn>
    <tableColumn id="5" xr3:uid="{41F5255C-DDA9-404F-B7D8-249D204B2FCF}" name="Purchase (Real)" totalsRowFunction="sum" dataDxfId="540" totalsRowDxfId="539" dataCellStyle="Comma">
      <calculatedColumnFormula>Table2533[[#This Row],[Stock Change (t1-t0)]]+Table2533[[#This Row],[Sales]]</calculatedColumnFormula>
    </tableColumn>
    <tableColumn id="6" xr3:uid="{AD3171E4-EEEB-4505-BF1F-D1AB9350D176}" name="Purchase (Target)" dataDxfId="538" totalsRowDxfId="537" dataCellStyle="Comma">
      <calculatedColumnFormula>IF(Table2533[[#This Row],[Purchase (Real)]]=0, 0, Table2533[[#This Row],[Purchase (Real)]]+C157)</calculatedColumnFormula>
    </tableColumn>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E79694A-C70B-46B5-9028-B980B799B802}" name="Table252934" displayName="Table252934" ref="I157:N202" totalsRowCount="1" headerRowDxfId="536" dataDxfId="535" dataCellStyle="Comma">
  <autoFilter ref="I157:N201" xr:uid="{297DF996-15E3-4FCE-8D87-AF557254FC1D}"/>
  <tableColumns count="6">
    <tableColumn id="1" xr3:uid="{7E6C4F0F-1EE7-47B8-909A-FE2E40C5F7AD}" name="Date" totalsRowLabel="Total" dataDxfId="534" totalsRowDxfId="533"/>
    <tableColumn id="2" xr3:uid="{282B2D8C-3B49-44B3-B718-B61B945ADA23}" name="Stock Level  (North)" dataDxfId="532" totalsRowDxfId="531" dataCellStyle="Comma">
      <calculatedColumnFormula>GETPIVOTDATA("STOCK_LEVEL", $B$5, "PRODUCT", $B$154, "INVENTORY_DATE", I158, "STORAGE_LOCATION_ID", "North" )</calculatedColumnFormula>
    </tableColumn>
    <tableColumn id="3" xr3:uid="{DC20D234-6025-487B-B193-A6625398D398}" name="Stock Change (t1-t0) (North)" dataDxfId="530" totalsRowDxfId="529" dataCellStyle="Comma"/>
    <tableColumn id="4" xr3:uid="{E6E32222-67A0-4365-9288-9433ADE9D1DF}" name="Sales" dataDxfId="528" totalsRowDxfId="527" dataCellStyle="Comma">
      <calculatedColumnFormula>IFERROR(GETPIVOTDATA("QTY",$B$56,"PRODUCT_DESCRIPTION", $B$154, "SALES_ORDER_DATE",Table252934[[#This Row],[Date]], "AREA_NAME", "North"), 0)</calculatedColumnFormula>
    </tableColumn>
    <tableColumn id="5" xr3:uid="{CBBA62AD-0D59-457F-BEE0-76866E73890B}" name="Regional Transfer (Real)" totalsRowFunction="custom" dataDxfId="526" totalsRowDxfId="525" dataCellStyle="Comma">
      <calculatedColumnFormula>Table252934[[#This Row],[Stock Change (t1-t0) (North)]]+Table252934[[#This Row],[Sales]]</calculatedColumnFormula>
      <totalsRowFormula array="1">COUNT(IF(Table252934[Regional Transfer (Real)]&lt;&gt;0, Table252934[Regional Transfer (Real)]))</totalsRowFormula>
    </tableColumn>
    <tableColumn id="6" xr3:uid="{3115C125-B8F7-43EC-8569-5EF569B86B1A}" name="Regional Transfer (Target)" dataDxfId="524" totalsRowDxfId="523" dataCellStyle="Comma">
      <calculatedColumnFormula>IF(Table252934[[#This Row],[Regional Transfer (Real)]]=0, 0, Table252934[[#This Row],[Regional Transfer (Real)]]+Table252934[[#This Row],[Stock Level  (North)]])</calculatedColumnFormula>
    </tableColumn>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D1C5CEE-EA79-449E-BD6C-37FAE47E098D}" name="Table25293035" displayName="Table25293035" ref="P157:U202" totalsRowCount="1" headerRowDxfId="522" dataDxfId="521" dataCellStyle="Comma">
  <autoFilter ref="P157:U201" xr:uid="{166DCFAC-3DC8-4A14-898C-924A00F4E13F}"/>
  <tableColumns count="6">
    <tableColumn id="1" xr3:uid="{77257E82-20B1-4411-B028-0DB63C98CC2B}" name="Date" totalsRowLabel="Total" dataDxfId="520" totalsRowDxfId="519"/>
    <tableColumn id="2" xr3:uid="{51ADC353-1699-44B5-99F7-2CFFCF11B5E3}" name="Stock Level  (South)" dataDxfId="518" totalsRowDxfId="517" dataCellStyle="Comma">
      <calculatedColumnFormula>GETPIVOTDATA("STOCK_LEVEL", $B$5, "PRODUCT", $B$154, "INVENTORY_DATE", P158, "STORAGE_LOCATION_ID", "South" )</calculatedColumnFormula>
    </tableColumn>
    <tableColumn id="3" xr3:uid="{C31DAB34-542F-46FA-ADA3-48F8ED8649AC}" name="Stock Change (t1-t0) (South)" dataDxfId="516" totalsRowDxfId="515" dataCellStyle="Comma"/>
    <tableColumn id="4" xr3:uid="{03EF23E3-77F6-47BA-82F2-121E35242527}" name="Sales" dataDxfId="514" totalsRowDxfId="513" dataCellStyle="Comma">
      <calculatedColumnFormula>IFERROR(GETPIVOTDATA("QTY",$B$56,"PRODUCT_DESCRIPTION", $B$154, "SALES_ORDER_DATE",Table25293035[[#This Row],[Date]], "AREA_NAME", "South"), 0)</calculatedColumnFormula>
    </tableColumn>
    <tableColumn id="5" xr3:uid="{A66F2AF7-4448-4989-8C5A-46FB55F7494B}" name="Regional Transfer (Real)" totalsRowFunction="custom" dataDxfId="512" totalsRowDxfId="511" dataCellStyle="Comma">
      <calculatedColumnFormula>Table25293035[[#This Row],[Stock Change (t1-t0) (South)]]+Table25293035[[#This Row],[Sales]]</calculatedColumnFormula>
      <totalsRowFormula array="1">COUNT(IF(T158:T201&lt;&gt;0, Table25293035[Regional Transfer (Real)]))</totalsRowFormula>
    </tableColumn>
    <tableColumn id="6" xr3:uid="{EC92C64B-2870-4A28-B391-5B49DBB8E1C6}" name="Regional Transfer (Target)" dataDxfId="510" totalsRowDxfId="509" dataCellStyle="Comma">
      <calculatedColumnFormula>IF(Table25293035[[#This Row],[Regional Transfer (Real)]]=0, 0, Table25293035[[#This Row],[Regional Transfer (Real)]]+Table25293035[[#This Row],[Stock Level  (South)]])</calculatedColumnFormula>
    </tableColumn>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DA2E12D-9449-4E0C-B283-D83FF72E7A18}" name="Table2529303236" displayName="Table2529303236" ref="W157:AB202" totalsRowCount="1" headerRowDxfId="508" dataDxfId="507" dataCellStyle="Comma">
  <autoFilter ref="W157:AB201" xr:uid="{4F7D02CE-810E-41DC-AB34-81172AA545CE}"/>
  <tableColumns count="6">
    <tableColumn id="1" xr3:uid="{141D9B53-0F60-41AD-B88D-E9192363DBD0}" name="Date" totalsRowLabel="Total" dataDxfId="506" totalsRowDxfId="505"/>
    <tableColumn id="2" xr3:uid="{59193E7A-7017-4B16-86EC-9E56C23A3CB0}" name="Stock Level  (West)" dataDxfId="504" totalsRowDxfId="503" dataCellStyle="Comma">
      <calculatedColumnFormula>GETPIVOTDATA("STOCK_LEVEL", $B$5, "PRODUCT", $B$154, "INVENTORY_DATE", W158, "STORAGE_LOCATION_ID", "West" )</calculatedColumnFormula>
    </tableColumn>
    <tableColumn id="3" xr3:uid="{AC438CEC-5D40-4D9C-A93A-022DC8DB40B0}" name="Stock Change (t1-t0) (West)" dataDxfId="502" totalsRowDxfId="501" dataCellStyle="Comma"/>
    <tableColumn id="4" xr3:uid="{260EDAD5-5689-44A6-B08A-8BBEDA36BFA1}" name="Sales" dataDxfId="500" totalsRowDxfId="499" dataCellStyle="Comma">
      <calculatedColumnFormula>IFERROR(GETPIVOTDATA("QTY",$B$56,"PRODUCT_DESCRIPTION", $B$154, "SALES_ORDER_DATE",Table2529303236[[#This Row],[Date]], "AREA_NAME", "West"), 0)</calculatedColumnFormula>
    </tableColumn>
    <tableColumn id="5" xr3:uid="{33543A33-7E07-43AB-9384-2BAC7FE4542A}" name="Regional Transfer (Real)" totalsRowFunction="custom" dataDxfId="498" totalsRowDxfId="497" dataCellStyle="Comma">
      <calculatedColumnFormula>Table2529303236[[#This Row],[Stock Change (t1-t0) (West)]]+Table2529303236[[#This Row],[Sales]]</calculatedColumnFormula>
      <totalsRowFormula array="1">COUNT(IF(AA158:AA201&lt;&gt;0, Table2529303236[Regional Transfer (Real)]))</totalsRowFormula>
    </tableColumn>
    <tableColumn id="6" xr3:uid="{4BA64DFB-96B6-4999-AC3E-FAB183B41F30}" name="Regional Transfer (Target)" dataDxfId="496" totalsRowDxfId="495" dataCellStyle="Comma">
      <calculatedColumnFormula>IF(Table2529303236[[#This Row],[Regional Transfer (Real)]]=0, 0, Table2529303236[[#This Row],[Regional Transfer (Real)]]+Table2529303236[[#This Row],[Stock Level  (West)]])</calculatedColumnFormula>
    </tableColumn>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73C235BC-54B9-4A9B-9AF1-BD1C06CBF0BE}" name="Table253337" displayName="Table253337" ref="B208:G253" totalsRowCount="1" headerRowDxfId="494" dataDxfId="493" dataCellStyle="Comma">
  <autoFilter ref="B208:G252" xr:uid="{EA562EBA-AF20-479F-8244-072EC65FB0C8}"/>
  <tableColumns count="6">
    <tableColumn id="1" xr3:uid="{20392143-CA95-4D79-A551-15ED3D4966A4}" name="Date" totalsRowLabel="Total" dataDxfId="492" totalsRowDxfId="491"/>
    <tableColumn id="2" xr3:uid="{77CDC127-0115-48C2-A69E-D0420F729533}" name="Stock Level  " dataDxfId="490" totalsRowDxfId="489" dataCellStyle="Comma">
      <calculatedColumnFormula>GETPIVOTDATA("STOCK_LEVEL", $B$5, "PRODUCT", $B$205, "INVENTORY_DATE", B209 )</calculatedColumnFormula>
    </tableColumn>
    <tableColumn id="3" xr3:uid="{61F10184-B1D5-4FBD-9996-6894E321E80C}" name="Stock Change (t1-t0)" dataDxfId="488" totalsRowDxfId="487" dataCellStyle="Comma"/>
    <tableColumn id="4" xr3:uid="{D43B767F-AE97-4889-98A1-C9E69DFC08B5}" name="Sales" dataDxfId="486" totalsRowDxfId="485" dataCellStyle="Comma">
      <calculatedColumnFormula>IFERROR(GETPIVOTDATA("QTY",$B$56,"PRODUCT_DESCRIPTION", $B$205, "SALES_ORDER_DATE",Table253337[[#This Row],[Date]]), 0)</calculatedColumnFormula>
    </tableColumn>
    <tableColumn id="5" xr3:uid="{11DC5055-7D70-4A66-BCEF-BCB29BC42F3B}" name="Purchase (Real)" totalsRowFunction="sum" dataDxfId="484" totalsRowDxfId="483" dataCellStyle="Comma">
      <calculatedColumnFormula>Table253337[[#This Row],[Stock Change (t1-t0)]]+Table253337[[#This Row],[Sales]]</calculatedColumnFormula>
    </tableColumn>
    <tableColumn id="6" xr3:uid="{651EBE72-09FB-4653-A2A1-43A40526DE43}" name="Purchase (Target)" dataDxfId="482" totalsRowDxfId="481" dataCellStyle="Comma">
      <calculatedColumnFormula>IF(Table253337[[#This Row],[Purchase (Real)]]=0, 0, Table253337[[#This Row],[Purchase (Real)]]+C208)</calculatedColumnFormula>
    </tableColumn>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CA4976F7-F73F-4368-894D-E0DC0B6397C2}" name="Table25293438" displayName="Table25293438" ref="I208:N253" totalsRowCount="1" headerRowDxfId="480" dataDxfId="479" dataCellStyle="Comma">
  <autoFilter ref="I208:N252" xr:uid="{FC273308-ABAF-4E60-B673-D95E73DB37F8}"/>
  <tableColumns count="6">
    <tableColumn id="1" xr3:uid="{52F76E11-19E5-459B-88A5-9D05D10DFEF4}" name="Date" totalsRowLabel="Total" dataDxfId="478" totalsRowDxfId="477"/>
    <tableColumn id="2" xr3:uid="{BDEFC0E1-A00F-45B4-80DE-550BA9C9B09D}" name="Stock Level  (North)" dataDxfId="476" totalsRowDxfId="475" dataCellStyle="Comma">
      <calculatedColumnFormula>GETPIVOTDATA("STOCK_LEVEL", $B$5, "PRODUCT", $B$205, "INVENTORY_DATE", I209, "STORAGE_LOCATION_ID", "North" )</calculatedColumnFormula>
    </tableColumn>
    <tableColumn id="3" xr3:uid="{CF39F9BC-66CC-4E93-B3AC-CB388DD9B748}" name="Stock Change (t1-t0) (North)" dataDxfId="474" totalsRowDxfId="473" dataCellStyle="Comma"/>
    <tableColumn id="4" xr3:uid="{2F3B6CFF-3EF8-4771-9AF4-0DD35FA99264}" name="Sales" dataDxfId="472" totalsRowDxfId="471" dataCellStyle="Comma">
      <calculatedColumnFormula>IFERROR(GETPIVOTDATA("QTY",$B$56,"PRODUCT_DESCRIPTION", $B$205, "SALES_ORDER_DATE",Table25293438[[#This Row],[Date]], "AREA_NAME", "North"), 0)</calculatedColumnFormula>
    </tableColumn>
    <tableColumn id="5" xr3:uid="{89543DF9-C078-4474-B3E5-8070BC8241CB}" name="Regional Transfer (Real)" totalsRowFunction="custom" dataDxfId="470" totalsRowDxfId="469" dataCellStyle="Comma">
      <calculatedColumnFormula>Table25293438[[#This Row],[Stock Change (t1-t0) (North)]]+Table25293438[[#This Row],[Sales]]</calculatedColumnFormula>
      <totalsRowFormula array="1">COUNT(IF(Table25293438[Regional Transfer (Real)]&lt;&gt;0, Table25293438[Regional Transfer (Real)]))</totalsRowFormula>
    </tableColumn>
    <tableColumn id="6" xr3:uid="{A8F4F600-A70F-4A56-9BFA-683B53532CB1}" name="Regional Transfer (Target)" dataDxfId="468" totalsRowDxfId="467" dataCellStyle="Comma">
      <calculatedColumnFormula>IF(Table25293438[[#This Row],[Regional Transfer (Real)]]=0, 0, Table25293438[[#This Row],[Regional Transfer (Real)]]+Table25293438[[#This Row],[Stock Level  (North)]])</calculatedColumnFormula>
    </tableColumn>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E940C96A-E7BC-4298-B11C-901F4FC17BF7}" name="Table2529303539" displayName="Table2529303539" ref="P208:U253" totalsRowCount="1" headerRowDxfId="466" dataDxfId="465" dataCellStyle="Comma">
  <autoFilter ref="P208:U252" xr:uid="{C44741F9-5DD0-487A-8493-DBE67411DEAA}"/>
  <tableColumns count="6">
    <tableColumn id="1" xr3:uid="{A22EDA1F-3FF5-447A-A8A6-C64C6497D6A3}" name="Date" totalsRowLabel="Total" dataDxfId="464" totalsRowDxfId="463"/>
    <tableColumn id="2" xr3:uid="{B4333D75-EDDC-47FD-BFFD-1E021D0B3EE5}" name="Stock Level  (South)" dataDxfId="462" totalsRowDxfId="461" dataCellStyle="Comma">
      <calculatedColumnFormula>GETPIVOTDATA("STOCK_LEVEL", $B$5, "PRODUCT", $B$205, "INVENTORY_DATE", P209, "STORAGE_LOCATION_ID", "South" )</calculatedColumnFormula>
    </tableColumn>
    <tableColumn id="3" xr3:uid="{9843D532-7697-40E1-A62C-48AD6FADE228}" name="Stock Change (t1-t0) (South)" dataDxfId="460" totalsRowDxfId="459" dataCellStyle="Comma"/>
    <tableColumn id="4" xr3:uid="{673A2C45-143F-44B3-B26A-A2008D080281}" name="Sales" dataDxfId="458" totalsRowDxfId="457" dataCellStyle="Comma">
      <calculatedColumnFormula>IFERROR(GETPIVOTDATA("QTY",$B$56,"PRODUCT_DESCRIPTION", $B$205, "SALES_ORDER_DATE",Table2529303539[[#This Row],[Date]], "AREA_NAME", "South"), 0)</calculatedColumnFormula>
    </tableColumn>
    <tableColumn id="5" xr3:uid="{A33FDC45-28C4-43E1-B3EC-32248AEF7E05}" name="Regional Transfer (Real)" totalsRowFunction="custom" dataDxfId="456" totalsRowDxfId="455" dataCellStyle="Comma">
      <calculatedColumnFormula>Table2529303539[[#This Row],[Stock Change (t1-t0) (South)]]+Table2529303539[[#This Row],[Sales]]</calculatedColumnFormula>
      <totalsRowFormula array="1">COUNT(IF(T209:T252&lt;&gt;0, Table2529303539[Regional Transfer (Real)]))</totalsRowFormula>
    </tableColumn>
    <tableColumn id="6" xr3:uid="{1E14F5E9-8EDE-4790-9D7C-F4E21F1AC847}" name="Regional Transfer (Target)" dataDxfId="454" totalsRowDxfId="453" dataCellStyle="Comma">
      <calculatedColumnFormula>IF(Table2529303539[[#This Row],[Regional Transfer (Real)]]=0, 0, Table2529303539[[#This Row],[Regional Transfer (Real)]]+Table2529303539[[#This Row],[Stock Level  (South)]])</calculatedColumnFormula>
    </tableColumn>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FFA53B0-5EC9-481C-A2C8-2C8CAE28ADD6}" name="Table252930323640" displayName="Table252930323640" ref="W208:AB253" totalsRowCount="1" headerRowDxfId="452" dataDxfId="451" dataCellStyle="Comma">
  <autoFilter ref="W208:AB252" xr:uid="{AD35DE89-2A38-4CF6-BA7F-170D10294526}"/>
  <tableColumns count="6">
    <tableColumn id="1" xr3:uid="{C2F559EE-5EC4-48AF-B1D6-C1A0C7B4FE5D}" name="Date" totalsRowLabel="Total" dataDxfId="450" totalsRowDxfId="449"/>
    <tableColumn id="2" xr3:uid="{6B79921B-4965-4B6E-AE86-1AE3FAE44691}" name="Stock Level  (West)" dataDxfId="448" totalsRowDxfId="447" dataCellStyle="Comma">
      <calculatedColumnFormula>GETPIVOTDATA("STOCK_LEVEL", $B$5, "PRODUCT", $B$205, "INVENTORY_DATE", W209, "STORAGE_LOCATION_ID", "West" )</calculatedColumnFormula>
    </tableColumn>
    <tableColumn id="3" xr3:uid="{9805B88B-6701-4E56-93D4-CC77201FA42A}" name="Stock Change (t1-t0) (West)" dataDxfId="446" totalsRowDxfId="445" dataCellStyle="Comma"/>
    <tableColumn id="4" xr3:uid="{A5803B50-BFD7-4C4C-9D29-E8EDF2457B28}" name="Sales" dataDxfId="444" totalsRowDxfId="443" dataCellStyle="Comma">
      <calculatedColumnFormula>IFERROR(GETPIVOTDATA("QTY",$B$56,"PRODUCT_DESCRIPTION", $B$205, "SALES_ORDER_DATE",Table252930323640[[#This Row],[Date]], "AREA_NAME", "West"), 0)</calculatedColumnFormula>
    </tableColumn>
    <tableColumn id="5" xr3:uid="{A8ECCB79-106F-4BA7-9900-946B88DA0C86}" name="Regional Transfer (Real)" totalsRowFunction="custom" dataDxfId="442" totalsRowDxfId="441" dataCellStyle="Comma">
      <calculatedColumnFormula>Table252930323640[[#This Row],[Stock Change (t1-t0) (West)]]+Table252930323640[[#This Row],[Sales]]</calculatedColumnFormula>
      <totalsRowFormula array="1">COUNT(IF(AA209:AA252&lt;&gt;0, Table252930323640[Regional Transfer (Real)]))</totalsRowFormula>
    </tableColumn>
    <tableColumn id="6" xr3:uid="{DA232DA9-16C1-44AC-9451-4B27639021B8}" name="Regional Transfer (Target)" dataDxfId="440" totalsRowDxfId="439" dataCellStyle="Comma">
      <calculatedColumnFormula>IF(Table252930323640[[#This Row],[Regional Transfer (Real)]]=0, 0, Table252930323640[[#This Row],[Regional Transfer (Real)]]+Table252930323640[[#This Row],[Stock Level  (West)]])</calculatedColumnFormula>
    </tableColumn>
  </tableColumns>
  <tableStyleInfo name="TableStyleMedium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A4AA3E10-1212-40BD-A8DA-5F21737A929C}" name="Table253345" displayName="Table253345" ref="B259:G304" totalsRowCount="1" headerRowDxfId="438" dataDxfId="437" dataCellStyle="Comma">
  <autoFilter ref="B259:G303" xr:uid="{CE5D1E8B-BECE-46AA-9C2D-43987CE31185}"/>
  <tableColumns count="6">
    <tableColumn id="1" xr3:uid="{3AF32E00-D8C8-49E7-9AAE-A16FEBB9CA6B}" name="Date" totalsRowLabel="Total" dataDxfId="436" totalsRowDxfId="435"/>
    <tableColumn id="2" xr3:uid="{AB28C357-AA37-4E0C-AC04-D08CC41A342C}" name="Stock Level  " dataDxfId="434" totalsRowDxfId="433" dataCellStyle="Comma">
      <calculatedColumnFormula>GETPIVOTDATA("STOCK_LEVEL", $B$5, "PRODUCT", $B$256, "INVENTORY_DATE", B260 )</calculatedColumnFormula>
    </tableColumn>
    <tableColumn id="3" xr3:uid="{06936197-8660-417E-B7B2-10C0073104ED}" name="Stock Change (t1-t0)" dataDxfId="432" totalsRowDxfId="431" dataCellStyle="Comma"/>
    <tableColumn id="4" xr3:uid="{F0A3820B-08CB-4773-B65B-792030FEA2F1}" name="Sales" dataDxfId="430" totalsRowDxfId="429" dataCellStyle="Comma">
      <calculatedColumnFormula>IFERROR(GETPIVOTDATA("QTY",$B$56,"PRODUCT_DESCRIPTION", $B$256, "SALES_ORDER_DATE",Table253345[[#This Row],[Date]]), 0)</calculatedColumnFormula>
    </tableColumn>
    <tableColumn id="5" xr3:uid="{C0894F97-B7FF-4F4F-9102-25D262D65523}" name="Purchase (Real)" totalsRowFunction="sum" dataDxfId="428" totalsRowDxfId="427" dataCellStyle="Comma">
      <calculatedColumnFormula>Table253345[[#This Row],[Stock Change (t1-t0)]]+Table253345[[#This Row],[Sales]]</calculatedColumnFormula>
    </tableColumn>
    <tableColumn id="6" xr3:uid="{41688951-2289-4C14-AB42-C230DF7C87C6}" name="Purchase (Target)" dataDxfId="426" totalsRowDxfId="425" dataCellStyle="Comma">
      <calculatedColumnFormula>IF(Table253345[[#This Row],[Purchase (Real)]]=0, 0, Table253345[[#This Row],[Purchase (Real)]]+C259)</calculatedColumnFormula>
    </tableColumn>
  </tableColumns>
  <tableStyleInfo name="TableStyleMedium4"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B31BB38-01F4-499F-8942-FE1A6DE7D10D}" name="Table25293446" displayName="Table25293446" ref="I259:N304" totalsRowCount="1" headerRowDxfId="424" dataDxfId="423" dataCellStyle="Comma">
  <autoFilter ref="I259:N303" xr:uid="{CA531CB1-27D3-4DF3-9146-6CBC45F8D0A6}"/>
  <tableColumns count="6">
    <tableColumn id="1" xr3:uid="{44DEE760-2B9C-4BB9-9A8C-FD1EB7F8B7AB}" name="Date" totalsRowLabel="Total" dataDxfId="422" totalsRowDxfId="421"/>
    <tableColumn id="2" xr3:uid="{26CC851A-C72C-4CC2-B4C5-EB13B46F2713}" name="Stock Level  (North)" dataDxfId="420" totalsRowDxfId="419" dataCellStyle="Comma">
      <calculatedColumnFormula>GETPIVOTDATA("STOCK_LEVEL", $B$5, "PRODUCT", $B$256, "INVENTORY_DATE", I260, "STORAGE_LOCATION_ID", "North" )</calculatedColumnFormula>
    </tableColumn>
    <tableColumn id="3" xr3:uid="{8419BC3D-02B2-4152-8169-D56553D23614}" name="Stock Change (t1-t0) (North)" dataDxfId="418" totalsRowDxfId="417" dataCellStyle="Comma"/>
    <tableColumn id="4" xr3:uid="{5C608672-2585-4DF9-A6D0-B68F0CCA7141}" name="Sales" dataDxfId="416" totalsRowDxfId="415" dataCellStyle="Comma">
      <calculatedColumnFormula>IFERROR(GETPIVOTDATA("QTY",$B$56,"PRODUCT_DESCRIPTION", $B$256, "SALES_ORDER_DATE",Table25293446[[#This Row],[Date]], "AREA_NAME", "North"), 0)</calculatedColumnFormula>
    </tableColumn>
    <tableColumn id="5" xr3:uid="{0BDF2F8A-1528-45C4-BD05-21BA6AB57959}" name="Regional Transfer (Real)" totalsRowFunction="custom" dataDxfId="414" totalsRowDxfId="413" dataCellStyle="Comma">
      <calculatedColumnFormula>Table25293446[[#This Row],[Stock Change (t1-t0) (North)]]+Table25293446[[#This Row],[Sales]]</calculatedColumnFormula>
      <totalsRowFormula array="1">COUNT(IF(Table25293446[Regional Transfer (Real)]&lt;&gt;0, Table25293446[Regional Transfer (Real)]))</totalsRowFormula>
    </tableColumn>
    <tableColumn id="6" xr3:uid="{C0A50972-0303-4B49-B5A9-B7A8C4D83B62}" name="Regional Transfer (Target)" dataDxfId="412" totalsRowDxfId="411" dataCellStyle="Comma">
      <calculatedColumnFormula>IF(Table25293446[[#This Row],[Regional Transfer (Real)]]=0, 0, Table25293446[[#This Row],[Regional Transfer (Real)]]+Table25293446[[#This Row],[Stock Level  (North)]])</calculatedColumnFormula>
    </tableColumn>
  </tableColumns>
  <tableStyleInfo name="TableStyleMedium4"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D3ED0122-2F74-4692-B62A-B6097784154E}" name="Table2529303547" displayName="Table2529303547" ref="P259:U304" totalsRowCount="1" headerRowDxfId="410" dataDxfId="409" dataCellStyle="Comma">
  <autoFilter ref="P259:U303" xr:uid="{17840261-A488-43C0-995A-FDFFEA48EF7A}"/>
  <tableColumns count="6">
    <tableColumn id="1" xr3:uid="{7A671F78-6BEB-40EE-8850-F8ACD382640A}" name="Date" totalsRowLabel="Total" dataDxfId="408" totalsRowDxfId="407"/>
    <tableColumn id="2" xr3:uid="{F0054BC6-122C-4F95-A557-4E67D1DACC29}" name="Stock Level  (South)" dataDxfId="406" totalsRowDxfId="405" dataCellStyle="Comma">
      <calculatedColumnFormula>GETPIVOTDATA("STOCK_LEVEL", $B$5, "PRODUCT", $B$256, "INVENTORY_DATE", P260, "STORAGE_LOCATION_ID", "South" )</calculatedColumnFormula>
    </tableColumn>
    <tableColumn id="3" xr3:uid="{A38D69EF-FEA6-4B5B-8614-284B1B4B7E26}" name="Stock Change (t1-t0) (South)" dataDxfId="404" totalsRowDxfId="403" dataCellStyle="Comma"/>
    <tableColumn id="4" xr3:uid="{AEDC7703-249D-45AF-AF93-65F7F1CEFC04}" name="Sales" dataDxfId="402" totalsRowDxfId="401" dataCellStyle="Comma">
      <calculatedColumnFormula>IFERROR(GETPIVOTDATA("QTY",$B$56,"PRODUCT_DESCRIPTION", $B$256, "SALES_ORDER_DATE",Table2529303547[[#This Row],[Date]], "AREA_NAME", "South"), 0)</calculatedColumnFormula>
    </tableColumn>
    <tableColumn id="5" xr3:uid="{EB6D6C3A-4779-48A1-8D7F-42CB26ADBCE0}" name="Regional Transfer (Real)" totalsRowFunction="custom" dataDxfId="400" totalsRowDxfId="399" dataCellStyle="Comma">
      <calculatedColumnFormula>Table2529303547[[#This Row],[Stock Change (t1-t0) (South)]]+Table2529303547[[#This Row],[Sales]]</calculatedColumnFormula>
      <totalsRowFormula array="1">COUNT(IF(T260:T303&lt;&gt;0, Table2529303547[Regional Transfer (Real)]))</totalsRowFormula>
    </tableColumn>
    <tableColumn id="6" xr3:uid="{EECC2DD1-4168-485B-B7A2-97BC947C5585}" name="Regional Transfer (Target)" dataDxfId="398" totalsRowDxfId="397" dataCellStyle="Comma">
      <calculatedColumnFormula>IF(Table2529303547[[#This Row],[Regional Transfer (Real)]]=0, 0, Table2529303547[[#This Row],[Regional Transfer (Real)]]+Table2529303547[[#This Row],[Stock Level  (South)]])</calculatedColumnFormula>
    </tableColumn>
  </tableColumns>
  <tableStyleInfo name="TableStyleMedium4"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7135081-4D5D-4936-97F9-00F18B125F30}" name="Table252930323648" displayName="Table252930323648" ref="W259:AB304" totalsRowCount="1" headerRowDxfId="396" dataDxfId="395" dataCellStyle="Comma">
  <autoFilter ref="W259:AB303" xr:uid="{8D18D711-5297-49AE-8CDB-2719F7DBB2B4}"/>
  <tableColumns count="6">
    <tableColumn id="1" xr3:uid="{C873800F-ABED-4450-AFBC-15DC3AB289CD}" name="Date" totalsRowLabel="Total" dataDxfId="394" totalsRowDxfId="393"/>
    <tableColumn id="2" xr3:uid="{82BB346B-7687-41D2-8019-93A47A13C834}" name="Stock Level  (West)" dataDxfId="392" totalsRowDxfId="391" dataCellStyle="Comma">
      <calculatedColumnFormula>GETPIVOTDATA("STOCK_LEVEL", $B$5, "PRODUCT", $B$256, "INVENTORY_DATE", W260, "STORAGE_LOCATION_ID", "West" )</calculatedColumnFormula>
    </tableColumn>
    <tableColumn id="3" xr3:uid="{D3BD0C9D-C351-4722-91D4-D256E11A9DF5}" name="Stock Change (t1-t0) (West)" dataDxfId="390" totalsRowDxfId="389" dataCellStyle="Comma"/>
    <tableColumn id="4" xr3:uid="{CA193870-5F2F-43DE-A3BA-C026E03707E8}" name="Sales" dataDxfId="388" totalsRowDxfId="387" dataCellStyle="Comma">
      <calculatedColumnFormula>IFERROR(GETPIVOTDATA("QTY",$B$56,"PRODUCT_DESCRIPTION", $B$256, "SALES_ORDER_DATE",Table252930323648[[#This Row],[Date]], "AREA_NAME", "West"), 0)</calculatedColumnFormula>
    </tableColumn>
    <tableColumn id="5" xr3:uid="{668F3138-CE3A-45B2-868C-2C35300890BA}" name="Regional Transfer (Real)" totalsRowFunction="custom" dataDxfId="386" totalsRowDxfId="385" dataCellStyle="Comma">
      <calculatedColumnFormula>Table252930323648[[#This Row],[Stock Change (t1-t0) (West)]]+Table252930323648[[#This Row],[Sales]]</calculatedColumnFormula>
      <totalsRowFormula array="1">COUNT(IF(AA260:AA303&lt;&gt;0, Table252930323648[Regional Transfer (Real)]))</totalsRowFormula>
    </tableColumn>
    <tableColumn id="6" xr3:uid="{77A9FD9D-70C1-4C3A-B4ED-234E6F537BE4}" name="Regional Transfer (Target)" dataDxfId="384" totalsRowDxfId="383" dataCellStyle="Comma">
      <calculatedColumnFormula>IF(Table252930323648[[#This Row],[Regional Transfer (Real)]]=0, 0, Table252930323648[[#This Row],[Regional Transfer (Real)]]+Table252930323648[[#This Row],[Stock Level  (West)]])</calculatedColumnFormula>
    </tableColumn>
  </tableColumns>
  <tableStyleInfo name="TableStyleMedium4"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42847D7C-6AAB-459E-8937-CF60C9659BD6}" name="Table253349" displayName="Table253349" ref="B362:G407" totalsRowCount="1" headerRowDxfId="382" dataDxfId="381" dataCellStyle="Comma">
  <autoFilter ref="B362:G406" xr:uid="{87F3F846-22CF-4F8A-8F49-B263433B34E1}"/>
  <tableColumns count="6">
    <tableColumn id="1" xr3:uid="{4B5E637F-3C9B-4FDD-96C8-9FA33103A156}" name="Date" totalsRowLabel="Total" dataDxfId="380" totalsRowDxfId="379"/>
    <tableColumn id="2" xr3:uid="{C503FAE5-4C69-4B71-9A0D-834598F73DF6}" name="Stock Level  " dataDxfId="378" totalsRowDxfId="377" dataCellStyle="Comma">
      <calculatedColumnFormula>GETPIVOTDATA("STOCK_LEVEL", $B$5, "PRODUCT", $B$359, "INVENTORY_DATE", B363 )</calculatedColumnFormula>
    </tableColumn>
    <tableColumn id="3" xr3:uid="{0839D816-08FB-4268-BDD8-07093C5B84D2}" name="Stock Change (t1-t0)" dataDxfId="376" totalsRowDxfId="375" dataCellStyle="Comma"/>
    <tableColumn id="4" xr3:uid="{3CA915AF-F91F-40D8-AF9E-AB7618275832}" name="Sales" dataDxfId="374" totalsRowDxfId="373" dataCellStyle="Comma">
      <calculatedColumnFormula>IFERROR(GETPIVOTDATA("QTY",$B$56,"PRODUCT_DESCRIPTION", $B$359, "SALES_ORDER_DATE",Table253349[[#This Row],[Date]]), 0)</calculatedColumnFormula>
    </tableColumn>
    <tableColumn id="5" xr3:uid="{4DFC0BB4-5115-4DDE-9690-BD92612AC78E}" name="Purchase (Real)" totalsRowFunction="sum" dataDxfId="372" totalsRowDxfId="371" dataCellStyle="Comma">
      <calculatedColumnFormula>Table253349[[#This Row],[Stock Change (t1-t0)]]+Table253349[[#This Row],[Sales]]</calculatedColumnFormula>
    </tableColumn>
    <tableColumn id="6" xr3:uid="{A8ED0392-89E3-4A97-BB49-C8FED567E3E3}" name="Purchase (Target)" dataDxfId="370" totalsRowDxfId="369" dataCellStyle="Comma">
      <calculatedColumnFormula>IF(Table253349[[#This Row],[Purchase (Real)]]=0, 0, Table253349[[#This Row],[Purchase (Real)]]+C362)</calculatedColumnFormula>
    </tableColumn>
  </tableColumns>
  <tableStyleInfo name="TableStyleMedium4"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A4AC3A4F-8845-4D2A-8F48-CDF9BA1F92DC}" name="Table25293450" displayName="Table25293450" ref="I362:N407" totalsRowCount="1" headerRowDxfId="368" dataDxfId="367" dataCellStyle="Comma">
  <autoFilter ref="I362:N406" xr:uid="{6709592B-50A9-483E-B3AB-0A2965C1FF13}"/>
  <tableColumns count="6">
    <tableColumn id="1" xr3:uid="{0EE0E8A2-C42D-4CD2-B956-7732201F3454}" name="Date" totalsRowLabel="Total" dataDxfId="366" totalsRowDxfId="365"/>
    <tableColumn id="2" xr3:uid="{5442BA0C-2DF3-424E-BA99-AD255E96F9F1}" name="Stock Level  (North)" dataDxfId="364" totalsRowDxfId="363" dataCellStyle="Comma">
      <calculatedColumnFormula>GETPIVOTDATA("STOCK_LEVEL", $B$5, "PRODUCT", $B$359, "INVENTORY_DATE", I363, "STORAGE_LOCATION_ID", "North" )</calculatedColumnFormula>
    </tableColumn>
    <tableColumn id="3" xr3:uid="{9CD05515-3F75-46F4-9A0D-EDF498602E9D}" name="Stock Change (t1-t0) (North)" dataDxfId="362" totalsRowDxfId="361" dataCellStyle="Comma"/>
    <tableColumn id="4" xr3:uid="{49D5E4B0-7383-4D5C-91EC-6EE6C0B6BFDC}" name="Sales" dataDxfId="360" totalsRowDxfId="359" dataCellStyle="Comma">
      <calculatedColumnFormula>IFERROR(GETPIVOTDATA("QTY",$B$56,"PRODUCT_DESCRIPTION", $B$359, "SALES_ORDER_DATE",Table25293450[[#This Row],[Date]], "AREA_NAME", "North"), 0)</calculatedColumnFormula>
    </tableColumn>
    <tableColumn id="5" xr3:uid="{5D4E0AEC-2DFD-4DBD-B801-8B4FE738A618}" name="Regional Transfer (Real)" totalsRowFunction="custom" dataDxfId="358" totalsRowDxfId="357" dataCellStyle="Comma">
      <calculatedColumnFormula>Table25293450[[#This Row],[Stock Change (t1-t0) (North)]]+Table25293450[[#This Row],[Sales]]</calculatedColumnFormula>
      <totalsRowFormula array="1">COUNT(IF(Table25293450[Regional Transfer (Real)]&lt;&gt;0, Table25293450[Regional Transfer (Real)]))</totalsRowFormula>
    </tableColumn>
    <tableColumn id="6" xr3:uid="{51041494-AC05-4AE7-9A8A-9A9C34577376}" name="Regional Transfer (Target)" dataDxfId="356" totalsRowDxfId="355" dataCellStyle="Comma">
      <calculatedColumnFormula>IF(Table25293450[[#This Row],[Regional Transfer (Real)]]=0, 0, Table25293450[[#This Row],[Regional Transfer (Real)]]+Table25293450[[#This Row],[Stock Level  (North)]])</calculatedColumnFormula>
    </tableColumn>
  </tableColumns>
  <tableStyleInfo name="TableStyleMedium4"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9D7A5EFB-A093-48BC-A130-F08F30B327FE}" name="Table2529303551" displayName="Table2529303551" ref="P362:U407" totalsRowCount="1" headerRowDxfId="354" dataDxfId="353" dataCellStyle="Comma">
  <autoFilter ref="P362:U406" xr:uid="{630E8BAB-4556-41B2-A481-C7F0AAEB1478}"/>
  <tableColumns count="6">
    <tableColumn id="1" xr3:uid="{8A0D4160-AD02-4DBC-A90B-6E6D6EEF1C69}" name="Date" totalsRowLabel="Total" dataDxfId="352" totalsRowDxfId="351"/>
    <tableColumn id="2" xr3:uid="{7225A8DB-AD4A-421D-AA41-6B37BB6DEAD2}" name="Stock Level  (South)" dataDxfId="350" totalsRowDxfId="349" dataCellStyle="Comma">
      <calculatedColumnFormula>GETPIVOTDATA("STOCK_LEVEL", $B$5, "PRODUCT", $B$359, "INVENTORY_DATE", P363, "STORAGE_LOCATION_ID", "South" )</calculatedColumnFormula>
    </tableColumn>
    <tableColumn id="3" xr3:uid="{C8C11155-0202-4CA1-B52C-21B1B518A46F}" name="Stock Change (t1-t0) (South)" dataDxfId="348" totalsRowDxfId="347" dataCellStyle="Comma"/>
    <tableColumn id="4" xr3:uid="{4D2170DD-A268-44C7-9A04-332FF924D19C}" name="Sales" dataDxfId="346" totalsRowDxfId="345" dataCellStyle="Comma">
      <calculatedColumnFormula>IFERROR(GETPIVOTDATA("QTY",$B$56,"PRODUCT_DESCRIPTION", $B$359, "SALES_ORDER_DATE",Table2529303551[[#This Row],[Date]], "AREA_NAME", "South"), 0)</calculatedColumnFormula>
    </tableColumn>
    <tableColumn id="5" xr3:uid="{3420B829-9809-4E94-96A1-1044F29E3D7B}" name="Regional Transfer (Real)" totalsRowFunction="custom" dataDxfId="344" totalsRowDxfId="343" dataCellStyle="Comma">
      <calculatedColumnFormula>Table2529303551[[#This Row],[Stock Change (t1-t0) (South)]]+Table2529303551[[#This Row],[Sales]]</calculatedColumnFormula>
      <totalsRowFormula array="1">COUNT(IF(T363:T406&lt;&gt;0, Table2529303551[Regional Transfer (Real)]))</totalsRowFormula>
    </tableColumn>
    <tableColumn id="6" xr3:uid="{0B72800D-89F6-4526-A7AE-A46D76B14494}" name="Regional Transfer (Target)" dataDxfId="342" totalsRowDxfId="341" dataCellStyle="Comma">
      <calculatedColumnFormula>IF(Table2529303551[[#This Row],[Regional Transfer (Real)]]=0, 0, Table2529303551[[#This Row],[Regional Transfer (Real)]]+Table2529303551[[#This Row],[Stock Level  (South)]])</calculatedColumnFormula>
    </tableColumn>
  </tableColumns>
  <tableStyleInfo name="TableStyleMedium4"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0E6A0DF-F877-4A80-8E27-61A30BD38FB3}" name="Table252930323652" displayName="Table252930323652" ref="W362:AB407" totalsRowCount="1" headerRowDxfId="340" dataDxfId="339" dataCellStyle="Comma">
  <autoFilter ref="W362:AB406" xr:uid="{B63BF340-58E1-4540-8489-9CDE14D2A6A9}"/>
  <tableColumns count="6">
    <tableColumn id="1" xr3:uid="{250DFC39-78D9-4DAD-AB5F-3F49BE685021}" name="Date" totalsRowLabel="Total" dataDxfId="338" totalsRowDxfId="337"/>
    <tableColumn id="2" xr3:uid="{DF36668B-729F-415C-8781-B6B0C646E412}" name="Stock Level  (West)" dataDxfId="336" totalsRowDxfId="335" dataCellStyle="Comma">
      <calculatedColumnFormula>GETPIVOTDATA("STOCK_LEVEL", $B$5, "PRODUCT", $B$359, "INVENTORY_DATE", W363, "STORAGE_LOCATION_ID", "West" )</calculatedColumnFormula>
    </tableColumn>
    <tableColumn id="3" xr3:uid="{B89809BC-8864-4136-AF6A-54FB944609DB}" name="Stock Change (t1-t0) (West)" dataDxfId="334" totalsRowDxfId="333" dataCellStyle="Comma"/>
    <tableColumn id="4" xr3:uid="{2AA2881E-61AC-4F8E-AC0D-8A709C653DCA}" name="Sales" dataDxfId="332" totalsRowDxfId="331" dataCellStyle="Comma">
      <calculatedColumnFormula>IFERROR(GETPIVOTDATA("QTY",$B$56,"PRODUCT_DESCRIPTION", $B$359, "SALES_ORDER_DATE",Table252930323652[[#This Row],[Date]], "AREA_NAME", "West"), 0)</calculatedColumnFormula>
    </tableColumn>
    <tableColumn id="5" xr3:uid="{9720ABE1-266B-47A5-843E-325A6FBB2DFA}" name="Regional Transfer (Real)" totalsRowFunction="custom" dataDxfId="330" totalsRowDxfId="329" dataCellStyle="Comma">
      <calculatedColumnFormula>Table252930323652[[#This Row],[Stock Change (t1-t0) (West)]]+Table252930323652[[#This Row],[Sales]]</calculatedColumnFormula>
      <totalsRowFormula array="1">COUNT(IF(AA363:AA406&lt;&gt;0, Table252930323652[Regional Transfer (Real)]))</totalsRowFormula>
    </tableColumn>
    <tableColumn id="6" xr3:uid="{3C048FC9-0BF4-496F-8436-4F41331284B6}" name="Regional Transfer (Target)" dataDxfId="328" totalsRowDxfId="327" dataCellStyle="Comma">
      <calculatedColumnFormula>IF(Table252930323652[[#This Row],[Regional Transfer (Real)]]=0, 0, Table252930323652[[#This Row],[Regional Transfer (Real)]]+Table252930323652[[#This Row],[Stock Level  (West)]])</calculatedColumnFormula>
    </tableColumn>
  </tableColumns>
  <tableStyleInfo name="TableStyleMedium4"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1679B4F-8154-4407-AC4F-F6904214D019}" name="Table25334953" displayName="Table25334953" ref="B310:G355" totalsRowCount="1" headerRowDxfId="326" dataDxfId="325" dataCellStyle="Comma">
  <autoFilter ref="B310:G354" xr:uid="{2E800621-B8A5-4A04-8676-094BB5FED67F}"/>
  <tableColumns count="6">
    <tableColumn id="1" xr3:uid="{48BDDEF8-4136-4772-A964-1F5AD20ACB84}" name="Date" totalsRowLabel="Total" dataDxfId="324" totalsRowDxfId="323"/>
    <tableColumn id="2" xr3:uid="{550E26EB-99BC-409D-8993-20407A87820B}" name="Stock Level  " dataDxfId="322" totalsRowDxfId="321" dataCellStyle="Comma">
      <calculatedColumnFormula>GETPIVOTDATA("STOCK_LEVEL", $B$5, "PRODUCT", $B$307, "INVENTORY_DATE", B311 )</calculatedColumnFormula>
    </tableColumn>
    <tableColumn id="3" xr3:uid="{A83E047F-D809-4890-A8BB-1A6E7D238C59}" name="Stock Change (t1-t0)" dataDxfId="320" totalsRowDxfId="319" dataCellStyle="Comma"/>
    <tableColumn id="4" xr3:uid="{63CF5CC0-A993-49C1-8427-683721A8313E}" name="Sales" dataDxfId="318" totalsRowDxfId="317" dataCellStyle="Comma">
      <calculatedColumnFormula>IFERROR(GETPIVOTDATA("QTY",$B$56,"PRODUCT_DESCRIPTION", $B$307, "SALES_ORDER_DATE",Table25334953[[#This Row],[Date]]), 0)</calculatedColumnFormula>
    </tableColumn>
    <tableColumn id="5" xr3:uid="{826C8A15-4E6A-42BF-8266-0C396A9737BB}" name="Purchase (Real)" totalsRowFunction="sum" dataDxfId="316" totalsRowDxfId="315" dataCellStyle="Comma">
      <calculatedColumnFormula>Table25334953[[#This Row],[Stock Change (t1-t0)]]+Table25334953[[#This Row],[Sales]]</calculatedColumnFormula>
    </tableColumn>
    <tableColumn id="6" xr3:uid="{B84447E1-1E29-4BEA-A8B7-FC39E604703F}" name="Purchase (Target)" dataDxfId="314" totalsRowDxfId="313" dataCellStyle="Comma">
      <calculatedColumnFormula>IF(Table25334953[[#This Row],[Purchase (Real)]]=0, 0, Table25334953[[#This Row],[Purchase (Real)]]+C310)</calculatedColumnFormula>
    </tableColumn>
  </tableColumns>
  <tableStyleInfo name="TableStyleMedium4"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D12C15DB-6AD1-4180-856C-8FA3302BDA93}" name="Table2529345054" displayName="Table2529345054" ref="I310:N355" totalsRowCount="1" headerRowDxfId="312" dataDxfId="311" dataCellStyle="Comma">
  <autoFilter ref="I310:N354" xr:uid="{63C5E02C-AC94-4674-B79A-F4BE9BB69785}"/>
  <tableColumns count="6">
    <tableColumn id="1" xr3:uid="{F19C1542-6193-4831-9302-6055BA3E5BD9}" name="Date" totalsRowLabel="Total" dataDxfId="310" totalsRowDxfId="309"/>
    <tableColumn id="2" xr3:uid="{FC2E0E7C-DF15-4DC4-B9B0-0475995C4F45}" name="Stock Level  (North)" dataDxfId="308" totalsRowDxfId="307" dataCellStyle="Comma">
      <calculatedColumnFormula>GETPIVOTDATA("STOCK_LEVEL", $B$5, "PRODUCT", $B$307, "INVENTORY_DATE", I311, "STORAGE_LOCATION_ID", "North" )</calculatedColumnFormula>
    </tableColumn>
    <tableColumn id="3" xr3:uid="{9B9619F4-5BE0-4310-AEE3-60B088D4AA22}" name="Stock Change (t1-t0) (North)" dataDxfId="306" totalsRowDxfId="305" dataCellStyle="Comma"/>
    <tableColumn id="4" xr3:uid="{6B038886-AE05-4499-90A1-F36BDED9A28C}" name="Sales" dataDxfId="304" totalsRowDxfId="303" dataCellStyle="Comma">
      <calculatedColumnFormula>IFERROR(GETPIVOTDATA("QTY",$B$56,"PRODUCT_DESCRIPTION", $B$307, "SALES_ORDER_DATE",Table2529345054[[#This Row],[Date]], "AREA_NAME", "North"), 0)</calculatedColumnFormula>
    </tableColumn>
    <tableColumn id="5" xr3:uid="{4585DAFF-CBE8-406F-8DA6-C26E7C5F0012}" name="Regional Transfer (Real)" totalsRowFunction="custom" dataDxfId="302" totalsRowDxfId="301" dataCellStyle="Comma">
      <calculatedColumnFormula>Table2529345054[[#This Row],[Stock Change (t1-t0) (North)]]+Table2529345054[[#This Row],[Sales]]</calculatedColumnFormula>
      <totalsRowFormula array="1">COUNT(IF(Table2529345054[Regional Transfer (Real)]&lt;&gt;0, Table2529345054[Regional Transfer (Real)]))</totalsRowFormula>
    </tableColumn>
    <tableColumn id="6" xr3:uid="{29EE4713-2FFD-4222-9C54-E2A349980B0F}" name="Regional Transfer (Target)" dataDxfId="300" totalsRowDxfId="299" dataCellStyle="Comma">
      <calculatedColumnFormula>IF(Table2529345054[[#This Row],[Regional Transfer (Real)]]=0, 0, Table2529345054[[#This Row],[Regional Transfer (Real)]]+Table2529345054[[#This Row],[Stock Level  (North)]])</calculatedColumnFormula>
    </tableColumn>
  </tableColumns>
  <tableStyleInfo name="TableStyleMedium4"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584DD3AE-6A4A-4979-9CB8-2C2A74EDE866}" name="Table252930355155" displayName="Table252930355155" ref="P310:U355" totalsRowCount="1" headerRowDxfId="298" dataDxfId="297" dataCellStyle="Comma">
  <autoFilter ref="P310:U354" xr:uid="{8220938C-E85F-4995-8A1E-0C0BF3637EB1}"/>
  <tableColumns count="6">
    <tableColumn id="1" xr3:uid="{17A0C3A4-809C-45BC-A43E-56498E67FF13}" name="Date" totalsRowLabel="Total" dataDxfId="296" totalsRowDxfId="295"/>
    <tableColumn id="2" xr3:uid="{A02C2A32-85BB-44C3-8BC7-5A11802CE2CF}" name="Stock Level  (South)" dataDxfId="294" totalsRowDxfId="293" dataCellStyle="Comma">
      <calculatedColumnFormula>GETPIVOTDATA("STOCK_LEVEL", $B$5, "PRODUCT", $B$307, "INVENTORY_DATE", P311, "STORAGE_LOCATION_ID", "South" )</calculatedColumnFormula>
    </tableColumn>
    <tableColumn id="3" xr3:uid="{0FAD057E-F3A9-46A8-83F2-BA2BB0020B50}" name="Stock Change (t1-t0) (South)" dataDxfId="292" totalsRowDxfId="291" dataCellStyle="Comma"/>
    <tableColumn id="4" xr3:uid="{39169590-8330-4C70-A4FD-5C8348A93813}" name="Sales" dataDxfId="290" totalsRowDxfId="289" dataCellStyle="Comma">
      <calculatedColumnFormula>IFERROR(GETPIVOTDATA("QTY",$B$56,"PRODUCT_DESCRIPTION", $B$307, "SALES_ORDER_DATE",Table252930355155[[#This Row],[Date]], "AREA_NAME", "South"), 0)</calculatedColumnFormula>
    </tableColumn>
    <tableColumn id="5" xr3:uid="{C7760B5B-2CDE-45BF-AD08-316179A552B2}" name="Regional Transfer (Real)" totalsRowFunction="custom" dataDxfId="288" totalsRowDxfId="287" dataCellStyle="Comma">
      <calculatedColumnFormula>Table252930355155[[#This Row],[Stock Change (t1-t0) (South)]]+Table252930355155[[#This Row],[Sales]]</calculatedColumnFormula>
      <totalsRowFormula array="1">COUNT(IF(T311:T354&lt;&gt;0, Table252930355155[Regional Transfer (Real)]))</totalsRowFormula>
    </tableColumn>
    <tableColumn id="6" xr3:uid="{38388E42-5905-493A-B20E-9E609653B870}" name="Regional Transfer (Target)" dataDxfId="286" totalsRowDxfId="285" dataCellStyle="Comma">
      <calculatedColumnFormula>IF(Table252930355155[[#This Row],[Regional Transfer (Real)]]=0, 0, Table252930355155[[#This Row],[Regional Transfer (Real)]]+Table252930355155[[#This Row],[Stock Level  (South)]])</calculatedColumnFormula>
    </tableColumn>
  </tableColumns>
  <tableStyleInfo name="TableStyleMedium4"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119A603-6A40-457B-B7C9-61E0EBD62E01}" name="Table25293032365256" displayName="Table25293032365256" ref="W310:AB355" totalsRowCount="1" headerRowDxfId="284" dataDxfId="283" dataCellStyle="Comma">
  <autoFilter ref="W310:AB354" xr:uid="{3BFDA5A9-3EA6-4260-9851-B2B981A569E7}"/>
  <tableColumns count="6">
    <tableColumn id="1" xr3:uid="{D1C05D9A-C68D-499C-A22F-71957764075B}" name="Date" totalsRowLabel="Total" dataDxfId="282" totalsRowDxfId="281"/>
    <tableColumn id="2" xr3:uid="{C1BD8FBB-6AE1-4054-9026-0CF4E344E99C}" name="Stock Level  (West)" dataDxfId="280" totalsRowDxfId="279" dataCellStyle="Comma">
      <calculatedColumnFormula>GETPIVOTDATA("STOCK_LEVEL", $B$5, "PRODUCT", $B$307, "INVENTORY_DATE", W311, "STORAGE_LOCATION_ID", "West" )</calculatedColumnFormula>
    </tableColumn>
    <tableColumn id="3" xr3:uid="{F3145AF4-6EA4-4306-A052-B587761929EC}" name="Stock Change (t1-t0) (West)" dataDxfId="278" totalsRowDxfId="277" dataCellStyle="Comma"/>
    <tableColumn id="4" xr3:uid="{E3E5D3FF-5F4F-4856-9EA6-FD1560613CC0}" name="Sales" dataDxfId="276" totalsRowDxfId="275" dataCellStyle="Comma">
      <calculatedColumnFormula>IFERROR(GETPIVOTDATA("QTY",$B$56,"PRODUCT_DESCRIPTION", $B$307, "SALES_ORDER_DATE",Table25293032365256[[#This Row],[Date]], "AREA_NAME", "West"), 0)</calculatedColumnFormula>
    </tableColumn>
    <tableColumn id="5" xr3:uid="{327BEC1F-5A65-4657-B6FF-32F81F007F6A}" name="Regional Transfer (Real)" totalsRowFunction="custom" dataDxfId="274" totalsRowDxfId="273" dataCellStyle="Comma">
      <calculatedColumnFormula>Table25293032365256[[#This Row],[Stock Change (t1-t0) (West)]]+Table25293032365256[[#This Row],[Sales]]</calculatedColumnFormula>
      <totalsRowFormula array="1">COUNT(IF(AA311:AA354&lt;&gt;0, Table25293032365256[Regional Transfer (Real)]))</totalsRowFormula>
    </tableColumn>
    <tableColumn id="6" xr3:uid="{AE33ECD8-74AA-4DFA-ADA8-A5239D0026F6}" name="Regional Transfer (Target)" dataDxfId="272" totalsRowDxfId="271" dataCellStyle="Comma">
      <calculatedColumnFormula>IF(Table25293032365256[[#This Row],[Regional Transfer (Real)]]=0, 0, Table25293032365256[[#This Row],[Regional Transfer (Real)]]+Table25293032365256[[#This Row],[Stock Level  (West)]])</calculatedColumnFormula>
    </tableColumn>
  </tableColumns>
  <tableStyleInfo name="TableStyleMedium4"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134AF39-9356-4D7C-99E2-264C8E61681F}" name="Table20" displayName="Table20" ref="B465:E687" totalsRowShown="0" headerRowDxfId="270">
  <autoFilter ref="B465:E687" xr:uid="{565E87BB-CB12-434B-9294-E17E00E399F5}"/>
  <tableColumns count="4">
    <tableColumn id="3" xr3:uid="{8DE981CA-5DF2-4124-AD44-50D643BDA647}" name="Date" dataDxfId="269"/>
    <tableColumn id="1" xr3:uid="{683C5B86-5896-47E1-9112-E9FF488F141B}" name="Product" dataDxfId="268"/>
    <tableColumn id="2" xr3:uid="{E90648D6-E14A-4C1F-A3F8-347C0EA9ABF6}" name="Region" dataDxfId="267"/>
    <tableColumn id="4" xr3:uid="{1D537347-E1A8-4CBC-B40D-74A04AE1E8E2}" name="Quantity" dataDxfId="266"/>
  </tableColumns>
  <tableStyleInfo name="TableStyleMedium1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5E63D0-D919-4BB6-B4CA-2027940BD79E}" name="Table4" displayName="Table4" ref="P465:W469" totalsRowCount="1" headerRowDxfId="265" dataDxfId="264">
  <autoFilter ref="P465:W468" xr:uid="{316297A2-1ED3-4753-A07D-C8A7C34F5982}"/>
  <tableColumns count="8">
    <tableColumn id="1" xr3:uid="{1E56C233-6623-4FCF-9494-51A47020AC45}" name="Region" totalsRowLabel="Product Average" dataDxfId="263" totalsRowDxfId="262"/>
    <tableColumn id="2" xr3:uid="{E478BB44-9926-4A48-B3D1-98836915917C}" name="Butter" totalsRowFunction="average" dataDxfId="261" totalsRowDxfId="260"/>
    <tableColumn id="3" xr3:uid="{283B8FDB-0786-4393-A6DD-7782A0846068}" name="Cheese" totalsRowFunction="average" dataDxfId="259" totalsRowDxfId="258"/>
    <tableColumn id="4" xr3:uid="{1E133332-BB19-464F-9911-B69E2DD74179}" name="Cream" totalsRowFunction="average" dataDxfId="257" totalsRowDxfId="256"/>
    <tableColumn id="5" xr3:uid="{703E4039-E8EF-46E8-859C-43CDD351B17E}" name="Ice Cream" totalsRowFunction="average" dataDxfId="255" totalsRowDxfId="254"/>
    <tableColumn id="6" xr3:uid="{FEB85B73-CD97-41AE-BF64-B957D65C1485}" name="Milk" totalsRowFunction="average" dataDxfId="253" totalsRowDxfId="252"/>
    <tableColumn id="7" xr3:uid="{49747889-BA18-4950-87EB-B79CD0C0BFBE}" name="Yoghurt" totalsRowFunction="average" dataDxfId="251" totalsRowDxfId="250"/>
    <tableColumn id="8" xr3:uid="{9B337B14-13B4-460D-B895-DFE4AC4D995F}" name="Regional Average" totalsRowFunction="custom" dataDxfId="249" totalsRowDxfId="248" dataCellStyle="Comma" totalsRowCellStyle="Comma">
      <calculatedColumnFormula>AVERAGE(Table4[[#This Row],[Butter]:[Yoghurt]])</calculatedColumnFormula>
      <totalsRowFormula>AVERAGE(Table4[[Butter]:[Yoghurt]])</totalsRowFormula>
    </tableColumn>
  </tableColumns>
  <tableStyleInfo name="TableStyleMedium11"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F48975-F1BB-4D0F-A828-BC2FA65BBFCE}" name="Table5" displayName="Table5" ref="P472:S484" totalsRowShown="0" headerRowDxfId="247">
  <autoFilter ref="P472:S484" xr:uid="{EDA5FE6A-E025-454E-899D-7686706191F6}"/>
  <tableColumns count="4">
    <tableColumn id="1" xr3:uid="{DA2C5B65-7F5A-4333-B882-C44BEFA34492}" name="Column1" dataDxfId="246"/>
    <tableColumn id="2" xr3:uid="{769622C6-E11C-4A02-A2BE-86F535D0B8A9}" name="Value"/>
    <tableColumn id="3" xr3:uid="{8DE20864-CFE5-49E3-B393-9CF711453F60}" name="Abs(difference)" dataDxfId="245">
      <calculatedColumnFormula>ABS(Table5[[#This Row],[Value]])</calculatedColumnFormula>
    </tableColumn>
    <tableColumn id="4" xr3:uid="{15D2F4D5-C330-409F-B84B-93F6D30884E7}" name="Alert" dataDxfId="244"/>
  </tableColumns>
  <tableStyleInfo name="TableStyleMedium11" showFirstColumn="1"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3AED726C-82B2-4788-90F1-17015047D791}" name="Table59" displayName="Table59" ref="R413:S418" headerRowCount="0" totalsRowShown="0" headerRowDxfId="243" dataDxfId="242">
  <tableColumns count="2">
    <tableColumn id="1" xr3:uid="{BD5D00BD-7B0C-4087-BA5C-4917856CDDF4}" name="Column1" headerRowDxfId="241" dataDxfId="240"/>
    <tableColumn id="2" xr3:uid="{596C7C8F-8A09-47BF-8C77-7ECF3D990CEB}" name="Column2" headerRowDxfId="239" dataDxfId="238">
      <calculatedColumnFormula>GETPIVOTDATA("Real Purchase",$I$433,"Product",$S$414)</calculatedColumnFormula>
    </tableColumn>
  </tableColumns>
  <tableStyleInfo name="TableStyleMedium11" showFirstColumn="1"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DC1169C-8D74-41FC-A892-78DAE133021A}" name="Table22" displayName="Table22" ref="B413:G449" totalsRowShown="0" headerRowDxfId="237" dataDxfId="236" dataCellStyle="Comma">
  <autoFilter ref="B413:G449" xr:uid="{A375FC01-A258-44DE-8800-1824335508F7}"/>
  <tableColumns count="6">
    <tableColumn id="1" xr3:uid="{CD659E29-9C17-4A33-9F80-C2BEC648049F}" name="Round" dataDxfId="235" dataCellStyle="Comma"/>
    <tableColumn id="2" xr3:uid="{67F606F1-F92F-4D34-B5E8-E54E85C5F6F6}" name="Day" dataDxfId="234" dataCellStyle="Comma"/>
    <tableColumn id="3" xr3:uid="{2EA5CE23-A20E-45A8-BDC5-A132CFB272C1}" name="Product" dataDxfId="233"/>
    <tableColumn id="4" xr3:uid="{8BB9FA46-24AE-4E0C-AB4F-9BE56CACC171}" name="Date" dataDxfId="232"/>
    <tableColumn id="5" xr3:uid="{84795C54-1059-47BA-BAD6-4F6E13085ADE}" name="Real Purchase" dataDxfId="231" dataCellStyle="Comma"/>
    <tableColumn id="6" xr3:uid="{D1F4462F-E7AF-454B-A689-7354C7FA1296}" name="Target Pruchase Level" dataDxfId="230" dataCellStyle="Comma"/>
  </tableColumns>
  <tableStyleInfo name="TableStyleMedium1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7DC85548-11C3-5C4E-9A33-1BACF0735A9D}" name="Table65" displayName="Table65" ref="P486:X498" totalsRowShown="0" headerRowDxfId="229" dataDxfId="228">
  <autoFilter ref="P486:X498" xr:uid="{E56F5241-5D76-934C-9EC8-487258B89B41}"/>
  <tableColumns count="9">
    <tableColumn id="9" xr3:uid="{9A7B6A40-40C6-344F-AF6B-02C0A3951889}" name="Lookup Help Column" dataDxfId="227">
      <calculatedColumnFormula>Table65[[#This Row],[Region]]&amp;Table65[[#This Row],[Round]]</calculatedColumnFormula>
    </tableColumn>
    <tableColumn id="1" xr3:uid="{7C691D80-F1A6-CA49-B60A-A456E4E05FE2}" name="Region" dataDxfId="226"/>
    <tableColumn id="2" xr3:uid="{399530F0-B898-1941-8E9F-033A0C8DBC2E}" name="Round" dataDxfId="225"/>
    <tableColumn id="3" xr3:uid="{EAD89FE1-F6B7-BC41-89C7-A224E8BA2F19}" name="Butter" dataDxfId="224"/>
    <tableColumn id="4" xr3:uid="{8B2B15BC-4C53-724D-847B-0D4F211BAF7B}" name="Cheese" dataDxfId="223"/>
    <tableColumn id="5" xr3:uid="{F799CDCC-EBFB-4544-9708-560A99EE70B3}" name="Cream" dataDxfId="222"/>
    <tableColumn id="6" xr3:uid="{C670019A-4F8C-8D4B-950A-BAD77EB37630}" name="Ice Cream" dataDxfId="221"/>
    <tableColumn id="7" xr3:uid="{8A022142-92BE-6C44-9CA0-7E8651765F46}" name="Milk" dataDxfId="220"/>
    <tableColumn id="8" xr3:uid="{AAE70E5C-24C3-8948-A2B3-54C94F3143FB}" name="Yoghurt" dataDxfId="219"/>
  </tableColumns>
  <tableStyleInfo name="TableStyleMedium11" showFirstColumn="1"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8F7FC1-D6F3-5B4A-AA41-6D619D8F9711}" name="Table2" displayName="Table2" ref="B53:T98" totalsRowCount="1" dataCellStyle="Comma">
  <autoFilter ref="B53:T97" xr:uid="{E6DF43A4-F7FD-CA41-9137-970965DE9635}">
    <filterColumn colId="1">
      <filters>
        <filter val="01/01"/>
        <filter val="01/02"/>
        <filter val="01/03"/>
        <filter val="01/04"/>
        <filter val="01/05"/>
        <filter val="01/06"/>
        <filter val="01/07"/>
        <filter val="01/08"/>
        <filter val="01/09"/>
        <filter val="01/10"/>
        <filter val="02/01"/>
        <filter val="02/02"/>
        <filter val="02/03"/>
        <filter val="02/04"/>
        <filter val="02/05"/>
        <filter val="02/06"/>
        <filter val="02/07"/>
        <filter val="02/08"/>
        <filter val="02/09"/>
        <filter val="02/10"/>
        <filter val="03/01"/>
        <filter val="03/02"/>
        <filter val="03/03"/>
        <filter val="03/04"/>
        <filter val="03/05"/>
        <filter val="03/06"/>
        <filter val="03/07"/>
        <filter val="03/08"/>
        <filter val="03/09"/>
        <filter val="03/10"/>
        <filter val="04/01"/>
        <filter val="04/02"/>
        <filter val="04/03"/>
        <filter val="04/04"/>
        <filter val="04/05"/>
        <filter val="04/06"/>
        <filter val="04/07"/>
        <filter val="04/08"/>
        <filter val="04/09"/>
        <filter val="04/10"/>
      </filters>
    </filterColumn>
  </autoFilter>
  <sortState xmlns:xlrd2="http://schemas.microsoft.com/office/spreadsheetml/2017/richdata2" ref="C54:G96">
    <sortCondition ref="C53:C96"/>
  </sortState>
  <tableColumns count="19">
    <tableColumn id="9" xr3:uid="{4941E98E-B10D-49C1-B483-DDFCBE29FA15}" name="Round" dataDxfId="193" dataCellStyle="Comma"/>
    <tableColumn id="1" xr3:uid="{797E1FE2-6226-B843-865D-C11110E932A1}" name="Order date" totalsRowLabel="Total" dataDxfId="192" totalsRowDxfId="191" dataCellStyle="Comma"/>
    <tableColumn id="2" xr3:uid="{E6201CA5-1356-A24C-83C2-036B5B07BA25}" name="Sales" totalsRowFunction="sum" totalsRowDxfId="190" dataCellStyle="Comma">
      <calculatedColumnFormula>IFERROR(GETPIVOTDATA("QTY",$B$3,"PRODUCT_DESCRIPTION",$B$51,"AREA_NAME",$C$51,"SALES_ORDER_DATE",C54), 0)</calculatedColumnFormula>
    </tableColumn>
    <tableColumn id="3" xr3:uid="{FD11CC86-0B91-024C-80C3-BEEEBECEC9B8}" name="Price" totalsRowFunction="custom" dataDxfId="189" totalsRowDxfId="188" dataCellStyle="Comma">
      <calculatedColumnFormula>IFERROR(GETPIVOTDATA("PRICE",$B$3,"PRODUCT_DESCRIPTION",$B$51,"AREA_NAME",$C$51,"SALES_ORDER_DATE",C54), 0)</calculatedColumnFormula>
      <totalsRowFormula array="1">AVERAGE(IF(E54:E97&lt;&gt;0, E54:E97))</totalsRowFormula>
    </tableColumn>
    <tableColumn id="6" xr3:uid="{A305B1B1-6A45-EE4D-BC99-0CF675E30863}" name="Revenue" totalsRowFunction="custom" dataDxfId="187" totalsRowDxfId="186" dataCellStyle="Comma">
      <calculatedColumnFormula>Table2[[#This Row],[Sales]]*Table2[[#This Row],[Price]]</calculatedColumnFormula>
      <totalsRowFormula>SUM(Table2[Revenue])/COUNTIF(Table2[Revenue], "&lt;&gt;0")</totalsRowFormula>
    </tableColumn>
    <tableColumn id="8" xr3:uid="{5E68517D-3A3C-0F44-9AAF-F62040BE352F}" name="Stock Level" totalsRowFunction="custom" dataCellStyle="Comma">
      <calculatedColumnFormula array="1">GETPIVOTDATA("STOCK_LEVEL", Historical_Stock!$B$5, "PRODUCT", Table8[Product], "STORAGE_LOCATION_ID", Table8[Region], "INVENTORY_DATE", Table2[[#This Row],[Order date]])</calculatedColumnFormula>
      <totalsRowFormula>COUNTIF(Table2[Revenue], "&lt;&gt;0")</totalsRowFormula>
    </tableColumn>
    <tableColumn id="20" xr3:uid="{9A0D6AC8-DE36-40FB-9CC9-0F060657B082}" name="Transfer In" dataDxfId="185" totalsRowDxfId="184" dataCellStyle="Comma">
      <calculatedColumnFormula array="1">IFERROR(GETPIVOTDATA("Quantity", Historical_Stock!$G$465,  "Product", Table8[Product], "Area", Table8[Region], "Date", Table2[[#This Row],[Order date]]), 0)</calculatedColumnFormula>
    </tableColumn>
    <tableColumn id="21" xr3:uid="{33D095B7-3CF8-4C8C-83B9-140BD093C1B9}" name="Purchase" dataDxfId="183" totalsRowDxfId="182" dataCellStyle="Comma">
      <calculatedColumnFormula array="1">IFERROR(GETPIVOTDATA("Real Purchase", Historical_Stock!$I$414, "Product", Table8[Product], "Date", Table2[[#This Row],[Order date]]), 0)</calculatedColumnFormula>
    </tableColumn>
    <tableColumn id="24" xr3:uid="{20387C2B-B7FD-47C8-B778-C1E12786D0F2}" name="Transfer (Dummy)" totalsRowFunction="sum" dataDxfId="181" totalsRowDxfId="180" dataCellStyle="Comma">
      <calculatedColumnFormula>IF(Table2[[#This Row],[Transfer In]]=0, 0, 1)</calculatedColumnFormula>
    </tableColumn>
    <tableColumn id="25" xr3:uid="{FDA3CD4B-E32E-43A6-9E77-278A8BDDA9B6}" name="Purchase (Dummy)" totalsRowFunction="custom" dataDxfId="179" totalsRowDxfId="178" dataCellStyle="Comma">
      <calculatedColumnFormula>IF(Table2[[#This Row],[Purchase]]=0, 0, -1)</calculatedColumnFormula>
      <totalsRowFormula>-SUBTOTAL(109,Table2[Purchase (Dummy)])</totalsRowFormula>
    </tableColumn>
    <tableColumn id="4" xr3:uid="{F99FC664-0370-0746-88DB-C64818C54490}" name="Inventory shortage" totalsRowFunction="sum" dataDxfId="177" totalsRowDxfId="176" dataCellStyle="Comma">
      <calculatedColumnFormula>IF(AND(Table2[[#This Row],[Stock Level]]=Table2[[#This Row],[Sales]], Table2[[#This Row],[Stock Level]]&lt;&gt;0), 1, 0)</calculatedColumnFormula>
    </tableColumn>
    <tableColumn id="7" xr3:uid="{206FCD82-86FE-464C-B74B-307B69EC2E01}" name="No Inventory" totalsRowFunction="sum" dataDxfId="175" totalsRowDxfId="174" dataCellStyle="Comma">
      <calculatedColumnFormula>IF(Table2[[#This Row],[Stock Level]]=0, 1, 0)</calculatedColumnFormula>
    </tableColumn>
    <tableColumn id="5" xr3:uid="{C01BA8B8-6EF1-4AC3-8568-FB3D2ABE9D5F}" name="Normal Inventory" totalsRowFunction="sum" dataDxfId="173" totalsRowDxfId="172" dataCellStyle="Comma">
      <calculatedColumnFormula>1-(Table2[[#This Row],[Inventory shortage]]+Table2[[#This Row],[No Inventory]])</calculatedColumnFormula>
    </tableColumn>
    <tableColumn id="13" xr3:uid="{EE41B288-C598-49C6-992C-592B3708DE01}" name="Inventory shortage (Help)" dataDxfId="171" totalsRowDxfId="170" dataCellStyle="Comma">
      <calculatedColumnFormula>-Table2[[#This Row],[Inventory shortage]]</calculatedColumnFormula>
    </tableColumn>
    <tableColumn id="14" xr3:uid="{7683DBA2-BA55-4474-98A8-87866F4B5AE8}" name="No Inventory (Help)" dataDxfId="169" totalsRowDxfId="168" dataCellStyle="Comma">
      <calculatedColumnFormula>-Table2[[#This Row],[No Inventory]]</calculatedColumnFormula>
    </tableColumn>
    <tableColumn id="15" xr3:uid="{4699C91B-8B38-4BC4-BC25-C759025A03F2}" name="Normal Inventory (Help)" dataDxfId="167" totalsRowDxfId="166" dataCellStyle="Comma">
      <calculatedColumnFormula>-Table2[[#This Row],[Normal Inventory]]</calculatedColumnFormula>
    </tableColumn>
    <tableColumn id="10" xr3:uid="{748B6974-9E95-4276-8024-D54DBD65331C}" name="No Inventory (MW)" totalsRowFunction="sum" dataDxfId="165" totalsRowDxfId="164" dataCellStyle="Comma">
      <calculatedColumnFormula array="1">IF(GETPIVOTDATA("STOCK_LEVEL", Historical_Stock!$B$5, "PRODUCT", Table8[Product], "STORAGE_LOCATION_ID", "Main Warehouse", "INVENTORY_DATE", Table2[[#This Row],[Order date]])=0, 1, 0)</calculatedColumnFormula>
    </tableColumn>
    <tableColumn id="11" xr3:uid="{D2EFA9B4-962F-4C1C-8CC1-714136A14D70}" name="Purchase Manager" totalsRowFunction="sum" dataDxfId="163" totalsRowDxfId="162" dataCellStyle="Comma">
      <calculatedColumnFormula>IF(AND(Table2[[#This Row],[Inventory shortage]]=1, Table2[[#This Row],[No Inventory (MW)]]=1), 1, 0)</calculatedColumnFormula>
    </tableColumn>
    <tableColumn id="12" xr3:uid="{01F4F281-B766-44F7-A77C-5F7EEFB8AB54}" name="Logistics Manager" totalsRowFunction="sum" dataDxfId="161" totalsRowDxfId="160" dataCellStyle="Comma">
      <calculatedColumnFormula>IF(AND(Table2[[#This Row],[Normal Inventory]]=0, Table2[[#This Row],[Purchase Manager]]=0), 1, 0)</calculatedColumnFormula>
    </tableColumn>
  </tableColumns>
  <tableStyleInfo name="TableStyleMedium1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C77A02-F87F-9542-AABF-7871C393A604}" name="Table8" displayName="Table8" ref="B50:C51" totalsRowShown="0" headerRowDxfId="159" dataDxfId="158">
  <autoFilter ref="B50:C51" xr:uid="{81FF4A88-3234-3E4D-842B-F31277FE9D25}">
    <filterColumn colId="0" hiddenButton="1"/>
    <filterColumn colId="1" hiddenButton="1"/>
  </autoFilter>
  <tableColumns count="2">
    <tableColumn id="1" xr3:uid="{2F0DD2E3-2156-164D-85ED-EDACC133F5EE}" name="Product" dataDxfId="157">
      <calculatedColumnFormula>Dashboard!D7</calculatedColumnFormula>
    </tableColumn>
    <tableColumn id="2" xr3:uid="{112E8743-CFEF-D545-A199-916B56C903C1}" name="Region" dataDxfId="156">
      <calculatedColumnFormula>Dashboard!D9</calculatedColumnFormula>
    </tableColumn>
  </tableColumns>
  <tableStyleInfo name="TableStyleMedium4"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FB33FB-C862-4687-85F9-1B54D7D996A7}" name="Table1" displayName="Table1" ref="B103:G147" totalsRowShown="0">
  <autoFilter ref="B103:G147" xr:uid="{838BD64A-BC3D-4FF3-8E69-2CDA84B3186E}"/>
  <sortState xmlns:xlrd2="http://schemas.microsoft.com/office/spreadsheetml/2017/richdata2" ref="B104:G147">
    <sortCondition descending="1" ref="C103:C147"/>
  </sortState>
  <tableColumns count="6">
    <tableColumn id="3" xr3:uid="{E9E45A60-F804-496C-8130-768880CD6872}" name="Revenue" dataDxfId="155" dataCellStyle="Comma">
      <calculatedColumnFormula>IFERROR(C104*D104, NA())</calculatedColumnFormula>
    </tableColumn>
    <tableColumn id="1" xr3:uid="{D6156FC2-5EA8-448C-A89E-4F8214B4B9B6}" name="Price" dataDxfId="154">
      <calculatedColumnFormula>IF(OR(E54=0, L54=1), NA(), E54)</calculatedColumnFormula>
    </tableColumn>
    <tableColumn id="2" xr3:uid="{A7D08AB8-D3C6-47A3-9A61-770AB91CDA34}" name="Sales" dataDxfId="153">
      <calculatedColumnFormula>IF(OR(D54=0, L54=1), NA(), D54)</calculatedColumnFormula>
    </tableColumn>
    <tableColumn id="6" xr3:uid="{DE66DF14-EC67-4BE7-BF43-70F063326B12}" name="Maximum Revenue" dataDxfId="152" dataCellStyle="Comma">
      <calculatedColumnFormula array="1">IF(MAX(IF(ISNUMBER(Table1[Revenue]), Table1[Revenue]))=Table1[[#This Row],[Revenue]], Table1[[#This Row],[Revenue]], NA())</calculatedColumnFormula>
    </tableColumn>
    <tableColumn id="7" xr3:uid="{7BE8B63F-D84D-41A4-BF0C-B58D588C8AD9}" name="Corresponding price" dataDxfId="151">
      <calculatedColumnFormula>VLOOKUP(E104, Table1[], 2, 0)</calculatedColumnFormula>
    </tableColumn>
    <tableColumn id="8" xr3:uid="{B5C007AC-AA11-46D8-9E62-42C15754D5DF}" name="Correpsonding sales" dataDxfId="150">
      <calculatedColumnFormula>VLOOKUP(E104, Table1[], 3, 0)</calculatedColumnFormula>
    </tableColumn>
  </tableColumns>
  <tableStyleInfo name="TableStyleMedium1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3828299-3910-4A60-AD36-B3BECAD65225}" name="Table18" displayName="Table18" ref="I152:L158" totalsRowShown="0" headerRowDxfId="149">
  <autoFilter ref="I152:L158" xr:uid="{96322028-38EF-45C2-9434-7174891BF63D}"/>
  <tableColumns count="4">
    <tableColumn id="1" xr3:uid="{E8DAD3C5-87B4-4737-8E5C-C5CA737B3C95}" name="Product" dataDxfId="148"/>
    <tableColumn id="2" xr3:uid="{35FBFAFB-C81F-45AE-9328-397C3A47639B}" name="Quantity sold">
      <calculatedColumnFormula>GETPIVOTDATA("QTY", $B$152, "PRODUCT_DESCRIPTION", $I153)</calculatedColumnFormula>
    </tableColumn>
    <tableColumn id="3" xr3:uid="{AAEC8E9E-CBA6-4A87-B930-01D9D33DBA9B}" name="Revenue">
      <calculatedColumnFormula>GETPIVOTDATA("Revenue", $B$152, "PRODUCT_DESCRIPTION", $I153)</calculatedColumnFormula>
    </tableColumn>
    <tableColumn id="4" xr3:uid="{DC9B6C39-CD06-47D0-824B-C2A24D1537BC}" name="Profit">
      <calculatedColumnFormula>GETPIVOTDATA("PROFIT", $B$152, "PRODUCT_DESCRIPTION", $I153)</calculatedColumnFormula>
    </tableColumn>
  </tableColumns>
  <tableStyleInfo name="TableStyleMedium1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9E5E769-4AB3-44ED-97B1-B701BB81F5CF}" name="Table10" displayName="Table10" ref="I163:L165" totalsRowShown="0" headerRowDxfId="147" dataDxfId="146">
  <autoFilter ref="I163:L165" xr:uid="{D9FA2317-8DC4-4CA8-9C9D-0A9391957511}"/>
  <tableColumns count="4">
    <tableColumn id="2" xr3:uid="{001471FE-A660-455C-8EFE-4585B5B8AB6A}" name="Sales" dataDxfId="145">
      <calculatedColumnFormula>VLOOKUP(MAX(C152:C157), IF({1,0}, C152:C157, $B$153:$B$158), 2, 0)</calculatedColumnFormula>
    </tableColumn>
    <tableColumn id="3" xr3:uid="{F8901D8A-4350-42A8-A7CF-5012ACDE1C6A}" name="Revenue" dataDxfId="144">
      <calculatedColumnFormula>VLOOKUP(MAX(D153:D158), IF({1,0}, D153:D158, $B$153:$B$158), 2, 0)</calculatedColumnFormula>
    </tableColumn>
    <tableColumn id="5" xr3:uid="{6F86D99A-1FB5-4CE1-B25A-E72BD5DB6E79}" name="Profit Margin" dataDxfId="143">
      <calculatedColumnFormula>VLOOKUP(MAX(F153:F158), IF({1,0}, F153:F158, $B$153:$B$158), 2, 0)</calculatedColumnFormula>
    </tableColumn>
    <tableColumn id="6" xr3:uid="{8CD11C48-4EE1-4274-9E7E-64FF7E9F2F88}" name="Unit Cost" dataDxfId="142"/>
  </tableColumns>
  <tableStyleInfo name="TableStyleMedium1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55A8DBD-25CE-4C90-A91C-E855A85998D8}" name="Table12" displayName="Table12" ref="V53:X56" totalsRowShown="0">
  <autoFilter ref="V53:X56" xr:uid="{8CE780BA-8C79-4E7C-97B8-A3CA0740F763}"/>
  <tableColumns count="3">
    <tableColumn id="1" xr3:uid="{15CB4D6D-1377-447C-B543-5F3C27FB6629}" name="Role" dataDxfId="141"/>
    <tableColumn id="2" xr3:uid="{CAA3A572-CBF7-44B2-8321-87B87625B896}" name="Perventage"/>
    <tableColumn id="3" xr3:uid="{A58A4F72-C6AC-4B0D-B8B8-A1B94A3B2F8F}" name="Estimated loss breakdown" dataDxfId="140">
      <calculatedColumnFormula>W54*$X$54</calculatedColumnFormula>
    </tableColumn>
  </tableColumns>
  <tableStyleInfo name="TableStyleMedium1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5B1A392-0ACB-44E6-932F-042B02A61292}" name="Table13" displayName="Table13" ref="V58:Y62" totalsRowShown="0" headerRowDxfId="139">
  <autoFilter ref="V58:Y62" xr:uid="{16066805-E249-4D74-A22E-8A3E9CF3DA45}"/>
  <tableColumns count="4">
    <tableColumn id="1" xr3:uid="{FD4C390F-A356-4345-B25B-9041F4F60723}" name="Inventory status" dataDxfId="138"/>
    <tableColumn id="2" xr3:uid="{D4332B31-5328-4C35-9D9A-23675D745741}" name="Number of days" dataDxfId="137"/>
    <tableColumn id="4" xr3:uid="{EB41494C-9512-40A1-83FB-C990AC36DD9B}" name="Column2" dataDxfId="136">
      <calculatedColumnFormula>IF(Table13[[#This Row],[Number of days]]=44, 0, Table13[[#This Row],[Number of days]])</calculatedColumnFormula>
    </tableColumn>
    <tableColumn id="3" xr3:uid="{B6F6FE57-9257-47AA-96B5-1E861C604839}" name="Column1" dataDxfId="135">
      <calculatedColumnFormula>IF($W$59=40, "", Table13[[#This Row],[Number of days]]&amp;"/40")</calculatedColumnFormula>
    </tableColumn>
  </tableColumns>
  <tableStyleInfo name="TableStyleMedium1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5E5BF5F-89EA-45FB-B316-19F9083F898B}" name="Table15" displayName="Table15" ref="N138:U142" totalsRowShown="0" headerRowDxfId="134" dataDxfId="133">
  <autoFilter ref="N138:U142" xr:uid="{421FA8A6-D214-40CE-9278-862D86D6BED7}"/>
  <tableColumns count="8">
    <tableColumn id="9" xr3:uid="{8B9C1BFE-BE78-4233-A0F9-2CABE2C4B6FE}" name="Date" dataDxfId="132">
      <calculatedColumnFormula>VLOOKUP(Table15[[#This Row],[ Revenue]], IF({1,0}, Table2[Revenue], Table2[Order date]), 2, 0)</calculatedColumnFormula>
    </tableColumn>
    <tableColumn id="1" xr3:uid="{66E8FDB0-B76A-4039-ACC2-D841528AD5B6}" name="Indicator" dataDxfId="131"/>
    <tableColumn id="2" xr3:uid="{5D79EF15-A0A0-4D96-B486-4AD49F9CA01A}" name=" Revenue" dataDxfId="130"/>
    <tableColumn id="3" xr3:uid="{05C23005-09C0-479B-9D65-0A48558BC3FF}" name=" Sales" dataDxfId="129"/>
    <tableColumn id="4" xr3:uid="{72D43EA0-34ED-4ACA-9AD8-DB5C34DFC4A0}" name=" Price " dataDxfId="128"/>
    <tableColumn id="6" xr3:uid="{A24BF6B0-7D07-44D9-A97B-8A3AEA2B785C}" name="Difference" dataDxfId="127"/>
    <tableColumn id="7" xr3:uid="{372F8DC3-7A59-422D-8B83-42717E907A44}" name="Remark" dataDxfId="126"/>
    <tableColumn id="8" xr3:uid="{826C52F9-6E9A-440C-B5EA-84096D60CFFF}" name="absolute value" dataDxfId="125"/>
  </tableColumns>
  <tableStyleInfo name="TableStyleMedium1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DD040-EFFA-4E77-B7E0-8E6F76C30D63}" name="Table16" displayName="Table16" ref="I103:L148" totalsRowCount="1" headerRowDxfId="124">
  <autoFilter ref="I103:L147" xr:uid="{7152B451-AFDB-4E8A-A4A6-4A69651BBD5B}"/>
  <tableColumns count="4">
    <tableColumn id="1" xr3:uid="{F45590FE-ED03-4529-93B5-646BF1CB518B}" name="Minimum price" totalsRowFunction="sum"/>
    <tableColumn id="2" xr3:uid="{72E75D41-998C-4A4D-8228-B4AD34FD481F}" name="Minimum price -corresponding sales" totalsRowFunction="custom">
      <calculatedColumnFormula>IFERROR(VLOOKUP($I$104, C104:D104, 2, 0), "")</calculatedColumnFormula>
      <totalsRowFormula>AVERAGE(Table16[Minimum price -corresponding sales])</totalsRowFormula>
    </tableColumn>
    <tableColumn id="3" xr3:uid="{CDA3535B-CD9F-495C-BD1E-D1E461806D1D}" name="Maximum price" totalsRowFunction="sum"/>
    <tableColumn id="4" xr3:uid="{900281D8-ED7F-42E2-A352-F90D25BA15E6}" name="Maximum price - corresponding sales" totalsRowFunction="average">
      <calculatedColumnFormula>IFERROR(VLOOKUP($K$104, C104:D104, 2, 0), "")</calculatedColumnFormula>
    </tableColumn>
  </tableColumns>
  <tableStyleInfo name="TableStyleMedium1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F5D787-7272-454E-85C6-DD05EE09692D}" name="Table19" displayName="Table19" ref="N103:O111" headerRowCount="0" totalsRowShown="0" headerRowDxfId="123">
  <tableColumns count="2">
    <tableColumn id="1" xr3:uid="{AEF13086-3DA8-4373-9709-248D8C4542B0}" name="Price Elasticity 1" headerRowDxfId="122"/>
    <tableColumn id="2" xr3:uid="{D3E533CA-49DC-4AF7-89B1-2ED1BFE18E32}" name="Column1" headerRowDxfId="121"/>
  </tableColumns>
  <tableStyleInfo name="TableStyleMedium11" showFirstColumn="1"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F166F6-797F-4C49-A486-A505566003F6}" name="Table24" displayName="Table24" ref="N117:U121" totalsRowCount="1" headerRowDxfId="120" dataDxfId="119" headerRowCellStyle="Comma" dataCellStyle="Comma" totalsRowCellStyle="Comma">
  <autoFilter ref="N117:U120" xr:uid="{001B62F7-87D6-40A8-BEC2-A413C162A8FE}"/>
  <tableColumns count="8">
    <tableColumn id="1" xr3:uid="{64BC82E6-1DB0-4D81-89B4-0C0B3D073ECA}" name="Region" totalsRowLabel="Product Average" dataDxfId="118" totalsRowDxfId="117" dataCellStyle="Comma" totalsRowCellStyle="Comma"/>
    <tableColumn id="2" xr3:uid="{FAC66462-F704-436F-B685-7138F558E3A7}" name="Butter" totalsRowFunction="average" dataDxfId="116" totalsRowDxfId="115" dataCellStyle="Comma" totalsRowCellStyle="Comma"/>
    <tableColumn id="3" xr3:uid="{B80BB013-C81D-4233-AEFD-FC34A8F31AEA}" name="Cheese" totalsRowFunction="average" dataDxfId="114" totalsRowDxfId="113" dataCellStyle="Comma" totalsRowCellStyle="Comma"/>
    <tableColumn id="4" xr3:uid="{37190CEF-9A30-4E31-8E7B-87BA66C13EF4}" name="Cream" totalsRowFunction="average" dataDxfId="112" totalsRowDxfId="111" dataCellStyle="Comma" totalsRowCellStyle="Comma"/>
    <tableColumn id="5" xr3:uid="{B69DD605-B8CA-4B79-8946-4440DBCF4DDF}" name="Ice Cream" totalsRowFunction="average" dataDxfId="110" totalsRowDxfId="109" dataCellStyle="Comma" totalsRowCellStyle="Comma"/>
    <tableColumn id="6" xr3:uid="{29A912BF-1DC3-44F5-9CE7-CE0AFD30EDE4}" name="Milk" totalsRowFunction="average" dataDxfId="108" totalsRowDxfId="107" dataCellStyle="Comma" totalsRowCellStyle="Comma"/>
    <tableColumn id="7" xr3:uid="{B661FC8D-4605-4064-8A8A-F0295EC1B38B}" name="Yoghurt" totalsRowFunction="average" dataDxfId="106" totalsRowDxfId="105" dataCellStyle="Comma" totalsRowCellStyle="Comma"/>
    <tableColumn id="8" xr3:uid="{C96F51AE-1770-4BA0-A612-75FFBF299512}" name="Regional Average" totalsRowFunction="average" dataDxfId="104" totalsRowDxfId="103" dataCellStyle="Comma" totalsRowCellStyle="Comma">
      <calculatedColumnFormula>AVERAGE(Table24[[#This Row],[Butter]:[Yoghurt]])</calculatedColumnFormula>
    </tableColumn>
  </tableColumns>
  <tableStyleInfo name="TableStyleMedium11" showFirstColumn="0"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4DB7817-AB3A-404D-92A7-1FFE81B0273E}" name="Table26" displayName="Table26" ref="N113:O113" headerRowCount="0" totalsRowShown="0" headerRowDxfId="102" dataDxfId="101">
  <tableColumns count="2">
    <tableColumn id="1" xr3:uid="{B3D121E2-AF06-46B9-97ED-825C20286B89}" name="Column1" headerRowDxfId="100" dataDxfId="99"/>
    <tableColumn id="2" xr3:uid="{BBE9CF01-E609-447C-ACC9-349414AA9517}" name="Column2" headerRowDxfId="98" dataDxfId="97">
      <calculatedColumnFormula>Dashboard!D7</calculatedColumnFormula>
    </tableColumn>
  </tableColumns>
  <tableStyleInfo name="TableStyleMedium11" showFirstColumn="1"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4D0318B-D9D2-4851-B744-031D2431FFF4}" name="Table27" displayName="Table27" ref="N123:Q127" totalsRowCount="1" headerRowDxfId="96" dataDxfId="95">
  <autoFilter ref="N123:Q126" xr:uid="{809C7A29-6D18-49CD-8458-755946E8DBDA}"/>
  <tableColumns count="4">
    <tableColumn id="1" xr3:uid="{58D5B5E5-5AB6-4471-AFB8-050F64F797D4}" name="Region" totalsRowLabel="Total" dataDxfId="94" totalsRowDxfId="93" dataCellStyle="Comma" totalsRowCellStyle="Comma"/>
    <tableColumn id="2" xr3:uid="{435539AC-457E-4A2A-AEB8-BFFAF9716A59}" name="PED" dataDxfId="92" totalsRowDxfId="91" dataCellStyle="Comma" totalsRowCellStyle="Comma">
      <calculatedColumnFormula array="1">IF(Table27[[#This Row],[Region]]=Table30[[#All],[Column2]], NA(), HLOOKUP($O$113, Table24[#All], MATCH(N124, Table24[[#All],[Region]], 0), 0))</calculatedColumnFormula>
    </tableColumn>
    <tableColumn id="8" xr3:uid="{449C6CD9-DDDF-4C44-8312-B8A7EA3EFAA1}" name="Cross-region comparison" dataDxfId="90" totalsRowDxfId="89" dataCellStyle="Comma" totalsRowCellStyle="Comma">
      <calculatedColumnFormula array="1">IF(Table27[[#This Row],[Region]]=Table30[[#All],[Column2]], HLOOKUP($O$113, Table24[#All], MATCH(N124, Table24[[#All],[Region]], 0), 0), NA())</calculatedColumnFormula>
    </tableColumn>
    <tableColumn id="9" xr3:uid="{E1529088-9933-4D91-A6C4-7C53A96A7F86}" name="Product Average" dataDxfId="88" totalsRowDxfId="87" dataCellStyle="Comma" totalsRowCellStyle="Comma">
      <calculatedColumnFormula>SUMIF(Table27[[PED]:[Cross-region comparison]], "&lt;&gt;#N/A")/COUNTIF(Table27[[PED]:[Cross-region comparison]], "&lt;&gt;#N/A")</calculatedColumnFormula>
    </tableColumn>
  </tableColumns>
  <tableStyleInfo name="TableStyleMedium1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E17ECB91-2C6A-46CD-9615-25A9CB050300}" name="Table30" displayName="Table30" ref="N114:O114" headerRowCount="0" totalsRowShown="0" headerRowDxfId="86" dataDxfId="85">
  <tableColumns count="2">
    <tableColumn id="1" xr3:uid="{E962C1CA-6E1F-49C8-AF38-22819870518C}" name="Column1" headerRowDxfId="84" dataDxfId="83"/>
    <tableColumn id="2" xr3:uid="{7AA94CBD-6F1E-42BC-993B-8C0DE1E396A9}" name="Column2" headerRowDxfId="82" dataDxfId="81">
      <calculatedColumnFormula>Dashboard!D9</calculatedColumnFormula>
    </tableColumn>
  </tableColumns>
  <tableStyleInfo name="TableStyleMedium11" showFirstColumn="1"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7BF2C05E-F47C-4869-988F-25A8A03C367D}" name="Table41" displayName="Table41" ref="N129:Q136" totalsRowCount="1" headerRowDxfId="80" dataCellStyle="Comma">
  <autoFilter ref="N129:Q135" xr:uid="{6234AEB0-F966-467B-A6C6-D5031CDE1FAE}"/>
  <sortState xmlns:xlrd2="http://schemas.microsoft.com/office/spreadsheetml/2017/richdata2" ref="N130:O135">
    <sortCondition descending="1" ref="O129:O135"/>
  </sortState>
  <tableColumns count="4">
    <tableColumn id="1" xr3:uid="{02BFDFEA-7847-4D1D-8FAB-FE98023EB547}" name="Product" totalsRowLabel="Total" dataDxfId="79" totalsRowDxfId="78" dataCellStyle="Comma"/>
    <tableColumn id="2" xr3:uid="{F87C646C-EF82-4C5B-B072-7E17AED769A3}" name="PED" dataDxfId="77" totalsRowDxfId="76" dataCellStyle="Comma">
      <calculatedColumnFormula array="1">IF(Table41[[#This Row],[Product]]=Table26[[#All],[Column2]], NA(), VLOOKUP($O$114, Table24[#All], MATCH(N130, Table24[#Headers], 0), 0))</calculatedColumnFormula>
    </tableColumn>
    <tableColumn id="4" xr3:uid="{01936F10-BDDC-46C1-B9EF-430448C570CD}" name="Cross-product comparison" dataDxfId="75" dataCellStyle="Comma">
      <calculatedColumnFormula array="1">IF(Table41[[#This Row],[Product]]=Table26[[#All],[Column2]], VLOOKUP($O$114, Table24[#All], MATCH(N130, Table24[#Headers], 0), 0), NA())</calculatedColumnFormula>
    </tableColumn>
    <tableColumn id="5" xr3:uid="{A2763A05-922F-4DFC-8737-6C8385D7A036}" name="Regional Average" dataDxfId="74" dataCellStyle="Comma">
      <calculatedColumnFormula>SUMIF(Table41[[PED]:[Cross-product comparison]], "&lt;&gt;#N/A")/COUNTIF(Table41[[PED]:[Cross-product comparison]], "&lt;&gt;#N/A")</calculatedColumnFormula>
    </tableColumn>
  </tableColumns>
  <tableStyleInfo name="TableStyleMedium1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D4BE17D2-C098-4A8D-A72C-D936BBC26B39}" name="Table66" displayName="Table66" ref="B174:D175" totalsRowShown="0" headerRowDxfId="73" dataDxfId="72">
  <autoFilter ref="B174:D175" xr:uid="{79D5D6E7-63B2-446E-B89E-A65AE87A7500}"/>
  <tableColumns count="3">
    <tableColumn id="1" xr3:uid="{B666E1C4-A467-4EAC-903A-07A1B30C9145}" name="Inventory level" dataDxfId="71">
      <calculatedColumnFormula>Dashboard!L21</calculatedColumnFormula>
    </tableColumn>
    <tableColumn id="2" xr3:uid="{14521F4C-A507-42DD-86BB-EBFE4189BE4F}" name="Indicator" dataDxfId="70">
      <calculatedColumnFormula>Dashboard!L19</calculatedColumnFormula>
    </tableColumn>
    <tableColumn id="3" xr3:uid="{737646F6-EDE1-4937-BBDC-5E2D74FF4A1B}" name="Date of purchase" dataDxfId="69">
      <calculatedColumnFormula>Dashboard!O19</calculatedColumnFormula>
    </tableColumn>
  </tableColumns>
  <tableStyleInfo name="TableStyleMedium1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EAA718B6-D1FC-41F3-BDBA-A26BA553D9B1}" name="Table67" displayName="Table67" ref="B189:E195" totalsRowShown="0" headerRowDxfId="68">
  <autoFilter ref="B189:E195" xr:uid="{1424C81A-2B9B-4210-B2C8-262A10147FDC}"/>
  <tableColumns count="4">
    <tableColumn id="1" xr3:uid="{F13A58B2-0A67-4855-B03C-D4E60A68EEBA}" name="Higher/Lower" dataDxfId="67" dataCellStyle="Comma">
      <calculatedColumnFormula>IF(OR(H180="Lower than target", H180="Higher than target"), G180, NA())</calculatedColumnFormula>
    </tableColumn>
    <tableColumn id="2" xr3:uid="{01DBBE17-4759-4D6A-9D30-5B24E2FEBF86}" name="On Target" dataDxfId="66" dataCellStyle="Comma">
      <calculatedColumnFormula>IF(H180="On target", G180, NA())</calculatedColumnFormula>
    </tableColumn>
    <tableColumn id="3" xr3:uid="{96BE1B7B-B358-487E-A1D7-CE76F5484355}" name="Allowed Error">
      <calculatedColumnFormula>Dashboard!$O$21</calculatedColumnFormula>
    </tableColumn>
    <tableColumn id="4" xr3:uid="{4D0C8981-FC28-4E8A-BBCB-9E7D8AB7B64D}" name="Allowed Error(-)">
      <calculatedColumnFormula>-Table67[[#This Row],[Allowed Error]]</calculatedColumnFormula>
    </tableColumn>
  </tableColumns>
  <tableStyleInfo name="TableStyleMedium1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940469CB-B328-42A1-8647-2E57E75AD9EA}" name="Table68" displayName="Table68" ref="B179:H185" totalsRowShown="0" headerRowDxfId="65">
  <autoFilter ref="B179:H185" xr:uid="{2330017E-FAA3-4795-8B46-813C84F32870}"/>
  <tableColumns count="7">
    <tableColumn id="1" xr3:uid="{3B1867E1-34E1-4C25-863C-197F6B2B2A68}" name="Product" dataDxfId="64"/>
    <tableColumn id="2" xr3:uid="{89D352A9-B854-4E27-B951-B880D370F071}" name="Prescriptive Target (%)" dataDxfId="63">
      <calculatedColumnFormula>VLOOKUP($B180, Table18[#All], MATCH(C$175, Table18[#Headers], 0), 0)</calculatedColumnFormula>
    </tableColumn>
    <tableColumn id="3" xr3:uid="{48F7BDDD-D298-4CA7-B5B7-F249676C407F}" name="Past Decision (%)" dataDxfId="62">
      <calculatedColumnFormula>F180/SUM($F$180:$F$185)</calculatedColumnFormula>
    </tableColumn>
    <tableColumn id="4" xr3:uid="{5F76BFED-187D-4CDC-BEBB-A79461FBF48E}" name="Prescriptive Target (Qty)" dataDxfId="61" dataCellStyle="Comma">
      <calculatedColumnFormula>C180*$B$175</calculatedColumnFormula>
    </tableColumn>
    <tableColumn id="5" xr3:uid="{4DC79F10-A868-425E-936B-D7DCC75350A8}" name="Past Decision (Qty)" dataDxfId="60">
      <calculatedColumnFormula>GETPIVOTDATA("Target Pruchase Level",Historical_Stock!$I$423,"Product",Sales!B180,"Date",Sales!$D$175)</calculatedColumnFormula>
    </tableColumn>
    <tableColumn id="6" xr3:uid="{B838389B-A710-4302-AD63-2C46584325D9}" name="Difference" dataDxfId="59">
      <calculatedColumnFormula>E180-F180</calculatedColumnFormula>
    </tableColumn>
    <tableColumn id="7" xr3:uid="{7E58156B-C667-4B7C-BCC2-605592C92CE2}" name="Alert">
      <calculatedColumnFormula array="1">_xlfn.IFS(G180&gt;Dashboard!$O$21, "Lower than target",AND(G180&gt;-Dashboard!$O$21, G180&lt;Dashboard!$O$21), "On target", G180&lt;-Dashboard!$O$21, "Higher than target")</calculatedColumnFormula>
    </tableColumn>
  </tableColumns>
  <tableStyleInfo name="TableStyleMedium1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69FAB50-2952-3A4D-8816-ABD082D07683}" name="Table6" displayName="Table6" ref="V67:W71" totalsRowShown="0">
  <autoFilter ref="V67:W71" xr:uid="{18E6B816-399D-FA49-9FA5-41CAEE20D907}"/>
  <tableColumns count="2">
    <tableColumn id="1" xr3:uid="{2FE744A0-008A-B14A-8970-4883E2E41C99}" name="Inventory Diagonostics" dataDxfId="58"/>
    <tableColumn id="2" xr3:uid="{B84465B8-E538-6D49-8238-95D52C835EC3}" name="Percentage" dataDxfId="57" dataCellStyle="Per cent"/>
  </tableColumns>
  <tableStyleInfo name="TableStyleMedium1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B211E4-F1B6-41AB-B891-918E137CB3BE}" name="Table3" displayName="Table3" ref="B64:F69">
  <autoFilter ref="B64:F69" xr:uid="{CE5EEFBB-2678-4AEE-BDFF-DF29C7AE6D4D}"/>
  <tableColumns count="5">
    <tableColumn id="1" xr3:uid="{14FB4F6C-E228-49A4-ACB9-EDA94F2366A5}" name="Round" totalsRowLabel="5"/>
    <tableColumn id="2" xr3:uid="{0619956C-BEF9-4C8E-BF8A-FEC37100AB72}" name="Series 1 (All rounds figure )" totalsRowFunction="custom" dataDxfId="55" totalsRowDxfId="54">
      <totalsRowFormula>_xlfn.FORECAST.LINEAR(#REF!, Table3[Series 1 (All rounds figure )], Table3[Round])</totalsRowFormula>
    </tableColumn>
    <tableColumn id="3" xr3:uid="{F7119FBA-8E4A-4270-AE3B-64CDB4427FF3}" name="Series 2 (Specif figure filtered by slicer )" dataDxfId="53" totalsRowDxfId="52"/>
    <tableColumn id="6" xr3:uid="{4A34950E-A024-405E-9B76-30B513A7D426}" name="Series 3 (Forecasted value)" dataDxfId="51" totalsRowDxfId="50"/>
    <tableColumn id="5" xr3:uid="{D1F4B3BB-95F8-4615-88A5-BFF3842FA2C2}" name="Round-on-Round Growth Rate" dataDxfId="49">
      <calculatedColumnFormula>(Table3[[#This Row],[Series 1 (All rounds figure )]]-C64)/C64</calculatedColumnFormula>
    </tableColumn>
  </tableColumns>
  <tableStyleInfo name="TableStyleMedium1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4FBBC6C-C89D-4B35-B63A-1A4D7D98EA44}" name="Table14" displayName="Table14" ref="B62:C62" headerRowCount="0" totalsRowShown="0">
  <tableColumns count="2">
    <tableColumn id="1" xr3:uid="{0D9BD880-9A43-4761-A232-476E9B910D6E}" name="Column1"/>
    <tableColumn id="2" xr3:uid="{BC37C3CF-615D-4595-9176-29C79F531ABC}" name="Column2" headerRowDxfId="48" dataDxfId="47">
      <calculatedColumnFormula>GETPIVOTDATA("ABS_EUROS",$B$39,"ACCOUNT_TYPE_1","P&amp;L")</calculatedColumnFormula>
    </tableColumn>
  </tableColumns>
  <tableStyleInfo name="TableStyleMedium11" showFirstColumn="1"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1390B35-27AB-4061-99AA-7970B07DEBE1}" name="Table318" displayName="Table318" ref="H64:L69" totalsRowShown="0">
  <autoFilter ref="H64:L69" xr:uid="{4A761D39-0DFF-44A1-BE5F-5DA280E375E7}"/>
  <tableColumns count="5">
    <tableColumn id="1" xr3:uid="{13B24FD6-E230-4A06-96FE-D44CDA142019}" name="Round"/>
    <tableColumn id="2" xr3:uid="{51C19DAA-4E1B-470F-B275-B9D7C50AE277}" name="Revenue" dataDxfId="46">
      <calculatedColumnFormula>GETPIVOTDATA("ABS_EUROS",$B$4,"SIM_ROUND",Table318[[#This Row],[Round]],"ACCOUNT_TYPE_2","Sales Revenues ")</calculatedColumnFormula>
    </tableColumn>
    <tableColumn id="3" xr3:uid="{C535D614-C90B-437A-9D77-56B63A1F8048}" name="Help Column" dataDxfId="45">
      <calculatedColumnFormula array="1">IF(Table23[[#All],[Column2]]=Table318[[#This Row],[Revenue]], Table318[[#This Row],[Revenue]], NA())</calculatedColumnFormula>
    </tableColumn>
    <tableColumn id="4" xr3:uid="{55F10069-AA82-411A-80D2-A584C1F81E59}" name="Round-on-Round Growth Rate"/>
    <tableColumn id="5" xr3:uid="{8436655C-8878-459A-BDAC-6A51A6773AB7}" name="Forecatsed Value"/>
  </tableColumns>
  <tableStyleInfo name="TableStyleMedium11"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3B2CB3-2CEE-45A4-BC46-0165C64DB398}" name="Table23" displayName="Table23" ref="H62:I62" headerRowCount="0" totalsRowShown="0">
  <tableColumns count="2">
    <tableColumn id="1" xr3:uid="{20729420-AA3A-43ED-BEA6-276038076FAD}" name="Column1"/>
    <tableColumn id="2" xr3:uid="{BA53427F-FF8D-4FE8-B62A-9207D1A649EA}" name="Column2" headerRowDxfId="44" dataDxfId="43">
      <calculatedColumnFormula>GETPIVOTDATA("ABS_EUROS",$B$39, "ACCOUNT_TYPE_2","Sales Revenues ")</calculatedColumnFormula>
    </tableColumn>
  </tableColumns>
  <tableStyleInfo name="TableStyleMedium11" showFirstColumn="1"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D47E2A9-2D3B-4245-AB94-904F5CBEC8BF}" name="Table31841" displayName="Table31841" ref="N64:R69" totalsRowShown="0" headerRowDxfId="42" dataDxfId="41">
  <autoFilter ref="N64:R69" xr:uid="{3ADFD690-E5E8-4370-9BAF-9720694D19F5}"/>
  <tableColumns count="5">
    <tableColumn id="1" xr3:uid="{277B9D85-70EA-4BB1-AA52-423012FED1EB}" name="Round" dataDxfId="40"/>
    <tableColumn id="2" xr3:uid="{C49CC1DA-F6C1-43BA-B606-968D50431BFA}" name="Cost" dataDxfId="39">
      <calculatedColumnFormula>GETPIVOTDATA("ABS_EUROS",$B$4,"SIM_ROUND",Table31841[[#This Row],[Round]], "ACCOUNT_TYPE_2","Goods Sold")+GETPIVOTDATA("ABS_EUROS",$B$4,"SIM_ROUND",Table31841[[#This Row],[Round]], "ACCOUNT_TYPE_2","Operating expenses")</calculatedColumnFormula>
    </tableColumn>
    <tableColumn id="3" xr3:uid="{E5D505A1-09F3-4C27-A273-B2D6A5674F53}" name="Help Column" dataDxfId="38">
      <calculatedColumnFormula>IF($O$62=Table31841[[#This Row],[Cost]], Table31841[[#This Row],[Cost]], NA())</calculatedColumnFormula>
    </tableColumn>
    <tableColumn id="4" xr3:uid="{2C3922F1-1ABF-4E70-BB1F-8C82CE12F204}" name="Round-on-Round Growth Rate" dataDxfId="37">
      <calculatedColumnFormula>(Table318[[#This Row],[Revenue]]-O64)/O64</calculatedColumnFormula>
    </tableColumn>
    <tableColumn id="5" xr3:uid="{838BBE35-D376-4AB7-AD06-F657AF1F6AFF}" name="Forecatsed Value" dataDxfId="36"/>
  </tableColumns>
  <tableStyleInfo name="TableStyleMedium1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D394A0B-39D2-4464-A897-74C130E0CEEA}" name="Table42" displayName="Table42" ref="B71:E74" totalsRowShown="0">
  <autoFilter ref="B71:E74" xr:uid="{B1099D39-450F-4B78-9879-79FEC5545380}"/>
  <tableColumns count="4">
    <tableColumn id="1" xr3:uid="{C9AB5A5B-28F1-44BB-A9A7-E2EF2642FA92}" name="Method"/>
    <tableColumn id="2" xr3:uid="{56818EF9-2CC5-4575-9A01-252303C0BFD1}" name="Input Value"/>
    <tableColumn id="3" xr3:uid="{5E2742F5-A26F-4DF2-BCF3-43861C45DDF7}" name="Predicted Value" dataDxfId="35"/>
    <tableColumn id="4" xr3:uid="{600C0B09-B58E-4662-BBDA-80F3F28F2AF8}" name="RMSE" dataDxfId="34"/>
  </tableColumns>
  <tableStyleInfo name="TableStyleMedium11"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1D9FC48-CB68-4E0C-A8D5-9E60B5100C68}" name="Table43" displayName="Table43" ref="B76:F80" totalsRowShown="0">
  <autoFilter ref="B76:F80" xr:uid="{2AEF18B3-ED4E-4CBC-A7E2-23687770C8EE}"/>
  <tableColumns count="5">
    <tableColumn id="1" xr3:uid="{5B6EC49D-F93C-4152-ADAB-5D4626E7B3BE}" name="Round"/>
    <tableColumn id="2" xr3:uid="{690EA27C-0B74-4769-809B-771F30C0B5F4}" name="Real Value" dataDxfId="33">
      <calculatedColumnFormula>C65</calculatedColumnFormula>
    </tableColumn>
    <tableColumn id="3" xr3:uid="{92ADD839-CB00-4AC5-A70F-0768F1BEB4D6}" name="Squared Error (AGR)" dataDxfId="32">
      <calculatedColumnFormula>(C76*(1+$C$72)-C77)^2</calculatedColumnFormula>
    </tableColumn>
    <tableColumn id="4" xr3:uid="{185642CD-A831-468D-AA58-F54B6560F388}" name="Squared Error (CAGR)" dataDxfId="31">
      <calculatedColumnFormula>(C76*(1+$C$73)-C77)^2</calculatedColumnFormula>
    </tableColumn>
    <tableColumn id="5" xr3:uid="{D63945EC-006F-4DE1-A15E-9401307A9045}" name="Squared Error(LF)" dataDxfId="30">
      <calculatedColumnFormula>(_xlfn.FORECAST.LINEAR(B77, $C$65:$C$68, $B$65:$B$68)-C77)^2</calculatedColumnFormula>
    </tableColumn>
  </tableColumns>
  <tableStyleInfo name="TableStyleMedium11"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89D2734-BB50-44C2-A52D-A1CFBBADCFAB}" name="Table56" displayName="Table56" ref="N62:O62" headerRowCount="0" totalsRowShown="0" headerRowDxfId="29" dataDxfId="28">
  <tableColumns count="2">
    <tableColumn id="1" xr3:uid="{C546FB93-6F17-462F-BA80-1B6DC4653798}" name="Column1" dataDxfId="27"/>
    <tableColumn id="2" xr3:uid="{FBD65710-59F7-4DD3-868A-30FC1FA33293}" name="Column2" headerRowDxfId="26" dataDxfId="25">
      <calculatedColumnFormula>GETPIVOTDATA("ABS_EUROS",$B$39, "ACCOUNT_TYPE_2","Goods Sold")+GETPIVOTDATA("ABS_EUROS",$B$39, "ACCOUNT_TYPE_2","Operating expenses")</calculatedColumnFormula>
    </tableColumn>
  </tableColumns>
  <tableStyleInfo name="TableStyleMedium11" showFirstColumn="1"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CABC730-4863-4B3B-B8D8-9A6A1D142D30}" name="Table4258" displayName="Table4258" ref="H71:K74" totalsRowShown="0">
  <autoFilter ref="H71:K74" xr:uid="{D44DCF83-197B-4F99-BF4C-DDCEFC81B83C}"/>
  <tableColumns count="4">
    <tableColumn id="1" xr3:uid="{00755D3E-0A24-4353-BF0A-246586D18622}" name="Method"/>
    <tableColumn id="2" xr3:uid="{9652D8D5-3DD6-4246-BF57-2CE924A01F28}" name="Input Value"/>
    <tableColumn id="3" xr3:uid="{2B6CA5FD-7EA5-45B4-B00E-CE498B9656AF}" name="Predicted Value" dataDxfId="24"/>
    <tableColumn id="4" xr3:uid="{996CDFA2-D41D-401C-8536-23DEE0ED19E1}" name="RMSE" dataDxfId="23"/>
  </tableColumns>
  <tableStyleInfo name="TableStyleMedium11"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58D9A49-E88A-4E43-81C7-866E6A12AA8F}" name="Table4359" displayName="Table4359" ref="H76:L80" totalsRowShown="0">
  <autoFilter ref="H76:L80" xr:uid="{335DF191-61DD-43C5-B2A8-B58967C61B03}"/>
  <tableColumns count="5">
    <tableColumn id="1" xr3:uid="{85EBC2F8-732B-459A-A0F0-FB763527F668}" name="Round"/>
    <tableColumn id="2" xr3:uid="{A4EB273C-1B02-41EE-AC54-12EAC68A6A68}" name="Real Value" dataDxfId="22">
      <calculatedColumnFormula>I65</calculatedColumnFormula>
    </tableColumn>
    <tableColumn id="3" xr3:uid="{8D302AF8-0299-417B-BAD5-5038EE6DD66A}" name="Squared Error (AGR)" dataDxfId="21">
      <calculatedColumnFormula>(I76*(1+$C$72)-I77)^2</calculatedColumnFormula>
    </tableColumn>
    <tableColumn id="4" xr3:uid="{72A05108-8B62-4F6D-A2B0-EF693957E677}" name="Squared Error (CAGR)" dataDxfId="20">
      <calculatedColumnFormula>(I76*(1+$C$73)-I77)^2</calculatedColumnFormula>
    </tableColumn>
    <tableColumn id="5" xr3:uid="{3B36411B-8D3B-41DD-85EF-36C93604B0C6}" name="Squared Error(LF)" dataDxfId="19">
      <calculatedColumnFormula>(_xlfn.FORECAST.LINEAR(H77, $I$65:$I$68, $H$65:$H$68)-I77)^2</calculatedColumnFormula>
    </tableColumn>
  </tableColumns>
  <tableStyleInfo name="TableStyleMedium11"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51331CD4-97F3-4101-AE9F-00D1A0FD7510}" name="Table425861" displayName="Table425861" ref="N71:Q74" totalsRowShown="0" headerRowDxfId="18" dataDxfId="17">
  <autoFilter ref="N71:Q74" xr:uid="{49492A35-858D-416F-9CC5-9BD337731504}"/>
  <tableColumns count="4">
    <tableColumn id="1" xr3:uid="{61589FB8-8CD5-4A4D-9640-B3396D162F66}" name="Method" dataDxfId="16"/>
    <tableColumn id="2" xr3:uid="{07D4D36F-B790-43CE-88BB-0141CF9B68DE}" name="Input Value" dataDxfId="15"/>
    <tableColumn id="3" xr3:uid="{25DF51CB-842E-421B-ACE2-DA0E88C39062}" name="Predicted Value" dataDxfId="14"/>
    <tableColumn id="4" xr3:uid="{478A6EED-D8D3-4996-92C0-6950ED7DA21B}" name="RMSE" dataDxfId="13"/>
  </tableColumns>
  <tableStyleInfo name="TableStyleMedium11"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DB183A09-331C-4C85-81F4-B2C439FB355F}" name="Table435962" displayName="Table435962" ref="N76:R80" totalsRowShown="0" headerRowDxfId="12" dataDxfId="11">
  <autoFilter ref="N76:R80" xr:uid="{33EBE660-9B7F-4EF7-8C21-48FFF23D3DA2}"/>
  <tableColumns count="5">
    <tableColumn id="1" xr3:uid="{49636610-8760-4B18-A603-F8EF361D4472}" name="Round" dataDxfId="10"/>
    <tableColumn id="2" xr3:uid="{BC3D739D-6EF4-4CAF-970F-A7BAB5D5C7CB}" name="Real Value" dataDxfId="9">
      <calculatedColumnFormula>O65</calculatedColumnFormula>
    </tableColumn>
    <tableColumn id="3" xr3:uid="{2D916B79-2F9C-4EA0-B072-FA1557A8A957}" name="Squared Error (AGR)" dataDxfId="8">
      <calculatedColumnFormula>(O76*(1+$C$72)-O77)^2</calculatedColumnFormula>
    </tableColumn>
    <tableColumn id="4" xr3:uid="{538E3B46-962F-4BDD-817B-D510987D214E}" name="Squared Error (CAGR)" dataDxfId="7">
      <calculatedColumnFormula>(O76*(1+$C$73)-O77)^2</calculatedColumnFormula>
    </tableColumn>
    <tableColumn id="5" xr3:uid="{1F52589B-08EC-453B-8C31-6B2323C0D395}" name="Squared Error(LF)" dataDxfId="6">
      <calculatedColumnFormula>(_xlfn.FORECAST.LINEAR(N77, $O$65:$O$68, $N$65:$N$68)-O77)^2</calculatedColumnFormula>
    </tableColumn>
  </tableColumns>
  <tableStyleInfo name="TableStyleMedium11"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34CB98FC-57B3-4880-9949-471D68795EAC}" name="Table62" displayName="Table62" ref="B83:D86" totalsRowShown="0">
  <autoFilter ref="B83:D86" xr:uid="{140F63BF-2314-4DF5-9ED2-4502FCA8CCCD}"/>
  <tableColumns count="3">
    <tableColumn id="1" xr3:uid="{9FE6367B-D6AE-4CA3-8439-3B10D065D718}" name="Column1"/>
    <tableColumn id="2" xr3:uid="{2F8A3868-119F-4AB3-8D73-F7160B6B0AAA}" name="Round 5 Forecast" dataDxfId="5"/>
    <tableColumn id="3" xr3:uid="{759B7D51-C508-4883-B433-3F6D6B227F32}" name="Percentage" dataDxfId="4">
      <calculatedColumnFormula>C84/$C$84</calculatedColumnFormula>
    </tableColumn>
  </tableColumns>
  <tableStyleInfo name="TableStyleMedium11"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3D9D3C7-CD4B-4434-8DE4-1A32A9D239E4}" name="Table69" displayName="Table69" ref="B88:D90" headerRowCount="0" totalsRowShown="0">
  <tableColumns count="3">
    <tableColumn id="1" xr3:uid="{827C084C-DFA4-4D21-BBBC-F2D274C37615}" name="Column1"/>
    <tableColumn id="2" xr3:uid="{BC47971F-24C9-46A0-ADEE-805EC8C25D9D}" name="Column2" headerRowDxfId="3"/>
    <tableColumn id="3" xr3:uid="{A12483A5-35DD-404E-AD62-4FCA5427D9AD}" name="Column3" headerRowDxfId="2" dataDxfId="1">
      <calculatedColumnFormula>C88/$C$88</calculatedColumnFormula>
    </tableColumn>
  </tableColumns>
  <tableStyleInfo name="TableStyleMedium11" showFirstColumn="1"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table" Target="../tables/table4.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table" Target="../tables/table10.xml"/><Relationship Id="rId18" Type="http://schemas.openxmlformats.org/officeDocument/2006/relationships/table" Target="../tables/table15.xml"/><Relationship Id="rId26" Type="http://schemas.openxmlformats.org/officeDocument/2006/relationships/table" Target="../tables/table23.xml"/><Relationship Id="rId21" Type="http://schemas.openxmlformats.org/officeDocument/2006/relationships/table" Target="../tables/table18.xml"/><Relationship Id="rId34" Type="http://schemas.openxmlformats.org/officeDocument/2006/relationships/table" Target="../tables/table31.xml"/><Relationship Id="rId7" Type="http://schemas.openxmlformats.org/officeDocument/2006/relationships/printerSettings" Target="../printerSettings/printerSettings2.bin"/><Relationship Id="rId12" Type="http://schemas.openxmlformats.org/officeDocument/2006/relationships/table" Target="../tables/table9.xml"/><Relationship Id="rId17" Type="http://schemas.openxmlformats.org/officeDocument/2006/relationships/table" Target="../tables/table14.xml"/><Relationship Id="rId25" Type="http://schemas.openxmlformats.org/officeDocument/2006/relationships/table" Target="../tables/table22.xml"/><Relationship Id="rId33" Type="http://schemas.openxmlformats.org/officeDocument/2006/relationships/table" Target="../tables/table30.xml"/><Relationship Id="rId2" Type="http://schemas.openxmlformats.org/officeDocument/2006/relationships/pivotTable" Target="../pivotTables/pivotTable3.xml"/><Relationship Id="rId16" Type="http://schemas.openxmlformats.org/officeDocument/2006/relationships/table" Target="../tables/table13.xml"/><Relationship Id="rId20" Type="http://schemas.openxmlformats.org/officeDocument/2006/relationships/table" Target="../tables/table17.xml"/><Relationship Id="rId29" Type="http://schemas.openxmlformats.org/officeDocument/2006/relationships/table" Target="../tables/table26.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table" Target="../tables/table8.xml"/><Relationship Id="rId24" Type="http://schemas.openxmlformats.org/officeDocument/2006/relationships/table" Target="../tables/table21.xml"/><Relationship Id="rId32" Type="http://schemas.openxmlformats.org/officeDocument/2006/relationships/table" Target="../tables/table29.xml"/><Relationship Id="rId37" Type="http://schemas.openxmlformats.org/officeDocument/2006/relationships/table" Target="../tables/table34.xml"/><Relationship Id="rId5" Type="http://schemas.openxmlformats.org/officeDocument/2006/relationships/pivotTable" Target="../pivotTables/pivotTable6.xml"/><Relationship Id="rId15" Type="http://schemas.openxmlformats.org/officeDocument/2006/relationships/table" Target="../tables/table12.xml"/><Relationship Id="rId23" Type="http://schemas.openxmlformats.org/officeDocument/2006/relationships/table" Target="../tables/table20.xml"/><Relationship Id="rId28" Type="http://schemas.openxmlformats.org/officeDocument/2006/relationships/table" Target="../tables/table25.xml"/><Relationship Id="rId36" Type="http://schemas.openxmlformats.org/officeDocument/2006/relationships/table" Target="../tables/table33.xml"/><Relationship Id="rId10" Type="http://schemas.openxmlformats.org/officeDocument/2006/relationships/table" Target="../tables/table7.xml"/><Relationship Id="rId19" Type="http://schemas.openxmlformats.org/officeDocument/2006/relationships/table" Target="../tables/table16.xml"/><Relationship Id="rId31" Type="http://schemas.openxmlformats.org/officeDocument/2006/relationships/table" Target="../tables/table28.xml"/><Relationship Id="rId4" Type="http://schemas.openxmlformats.org/officeDocument/2006/relationships/pivotTable" Target="../pivotTables/pivotTable5.xml"/><Relationship Id="rId9" Type="http://schemas.openxmlformats.org/officeDocument/2006/relationships/table" Target="../tables/table6.xml"/><Relationship Id="rId14" Type="http://schemas.openxmlformats.org/officeDocument/2006/relationships/table" Target="../tables/table11.xml"/><Relationship Id="rId22" Type="http://schemas.openxmlformats.org/officeDocument/2006/relationships/table" Target="../tables/table19.xml"/><Relationship Id="rId27" Type="http://schemas.openxmlformats.org/officeDocument/2006/relationships/table" Target="../tables/table24.xml"/><Relationship Id="rId30" Type="http://schemas.openxmlformats.org/officeDocument/2006/relationships/table" Target="../tables/table27.xml"/><Relationship Id="rId35" Type="http://schemas.openxmlformats.org/officeDocument/2006/relationships/table" Target="../tables/table32.xml"/><Relationship Id="rId8" Type="http://schemas.openxmlformats.org/officeDocument/2006/relationships/table" Target="../tables/table5.xml"/><Relationship Id="rId3"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openxmlformats.org/officeDocument/2006/relationships/table" Target="../tables/table38.xml"/><Relationship Id="rId13" Type="http://schemas.openxmlformats.org/officeDocument/2006/relationships/table" Target="../tables/table43.xml"/><Relationship Id="rId18" Type="http://schemas.openxmlformats.org/officeDocument/2006/relationships/table" Target="../tables/table48.xml"/><Relationship Id="rId3" Type="http://schemas.openxmlformats.org/officeDocument/2006/relationships/pivotTable" Target="../pivotTables/pivotTable10.xml"/><Relationship Id="rId21" Type="http://schemas.openxmlformats.org/officeDocument/2006/relationships/table" Target="../tables/table51.xml"/><Relationship Id="rId7" Type="http://schemas.openxmlformats.org/officeDocument/2006/relationships/table" Target="../tables/table37.xml"/><Relationship Id="rId12" Type="http://schemas.openxmlformats.org/officeDocument/2006/relationships/table" Target="../tables/table42.xml"/><Relationship Id="rId17" Type="http://schemas.openxmlformats.org/officeDocument/2006/relationships/table" Target="../tables/table47.xml"/><Relationship Id="rId2" Type="http://schemas.openxmlformats.org/officeDocument/2006/relationships/pivotTable" Target="../pivotTables/pivotTable9.xml"/><Relationship Id="rId16" Type="http://schemas.openxmlformats.org/officeDocument/2006/relationships/table" Target="../tables/table46.xml"/><Relationship Id="rId20" Type="http://schemas.openxmlformats.org/officeDocument/2006/relationships/table" Target="../tables/table50.xml"/><Relationship Id="rId1" Type="http://schemas.openxmlformats.org/officeDocument/2006/relationships/pivotTable" Target="../pivotTables/pivotTable8.xml"/><Relationship Id="rId6" Type="http://schemas.openxmlformats.org/officeDocument/2006/relationships/table" Target="../tables/table36.xml"/><Relationship Id="rId11" Type="http://schemas.openxmlformats.org/officeDocument/2006/relationships/table" Target="../tables/table41.xml"/><Relationship Id="rId5" Type="http://schemas.openxmlformats.org/officeDocument/2006/relationships/table" Target="../tables/table35.xml"/><Relationship Id="rId15" Type="http://schemas.openxmlformats.org/officeDocument/2006/relationships/table" Target="../tables/table45.xml"/><Relationship Id="rId23" Type="http://schemas.openxmlformats.org/officeDocument/2006/relationships/table" Target="../tables/table53.xml"/><Relationship Id="rId10" Type="http://schemas.openxmlformats.org/officeDocument/2006/relationships/table" Target="../tables/table40.xml"/><Relationship Id="rId19" Type="http://schemas.openxmlformats.org/officeDocument/2006/relationships/table" Target="../tables/table49.xml"/><Relationship Id="rId4" Type="http://schemas.openxmlformats.org/officeDocument/2006/relationships/printerSettings" Target="../printerSettings/printerSettings3.bin"/><Relationship Id="rId9" Type="http://schemas.openxmlformats.org/officeDocument/2006/relationships/table" Target="../tables/table39.xml"/><Relationship Id="rId14" Type="http://schemas.openxmlformats.org/officeDocument/2006/relationships/table" Target="../tables/table44.xml"/><Relationship Id="rId22" Type="http://schemas.openxmlformats.org/officeDocument/2006/relationships/table" Target="../tables/table5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58.xml"/><Relationship Id="rId13" Type="http://schemas.openxmlformats.org/officeDocument/2006/relationships/table" Target="../tables/table63.xml"/><Relationship Id="rId3" Type="http://schemas.openxmlformats.org/officeDocument/2006/relationships/printerSettings" Target="../printerSettings/printerSettings4.bin"/><Relationship Id="rId7" Type="http://schemas.openxmlformats.org/officeDocument/2006/relationships/table" Target="../tables/table57.xml"/><Relationship Id="rId12" Type="http://schemas.openxmlformats.org/officeDocument/2006/relationships/table" Target="../tables/table62.xml"/><Relationship Id="rId17" Type="http://schemas.openxmlformats.org/officeDocument/2006/relationships/table" Target="../tables/table67.xml"/><Relationship Id="rId2" Type="http://schemas.openxmlformats.org/officeDocument/2006/relationships/pivotTable" Target="../pivotTables/pivotTable12.xml"/><Relationship Id="rId16" Type="http://schemas.openxmlformats.org/officeDocument/2006/relationships/table" Target="../tables/table66.xml"/><Relationship Id="rId1" Type="http://schemas.openxmlformats.org/officeDocument/2006/relationships/pivotTable" Target="../pivotTables/pivotTable11.xml"/><Relationship Id="rId6" Type="http://schemas.openxmlformats.org/officeDocument/2006/relationships/table" Target="../tables/table56.xml"/><Relationship Id="rId11" Type="http://schemas.openxmlformats.org/officeDocument/2006/relationships/table" Target="../tables/table61.xml"/><Relationship Id="rId5" Type="http://schemas.openxmlformats.org/officeDocument/2006/relationships/table" Target="../tables/table55.xml"/><Relationship Id="rId15" Type="http://schemas.openxmlformats.org/officeDocument/2006/relationships/table" Target="../tables/table65.xml"/><Relationship Id="rId10" Type="http://schemas.openxmlformats.org/officeDocument/2006/relationships/table" Target="../tables/table60.xml"/><Relationship Id="rId4" Type="http://schemas.openxmlformats.org/officeDocument/2006/relationships/table" Target="../tables/table54.xml"/><Relationship Id="rId9" Type="http://schemas.openxmlformats.org/officeDocument/2006/relationships/table" Target="../tables/table59.xml"/><Relationship Id="rId14" Type="http://schemas.openxmlformats.org/officeDocument/2006/relationships/table" Target="../tables/table6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88"/>
  <sheetViews>
    <sheetView zoomScaleNormal="130" workbookViewId="0"/>
  </sheetViews>
  <sheetFormatPr baseColWidth="10" defaultColWidth="8.83203125" defaultRowHeight="15" x14ac:dyDescent="0.2"/>
  <cols>
    <col min="2" max="2" width="31.1640625" bestFit="1" customWidth="1"/>
    <col min="3" max="3" width="26.83203125" bestFit="1" customWidth="1"/>
    <col min="4" max="4" width="12.6640625" customWidth="1"/>
    <col min="5" max="5" width="14.5" bestFit="1" customWidth="1"/>
    <col min="6" max="6" width="17" bestFit="1" customWidth="1"/>
    <col min="7" max="7" width="13.5" customWidth="1"/>
    <col min="8" max="8" width="16.5" bestFit="1" customWidth="1"/>
    <col min="9" max="9" width="12.5" bestFit="1" customWidth="1"/>
    <col min="10" max="10" width="14" bestFit="1" customWidth="1"/>
    <col min="11" max="11" width="32.1640625" customWidth="1"/>
    <col min="12" max="12" width="29.5" bestFit="1" customWidth="1"/>
    <col min="13" max="13" width="13.6640625" customWidth="1"/>
    <col min="14" max="14" width="13.1640625" bestFit="1" customWidth="1"/>
    <col min="15" max="15" width="13.5" customWidth="1"/>
    <col min="16" max="16" width="8.5" bestFit="1" customWidth="1"/>
    <col min="17" max="17" width="11.5" customWidth="1"/>
    <col min="18" max="18" width="16.1640625" bestFit="1" customWidth="1"/>
    <col min="19" max="19" width="10.5" bestFit="1" customWidth="1"/>
    <col min="20" max="21" width="8.5" bestFit="1" customWidth="1"/>
    <col min="22" max="22" width="11.1640625" bestFit="1" customWidth="1"/>
    <col min="23" max="23" width="11.5" bestFit="1" customWidth="1"/>
    <col min="24" max="25" width="8.5" bestFit="1" customWidth="1"/>
    <col min="26" max="26" width="14.5" bestFit="1" customWidth="1"/>
  </cols>
  <sheetData>
    <row r="2" spans="2:15" x14ac:dyDescent="0.2">
      <c r="B2" s="144"/>
      <c r="C2" s="144"/>
    </row>
    <row r="3" spans="2:15" x14ac:dyDescent="0.2">
      <c r="B3" s="9" t="s">
        <v>129</v>
      </c>
      <c r="C3" s="9" t="s">
        <v>0</v>
      </c>
      <c r="D3" s="9"/>
      <c r="E3" s="9"/>
      <c r="F3" s="9"/>
      <c r="G3" s="9"/>
      <c r="H3" s="9"/>
    </row>
    <row r="4" spans="2:15" x14ac:dyDescent="0.2">
      <c r="B4" s="9" t="s">
        <v>8</v>
      </c>
      <c r="C4" s="9" t="s">
        <v>1</v>
      </c>
      <c r="D4" s="9" t="s">
        <v>2</v>
      </c>
      <c r="E4" s="9" t="s">
        <v>3</v>
      </c>
      <c r="F4" s="9" t="s">
        <v>4</v>
      </c>
      <c r="G4" s="9" t="s">
        <v>5</v>
      </c>
      <c r="H4" s="9" t="s">
        <v>6</v>
      </c>
    </row>
    <row r="5" spans="2:15" x14ac:dyDescent="0.2">
      <c r="B5" s="19" t="s">
        <v>48</v>
      </c>
      <c r="C5" s="9">
        <v>17.028571428571428</v>
      </c>
      <c r="D5" s="9">
        <v>3.6315789473684212</v>
      </c>
      <c r="E5" s="9">
        <v>8.2368421052631575</v>
      </c>
      <c r="F5" s="9">
        <v>20.387096774193548</v>
      </c>
      <c r="G5" s="9">
        <v>54.583333333333336</v>
      </c>
      <c r="H5" s="9">
        <v>35</v>
      </c>
      <c r="M5" s="26"/>
      <c r="N5" s="26"/>
      <c r="O5" s="26"/>
    </row>
    <row r="6" spans="2:15" x14ac:dyDescent="0.2">
      <c r="B6" s="19" t="s">
        <v>49</v>
      </c>
      <c r="C6" s="9">
        <v>13.947368421052632</v>
      </c>
      <c r="D6" s="9">
        <v>2.763157894736842</v>
      </c>
      <c r="E6" s="9">
        <v>7.6315789473684212</v>
      </c>
      <c r="F6" s="9">
        <v>10.111111111111111</v>
      </c>
      <c r="G6" s="9">
        <v>15.272727272727273</v>
      </c>
      <c r="H6" s="9">
        <v>32</v>
      </c>
    </row>
    <row r="7" spans="2:15" x14ac:dyDescent="0.2">
      <c r="B7" s="19" t="s">
        <v>50</v>
      </c>
      <c r="C7" s="9">
        <v>6.3684210526315788</v>
      </c>
      <c r="D7" s="9">
        <v>21.771428571428572</v>
      </c>
      <c r="E7" s="9">
        <v>6.1315789473684212</v>
      </c>
      <c r="F7" s="9">
        <v>6.2631578947368425</v>
      </c>
      <c r="G7" s="9">
        <v>7.0882352941176467</v>
      </c>
      <c r="H7" s="9">
        <v>10.742857142857142</v>
      </c>
      <c r="M7" s="26"/>
      <c r="N7" s="26"/>
      <c r="O7" s="26"/>
    </row>
    <row r="11" spans="2:15" x14ac:dyDescent="0.2">
      <c r="B11" t="s">
        <v>50</v>
      </c>
      <c r="C11" t="s">
        <v>144</v>
      </c>
      <c r="D11" s="14">
        <f t="shared" ref="D11:D26" si="0">GETPIVOTDATA("DAILY_SALES",$B$3,"PRODUCT_DESCRIPTION",G$11,"LOCATION",$B11)</f>
        <v>6.3684210526315788</v>
      </c>
      <c r="F11" t="s">
        <v>95</v>
      </c>
      <c r="G11" t="str">
        <f>Dashboard!D7</f>
        <v>Butter</v>
      </c>
    </row>
    <row r="12" spans="2:15" x14ac:dyDescent="0.2">
      <c r="B12" t="s">
        <v>50</v>
      </c>
      <c r="C12" t="s">
        <v>145</v>
      </c>
      <c r="D12" s="14">
        <f t="shared" si="0"/>
        <v>6.3684210526315788</v>
      </c>
      <c r="F12" t="s">
        <v>96</v>
      </c>
      <c r="G12" t="str">
        <f>Dashboard!D9</f>
        <v>South</v>
      </c>
    </row>
    <row r="13" spans="2:15" x14ac:dyDescent="0.2">
      <c r="B13" t="s">
        <v>50</v>
      </c>
      <c r="C13" t="s">
        <v>146</v>
      </c>
      <c r="D13" s="14">
        <f t="shared" si="0"/>
        <v>6.3684210526315788</v>
      </c>
      <c r="F13" t="s">
        <v>160</v>
      </c>
      <c r="G13" s="9">
        <f>AVERAGE(C31:C33)</f>
        <v>12.448120300751881</v>
      </c>
    </row>
    <row r="14" spans="2:15" x14ac:dyDescent="0.2">
      <c r="B14" t="s">
        <v>49</v>
      </c>
      <c r="C14" t="s">
        <v>147</v>
      </c>
      <c r="D14" s="14">
        <f t="shared" si="0"/>
        <v>13.947368421052632</v>
      </c>
      <c r="F14" t="s">
        <v>161</v>
      </c>
      <c r="G14" s="10">
        <f>STDEVP(C31:C33)</f>
        <v>4.4792492082253803</v>
      </c>
    </row>
    <row r="15" spans="2:15" x14ac:dyDescent="0.2">
      <c r="B15" t="s">
        <v>49</v>
      </c>
      <c r="C15" t="s">
        <v>148</v>
      </c>
      <c r="D15" s="14">
        <f t="shared" si="0"/>
        <v>13.947368421052632</v>
      </c>
      <c r="F15" t="s">
        <v>257</v>
      </c>
      <c r="G15" t="str" cm="1">
        <f t="array" ref="G15">_xlfn.IFS(G14&gt;20,"Evidence shows significant different regional preference exists.",AND(G14&lt;20,G14&gt;4),"Evidence shows slight different regional preference exists.",G14&lt;4, "No enough evidence shows different regional preference exists.")</f>
        <v>Evidence shows slight different regional preference exists.</v>
      </c>
    </row>
    <row r="16" spans="2:15" x14ac:dyDescent="0.2">
      <c r="B16" t="s">
        <v>49</v>
      </c>
      <c r="C16" t="s">
        <v>149</v>
      </c>
      <c r="D16" s="14">
        <f t="shared" si="0"/>
        <v>13.947368421052632</v>
      </c>
      <c r="F16" t="s">
        <v>162</v>
      </c>
      <c r="G16" t="str">
        <f>VLOOKUP(MAX($C$31:$C$33), IF({1,0}, C31:C33, B31:B33), 2, 0)</f>
        <v>North</v>
      </c>
      <c r="M16" s="25"/>
      <c r="N16" s="25"/>
      <c r="O16" s="25"/>
    </row>
    <row r="17" spans="2:9" x14ac:dyDescent="0.2">
      <c r="B17" t="s">
        <v>49</v>
      </c>
      <c r="C17" t="s">
        <v>150</v>
      </c>
      <c r="D17" s="14">
        <f t="shared" si="0"/>
        <v>13.947368421052632</v>
      </c>
      <c r="F17" t="s">
        <v>275</v>
      </c>
      <c r="G17" t="str">
        <f>VLOOKUP(MAX($G$20:$G$25), IF({1,0}, G20:G25, F20:F25), 2, 0)</f>
        <v>Yoghurt</v>
      </c>
    </row>
    <row r="18" spans="2:9" x14ac:dyDescent="0.2">
      <c r="B18" t="s">
        <v>48</v>
      </c>
      <c r="C18" t="s">
        <v>151</v>
      </c>
      <c r="D18" s="14">
        <f t="shared" si="0"/>
        <v>17.028571428571428</v>
      </c>
    </row>
    <row r="19" spans="2:9" x14ac:dyDescent="0.2">
      <c r="B19" t="s">
        <v>48</v>
      </c>
      <c r="C19" t="s">
        <v>152</v>
      </c>
      <c r="D19" s="14">
        <f t="shared" si="0"/>
        <v>17.028571428571428</v>
      </c>
    </row>
    <row r="20" spans="2:9" x14ac:dyDescent="0.2">
      <c r="B20" t="s">
        <v>48</v>
      </c>
      <c r="C20" t="s">
        <v>153</v>
      </c>
      <c r="D20" s="14">
        <f t="shared" si="0"/>
        <v>17.028571428571428</v>
      </c>
      <c r="F20" s="9" t="s">
        <v>1</v>
      </c>
      <c r="G20" s="9">
        <f>GETPIVOTDATA("DAILY_SALES",$B$3,"PRODUCT_DESCRIPTION",F20,"LOCATION",$G$12)</f>
        <v>13.947368421052632</v>
      </c>
      <c r="H20" s="9" t="e">
        <f>IF(GETPIVOTDATA("DAILY_SALES",$B$3,"PRODUCT_DESCRIPTION",$G$17,"LOCATION",$G$12)=G20, G20, NA())</f>
        <v>#N/A</v>
      </c>
      <c r="I20" s="19"/>
    </row>
    <row r="21" spans="2:9" x14ac:dyDescent="0.2">
      <c r="B21" t="s">
        <v>48</v>
      </c>
      <c r="C21" t="s">
        <v>154</v>
      </c>
      <c r="D21" s="14">
        <f t="shared" si="0"/>
        <v>17.028571428571428</v>
      </c>
      <c r="F21" s="9" t="s">
        <v>2</v>
      </c>
      <c r="G21" s="9">
        <f t="shared" ref="G21:G25" si="1">GETPIVOTDATA("DAILY_SALES",$B$3,"PRODUCT_DESCRIPTION",F21,"LOCATION",$G$12)</f>
        <v>2.763157894736842</v>
      </c>
      <c r="H21" s="9" t="e">
        <f t="shared" ref="H21:H25" si="2">IF(GETPIVOTDATA("DAILY_SALES",$B$3,"PRODUCT_DESCRIPTION",$G$17,"LOCATION",$G$12)=G21, G21, NA())</f>
        <v>#N/A</v>
      </c>
    </row>
    <row r="22" spans="2:9" x14ac:dyDescent="0.2">
      <c r="B22" t="s">
        <v>48</v>
      </c>
      <c r="C22" t="s">
        <v>155</v>
      </c>
      <c r="D22" s="14">
        <f t="shared" si="0"/>
        <v>17.028571428571428</v>
      </c>
      <c r="F22" s="9" t="s">
        <v>3</v>
      </c>
      <c r="G22" s="9">
        <f t="shared" si="1"/>
        <v>7.6315789473684212</v>
      </c>
      <c r="H22" s="9" t="e">
        <f t="shared" si="2"/>
        <v>#N/A</v>
      </c>
    </row>
    <row r="23" spans="2:9" x14ac:dyDescent="0.2">
      <c r="B23" t="s">
        <v>48</v>
      </c>
      <c r="C23" t="s">
        <v>156</v>
      </c>
      <c r="D23" s="14">
        <f t="shared" si="0"/>
        <v>17.028571428571428</v>
      </c>
      <c r="F23" s="9" t="s">
        <v>4</v>
      </c>
      <c r="G23" s="9">
        <f t="shared" si="1"/>
        <v>10.111111111111111</v>
      </c>
      <c r="H23" s="9" t="e">
        <f t="shared" si="2"/>
        <v>#N/A</v>
      </c>
    </row>
    <row r="24" spans="2:9" x14ac:dyDescent="0.2">
      <c r="B24" t="s">
        <v>48</v>
      </c>
      <c r="C24" t="s">
        <v>157</v>
      </c>
      <c r="D24" s="14">
        <f t="shared" si="0"/>
        <v>17.028571428571428</v>
      </c>
      <c r="F24" s="9" t="s">
        <v>5</v>
      </c>
      <c r="G24" s="9">
        <f t="shared" si="1"/>
        <v>15.272727272727273</v>
      </c>
      <c r="H24" s="9" t="e">
        <f t="shared" si="2"/>
        <v>#N/A</v>
      </c>
    </row>
    <row r="25" spans="2:9" x14ac:dyDescent="0.2">
      <c r="B25" t="s">
        <v>48</v>
      </c>
      <c r="C25" t="s">
        <v>158</v>
      </c>
      <c r="D25" s="14">
        <f t="shared" si="0"/>
        <v>17.028571428571428</v>
      </c>
      <c r="F25" s="9" t="s">
        <v>6</v>
      </c>
      <c r="G25" s="9">
        <f t="shared" si="1"/>
        <v>32</v>
      </c>
      <c r="H25" s="9">
        <f t="shared" si="2"/>
        <v>32</v>
      </c>
    </row>
    <row r="26" spans="2:9" x14ac:dyDescent="0.2">
      <c r="B26" t="s">
        <v>48</v>
      </c>
      <c r="C26" t="s">
        <v>159</v>
      </c>
      <c r="D26" s="14">
        <f t="shared" si="0"/>
        <v>17.028571428571428</v>
      </c>
    </row>
    <row r="29" spans="2:9" x14ac:dyDescent="0.2">
      <c r="I29" s="19"/>
    </row>
    <row r="30" spans="2:9" ht="16" thickBot="1" x14ac:dyDescent="0.25">
      <c r="B30" s="129" t="s">
        <v>96</v>
      </c>
      <c r="C30" s="129" t="str">
        <f>G11</f>
        <v>Butter</v>
      </c>
      <c r="E30" s="41"/>
      <c r="F30" s="41"/>
      <c r="H30" s="9"/>
      <c r="I30" s="9"/>
    </row>
    <row r="31" spans="2:9" ht="16" thickTop="1" x14ac:dyDescent="0.2">
      <c r="B31" s="130" t="s">
        <v>50</v>
      </c>
      <c r="C31" s="130">
        <f>GETPIVOTDATA("DAILY_SALES",$B$3,"PRODUCT_DESCRIPTION",C$30,"LOCATION",$B31)</f>
        <v>6.3684210526315788</v>
      </c>
      <c r="E31" s="44"/>
      <c r="F31" s="44"/>
      <c r="H31" s="9"/>
      <c r="I31" s="9"/>
    </row>
    <row r="32" spans="2:9" x14ac:dyDescent="0.2">
      <c r="B32" s="131" t="s">
        <v>49</v>
      </c>
      <c r="C32" s="131">
        <f>GETPIVOTDATA("DAILY_SALES",$B$3,"PRODUCT_DESCRIPTION",C$30,"LOCATION",$B32)</f>
        <v>13.947368421052632</v>
      </c>
      <c r="E32" s="44"/>
      <c r="F32" s="44"/>
      <c r="H32" s="9"/>
      <c r="I32" s="9"/>
    </row>
    <row r="33" spans="2:18" x14ac:dyDescent="0.2">
      <c r="B33" s="130" t="s">
        <v>48</v>
      </c>
      <c r="C33" s="130">
        <f>GETPIVOTDATA("DAILY_SALES",$B$3,"PRODUCT_DESCRIPTION",C$30,"LOCATION",$B33)</f>
        <v>17.028571428571428</v>
      </c>
      <c r="E33" s="44"/>
      <c r="F33" s="44"/>
      <c r="H33" s="9"/>
      <c r="I33" s="9"/>
    </row>
    <row r="34" spans="2:18" x14ac:dyDescent="0.2">
      <c r="E34" s="44"/>
      <c r="F34" s="44"/>
      <c r="H34" s="9"/>
      <c r="I34" s="9"/>
    </row>
    <row r="35" spans="2:18" x14ac:dyDescent="0.2">
      <c r="E35" s="44"/>
      <c r="F35" s="44"/>
      <c r="H35" s="9"/>
      <c r="I35" s="9"/>
    </row>
    <row r="36" spans="2:18" x14ac:dyDescent="0.2">
      <c r="E36" s="44"/>
      <c r="F36" s="44"/>
    </row>
    <row r="37" spans="2:18" x14ac:dyDescent="0.2">
      <c r="I37" s="19"/>
    </row>
    <row r="38" spans="2:18" x14ac:dyDescent="0.2">
      <c r="H38" s="9"/>
      <c r="I38" s="9"/>
    </row>
    <row r="39" spans="2:18" x14ac:dyDescent="0.2">
      <c r="E39" s="121"/>
      <c r="H39" s="9"/>
      <c r="I39" s="9"/>
    </row>
    <row r="40" spans="2:18" x14ac:dyDescent="0.2">
      <c r="E40" s="27"/>
      <c r="H40" s="9"/>
      <c r="I40" s="9"/>
    </row>
    <row r="41" spans="2:18" x14ac:dyDescent="0.2">
      <c r="E41" s="27"/>
      <c r="H41" s="9"/>
      <c r="I41" s="9"/>
    </row>
    <row r="42" spans="2:18" x14ac:dyDescent="0.2">
      <c r="E42" s="27"/>
      <c r="H42" s="9"/>
      <c r="I42" s="9"/>
    </row>
    <row r="43" spans="2:18" x14ac:dyDescent="0.2">
      <c r="B43" s="12" t="s">
        <v>95</v>
      </c>
      <c r="C43" s="12" t="s">
        <v>161</v>
      </c>
      <c r="D43" s="12" t="s">
        <v>160</v>
      </c>
      <c r="E43" s="27"/>
      <c r="H43" s="9"/>
      <c r="I43" s="9"/>
      <c r="N43" s="14"/>
      <c r="O43" s="14"/>
      <c r="P43" s="14"/>
      <c r="Q43" s="14"/>
      <c r="R43" s="14"/>
    </row>
    <row r="44" spans="2:18" x14ac:dyDescent="0.2">
      <c r="B44" s="44" t="s">
        <v>5</v>
      </c>
      <c r="C44" s="43">
        <f>STDEVP($G$5:$G$7)</f>
        <v>20.731334296863533</v>
      </c>
      <c r="D44" s="43">
        <f>AVERAGE($G$5:$G$7)</f>
        <v>25.648098633392753</v>
      </c>
      <c r="E44" s="27"/>
      <c r="F44" s="27"/>
      <c r="G44" s="27"/>
      <c r="H44" s="27"/>
      <c r="N44" s="14"/>
      <c r="O44" s="14"/>
      <c r="P44" s="14"/>
      <c r="Q44" s="14"/>
      <c r="R44" s="14"/>
    </row>
    <row r="45" spans="2:18" x14ac:dyDescent="0.2">
      <c r="B45" s="44" t="s">
        <v>6</v>
      </c>
      <c r="C45" s="43">
        <f>STDEVP($H$5:$H$7)</f>
        <v>10.797505380826603</v>
      </c>
      <c r="D45" s="43">
        <f>AVERAGE($H$5:$H$7)</f>
        <v>25.914285714285715</v>
      </c>
      <c r="E45" s="27"/>
      <c r="F45" s="27"/>
      <c r="G45" s="27"/>
      <c r="H45" s="27"/>
      <c r="N45" s="14"/>
      <c r="O45" s="14"/>
      <c r="P45" s="14"/>
      <c r="Q45" s="14"/>
      <c r="R45" s="14"/>
    </row>
    <row r="46" spans="2:18" x14ac:dyDescent="0.2">
      <c r="B46" s="44" t="s">
        <v>2</v>
      </c>
      <c r="C46" s="43">
        <f>STDEVP($D$5:$D$7)</f>
        <v>8.7630705781994749</v>
      </c>
      <c r="D46" s="43">
        <f>AVERAGE($D$5:$D$7)</f>
        <v>9.3887218045112792</v>
      </c>
      <c r="N46" s="14"/>
      <c r="O46" s="14"/>
      <c r="P46" s="14"/>
      <c r="Q46" s="14"/>
      <c r="R46" s="14"/>
    </row>
    <row r="47" spans="2:18" x14ac:dyDescent="0.2">
      <c r="B47" s="44" t="s">
        <v>4</v>
      </c>
      <c r="C47" s="43">
        <f>STDEVP($F$5:$F$7)</f>
        <v>5.9618069107901777</v>
      </c>
      <c r="D47" s="43">
        <f>AVERAGE($F$5:$F$7)</f>
        <v>12.253788593347167</v>
      </c>
      <c r="N47" s="14"/>
      <c r="O47" s="14"/>
      <c r="P47" s="14"/>
      <c r="Q47" s="14"/>
      <c r="R47" s="14"/>
    </row>
    <row r="48" spans="2:18" x14ac:dyDescent="0.2">
      <c r="B48" s="44" t="s">
        <v>1</v>
      </c>
      <c r="C48" s="43">
        <f>STDEVP($C$5:$C$7)</f>
        <v>4.4792492082253803</v>
      </c>
      <c r="D48" s="43">
        <f>AVERAGE($C$5:$C$7)</f>
        <v>12.448120300751881</v>
      </c>
      <c r="E48" s="42"/>
      <c r="F48" s="42"/>
      <c r="G48" s="42"/>
      <c r="H48" s="42"/>
      <c r="I48" s="141"/>
      <c r="N48" s="14"/>
      <c r="O48" s="14"/>
      <c r="P48" s="14"/>
      <c r="Q48" s="14"/>
      <c r="R48" s="14"/>
    </row>
    <row r="49" spans="2:18" x14ac:dyDescent="0.2">
      <c r="B49" s="44" t="s">
        <v>3</v>
      </c>
      <c r="C49" s="43">
        <f>STDEVP($E$5:$E$7)</f>
        <v>0.88496556457134268</v>
      </c>
      <c r="D49" s="43">
        <f>AVERAGE($E$5:$E$7)</f>
        <v>7.333333333333333</v>
      </c>
      <c r="E49" s="122"/>
      <c r="F49" s="122"/>
      <c r="G49" s="122"/>
      <c r="H49" s="122"/>
      <c r="I49" s="141"/>
      <c r="J49" s="142"/>
      <c r="N49" s="14"/>
      <c r="O49" s="14"/>
      <c r="P49" s="14"/>
      <c r="Q49" s="14"/>
      <c r="R49" s="14"/>
    </row>
    <row r="50" spans="2:18" x14ac:dyDescent="0.2">
      <c r="E50" s="27"/>
      <c r="F50" s="27"/>
      <c r="G50" s="27"/>
      <c r="H50" s="27"/>
      <c r="I50" s="143"/>
      <c r="J50" s="143"/>
      <c r="N50" s="14"/>
      <c r="O50" s="14"/>
      <c r="P50" s="14"/>
      <c r="Q50" s="14"/>
      <c r="R50" s="14"/>
    </row>
    <row r="51" spans="2:18" x14ac:dyDescent="0.2">
      <c r="N51" s="14"/>
      <c r="O51" s="14"/>
      <c r="P51" s="14"/>
      <c r="Q51" s="14"/>
      <c r="R51" s="14"/>
    </row>
    <row r="52" spans="2:18" x14ac:dyDescent="0.2">
      <c r="B52" s="136"/>
      <c r="C52" s="136"/>
      <c r="D52" s="136"/>
      <c r="E52" s="136"/>
      <c r="F52" s="136"/>
      <c r="G52" s="136"/>
      <c r="H52" s="136"/>
      <c r="I52" s="136"/>
      <c r="J52" s="136"/>
      <c r="K52" s="136"/>
      <c r="N52" s="14"/>
      <c r="O52" s="14"/>
      <c r="P52" s="14"/>
      <c r="Q52" s="14"/>
      <c r="R52" s="14"/>
    </row>
    <row r="53" spans="2:18" x14ac:dyDescent="0.2">
      <c r="N53" s="14"/>
      <c r="O53" s="14"/>
      <c r="P53" s="14"/>
      <c r="Q53" s="14"/>
      <c r="R53" s="14"/>
    </row>
    <row r="54" spans="2:18" x14ac:dyDescent="0.2">
      <c r="N54" s="14"/>
      <c r="O54" s="14"/>
      <c r="P54" s="14"/>
      <c r="Q54" s="14"/>
      <c r="R54" s="14"/>
    </row>
    <row r="55" spans="2:18" x14ac:dyDescent="0.2">
      <c r="N55" s="14"/>
      <c r="O55" s="14"/>
      <c r="P55" s="14"/>
      <c r="Q55" s="14"/>
      <c r="R55" s="14"/>
    </row>
    <row r="56" spans="2:18" x14ac:dyDescent="0.2">
      <c r="N56" s="14"/>
      <c r="O56" s="14"/>
      <c r="P56" s="14"/>
      <c r="Q56" s="14"/>
      <c r="R56" s="14"/>
    </row>
    <row r="57" spans="2:18" x14ac:dyDescent="0.2">
      <c r="N57" s="14"/>
      <c r="O57" s="14"/>
      <c r="P57" s="14"/>
      <c r="Q57" s="14"/>
      <c r="R57" s="14"/>
    </row>
    <row r="58" spans="2:18" x14ac:dyDescent="0.2">
      <c r="N58" s="14"/>
      <c r="O58" s="14"/>
      <c r="P58" s="14"/>
      <c r="Q58" s="14"/>
      <c r="R58" s="14"/>
    </row>
    <row r="71" spans="14:16" x14ac:dyDescent="0.2">
      <c r="N71" s="42"/>
      <c r="O71" s="42"/>
      <c r="P71" s="42"/>
    </row>
    <row r="82" spans="5:6" x14ac:dyDescent="0.2">
      <c r="E82" s="48"/>
    </row>
    <row r="83" spans="5:6" x14ac:dyDescent="0.2">
      <c r="E83" s="48"/>
    </row>
    <row r="84" spans="5:6" x14ac:dyDescent="0.2">
      <c r="E84" s="48"/>
    </row>
    <row r="85" spans="5:6" x14ac:dyDescent="0.2">
      <c r="E85" s="48"/>
    </row>
    <row r="86" spans="5:6" x14ac:dyDescent="0.2">
      <c r="E86" s="48"/>
    </row>
    <row r="87" spans="5:6" x14ac:dyDescent="0.2">
      <c r="F87" s="48"/>
    </row>
    <row r="88" spans="5:6" x14ac:dyDescent="0.2">
      <c r="F88" s="48"/>
    </row>
  </sheetData>
  <sheetProtection sheet="1" objects="1" scenarios="1"/>
  <mergeCells count="1">
    <mergeCell ref="B2:C2"/>
  </mergeCells>
  <pageMargins left="0.7" right="0.7" top="0.75" bottom="0.75" header="0.3" footer="0.3"/>
  <pageSetup paperSize="9" orientation="portrait" r:id="rId2"/>
  <drawing r:id="rId3"/>
  <tableParts count="4">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L687"/>
  <sheetViews>
    <sheetView showGridLines="0" zoomScale="62" zoomScaleNormal="100" workbookViewId="0"/>
  </sheetViews>
  <sheetFormatPr baseColWidth="10" defaultColWidth="8.83203125" defaultRowHeight="15" x14ac:dyDescent="0.2"/>
  <cols>
    <col min="1" max="1" width="13.5" customWidth="1"/>
    <col min="2" max="2" width="14.83203125" bestFit="1" customWidth="1"/>
    <col min="3" max="3" width="8.6640625" bestFit="1" customWidth="1"/>
    <col min="4" max="4" width="6.83203125" bestFit="1" customWidth="1"/>
    <col min="5" max="5" width="6.33203125" bestFit="1" customWidth="1"/>
    <col min="6" max="6" width="12" bestFit="1" customWidth="1"/>
    <col min="7" max="7" width="13.5" bestFit="1" customWidth="1"/>
    <col min="8" max="8" width="15.6640625" bestFit="1" customWidth="1"/>
    <col min="9" max="9" width="7.33203125" bestFit="1" customWidth="1"/>
    <col min="10" max="10" width="6.33203125" bestFit="1" customWidth="1"/>
    <col min="11" max="11" width="8.83203125" bestFit="1" customWidth="1"/>
    <col min="12" max="12" width="5.5" bestFit="1" customWidth="1"/>
    <col min="13" max="13" width="7.5" bestFit="1" customWidth="1"/>
    <col min="14" max="14" width="10.1640625" bestFit="1" customWidth="1"/>
    <col min="15" max="15" width="7.33203125" bestFit="1" customWidth="1"/>
    <col min="16" max="16" width="10.5" bestFit="1" customWidth="1"/>
    <col min="17" max="17" width="12.33203125" customWidth="1"/>
    <col min="18" max="18" width="26.6640625" bestFit="1" customWidth="1"/>
    <col min="19" max="19" width="16.1640625" bestFit="1" customWidth="1"/>
    <col min="20" max="20" width="10.5" bestFit="1" customWidth="1"/>
    <col min="21" max="21" width="9" customWidth="1"/>
    <col min="22" max="22" width="9.1640625" bestFit="1" customWidth="1"/>
    <col min="23" max="23" width="10.83203125" customWidth="1"/>
    <col min="24" max="24" width="7.33203125" bestFit="1" customWidth="1"/>
    <col min="25" max="25" width="10.5" bestFit="1" customWidth="1"/>
    <col min="26" max="26" width="13.1640625" bestFit="1" customWidth="1"/>
    <col min="27" max="27" width="33" bestFit="1" customWidth="1"/>
    <col min="28" max="33" width="8.5" bestFit="1" customWidth="1"/>
    <col min="34" max="34" width="7.83203125" bestFit="1" customWidth="1"/>
    <col min="35" max="35" width="7.5" bestFit="1" customWidth="1"/>
    <col min="36" max="36" width="7.83203125" bestFit="1" customWidth="1"/>
    <col min="37" max="44" width="8.5" bestFit="1" customWidth="1"/>
    <col min="45" max="45" width="7.83203125" bestFit="1" customWidth="1"/>
    <col min="46" max="46" width="7.5" bestFit="1" customWidth="1"/>
    <col min="47" max="47" width="15" bestFit="1" customWidth="1"/>
    <col min="48" max="48" width="11.5" bestFit="1" customWidth="1"/>
    <col min="49" max="56" width="7.83203125" bestFit="1" customWidth="1"/>
    <col min="57" max="57" width="7.5" bestFit="1" customWidth="1"/>
    <col min="58" max="58" width="7.1640625" bestFit="1" customWidth="1"/>
    <col min="59" max="59" width="7.83203125" bestFit="1" customWidth="1"/>
    <col min="60" max="67" width="8.5" bestFit="1" customWidth="1"/>
    <col min="68" max="68" width="7.83203125" bestFit="1" customWidth="1"/>
    <col min="69" max="69" width="7.5" bestFit="1" customWidth="1"/>
    <col min="70" max="70" width="7.83203125" bestFit="1" customWidth="1"/>
    <col min="71" max="78" width="8.5" bestFit="1" customWidth="1"/>
    <col min="79" max="79" width="7.83203125" bestFit="1" customWidth="1"/>
    <col min="80" max="80" width="7.5" bestFit="1" customWidth="1"/>
    <col min="81" max="81" width="7.83203125" bestFit="1" customWidth="1"/>
    <col min="82" max="89" width="8.5" bestFit="1" customWidth="1"/>
    <col min="90" max="90" width="7.83203125" bestFit="1" customWidth="1"/>
    <col min="91" max="91" width="7.5" bestFit="1" customWidth="1"/>
    <col min="92" max="92" width="16.83203125" bestFit="1" customWidth="1"/>
    <col min="93" max="93" width="10.5" bestFit="1" customWidth="1"/>
    <col min="94" max="101" width="7.83203125" bestFit="1" customWidth="1"/>
    <col min="102" max="102" width="7.5" bestFit="1" customWidth="1"/>
    <col min="103" max="103" width="7.1640625" bestFit="1" customWidth="1"/>
    <col min="104" max="104" width="7.83203125" bestFit="1" customWidth="1"/>
    <col min="105" max="112" width="8.5" bestFit="1" customWidth="1"/>
    <col min="113" max="113" width="7.83203125" bestFit="1" customWidth="1"/>
    <col min="114" max="114" width="7.5" bestFit="1" customWidth="1"/>
    <col min="115" max="115" width="7.83203125" bestFit="1" customWidth="1"/>
    <col min="116" max="123" width="8.5" bestFit="1" customWidth="1"/>
    <col min="124" max="124" width="7.83203125" bestFit="1" customWidth="1"/>
    <col min="125" max="125" width="7.5" bestFit="1" customWidth="1"/>
    <col min="126" max="126" width="7.83203125" bestFit="1" customWidth="1"/>
    <col min="127" max="134" width="8.5" bestFit="1" customWidth="1"/>
    <col min="135" max="135" width="7.83203125" bestFit="1" customWidth="1"/>
    <col min="136" max="136" width="7.5" bestFit="1" customWidth="1"/>
    <col min="137" max="137" width="15.5" bestFit="1" customWidth="1"/>
    <col min="138" max="138" width="14.5" bestFit="1" customWidth="1"/>
    <col min="139" max="146" width="7.83203125" bestFit="1" customWidth="1"/>
    <col min="147" max="147" width="7.5" bestFit="1" customWidth="1"/>
    <col min="148" max="148" width="7.1640625" bestFit="1" customWidth="1"/>
    <col min="149" max="149" width="7.83203125" bestFit="1" customWidth="1"/>
    <col min="150" max="157" width="8.5" bestFit="1" customWidth="1"/>
    <col min="158" max="158" width="7.83203125" bestFit="1" customWidth="1"/>
    <col min="159" max="159" width="7.5" bestFit="1" customWidth="1"/>
    <col min="160" max="160" width="7.83203125" bestFit="1" customWidth="1"/>
    <col min="161" max="168" width="8.5" bestFit="1" customWidth="1"/>
    <col min="169" max="169" width="7.83203125" bestFit="1" customWidth="1"/>
    <col min="170" max="170" width="7.5" bestFit="1" customWidth="1"/>
    <col min="171" max="171" width="7.83203125" bestFit="1" customWidth="1"/>
    <col min="172" max="179" width="8.5" bestFit="1" customWidth="1"/>
    <col min="180" max="180" width="7.83203125" bestFit="1" customWidth="1"/>
    <col min="181" max="181" width="7.5" bestFit="1" customWidth="1"/>
    <col min="182" max="182" width="19.5" bestFit="1" customWidth="1"/>
    <col min="183" max="183" width="7.5" bestFit="1" customWidth="1"/>
    <col min="184" max="191" width="7.83203125" bestFit="1" customWidth="1"/>
    <col min="192" max="192" width="7.5" bestFit="1" customWidth="1"/>
    <col min="193" max="193" width="7.1640625" bestFit="1" customWidth="1"/>
    <col min="194" max="194" width="7.83203125" bestFit="1" customWidth="1"/>
    <col min="195" max="202" width="8.5" bestFit="1" customWidth="1"/>
    <col min="203" max="203" width="7.83203125" bestFit="1" customWidth="1"/>
    <col min="204" max="204" width="7.5" bestFit="1" customWidth="1"/>
    <col min="205" max="205" width="7.83203125" bestFit="1" customWidth="1"/>
    <col min="206" max="213" width="8.5" bestFit="1" customWidth="1"/>
    <col min="214" max="214" width="7.83203125" bestFit="1" customWidth="1"/>
    <col min="215" max="215" width="7.5" bestFit="1" customWidth="1"/>
    <col min="216" max="216" width="7.83203125" bestFit="1" customWidth="1"/>
    <col min="217" max="224" width="8.5" bestFit="1" customWidth="1"/>
    <col min="225" max="225" width="7.83203125" bestFit="1" customWidth="1"/>
    <col min="226" max="226" width="7.5" bestFit="1" customWidth="1"/>
    <col min="227" max="227" width="12.5" bestFit="1" customWidth="1"/>
    <col min="228" max="228" width="12.1640625" bestFit="1" customWidth="1"/>
    <col min="229" max="236" width="7.83203125" bestFit="1" customWidth="1"/>
    <col min="237" max="237" width="7.5" bestFit="1" customWidth="1"/>
    <col min="238" max="238" width="7.1640625" bestFit="1" customWidth="1"/>
    <col min="239" max="239" width="7.83203125" bestFit="1" customWidth="1"/>
    <col min="240" max="247" width="8.5" bestFit="1" customWidth="1"/>
    <col min="248" max="248" width="7.83203125" bestFit="1" customWidth="1"/>
    <col min="249" max="249" width="7.5" bestFit="1" customWidth="1"/>
    <col min="250" max="250" width="7.83203125" bestFit="1" customWidth="1"/>
    <col min="251" max="258" width="8.5" bestFit="1" customWidth="1"/>
    <col min="259" max="259" width="7.83203125" bestFit="1" customWidth="1"/>
    <col min="260" max="260" width="7.5" bestFit="1" customWidth="1"/>
    <col min="261" max="261" width="7.83203125" bestFit="1" customWidth="1"/>
    <col min="262" max="269" width="8.5" bestFit="1" customWidth="1"/>
    <col min="270" max="270" width="7.83203125" bestFit="1" customWidth="1"/>
    <col min="271" max="271" width="7.5" bestFit="1" customWidth="1"/>
    <col min="272" max="272" width="17.5" bestFit="1" customWidth="1"/>
    <col min="273" max="273" width="15" bestFit="1" customWidth="1"/>
  </cols>
  <sheetData>
    <row r="3" spans="2:33" x14ac:dyDescent="0.2">
      <c r="W3" t="s">
        <v>130</v>
      </c>
      <c r="X3" cm="1">
        <f t="array" ref="X3">COUNT(IF(X8:X51&lt;&gt;0, X8:X51))-2</f>
        <v>24</v>
      </c>
    </row>
    <row r="5" spans="2:33" x14ac:dyDescent="0.2">
      <c r="B5" s="23" t="s">
        <v>47</v>
      </c>
      <c r="C5" s="23" t="s">
        <v>0</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2:33" x14ac:dyDescent="0.2">
      <c r="B6" s="11"/>
      <c r="C6" s="11" t="s">
        <v>1</v>
      </c>
      <c r="D6" s="11"/>
      <c r="E6" s="11"/>
      <c r="F6" s="11"/>
      <c r="G6" s="11" t="s">
        <v>99</v>
      </c>
      <c r="H6" s="11" t="s">
        <v>2</v>
      </c>
      <c r="I6" s="11"/>
      <c r="J6" s="11"/>
      <c r="K6" s="11"/>
      <c r="L6" s="11" t="s">
        <v>100</v>
      </c>
      <c r="M6" s="11" t="s">
        <v>3</v>
      </c>
      <c r="N6" s="11"/>
      <c r="O6" s="11"/>
      <c r="P6" s="11"/>
      <c r="Q6" s="11" t="s">
        <v>101</v>
      </c>
      <c r="R6" s="11" t="s">
        <v>4</v>
      </c>
      <c r="S6" s="11"/>
      <c r="T6" s="11"/>
      <c r="U6" s="11"/>
      <c r="V6" s="11" t="s">
        <v>102</v>
      </c>
      <c r="W6" s="11" t="s">
        <v>5</v>
      </c>
      <c r="X6" s="11"/>
      <c r="Y6" s="11"/>
      <c r="Z6" s="11"/>
      <c r="AA6" s="11" t="s">
        <v>103</v>
      </c>
      <c r="AB6" s="11" t="s">
        <v>6</v>
      </c>
      <c r="AC6" s="11"/>
      <c r="AD6" s="11"/>
      <c r="AE6" s="11"/>
      <c r="AF6" s="11" t="s">
        <v>104</v>
      </c>
      <c r="AG6" s="11" t="s">
        <v>7</v>
      </c>
    </row>
    <row r="7" spans="2:33" x14ac:dyDescent="0.2">
      <c r="B7" s="23" t="s">
        <v>8</v>
      </c>
      <c r="C7" s="11" t="s">
        <v>105</v>
      </c>
      <c r="D7" s="11" t="s">
        <v>48</v>
      </c>
      <c r="E7" s="11" t="s">
        <v>49</v>
      </c>
      <c r="F7" s="11" t="s">
        <v>50</v>
      </c>
      <c r="G7" s="11"/>
      <c r="H7" s="11" t="s">
        <v>105</v>
      </c>
      <c r="I7" s="11" t="s">
        <v>48</v>
      </c>
      <c r="J7" s="11" t="s">
        <v>49</v>
      </c>
      <c r="K7" s="11" t="s">
        <v>50</v>
      </c>
      <c r="L7" s="11"/>
      <c r="M7" s="11" t="s">
        <v>105</v>
      </c>
      <c r="N7" s="11" t="s">
        <v>48</v>
      </c>
      <c r="O7" s="11" t="s">
        <v>49</v>
      </c>
      <c r="P7" s="11" t="s">
        <v>50</v>
      </c>
      <c r="Q7" s="11"/>
      <c r="R7" s="11" t="s">
        <v>105</v>
      </c>
      <c r="S7" s="11" t="s">
        <v>48</v>
      </c>
      <c r="T7" s="11" t="s">
        <v>49</v>
      </c>
      <c r="U7" s="11" t="s">
        <v>50</v>
      </c>
      <c r="V7" s="11"/>
      <c r="W7" s="11" t="s">
        <v>105</v>
      </c>
      <c r="X7" s="11" t="s">
        <v>48</v>
      </c>
      <c r="Y7" s="11" t="s">
        <v>49</v>
      </c>
      <c r="Z7" s="11" t="s">
        <v>50</v>
      </c>
      <c r="AA7" s="11"/>
      <c r="AB7" s="11" t="s">
        <v>105</v>
      </c>
      <c r="AC7" s="11" t="s">
        <v>48</v>
      </c>
      <c r="AD7" s="11" t="s">
        <v>49</v>
      </c>
      <c r="AE7" s="11" t="s">
        <v>50</v>
      </c>
      <c r="AF7" s="11"/>
      <c r="AG7" s="11"/>
    </row>
    <row r="8" spans="2:33" x14ac:dyDescent="0.2">
      <c r="B8" s="24" t="s">
        <v>54</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row>
    <row r="9" spans="2:33" x14ac:dyDescent="0.2">
      <c r="B9" s="24" t="s">
        <v>55</v>
      </c>
      <c r="C9" s="11">
        <v>600</v>
      </c>
      <c r="D9" s="11">
        <v>0</v>
      </c>
      <c r="E9" s="11">
        <v>0</v>
      </c>
      <c r="F9" s="11">
        <v>0</v>
      </c>
      <c r="G9" s="11">
        <v>600</v>
      </c>
      <c r="H9" s="11">
        <v>600</v>
      </c>
      <c r="I9" s="11">
        <v>0</v>
      </c>
      <c r="J9" s="11">
        <v>0</v>
      </c>
      <c r="K9" s="11">
        <v>0</v>
      </c>
      <c r="L9" s="11">
        <v>600</v>
      </c>
      <c r="M9" s="11">
        <v>600</v>
      </c>
      <c r="N9" s="11">
        <v>0</v>
      </c>
      <c r="O9" s="11">
        <v>0</v>
      </c>
      <c r="P9" s="11">
        <v>0</v>
      </c>
      <c r="Q9" s="11">
        <v>600</v>
      </c>
      <c r="R9" s="11">
        <v>600</v>
      </c>
      <c r="S9" s="11">
        <v>0</v>
      </c>
      <c r="T9" s="11">
        <v>0</v>
      </c>
      <c r="U9" s="11">
        <v>0</v>
      </c>
      <c r="V9" s="11">
        <v>600</v>
      </c>
      <c r="W9" s="11">
        <v>600</v>
      </c>
      <c r="X9" s="11">
        <v>0</v>
      </c>
      <c r="Y9" s="11">
        <v>0</v>
      </c>
      <c r="Z9" s="11">
        <v>0</v>
      </c>
      <c r="AA9" s="11">
        <v>600</v>
      </c>
      <c r="AB9" s="11">
        <v>600</v>
      </c>
      <c r="AC9" s="11">
        <v>0</v>
      </c>
      <c r="AD9" s="11">
        <v>0</v>
      </c>
      <c r="AE9" s="11">
        <v>0</v>
      </c>
      <c r="AF9" s="11">
        <v>600</v>
      </c>
      <c r="AG9" s="11">
        <v>3600</v>
      </c>
    </row>
    <row r="10" spans="2:33" x14ac:dyDescent="0.2">
      <c r="B10" s="24" t="s">
        <v>9</v>
      </c>
      <c r="C10" s="11">
        <v>300</v>
      </c>
      <c r="D10" s="11">
        <v>100</v>
      </c>
      <c r="E10" s="11">
        <v>100</v>
      </c>
      <c r="F10" s="11">
        <v>100</v>
      </c>
      <c r="G10" s="11">
        <v>600</v>
      </c>
      <c r="H10" s="11">
        <v>300</v>
      </c>
      <c r="I10" s="11">
        <v>100</v>
      </c>
      <c r="J10" s="11">
        <v>100</v>
      </c>
      <c r="K10" s="11">
        <v>100</v>
      </c>
      <c r="L10" s="11">
        <v>600</v>
      </c>
      <c r="M10" s="11">
        <v>300</v>
      </c>
      <c r="N10" s="11">
        <v>100</v>
      </c>
      <c r="O10" s="11">
        <v>100</v>
      </c>
      <c r="P10" s="11">
        <v>100</v>
      </c>
      <c r="Q10" s="11">
        <v>600</v>
      </c>
      <c r="R10" s="11">
        <v>300</v>
      </c>
      <c r="S10" s="11">
        <v>100</v>
      </c>
      <c r="T10" s="11">
        <v>100</v>
      </c>
      <c r="U10" s="11">
        <v>100</v>
      </c>
      <c r="V10" s="11">
        <v>600</v>
      </c>
      <c r="W10" s="11">
        <v>300</v>
      </c>
      <c r="X10" s="11">
        <v>100</v>
      </c>
      <c r="Y10" s="11">
        <v>100</v>
      </c>
      <c r="Z10" s="11">
        <v>100</v>
      </c>
      <c r="AA10" s="11">
        <v>600</v>
      </c>
      <c r="AB10" s="11">
        <v>300</v>
      </c>
      <c r="AC10" s="11">
        <v>100</v>
      </c>
      <c r="AD10" s="11">
        <v>100</v>
      </c>
      <c r="AE10" s="11">
        <v>100</v>
      </c>
      <c r="AF10" s="11">
        <v>600</v>
      </c>
      <c r="AG10" s="11">
        <v>3600</v>
      </c>
    </row>
    <row r="11" spans="2:33" x14ac:dyDescent="0.2">
      <c r="B11" s="24" t="s">
        <v>10</v>
      </c>
      <c r="C11" s="11">
        <v>300</v>
      </c>
      <c r="D11" s="11">
        <v>37</v>
      </c>
      <c r="E11" s="11">
        <v>90</v>
      </c>
      <c r="F11" s="11">
        <v>73</v>
      </c>
      <c r="G11" s="11">
        <v>500</v>
      </c>
      <c r="H11" s="11">
        <v>300</v>
      </c>
      <c r="I11" s="11">
        <v>100</v>
      </c>
      <c r="J11" s="11">
        <v>100</v>
      </c>
      <c r="K11" s="11">
        <v>37</v>
      </c>
      <c r="L11" s="11">
        <v>537</v>
      </c>
      <c r="M11" s="11">
        <v>300</v>
      </c>
      <c r="N11" s="11">
        <v>100</v>
      </c>
      <c r="O11" s="11">
        <v>75</v>
      </c>
      <c r="P11" s="11">
        <v>76</v>
      </c>
      <c r="Q11" s="11">
        <v>551</v>
      </c>
      <c r="R11" s="11">
        <v>300</v>
      </c>
      <c r="S11" s="11">
        <v>0</v>
      </c>
      <c r="T11" s="11">
        <v>100</v>
      </c>
      <c r="U11" s="11">
        <v>100</v>
      </c>
      <c r="V11" s="11">
        <v>500</v>
      </c>
      <c r="W11" s="11">
        <v>300</v>
      </c>
      <c r="X11" s="11">
        <v>0</v>
      </c>
      <c r="Y11" s="11">
        <v>100</v>
      </c>
      <c r="Z11" s="11">
        <v>100</v>
      </c>
      <c r="AA11" s="11">
        <v>500</v>
      </c>
      <c r="AB11" s="11">
        <v>300</v>
      </c>
      <c r="AC11" s="11">
        <v>0</v>
      </c>
      <c r="AD11" s="11">
        <v>100</v>
      </c>
      <c r="AE11" s="11">
        <v>100</v>
      </c>
      <c r="AF11" s="11">
        <v>500</v>
      </c>
      <c r="AG11" s="11">
        <v>3088</v>
      </c>
    </row>
    <row r="12" spans="2:33" x14ac:dyDescent="0.2">
      <c r="B12" s="24" t="s">
        <v>11</v>
      </c>
      <c r="C12" s="11">
        <v>300</v>
      </c>
      <c r="D12" s="11">
        <v>5</v>
      </c>
      <c r="E12" s="11">
        <v>32</v>
      </c>
      <c r="F12" s="11">
        <v>73</v>
      </c>
      <c r="G12" s="11">
        <v>410</v>
      </c>
      <c r="H12" s="11">
        <v>300</v>
      </c>
      <c r="I12" s="11">
        <v>100</v>
      </c>
      <c r="J12" s="11">
        <v>81</v>
      </c>
      <c r="K12" s="11">
        <v>19</v>
      </c>
      <c r="L12" s="11">
        <v>500</v>
      </c>
      <c r="M12" s="11">
        <v>300</v>
      </c>
      <c r="N12" s="11">
        <v>100</v>
      </c>
      <c r="O12" s="11">
        <v>46</v>
      </c>
      <c r="P12" s="11">
        <v>49</v>
      </c>
      <c r="Q12" s="11">
        <v>495</v>
      </c>
      <c r="R12" s="11">
        <v>300</v>
      </c>
      <c r="S12" s="11">
        <v>0</v>
      </c>
      <c r="T12" s="11">
        <v>100</v>
      </c>
      <c r="U12" s="11">
        <v>100</v>
      </c>
      <c r="V12" s="11">
        <v>500</v>
      </c>
      <c r="W12" s="11">
        <v>300</v>
      </c>
      <c r="X12" s="11">
        <v>0</v>
      </c>
      <c r="Y12" s="11">
        <v>35</v>
      </c>
      <c r="Z12" s="11">
        <v>65</v>
      </c>
      <c r="AA12" s="11">
        <v>400</v>
      </c>
      <c r="AB12" s="11">
        <v>300</v>
      </c>
      <c r="AC12" s="11">
        <v>0</v>
      </c>
      <c r="AD12" s="11">
        <v>0</v>
      </c>
      <c r="AE12" s="11">
        <v>100</v>
      </c>
      <c r="AF12" s="11">
        <v>400</v>
      </c>
      <c r="AG12" s="11">
        <v>2705</v>
      </c>
    </row>
    <row r="13" spans="2:33" x14ac:dyDescent="0.2">
      <c r="B13" s="24" t="s">
        <v>12</v>
      </c>
      <c r="C13" s="11">
        <v>110</v>
      </c>
      <c r="D13" s="11">
        <v>100</v>
      </c>
      <c r="E13" s="11">
        <v>100</v>
      </c>
      <c r="F13" s="11">
        <v>100</v>
      </c>
      <c r="G13" s="11">
        <v>410</v>
      </c>
      <c r="H13" s="11">
        <v>200</v>
      </c>
      <c r="I13" s="11">
        <v>100</v>
      </c>
      <c r="J13" s="11">
        <v>100</v>
      </c>
      <c r="K13" s="11">
        <v>81</v>
      </c>
      <c r="L13" s="11">
        <v>481</v>
      </c>
      <c r="M13" s="11">
        <v>195</v>
      </c>
      <c r="N13" s="11">
        <v>100</v>
      </c>
      <c r="O13" s="11">
        <v>100</v>
      </c>
      <c r="P13" s="11">
        <v>100</v>
      </c>
      <c r="Q13" s="11">
        <v>495</v>
      </c>
      <c r="R13" s="11">
        <v>200</v>
      </c>
      <c r="S13" s="11">
        <v>100</v>
      </c>
      <c r="T13" s="11">
        <v>100</v>
      </c>
      <c r="U13" s="11">
        <v>64</v>
      </c>
      <c r="V13" s="11">
        <v>464</v>
      </c>
      <c r="W13" s="11">
        <v>100</v>
      </c>
      <c r="X13" s="11">
        <v>100</v>
      </c>
      <c r="Y13" s="11">
        <v>65</v>
      </c>
      <c r="Z13" s="11">
        <v>70</v>
      </c>
      <c r="AA13" s="11">
        <v>335</v>
      </c>
      <c r="AB13" s="11">
        <v>100</v>
      </c>
      <c r="AC13" s="11">
        <v>100</v>
      </c>
      <c r="AD13" s="11">
        <v>100</v>
      </c>
      <c r="AE13" s="11">
        <v>100</v>
      </c>
      <c r="AF13" s="11">
        <v>400</v>
      </c>
      <c r="AG13" s="11">
        <v>2585</v>
      </c>
    </row>
    <row r="14" spans="2:33" x14ac:dyDescent="0.2">
      <c r="B14" s="24" t="s">
        <v>13</v>
      </c>
      <c r="C14" s="11">
        <v>110</v>
      </c>
      <c r="D14" s="11">
        <v>69</v>
      </c>
      <c r="E14" s="11">
        <v>100</v>
      </c>
      <c r="F14" s="11">
        <v>100</v>
      </c>
      <c r="G14" s="11">
        <v>379</v>
      </c>
      <c r="H14" s="11">
        <v>200</v>
      </c>
      <c r="I14" s="11">
        <v>100</v>
      </c>
      <c r="J14" s="11">
        <v>100</v>
      </c>
      <c r="K14" s="11">
        <v>19</v>
      </c>
      <c r="L14" s="11">
        <v>419</v>
      </c>
      <c r="M14" s="11">
        <v>195</v>
      </c>
      <c r="N14" s="11">
        <v>74</v>
      </c>
      <c r="O14" s="11">
        <v>70</v>
      </c>
      <c r="P14" s="11">
        <v>74</v>
      </c>
      <c r="Q14" s="11">
        <v>413</v>
      </c>
      <c r="R14" s="11">
        <v>200</v>
      </c>
      <c r="S14" s="11">
        <v>52</v>
      </c>
      <c r="T14" s="11">
        <v>100</v>
      </c>
      <c r="U14" s="11">
        <v>64</v>
      </c>
      <c r="V14" s="11">
        <v>416</v>
      </c>
      <c r="W14" s="11">
        <v>100</v>
      </c>
      <c r="X14" s="11">
        <v>0</v>
      </c>
      <c r="Y14" s="11">
        <v>65</v>
      </c>
      <c r="Z14" s="11">
        <v>70</v>
      </c>
      <c r="AA14" s="11">
        <v>235</v>
      </c>
      <c r="AB14" s="11">
        <v>100</v>
      </c>
      <c r="AC14" s="11">
        <v>0</v>
      </c>
      <c r="AD14" s="11">
        <v>100</v>
      </c>
      <c r="AE14" s="11">
        <v>100</v>
      </c>
      <c r="AF14" s="11">
        <v>300</v>
      </c>
      <c r="AG14" s="11">
        <v>2162</v>
      </c>
    </row>
    <row r="15" spans="2:33" x14ac:dyDescent="0.2">
      <c r="B15" s="24" t="s">
        <v>14</v>
      </c>
      <c r="C15" s="11">
        <v>110</v>
      </c>
      <c r="D15" s="11">
        <v>69</v>
      </c>
      <c r="E15" s="11">
        <v>41</v>
      </c>
      <c r="F15" s="11">
        <v>70</v>
      </c>
      <c r="G15" s="11">
        <v>290</v>
      </c>
      <c r="H15" s="11">
        <v>200</v>
      </c>
      <c r="I15" s="11">
        <v>100</v>
      </c>
      <c r="J15" s="11">
        <v>100</v>
      </c>
      <c r="K15" s="11">
        <v>0</v>
      </c>
      <c r="L15" s="11">
        <v>400</v>
      </c>
      <c r="M15" s="11">
        <v>195</v>
      </c>
      <c r="N15" s="11">
        <v>53</v>
      </c>
      <c r="O15" s="11">
        <v>47</v>
      </c>
      <c r="P15" s="11">
        <v>49</v>
      </c>
      <c r="Q15" s="11">
        <v>344</v>
      </c>
      <c r="R15" s="11">
        <v>200</v>
      </c>
      <c r="S15" s="11">
        <v>20</v>
      </c>
      <c r="T15" s="11">
        <v>52</v>
      </c>
      <c r="U15" s="11">
        <v>64</v>
      </c>
      <c r="V15" s="11">
        <v>336</v>
      </c>
      <c r="W15" s="11">
        <v>100</v>
      </c>
      <c r="X15" s="11">
        <v>0</v>
      </c>
      <c r="Y15" s="11">
        <v>0</v>
      </c>
      <c r="Z15" s="11">
        <v>70</v>
      </c>
      <c r="AA15" s="11">
        <v>170</v>
      </c>
      <c r="AB15" s="11">
        <v>100</v>
      </c>
      <c r="AC15" s="11">
        <v>0</v>
      </c>
      <c r="AD15" s="11">
        <v>0</v>
      </c>
      <c r="AE15" s="11">
        <v>100</v>
      </c>
      <c r="AF15" s="11">
        <v>200</v>
      </c>
      <c r="AG15" s="11">
        <v>1740</v>
      </c>
    </row>
    <row r="16" spans="2:33" x14ac:dyDescent="0.2">
      <c r="B16" s="24" t="s">
        <v>15</v>
      </c>
      <c r="C16" s="11">
        <v>0</v>
      </c>
      <c r="D16" s="11">
        <v>67</v>
      </c>
      <c r="E16" s="11">
        <v>95</v>
      </c>
      <c r="F16" s="11">
        <v>70</v>
      </c>
      <c r="G16" s="11">
        <v>232</v>
      </c>
      <c r="H16" s="11">
        <v>100</v>
      </c>
      <c r="I16" s="11">
        <v>77</v>
      </c>
      <c r="J16" s="11">
        <v>100</v>
      </c>
      <c r="K16" s="11">
        <v>100</v>
      </c>
      <c r="L16" s="11">
        <v>377</v>
      </c>
      <c r="M16" s="11">
        <v>44</v>
      </c>
      <c r="N16" s="11">
        <v>100</v>
      </c>
      <c r="O16" s="11">
        <v>60</v>
      </c>
      <c r="P16" s="11">
        <v>91</v>
      </c>
      <c r="Q16" s="11">
        <v>295</v>
      </c>
      <c r="R16" s="11">
        <v>36</v>
      </c>
      <c r="S16" s="11">
        <v>80</v>
      </c>
      <c r="T16" s="11">
        <v>100</v>
      </c>
      <c r="U16" s="11">
        <v>100</v>
      </c>
      <c r="V16" s="11">
        <v>316</v>
      </c>
      <c r="W16" s="11">
        <v>0</v>
      </c>
      <c r="X16" s="11">
        <v>70</v>
      </c>
      <c r="Y16" s="11">
        <v>24</v>
      </c>
      <c r="Z16" s="11">
        <v>6</v>
      </c>
      <c r="AA16" s="11">
        <v>100</v>
      </c>
      <c r="AB16" s="11">
        <v>0</v>
      </c>
      <c r="AC16" s="11">
        <v>50</v>
      </c>
      <c r="AD16" s="11">
        <v>50</v>
      </c>
      <c r="AE16" s="11">
        <v>100</v>
      </c>
      <c r="AF16" s="11">
        <v>200</v>
      </c>
      <c r="AG16" s="11">
        <v>1520</v>
      </c>
    </row>
    <row r="17" spans="2:33" x14ac:dyDescent="0.2">
      <c r="B17" s="24" t="s">
        <v>16</v>
      </c>
      <c r="C17" s="11">
        <v>0</v>
      </c>
      <c r="D17" s="11">
        <v>36</v>
      </c>
      <c r="E17" s="11">
        <v>71</v>
      </c>
      <c r="F17" s="11">
        <v>70</v>
      </c>
      <c r="G17" s="11">
        <v>177</v>
      </c>
      <c r="H17" s="11">
        <v>100</v>
      </c>
      <c r="I17" s="11">
        <v>51</v>
      </c>
      <c r="J17" s="11">
        <v>100</v>
      </c>
      <c r="K17" s="11">
        <v>83</v>
      </c>
      <c r="L17" s="11">
        <v>334</v>
      </c>
      <c r="M17" s="11">
        <v>44</v>
      </c>
      <c r="N17" s="11">
        <v>73</v>
      </c>
      <c r="O17" s="11">
        <v>60</v>
      </c>
      <c r="P17" s="11">
        <v>91</v>
      </c>
      <c r="Q17" s="11">
        <v>268</v>
      </c>
      <c r="R17" s="11">
        <v>36</v>
      </c>
      <c r="S17" s="11">
        <v>0</v>
      </c>
      <c r="T17" s="11">
        <v>80</v>
      </c>
      <c r="U17" s="11">
        <v>100</v>
      </c>
      <c r="V17" s="11">
        <v>216</v>
      </c>
      <c r="W17" s="11">
        <v>0</v>
      </c>
      <c r="X17" s="11">
        <v>0</v>
      </c>
      <c r="Y17" s="11">
        <v>24</v>
      </c>
      <c r="Z17" s="11">
        <v>6</v>
      </c>
      <c r="AA17" s="11">
        <v>30</v>
      </c>
      <c r="AB17" s="11">
        <v>0</v>
      </c>
      <c r="AC17" s="11">
        <v>0</v>
      </c>
      <c r="AD17" s="11">
        <v>50</v>
      </c>
      <c r="AE17" s="11">
        <v>100</v>
      </c>
      <c r="AF17" s="11">
        <v>150</v>
      </c>
      <c r="AG17" s="11">
        <v>1175</v>
      </c>
    </row>
    <row r="18" spans="2:33" x14ac:dyDescent="0.2">
      <c r="B18" s="24" t="s">
        <v>56</v>
      </c>
      <c r="C18" s="11">
        <v>0</v>
      </c>
      <c r="D18" s="11">
        <v>36</v>
      </c>
      <c r="E18" s="11">
        <v>47</v>
      </c>
      <c r="F18" s="11">
        <v>70</v>
      </c>
      <c r="G18" s="11">
        <v>153</v>
      </c>
      <c r="H18" s="11">
        <v>100</v>
      </c>
      <c r="I18" s="11">
        <v>51</v>
      </c>
      <c r="J18" s="11">
        <v>100</v>
      </c>
      <c r="K18" s="11">
        <v>0</v>
      </c>
      <c r="L18" s="11">
        <v>251</v>
      </c>
      <c r="M18" s="11">
        <v>44</v>
      </c>
      <c r="N18" s="11">
        <v>73</v>
      </c>
      <c r="O18" s="11">
        <v>60</v>
      </c>
      <c r="P18" s="11">
        <v>68</v>
      </c>
      <c r="Q18" s="11">
        <v>245</v>
      </c>
      <c r="R18" s="11">
        <v>36</v>
      </c>
      <c r="S18" s="11">
        <v>0</v>
      </c>
      <c r="T18" s="11">
        <v>80</v>
      </c>
      <c r="U18" s="11">
        <v>52</v>
      </c>
      <c r="V18" s="11">
        <v>168</v>
      </c>
      <c r="W18" s="11">
        <v>0</v>
      </c>
      <c r="X18" s="11">
        <v>0</v>
      </c>
      <c r="Y18" s="11">
        <v>0</v>
      </c>
      <c r="Z18" s="11">
        <v>6</v>
      </c>
      <c r="AA18" s="11">
        <v>6</v>
      </c>
      <c r="AB18" s="11">
        <v>0</v>
      </c>
      <c r="AC18" s="11">
        <v>0</v>
      </c>
      <c r="AD18" s="11">
        <v>50</v>
      </c>
      <c r="AE18" s="11">
        <v>100</v>
      </c>
      <c r="AF18" s="11">
        <v>150</v>
      </c>
      <c r="AG18" s="11">
        <v>973</v>
      </c>
    </row>
    <row r="19" spans="2:33" x14ac:dyDescent="0.2">
      <c r="B19" s="24" t="s">
        <v>17</v>
      </c>
      <c r="C19" s="11">
        <v>0</v>
      </c>
      <c r="D19" s="11">
        <v>36</v>
      </c>
      <c r="E19" s="11">
        <v>47</v>
      </c>
      <c r="F19" s="11">
        <v>70</v>
      </c>
      <c r="G19" s="11">
        <v>153</v>
      </c>
      <c r="H19" s="11">
        <v>100</v>
      </c>
      <c r="I19" s="11">
        <v>51</v>
      </c>
      <c r="J19" s="11">
        <v>100</v>
      </c>
      <c r="K19" s="11">
        <v>0</v>
      </c>
      <c r="L19" s="11">
        <v>251</v>
      </c>
      <c r="M19" s="11">
        <v>44</v>
      </c>
      <c r="N19" s="11">
        <v>73</v>
      </c>
      <c r="O19" s="11">
        <v>60</v>
      </c>
      <c r="P19" s="11">
        <v>68</v>
      </c>
      <c r="Q19" s="11">
        <v>245</v>
      </c>
      <c r="R19" s="11">
        <v>36</v>
      </c>
      <c r="S19" s="11">
        <v>0</v>
      </c>
      <c r="T19" s="11">
        <v>80</v>
      </c>
      <c r="U19" s="11">
        <v>52</v>
      </c>
      <c r="V19" s="11">
        <v>168</v>
      </c>
      <c r="W19" s="11">
        <v>0</v>
      </c>
      <c r="X19" s="11">
        <v>0</v>
      </c>
      <c r="Y19" s="11">
        <v>0</v>
      </c>
      <c r="Z19" s="11">
        <v>6</v>
      </c>
      <c r="AA19" s="11">
        <v>6</v>
      </c>
      <c r="AB19" s="11">
        <v>0</v>
      </c>
      <c r="AC19" s="11">
        <v>0</v>
      </c>
      <c r="AD19" s="11">
        <v>50</v>
      </c>
      <c r="AE19" s="11">
        <v>100</v>
      </c>
      <c r="AF19" s="11">
        <v>150</v>
      </c>
      <c r="AG19" s="11">
        <v>973</v>
      </c>
    </row>
    <row r="20" spans="2:33" x14ac:dyDescent="0.2">
      <c r="B20" s="24" t="s">
        <v>18</v>
      </c>
      <c r="C20" s="11">
        <v>447</v>
      </c>
      <c r="D20" s="11">
        <v>0</v>
      </c>
      <c r="E20" s="11">
        <v>36</v>
      </c>
      <c r="F20" s="11">
        <v>70</v>
      </c>
      <c r="G20" s="11">
        <v>553</v>
      </c>
      <c r="H20" s="11">
        <v>349</v>
      </c>
      <c r="I20" s="11">
        <v>84</v>
      </c>
      <c r="J20" s="11">
        <v>75</v>
      </c>
      <c r="K20" s="11">
        <v>67</v>
      </c>
      <c r="L20" s="11">
        <v>575</v>
      </c>
      <c r="M20" s="11">
        <v>355</v>
      </c>
      <c r="N20" s="11">
        <v>85</v>
      </c>
      <c r="O20" s="11">
        <v>78</v>
      </c>
      <c r="P20" s="11">
        <v>63</v>
      </c>
      <c r="Q20" s="11">
        <v>581</v>
      </c>
      <c r="R20" s="11">
        <v>432</v>
      </c>
      <c r="S20" s="11">
        <v>22</v>
      </c>
      <c r="T20" s="11">
        <v>84</v>
      </c>
      <c r="U20" s="11">
        <v>62</v>
      </c>
      <c r="V20" s="11">
        <v>600</v>
      </c>
      <c r="W20" s="11">
        <v>594</v>
      </c>
      <c r="X20" s="11">
        <v>0</v>
      </c>
      <c r="Y20" s="11">
        <v>0</v>
      </c>
      <c r="Z20" s="11">
        <v>6</v>
      </c>
      <c r="AA20" s="11">
        <v>600</v>
      </c>
      <c r="AB20" s="11">
        <v>450</v>
      </c>
      <c r="AC20" s="11">
        <v>0</v>
      </c>
      <c r="AD20" s="11">
        <v>50</v>
      </c>
      <c r="AE20" s="11">
        <v>44</v>
      </c>
      <c r="AF20" s="11">
        <v>544</v>
      </c>
      <c r="AG20" s="11">
        <v>3453</v>
      </c>
    </row>
    <row r="21" spans="2:33" x14ac:dyDescent="0.2">
      <c r="B21" s="24" t="s">
        <v>19</v>
      </c>
      <c r="C21" s="11">
        <v>447</v>
      </c>
      <c r="D21" s="11">
        <v>0</v>
      </c>
      <c r="E21" s="11">
        <v>12</v>
      </c>
      <c r="F21" s="11">
        <v>70</v>
      </c>
      <c r="G21" s="11">
        <v>529</v>
      </c>
      <c r="H21" s="11">
        <v>349</v>
      </c>
      <c r="I21" s="11">
        <v>84</v>
      </c>
      <c r="J21" s="11">
        <v>49</v>
      </c>
      <c r="K21" s="11">
        <v>25</v>
      </c>
      <c r="L21" s="11">
        <v>507</v>
      </c>
      <c r="M21" s="11">
        <v>355</v>
      </c>
      <c r="N21" s="11">
        <v>61</v>
      </c>
      <c r="O21" s="11">
        <v>78</v>
      </c>
      <c r="P21" s="11">
        <v>63</v>
      </c>
      <c r="Q21" s="11">
        <v>557</v>
      </c>
      <c r="R21" s="11">
        <v>432</v>
      </c>
      <c r="S21" s="11">
        <v>22</v>
      </c>
      <c r="T21" s="11">
        <v>0</v>
      </c>
      <c r="U21" s="11">
        <v>62</v>
      </c>
      <c r="V21" s="11">
        <v>516</v>
      </c>
      <c r="W21" s="11">
        <v>594</v>
      </c>
      <c r="X21" s="11">
        <v>0</v>
      </c>
      <c r="Y21" s="11">
        <v>0</v>
      </c>
      <c r="Z21" s="11">
        <v>0</v>
      </c>
      <c r="AA21" s="11">
        <v>594</v>
      </c>
      <c r="AB21" s="11">
        <v>450</v>
      </c>
      <c r="AC21" s="11">
        <v>0</v>
      </c>
      <c r="AD21" s="11">
        <v>0</v>
      </c>
      <c r="AE21" s="11">
        <v>44</v>
      </c>
      <c r="AF21" s="11">
        <v>494</v>
      </c>
      <c r="AG21" s="11">
        <v>3197</v>
      </c>
    </row>
    <row r="22" spans="2:33" x14ac:dyDescent="0.2">
      <c r="B22" s="24" t="s">
        <v>20</v>
      </c>
      <c r="C22" s="11">
        <v>447</v>
      </c>
      <c r="D22" s="11">
        <v>0</v>
      </c>
      <c r="E22" s="11">
        <v>12</v>
      </c>
      <c r="F22" s="11">
        <v>70</v>
      </c>
      <c r="G22" s="11">
        <v>529</v>
      </c>
      <c r="H22" s="11">
        <v>349</v>
      </c>
      <c r="I22" s="11">
        <v>63</v>
      </c>
      <c r="J22" s="11">
        <v>49</v>
      </c>
      <c r="K22" s="11">
        <v>21</v>
      </c>
      <c r="L22" s="11">
        <v>482</v>
      </c>
      <c r="M22" s="11">
        <v>355</v>
      </c>
      <c r="N22" s="11">
        <v>61</v>
      </c>
      <c r="O22" s="11">
        <v>59</v>
      </c>
      <c r="P22" s="11">
        <v>63</v>
      </c>
      <c r="Q22" s="11">
        <v>538</v>
      </c>
      <c r="R22" s="11">
        <v>432</v>
      </c>
      <c r="S22" s="11">
        <v>0</v>
      </c>
      <c r="T22" s="11">
        <v>0</v>
      </c>
      <c r="U22" s="11">
        <v>22</v>
      </c>
      <c r="V22" s="11">
        <v>454</v>
      </c>
      <c r="W22" s="11">
        <v>594</v>
      </c>
      <c r="X22" s="11">
        <v>0</v>
      </c>
      <c r="Y22" s="11">
        <v>0</v>
      </c>
      <c r="Z22" s="11">
        <v>0</v>
      </c>
      <c r="AA22" s="11">
        <v>594</v>
      </c>
      <c r="AB22" s="11">
        <v>450</v>
      </c>
      <c r="AC22" s="11">
        <v>0</v>
      </c>
      <c r="AD22" s="11">
        <v>0</v>
      </c>
      <c r="AE22" s="11">
        <v>44</v>
      </c>
      <c r="AF22" s="11">
        <v>494</v>
      </c>
      <c r="AG22" s="11">
        <v>3091</v>
      </c>
    </row>
    <row r="23" spans="2:33" x14ac:dyDescent="0.2">
      <c r="B23" s="24" t="s">
        <v>21</v>
      </c>
      <c r="C23" s="11">
        <v>229</v>
      </c>
      <c r="D23" s="11">
        <v>100</v>
      </c>
      <c r="E23" s="11">
        <v>100</v>
      </c>
      <c r="F23" s="11">
        <v>100</v>
      </c>
      <c r="G23" s="11">
        <v>529</v>
      </c>
      <c r="H23" s="11">
        <v>182</v>
      </c>
      <c r="I23" s="11">
        <v>80</v>
      </c>
      <c r="J23" s="11">
        <v>100</v>
      </c>
      <c r="K23" s="11">
        <v>99</v>
      </c>
      <c r="L23" s="11">
        <v>461</v>
      </c>
      <c r="M23" s="11">
        <v>238</v>
      </c>
      <c r="N23" s="11">
        <v>100</v>
      </c>
      <c r="O23" s="11">
        <v>100</v>
      </c>
      <c r="P23" s="11">
        <v>63</v>
      </c>
      <c r="Q23" s="11">
        <v>501</v>
      </c>
      <c r="R23" s="11">
        <v>154</v>
      </c>
      <c r="S23" s="11">
        <v>100</v>
      </c>
      <c r="T23" s="11">
        <v>100</v>
      </c>
      <c r="U23" s="11">
        <v>100</v>
      </c>
      <c r="V23" s="11">
        <v>454</v>
      </c>
      <c r="W23" s="11">
        <v>94</v>
      </c>
      <c r="X23" s="11">
        <v>300</v>
      </c>
      <c r="Y23" s="11">
        <v>100</v>
      </c>
      <c r="Z23" s="11">
        <v>100</v>
      </c>
      <c r="AA23" s="11">
        <v>594</v>
      </c>
      <c r="AB23" s="11">
        <v>194</v>
      </c>
      <c r="AC23" s="11">
        <v>100</v>
      </c>
      <c r="AD23" s="11">
        <v>100</v>
      </c>
      <c r="AE23" s="11">
        <v>100</v>
      </c>
      <c r="AF23" s="11">
        <v>494</v>
      </c>
      <c r="AG23" s="11">
        <v>3033</v>
      </c>
    </row>
    <row r="24" spans="2:33" x14ac:dyDescent="0.2">
      <c r="B24" s="24" t="s">
        <v>22</v>
      </c>
      <c r="C24" s="11">
        <v>229</v>
      </c>
      <c r="D24" s="11">
        <v>72</v>
      </c>
      <c r="E24" s="11">
        <v>60</v>
      </c>
      <c r="F24" s="11">
        <v>100</v>
      </c>
      <c r="G24" s="11">
        <v>461</v>
      </c>
      <c r="H24" s="11">
        <v>182</v>
      </c>
      <c r="I24" s="11">
        <v>80</v>
      </c>
      <c r="J24" s="11">
        <v>100</v>
      </c>
      <c r="K24" s="11">
        <v>61</v>
      </c>
      <c r="L24" s="11">
        <v>423</v>
      </c>
      <c r="M24" s="11">
        <v>238</v>
      </c>
      <c r="N24" s="11">
        <v>100</v>
      </c>
      <c r="O24" s="11">
        <v>100</v>
      </c>
      <c r="P24" s="11">
        <v>63</v>
      </c>
      <c r="Q24" s="11">
        <v>501</v>
      </c>
      <c r="R24" s="11">
        <v>154</v>
      </c>
      <c r="S24" s="11">
        <v>100</v>
      </c>
      <c r="T24" s="11">
        <v>100</v>
      </c>
      <c r="U24" s="11">
        <v>100</v>
      </c>
      <c r="V24" s="11">
        <v>454</v>
      </c>
      <c r="W24" s="11">
        <v>94</v>
      </c>
      <c r="X24" s="11">
        <v>219</v>
      </c>
      <c r="Y24" s="11">
        <v>100</v>
      </c>
      <c r="Z24" s="11">
        <v>100</v>
      </c>
      <c r="AA24" s="11">
        <v>513</v>
      </c>
      <c r="AB24" s="11">
        <v>194</v>
      </c>
      <c r="AC24" s="11">
        <v>51</v>
      </c>
      <c r="AD24" s="11">
        <v>100</v>
      </c>
      <c r="AE24" s="11">
        <v>49</v>
      </c>
      <c r="AF24" s="11">
        <v>394</v>
      </c>
      <c r="AG24" s="11">
        <v>2746</v>
      </c>
    </row>
    <row r="25" spans="2:33" x14ac:dyDescent="0.2">
      <c r="B25" s="24" t="s">
        <v>23</v>
      </c>
      <c r="C25" s="11">
        <v>229</v>
      </c>
      <c r="D25" s="11">
        <v>72</v>
      </c>
      <c r="E25" s="11">
        <v>60</v>
      </c>
      <c r="F25" s="11">
        <v>100</v>
      </c>
      <c r="G25" s="11">
        <v>461</v>
      </c>
      <c r="H25" s="11">
        <v>182</v>
      </c>
      <c r="I25" s="11">
        <v>80</v>
      </c>
      <c r="J25" s="11">
        <v>100</v>
      </c>
      <c r="K25" s="11">
        <v>19</v>
      </c>
      <c r="L25" s="11">
        <v>381</v>
      </c>
      <c r="M25" s="11">
        <v>238</v>
      </c>
      <c r="N25" s="11">
        <v>75</v>
      </c>
      <c r="O25" s="11">
        <v>100</v>
      </c>
      <c r="P25" s="11">
        <v>63</v>
      </c>
      <c r="Q25" s="11">
        <v>476</v>
      </c>
      <c r="R25" s="11">
        <v>154</v>
      </c>
      <c r="S25" s="11">
        <v>53</v>
      </c>
      <c r="T25" s="11">
        <v>100</v>
      </c>
      <c r="U25" s="11">
        <v>61</v>
      </c>
      <c r="V25" s="11">
        <v>368</v>
      </c>
      <c r="W25" s="11">
        <v>94</v>
      </c>
      <c r="X25" s="11">
        <v>0</v>
      </c>
      <c r="Y25" s="11">
        <v>100</v>
      </c>
      <c r="Z25" s="11">
        <v>100</v>
      </c>
      <c r="AA25" s="11">
        <v>294</v>
      </c>
      <c r="AB25" s="11">
        <v>194</v>
      </c>
      <c r="AC25" s="11">
        <v>51</v>
      </c>
      <c r="AD25" s="11">
        <v>0</v>
      </c>
      <c r="AE25" s="11">
        <v>49</v>
      </c>
      <c r="AF25" s="11">
        <v>294</v>
      </c>
      <c r="AG25" s="11">
        <v>2274</v>
      </c>
    </row>
    <row r="26" spans="2:33" x14ac:dyDescent="0.2">
      <c r="B26" s="24" t="s">
        <v>24</v>
      </c>
      <c r="C26" s="11">
        <v>161</v>
      </c>
      <c r="D26" s="11">
        <v>100</v>
      </c>
      <c r="E26" s="11">
        <v>100</v>
      </c>
      <c r="F26" s="11">
        <v>100</v>
      </c>
      <c r="G26" s="11">
        <v>461</v>
      </c>
      <c r="H26" s="11">
        <v>81</v>
      </c>
      <c r="I26" s="11">
        <v>100</v>
      </c>
      <c r="J26" s="11">
        <v>100</v>
      </c>
      <c r="K26" s="11">
        <v>81</v>
      </c>
      <c r="L26" s="11">
        <v>362</v>
      </c>
      <c r="M26" s="11">
        <v>176</v>
      </c>
      <c r="N26" s="11">
        <v>73</v>
      </c>
      <c r="O26" s="11">
        <v>100</v>
      </c>
      <c r="P26" s="11">
        <v>78</v>
      </c>
      <c r="Q26" s="11">
        <v>427</v>
      </c>
      <c r="R26" s="11">
        <v>68</v>
      </c>
      <c r="S26" s="11">
        <v>66</v>
      </c>
      <c r="T26" s="11">
        <v>100</v>
      </c>
      <c r="U26" s="11">
        <v>100</v>
      </c>
      <c r="V26" s="11">
        <v>334</v>
      </c>
      <c r="W26" s="11">
        <v>0</v>
      </c>
      <c r="X26" s="11">
        <v>94</v>
      </c>
      <c r="Y26" s="11">
        <v>100</v>
      </c>
      <c r="Z26" s="11">
        <v>26</v>
      </c>
      <c r="AA26" s="11">
        <v>220</v>
      </c>
      <c r="AB26" s="11">
        <v>0</v>
      </c>
      <c r="AC26" s="11">
        <v>99</v>
      </c>
      <c r="AD26" s="11">
        <v>97</v>
      </c>
      <c r="AE26" s="11">
        <v>98</v>
      </c>
      <c r="AF26" s="11">
        <v>294</v>
      </c>
      <c r="AG26" s="11">
        <v>2098</v>
      </c>
    </row>
    <row r="27" spans="2:33" x14ac:dyDescent="0.2">
      <c r="B27" s="24" t="s">
        <v>25</v>
      </c>
      <c r="C27" s="11">
        <v>161</v>
      </c>
      <c r="D27" s="11">
        <v>65</v>
      </c>
      <c r="E27" s="11">
        <v>100</v>
      </c>
      <c r="F27" s="11">
        <v>64</v>
      </c>
      <c r="G27" s="11">
        <v>390</v>
      </c>
      <c r="H27" s="11">
        <v>81</v>
      </c>
      <c r="I27" s="11">
        <v>74</v>
      </c>
      <c r="J27" s="11">
        <v>100</v>
      </c>
      <c r="K27" s="11">
        <v>36</v>
      </c>
      <c r="L27" s="11">
        <v>291</v>
      </c>
      <c r="M27" s="11">
        <v>176</v>
      </c>
      <c r="N27" s="11">
        <v>50</v>
      </c>
      <c r="O27" s="11">
        <v>100</v>
      </c>
      <c r="P27" s="11">
        <v>78</v>
      </c>
      <c r="Q27" s="11">
        <v>404</v>
      </c>
      <c r="R27" s="11">
        <v>68</v>
      </c>
      <c r="S27" s="11">
        <v>32</v>
      </c>
      <c r="T27" s="11">
        <v>100</v>
      </c>
      <c r="U27" s="11">
        <v>100</v>
      </c>
      <c r="V27" s="11">
        <v>300</v>
      </c>
      <c r="W27" s="11">
        <v>0</v>
      </c>
      <c r="X27" s="11">
        <v>25</v>
      </c>
      <c r="Y27" s="11">
        <v>100</v>
      </c>
      <c r="Z27" s="11">
        <v>26</v>
      </c>
      <c r="AA27" s="11">
        <v>151</v>
      </c>
      <c r="AB27" s="11">
        <v>0</v>
      </c>
      <c r="AC27" s="11">
        <v>0</v>
      </c>
      <c r="AD27" s="11">
        <v>97</v>
      </c>
      <c r="AE27" s="11">
        <v>98</v>
      </c>
      <c r="AF27" s="11">
        <v>195</v>
      </c>
      <c r="AG27" s="11">
        <v>1731</v>
      </c>
    </row>
    <row r="28" spans="2:33" x14ac:dyDescent="0.2">
      <c r="B28" s="24" t="s">
        <v>26</v>
      </c>
      <c r="C28" s="11">
        <v>161</v>
      </c>
      <c r="D28" s="11">
        <v>14</v>
      </c>
      <c r="E28" s="11">
        <v>65</v>
      </c>
      <c r="F28" s="11">
        <v>64</v>
      </c>
      <c r="G28" s="11">
        <v>304</v>
      </c>
      <c r="H28" s="11">
        <v>81</v>
      </c>
      <c r="I28" s="11">
        <v>74</v>
      </c>
      <c r="J28" s="11">
        <v>100</v>
      </c>
      <c r="K28" s="11">
        <v>0</v>
      </c>
      <c r="L28" s="11">
        <v>255</v>
      </c>
      <c r="M28" s="11">
        <v>176</v>
      </c>
      <c r="N28" s="11">
        <v>50</v>
      </c>
      <c r="O28" s="11">
        <v>77</v>
      </c>
      <c r="P28" s="11">
        <v>57</v>
      </c>
      <c r="Q28" s="11">
        <v>360</v>
      </c>
      <c r="R28" s="11">
        <v>68</v>
      </c>
      <c r="S28" s="11">
        <v>0</v>
      </c>
      <c r="T28" s="11">
        <v>100</v>
      </c>
      <c r="U28" s="11">
        <v>100</v>
      </c>
      <c r="V28" s="11">
        <v>268</v>
      </c>
      <c r="W28" s="11">
        <v>0</v>
      </c>
      <c r="X28" s="11">
        <v>0</v>
      </c>
      <c r="Y28" s="11">
        <v>100</v>
      </c>
      <c r="Z28" s="11">
        <v>26</v>
      </c>
      <c r="AA28" s="11">
        <v>126</v>
      </c>
      <c r="AB28" s="11">
        <v>0</v>
      </c>
      <c r="AC28" s="11">
        <v>0</v>
      </c>
      <c r="AD28" s="11">
        <v>97</v>
      </c>
      <c r="AE28" s="11">
        <v>39</v>
      </c>
      <c r="AF28" s="11">
        <v>136</v>
      </c>
      <c r="AG28" s="11">
        <v>1449</v>
      </c>
    </row>
    <row r="29" spans="2:33" x14ac:dyDescent="0.2">
      <c r="B29" s="24" t="s">
        <v>57</v>
      </c>
      <c r="C29" s="11">
        <v>0</v>
      </c>
      <c r="D29" s="11">
        <v>80</v>
      </c>
      <c r="E29" s="11">
        <v>113</v>
      </c>
      <c r="F29" s="11">
        <v>111</v>
      </c>
      <c r="G29" s="11">
        <v>304</v>
      </c>
      <c r="H29" s="11">
        <v>0</v>
      </c>
      <c r="I29" s="11">
        <v>76</v>
      </c>
      <c r="J29" s="11">
        <v>119</v>
      </c>
      <c r="K29" s="11">
        <v>38</v>
      </c>
      <c r="L29" s="11">
        <v>233</v>
      </c>
      <c r="M29" s="11">
        <v>0</v>
      </c>
      <c r="N29" s="11">
        <v>90</v>
      </c>
      <c r="O29" s="11">
        <v>129</v>
      </c>
      <c r="P29" s="11">
        <v>117</v>
      </c>
      <c r="Q29" s="11">
        <v>336</v>
      </c>
      <c r="R29" s="11">
        <v>0</v>
      </c>
      <c r="S29" s="11">
        <v>34</v>
      </c>
      <c r="T29" s="11">
        <v>117</v>
      </c>
      <c r="U29" s="11">
        <v>117</v>
      </c>
      <c r="V29" s="11">
        <v>268</v>
      </c>
      <c r="W29" s="11">
        <v>0</v>
      </c>
      <c r="X29" s="11">
        <v>0</v>
      </c>
      <c r="Y29" s="11">
        <v>100</v>
      </c>
      <c r="Z29" s="11">
        <v>26</v>
      </c>
      <c r="AA29" s="11">
        <v>126</v>
      </c>
      <c r="AB29" s="11">
        <v>0</v>
      </c>
      <c r="AC29" s="11">
        <v>0</v>
      </c>
      <c r="AD29" s="11">
        <v>97</v>
      </c>
      <c r="AE29" s="11">
        <v>0</v>
      </c>
      <c r="AF29" s="11">
        <v>97</v>
      </c>
      <c r="AG29" s="11">
        <v>1364</v>
      </c>
    </row>
    <row r="30" spans="2:33" x14ac:dyDescent="0.2">
      <c r="B30" s="24" t="s">
        <v>27</v>
      </c>
      <c r="C30" s="11">
        <v>0</v>
      </c>
      <c r="D30" s="11">
        <v>80</v>
      </c>
      <c r="E30" s="11">
        <v>113</v>
      </c>
      <c r="F30" s="11">
        <v>111</v>
      </c>
      <c r="G30" s="11">
        <v>304</v>
      </c>
      <c r="H30" s="11">
        <v>0</v>
      </c>
      <c r="I30" s="11">
        <v>76</v>
      </c>
      <c r="J30" s="11">
        <v>119</v>
      </c>
      <c r="K30" s="11">
        <v>38</v>
      </c>
      <c r="L30" s="11">
        <v>233</v>
      </c>
      <c r="M30" s="11">
        <v>0</v>
      </c>
      <c r="N30" s="11">
        <v>90</v>
      </c>
      <c r="O30" s="11">
        <v>129</v>
      </c>
      <c r="P30" s="11">
        <v>117</v>
      </c>
      <c r="Q30" s="11">
        <v>336</v>
      </c>
      <c r="R30" s="11">
        <v>0</v>
      </c>
      <c r="S30" s="11">
        <v>34</v>
      </c>
      <c r="T30" s="11">
        <v>117</v>
      </c>
      <c r="U30" s="11">
        <v>117</v>
      </c>
      <c r="V30" s="11">
        <v>268</v>
      </c>
      <c r="W30" s="11">
        <v>0</v>
      </c>
      <c r="X30" s="11">
        <v>0</v>
      </c>
      <c r="Y30" s="11">
        <v>100</v>
      </c>
      <c r="Z30" s="11">
        <v>26</v>
      </c>
      <c r="AA30" s="11">
        <v>126</v>
      </c>
      <c r="AB30" s="11">
        <v>0</v>
      </c>
      <c r="AC30" s="11">
        <v>0</v>
      </c>
      <c r="AD30" s="11">
        <v>97</v>
      </c>
      <c r="AE30" s="11">
        <v>0</v>
      </c>
      <c r="AF30" s="11">
        <v>97</v>
      </c>
      <c r="AG30" s="11">
        <v>1364</v>
      </c>
    </row>
    <row r="31" spans="2:33" x14ac:dyDescent="0.2">
      <c r="B31" s="24" t="s">
        <v>28</v>
      </c>
      <c r="C31" s="11">
        <v>296</v>
      </c>
      <c r="D31" s="11">
        <v>52</v>
      </c>
      <c r="E31" s="11">
        <v>63</v>
      </c>
      <c r="F31" s="11">
        <v>76</v>
      </c>
      <c r="G31" s="11">
        <v>487</v>
      </c>
      <c r="H31" s="11">
        <v>367</v>
      </c>
      <c r="I31" s="11">
        <v>76</v>
      </c>
      <c r="J31" s="11">
        <v>119</v>
      </c>
      <c r="K31" s="11">
        <v>18</v>
      </c>
      <c r="L31" s="11">
        <v>580</v>
      </c>
      <c r="M31" s="11">
        <v>264</v>
      </c>
      <c r="N31" s="11">
        <v>90</v>
      </c>
      <c r="O31" s="11">
        <v>101</v>
      </c>
      <c r="P31" s="11">
        <v>117</v>
      </c>
      <c r="Q31" s="11">
        <v>572</v>
      </c>
      <c r="R31" s="11">
        <v>332</v>
      </c>
      <c r="S31" s="11">
        <v>34</v>
      </c>
      <c r="T31" s="11">
        <v>117</v>
      </c>
      <c r="U31" s="11">
        <v>117</v>
      </c>
      <c r="V31" s="11">
        <v>600</v>
      </c>
      <c r="W31" s="11">
        <v>874</v>
      </c>
      <c r="X31" s="11">
        <v>0</v>
      </c>
      <c r="Y31" s="11">
        <v>100</v>
      </c>
      <c r="Z31" s="11">
        <v>0</v>
      </c>
      <c r="AA31" s="11">
        <v>974</v>
      </c>
      <c r="AB31" s="11">
        <v>903</v>
      </c>
      <c r="AC31" s="11">
        <v>0</v>
      </c>
      <c r="AD31" s="11">
        <v>0</v>
      </c>
      <c r="AE31" s="11">
        <v>0</v>
      </c>
      <c r="AF31" s="11">
        <v>903</v>
      </c>
      <c r="AG31" s="11">
        <v>4116</v>
      </c>
    </row>
    <row r="32" spans="2:33" x14ac:dyDescent="0.2">
      <c r="B32" s="24" t="s">
        <v>29</v>
      </c>
      <c r="C32" s="11">
        <v>296</v>
      </c>
      <c r="D32" s="11">
        <v>52</v>
      </c>
      <c r="E32" s="11">
        <v>63</v>
      </c>
      <c r="F32" s="11">
        <v>76</v>
      </c>
      <c r="G32" s="11">
        <v>487</v>
      </c>
      <c r="H32" s="11">
        <v>367</v>
      </c>
      <c r="I32" s="11">
        <v>76</v>
      </c>
      <c r="J32" s="11">
        <v>119</v>
      </c>
      <c r="K32" s="11">
        <v>18</v>
      </c>
      <c r="L32" s="11">
        <v>580</v>
      </c>
      <c r="M32" s="11">
        <v>264</v>
      </c>
      <c r="N32" s="11">
        <v>90</v>
      </c>
      <c r="O32" s="11">
        <v>101</v>
      </c>
      <c r="P32" s="11">
        <v>117</v>
      </c>
      <c r="Q32" s="11">
        <v>572</v>
      </c>
      <c r="R32" s="11">
        <v>332</v>
      </c>
      <c r="S32" s="11">
        <v>0</v>
      </c>
      <c r="T32" s="11">
        <v>117</v>
      </c>
      <c r="U32" s="11">
        <v>117</v>
      </c>
      <c r="V32" s="11">
        <v>566</v>
      </c>
      <c r="W32" s="11">
        <v>874</v>
      </c>
      <c r="X32" s="11">
        <v>0</v>
      </c>
      <c r="Y32" s="11">
        <v>38</v>
      </c>
      <c r="Z32" s="11">
        <v>0</v>
      </c>
      <c r="AA32" s="11">
        <v>912</v>
      </c>
      <c r="AB32" s="11">
        <v>903</v>
      </c>
      <c r="AC32" s="11">
        <v>0</v>
      </c>
      <c r="AD32" s="11">
        <v>0</v>
      </c>
      <c r="AE32" s="11">
        <v>0</v>
      </c>
      <c r="AF32" s="11">
        <v>903</v>
      </c>
      <c r="AG32" s="11">
        <v>4020</v>
      </c>
    </row>
    <row r="33" spans="2:33" x14ac:dyDescent="0.2">
      <c r="B33" s="24" t="s">
        <v>30</v>
      </c>
      <c r="C33" s="11">
        <v>0</v>
      </c>
      <c r="D33" s="11">
        <v>160</v>
      </c>
      <c r="E33" s="11">
        <v>162</v>
      </c>
      <c r="F33" s="11">
        <v>165</v>
      </c>
      <c r="G33" s="11">
        <v>487</v>
      </c>
      <c r="H33" s="11">
        <v>0</v>
      </c>
      <c r="I33" s="11">
        <v>194</v>
      </c>
      <c r="J33" s="11">
        <v>196</v>
      </c>
      <c r="K33" s="11">
        <v>172</v>
      </c>
      <c r="L33" s="11">
        <v>562</v>
      </c>
      <c r="M33" s="11">
        <v>0</v>
      </c>
      <c r="N33" s="11">
        <v>190</v>
      </c>
      <c r="O33" s="11">
        <v>168</v>
      </c>
      <c r="P33" s="11">
        <v>192</v>
      </c>
      <c r="Q33" s="11">
        <v>550</v>
      </c>
      <c r="R33" s="11">
        <v>0</v>
      </c>
      <c r="S33" s="11">
        <v>182</v>
      </c>
      <c r="T33" s="11">
        <v>192</v>
      </c>
      <c r="U33" s="11">
        <v>192</v>
      </c>
      <c r="V33" s="11">
        <v>566</v>
      </c>
      <c r="W33" s="11">
        <v>282</v>
      </c>
      <c r="X33" s="11">
        <v>300</v>
      </c>
      <c r="Y33" s="11">
        <v>300</v>
      </c>
      <c r="Z33" s="11">
        <v>30</v>
      </c>
      <c r="AA33" s="11">
        <v>912</v>
      </c>
      <c r="AB33" s="11">
        <v>203</v>
      </c>
      <c r="AC33" s="11">
        <v>300</v>
      </c>
      <c r="AD33" s="11">
        <v>200</v>
      </c>
      <c r="AE33" s="11">
        <v>200</v>
      </c>
      <c r="AF33" s="11">
        <v>903</v>
      </c>
      <c r="AG33" s="11">
        <v>3980</v>
      </c>
    </row>
    <row r="34" spans="2:33" x14ac:dyDescent="0.2">
      <c r="B34" s="24" t="s">
        <v>31</v>
      </c>
      <c r="C34" s="11">
        <v>0</v>
      </c>
      <c r="D34" s="11">
        <v>111</v>
      </c>
      <c r="E34" s="11">
        <v>129</v>
      </c>
      <c r="F34" s="11">
        <v>165</v>
      </c>
      <c r="G34" s="11">
        <v>405</v>
      </c>
      <c r="H34" s="11">
        <v>0</v>
      </c>
      <c r="I34" s="11">
        <v>194</v>
      </c>
      <c r="J34" s="11">
        <v>178</v>
      </c>
      <c r="K34" s="11">
        <v>141</v>
      </c>
      <c r="L34" s="11">
        <v>513</v>
      </c>
      <c r="M34" s="11">
        <v>0</v>
      </c>
      <c r="N34" s="11">
        <v>190</v>
      </c>
      <c r="O34" s="11">
        <v>168</v>
      </c>
      <c r="P34" s="11">
        <v>192</v>
      </c>
      <c r="Q34" s="11">
        <v>550</v>
      </c>
      <c r="R34" s="11">
        <v>0</v>
      </c>
      <c r="S34" s="11">
        <v>150</v>
      </c>
      <c r="T34" s="11">
        <v>148</v>
      </c>
      <c r="U34" s="11">
        <v>192</v>
      </c>
      <c r="V34" s="11">
        <v>490</v>
      </c>
      <c r="W34" s="11">
        <v>282</v>
      </c>
      <c r="X34" s="11">
        <v>164</v>
      </c>
      <c r="Y34" s="11">
        <v>300</v>
      </c>
      <c r="Z34" s="11">
        <v>30</v>
      </c>
      <c r="AA34" s="11">
        <v>776</v>
      </c>
      <c r="AB34" s="11">
        <v>203</v>
      </c>
      <c r="AC34" s="11">
        <v>300</v>
      </c>
      <c r="AD34" s="11">
        <v>197</v>
      </c>
      <c r="AE34" s="11">
        <v>200</v>
      </c>
      <c r="AF34" s="11">
        <v>900</v>
      </c>
      <c r="AG34" s="11">
        <v>3634</v>
      </c>
    </row>
    <row r="35" spans="2:33" x14ac:dyDescent="0.2">
      <c r="B35" s="24" t="s">
        <v>32</v>
      </c>
      <c r="C35" s="11">
        <v>0</v>
      </c>
      <c r="D35" s="11">
        <v>111</v>
      </c>
      <c r="E35" s="11">
        <v>72</v>
      </c>
      <c r="F35" s="11">
        <v>134</v>
      </c>
      <c r="G35" s="11">
        <v>317</v>
      </c>
      <c r="H35" s="11">
        <v>0</v>
      </c>
      <c r="I35" s="11">
        <v>194</v>
      </c>
      <c r="J35" s="11">
        <v>178</v>
      </c>
      <c r="K35" s="11">
        <v>98</v>
      </c>
      <c r="L35" s="11">
        <v>470</v>
      </c>
      <c r="M35" s="11">
        <v>0</v>
      </c>
      <c r="N35" s="11">
        <v>190</v>
      </c>
      <c r="O35" s="11">
        <v>168</v>
      </c>
      <c r="P35" s="11">
        <v>192</v>
      </c>
      <c r="Q35" s="11">
        <v>550</v>
      </c>
      <c r="R35" s="11">
        <v>0</v>
      </c>
      <c r="S35" s="11">
        <v>150</v>
      </c>
      <c r="T35" s="11">
        <v>148</v>
      </c>
      <c r="U35" s="11">
        <v>192</v>
      </c>
      <c r="V35" s="11">
        <v>490</v>
      </c>
      <c r="W35" s="11">
        <v>282</v>
      </c>
      <c r="X35" s="11">
        <v>164</v>
      </c>
      <c r="Y35" s="11">
        <v>225</v>
      </c>
      <c r="Z35" s="11">
        <v>30</v>
      </c>
      <c r="AA35" s="11">
        <v>701</v>
      </c>
      <c r="AB35" s="11">
        <v>203</v>
      </c>
      <c r="AC35" s="11">
        <v>300</v>
      </c>
      <c r="AD35" s="11">
        <v>92</v>
      </c>
      <c r="AE35" s="11">
        <v>150</v>
      </c>
      <c r="AF35" s="11">
        <v>745</v>
      </c>
      <c r="AG35" s="11">
        <v>3273</v>
      </c>
    </row>
    <row r="36" spans="2:33" x14ac:dyDescent="0.2">
      <c r="B36" s="24" t="s">
        <v>33</v>
      </c>
      <c r="C36" s="11">
        <v>195</v>
      </c>
      <c r="D36" s="11">
        <v>111</v>
      </c>
      <c r="E36" s="11">
        <v>72</v>
      </c>
      <c r="F36" s="11">
        <v>134</v>
      </c>
      <c r="G36" s="11">
        <v>512</v>
      </c>
      <c r="H36" s="11">
        <v>87</v>
      </c>
      <c r="I36" s="11">
        <v>194</v>
      </c>
      <c r="J36" s="11">
        <v>178</v>
      </c>
      <c r="K36" s="11">
        <v>98</v>
      </c>
      <c r="L36" s="11">
        <v>557</v>
      </c>
      <c r="M36" s="11">
        <v>50</v>
      </c>
      <c r="N36" s="11">
        <v>168</v>
      </c>
      <c r="O36" s="11">
        <v>168</v>
      </c>
      <c r="P36" s="11">
        <v>192</v>
      </c>
      <c r="Q36" s="11">
        <v>578</v>
      </c>
      <c r="R36" s="11">
        <v>110</v>
      </c>
      <c r="S36" s="11">
        <v>108</v>
      </c>
      <c r="T36" s="11">
        <v>148</v>
      </c>
      <c r="U36" s="11">
        <v>192</v>
      </c>
      <c r="V36" s="11">
        <v>558</v>
      </c>
      <c r="W36" s="11">
        <v>295</v>
      </c>
      <c r="X36" s="11">
        <v>249</v>
      </c>
      <c r="Y36" s="11">
        <v>300</v>
      </c>
      <c r="Z36" s="11">
        <v>30</v>
      </c>
      <c r="AA36" s="11">
        <v>874</v>
      </c>
      <c r="AB36" s="11">
        <v>145</v>
      </c>
      <c r="AC36" s="11">
        <v>244</v>
      </c>
      <c r="AD36" s="11">
        <v>200</v>
      </c>
      <c r="AE36" s="11">
        <v>134</v>
      </c>
      <c r="AF36" s="11">
        <v>723</v>
      </c>
      <c r="AG36" s="11">
        <v>3802</v>
      </c>
    </row>
    <row r="37" spans="2:33" x14ac:dyDescent="0.2">
      <c r="B37" s="24" t="s">
        <v>34</v>
      </c>
      <c r="C37" s="11">
        <v>195</v>
      </c>
      <c r="D37" s="11">
        <v>111</v>
      </c>
      <c r="E37" s="11">
        <v>49</v>
      </c>
      <c r="F37" s="11">
        <v>134</v>
      </c>
      <c r="G37" s="11">
        <v>489</v>
      </c>
      <c r="H37" s="11">
        <v>87</v>
      </c>
      <c r="I37" s="11">
        <v>194</v>
      </c>
      <c r="J37" s="11">
        <v>178</v>
      </c>
      <c r="K37" s="11">
        <v>83</v>
      </c>
      <c r="L37" s="11">
        <v>542</v>
      </c>
      <c r="M37" s="11">
        <v>50</v>
      </c>
      <c r="N37" s="11">
        <v>119</v>
      </c>
      <c r="O37" s="11">
        <v>168</v>
      </c>
      <c r="P37" s="11">
        <v>192</v>
      </c>
      <c r="Q37" s="11">
        <v>529</v>
      </c>
      <c r="R37" s="11">
        <v>110</v>
      </c>
      <c r="S37" s="11">
        <v>108</v>
      </c>
      <c r="T37" s="11">
        <v>148</v>
      </c>
      <c r="U37" s="11">
        <v>192</v>
      </c>
      <c r="V37" s="11">
        <v>558</v>
      </c>
      <c r="W37" s="11">
        <v>295</v>
      </c>
      <c r="X37" s="11">
        <v>199</v>
      </c>
      <c r="Y37" s="11">
        <v>300</v>
      </c>
      <c r="Z37" s="11">
        <v>30</v>
      </c>
      <c r="AA37" s="11">
        <v>824</v>
      </c>
      <c r="AB37" s="11">
        <v>145</v>
      </c>
      <c r="AC37" s="11">
        <v>244</v>
      </c>
      <c r="AD37" s="11">
        <v>140</v>
      </c>
      <c r="AE37" s="11">
        <v>79</v>
      </c>
      <c r="AF37" s="11">
        <v>608</v>
      </c>
      <c r="AG37" s="11">
        <v>3550</v>
      </c>
    </row>
    <row r="38" spans="2:33" x14ac:dyDescent="0.2">
      <c r="B38" s="24" t="s">
        <v>35</v>
      </c>
      <c r="C38" s="11">
        <v>195</v>
      </c>
      <c r="D38" s="11">
        <v>111</v>
      </c>
      <c r="E38" s="11">
        <v>49</v>
      </c>
      <c r="F38" s="11">
        <v>134</v>
      </c>
      <c r="G38" s="11">
        <v>489</v>
      </c>
      <c r="H38" s="11">
        <v>87</v>
      </c>
      <c r="I38" s="11">
        <v>194</v>
      </c>
      <c r="J38" s="11">
        <v>161</v>
      </c>
      <c r="K38" s="11">
        <v>62</v>
      </c>
      <c r="L38" s="11">
        <v>504</v>
      </c>
      <c r="M38" s="11">
        <v>50</v>
      </c>
      <c r="N38" s="11">
        <v>119</v>
      </c>
      <c r="O38" s="11">
        <v>168</v>
      </c>
      <c r="P38" s="11">
        <v>192</v>
      </c>
      <c r="Q38" s="11">
        <v>529</v>
      </c>
      <c r="R38" s="11">
        <v>110</v>
      </c>
      <c r="S38" s="11">
        <v>108</v>
      </c>
      <c r="T38" s="11">
        <v>148</v>
      </c>
      <c r="U38" s="11">
        <v>192</v>
      </c>
      <c r="V38" s="11">
        <v>558</v>
      </c>
      <c r="W38" s="11">
        <v>295</v>
      </c>
      <c r="X38" s="11">
        <v>142</v>
      </c>
      <c r="Y38" s="11">
        <v>300</v>
      </c>
      <c r="Z38" s="11">
        <v>30</v>
      </c>
      <c r="AA38" s="11">
        <v>767</v>
      </c>
      <c r="AB38" s="11">
        <v>145</v>
      </c>
      <c r="AC38" s="11">
        <v>188</v>
      </c>
      <c r="AD38" s="11">
        <v>140</v>
      </c>
      <c r="AE38" s="11">
        <v>79</v>
      </c>
      <c r="AF38" s="11">
        <v>552</v>
      </c>
      <c r="AG38" s="11">
        <v>3399</v>
      </c>
    </row>
    <row r="39" spans="2:33" x14ac:dyDescent="0.2">
      <c r="B39" s="24" t="s">
        <v>36</v>
      </c>
      <c r="C39" s="11">
        <v>0</v>
      </c>
      <c r="D39" s="11">
        <v>136</v>
      </c>
      <c r="E39" s="11">
        <v>145</v>
      </c>
      <c r="F39" s="11">
        <v>176</v>
      </c>
      <c r="G39" s="11">
        <v>457</v>
      </c>
      <c r="H39" s="11">
        <v>0</v>
      </c>
      <c r="I39" s="11">
        <v>197</v>
      </c>
      <c r="J39" s="11">
        <v>180</v>
      </c>
      <c r="K39" s="11">
        <v>127</v>
      </c>
      <c r="L39" s="11">
        <v>504</v>
      </c>
      <c r="M39" s="11">
        <v>0</v>
      </c>
      <c r="N39" s="11">
        <v>153</v>
      </c>
      <c r="O39" s="11">
        <v>181</v>
      </c>
      <c r="P39" s="11">
        <v>195</v>
      </c>
      <c r="Q39" s="11">
        <v>529</v>
      </c>
      <c r="R39" s="11">
        <v>0</v>
      </c>
      <c r="S39" s="11">
        <v>100</v>
      </c>
      <c r="T39" s="11">
        <v>157</v>
      </c>
      <c r="U39" s="11">
        <v>150</v>
      </c>
      <c r="V39" s="11">
        <v>407</v>
      </c>
      <c r="W39" s="11">
        <v>137</v>
      </c>
      <c r="X39" s="11">
        <v>220</v>
      </c>
      <c r="Y39" s="11">
        <v>249</v>
      </c>
      <c r="Z39" s="11">
        <v>30</v>
      </c>
      <c r="AA39" s="11">
        <v>636</v>
      </c>
      <c r="AB39" s="11">
        <v>0</v>
      </c>
      <c r="AC39" s="11">
        <v>244</v>
      </c>
      <c r="AD39" s="11">
        <v>83</v>
      </c>
      <c r="AE39" s="11">
        <v>138</v>
      </c>
      <c r="AF39" s="11">
        <v>465</v>
      </c>
      <c r="AG39" s="11">
        <v>2998</v>
      </c>
    </row>
    <row r="40" spans="2:33" x14ac:dyDescent="0.2">
      <c r="B40" s="24" t="s">
        <v>58</v>
      </c>
      <c r="C40" s="11">
        <v>143</v>
      </c>
      <c r="D40" s="11">
        <v>136</v>
      </c>
      <c r="E40" s="11">
        <v>117</v>
      </c>
      <c r="F40" s="11">
        <v>176</v>
      </c>
      <c r="G40" s="11">
        <v>572</v>
      </c>
      <c r="H40" s="11">
        <v>96</v>
      </c>
      <c r="I40" s="11">
        <v>197</v>
      </c>
      <c r="J40" s="11">
        <v>180</v>
      </c>
      <c r="K40" s="11">
        <v>127</v>
      </c>
      <c r="L40" s="11">
        <v>600</v>
      </c>
      <c r="M40" s="11">
        <v>71</v>
      </c>
      <c r="N40" s="11">
        <v>132</v>
      </c>
      <c r="O40" s="11">
        <v>181</v>
      </c>
      <c r="P40" s="11">
        <v>195</v>
      </c>
      <c r="Q40" s="11">
        <v>579</v>
      </c>
      <c r="R40" s="11">
        <v>193</v>
      </c>
      <c r="S40" s="11">
        <v>100</v>
      </c>
      <c r="T40" s="11">
        <v>157</v>
      </c>
      <c r="U40" s="11">
        <v>150</v>
      </c>
      <c r="V40" s="11">
        <v>600</v>
      </c>
      <c r="W40" s="11">
        <v>501</v>
      </c>
      <c r="X40" s="11">
        <v>72</v>
      </c>
      <c r="Y40" s="11">
        <v>186</v>
      </c>
      <c r="Z40" s="11">
        <v>30</v>
      </c>
      <c r="AA40" s="11">
        <v>789</v>
      </c>
      <c r="AB40" s="11">
        <v>535</v>
      </c>
      <c r="AC40" s="11">
        <v>244</v>
      </c>
      <c r="AD40" s="11">
        <v>29</v>
      </c>
      <c r="AE40" s="11">
        <v>138</v>
      </c>
      <c r="AF40" s="11">
        <v>946</v>
      </c>
      <c r="AG40" s="11">
        <v>4086</v>
      </c>
    </row>
    <row r="41" spans="2:33" x14ac:dyDescent="0.2">
      <c r="B41" s="24" t="s">
        <v>37</v>
      </c>
      <c r="C41" s="11">
        <v>143</v>
      </c>
      <c r="D41" s="11">
        <v>136</v>
      </c>
      <c r="E41" s="11">
        <v>117</v>
      </c>
      <c r="F41" s="11">
        <v>176</v>
      </c>
      <c r="G41" s="11">
        <v>572</v>
      </c>
      <c r="H41" s="11">
        <v>96</v>
      </c>
      <c r="I41" s="11">
        <v>197</v>
      </c>
      <c r="J41" s="11">
        <v>180</v>
      </c>
      <c r="K41" s="11">
        <v>127</v>
      </c>
      <c r="L41" s="11">
        <v>600</v>
      </c>
      <c r="M41" s="11">
        <v>71</v>
      </c>
      <c r="N41" s="11">
        <v>132</v>
      </c>
      <c r="O41" s="11">
        <v>181</v>
      </c>
      <c r="P41" s="11">
        <v>195</v>
      </c>
      <c r="Q41" s="11">
        <v>579</v>
      </c>
      <c r="R41" s="11">
        <v>193</v>
      </c>
      <c r="S41" s="11">
        <v>100</v>
      </c>
      <c r="T41" s="11">
        <v>157</v>
      </c>
      <c r="U41" s="11">
        <v>150</v>
      </c>
      <c r="V41" s="11">
        <v>600</v>
      </c>
      <c r="W41" s="11">
        <v>501</v>
      </c>
      <c r="X41" s="11">
        <v>72</v>
      </c>
      <c r="Y41" s="11">
        <v>186</v>
      </c>
      <c r="Z41" s="11">
        <v>30</v>
      </c>
      <c r="AA41" s="11">
        <v>789</v>
      </c>
      <c r="AB41" s="11">
        <v>535</v>
      </c>
      <c r="AC41" s="11">
        <v>244</v>
      </c>
      <c r="AD41" s="11">
        <v>29</v>
      </c>
      <c r="AE41" s="11">
        <v>138</v>
      </c>
      <c r="AF41" s="11">
        <v>946</v>
      </c>
      <c r="AG41" s="11">
        <v>4086</v>
      </c>
    </row>
    <row r="42" spans="2:33" x14ac:dyDescent="0.2">
      <c r="B42" s="24" t="s">
        <v>38</v>
      </c>
      <c r="C42" s="11">
        <v>143</v>
      </c>
      <c r="D42" s="11">
        <v>67</v>
      </c>
      <c r="E42" s="11">
        <v>117</v>
      </c>
      <c r="F42" s="11">
        <v>176</v>
      </c>
      <c r="G42" s="11">
        <v>503</v>
      </c>
      <c r="H42" s="11">
        <v>96</v>
      </c>
      <c r="I42" s="11">
        <v>197</v>
      </c>
      <c r="J42" s="11">
        <v>180</v>
      </c>
      <c r="K42" s="11">
        <v>127</v>
      </c>
      <c r="L42" s="11">
        <v>600</v>
      </c>
      <c r="M42" s="11">
        <v>71</v>
      </c>
      <c r="N42" s="11">
        <v>132</v>
      </c>
      <c r="O42" s="11">
        <v>181</v>
      </c>
      <c r="P42" s="11">
        <v>195</v>
      </c>
      <c r="Q42" s="11">
        <v>579</v>
      </c>
      <c r="R42" s="11">
        <v>193</v>
      </c>
      <c r="S42" s="11">
        <v>100</v>
      </c>
      <c r="T42" s="11">
        <v>157</v>
      </c>
      <c r="U42" s="11">
        <v>150</v>
      </c>
      <c r="V42" s="11">
        <v>600</v>
      </c>
      <c r="W42" s="11">
        <v>501</v>
      </c>
      <c r="X42" s="11">
        <v>69</v>
      </c>
      <c r="Y42" s="11">
        <v>186</v>
      </c>
      <c r="Z42" s="11">
        <v>30</v>
      </c>
      <c r="AA42" s="11">
        <v>786</v>
      </c>
      <c r="AB42" s="11">
        <v>535</v>
      </c>
      <c r="AC42" s="11">
        <v>244</v>
      </c>
      <c r="AD42" s="11">
        <v>29</v>
      </c>
      <c r="AE42" s="11">
        <v>138</v>
      </c>
      <c r="AF42" s="11">
        <v>946</v>
      </c>
      <c r="AG42" s="11">
        <v>4014</v>
      </c>
    </row>
    <row r="43" spans="2:33" x14ac:dyDescent="0.2">
      <c r="B43" s="24" t="s">
        <v>39</v>
      </c>
      <c r="C43" s="11">
        <v>0</v>
      </c>
      <c r="D43" s="11">
        <v>147</v>
      </c>
      <c r="E43" s="11">
        <v>166</v>
      </c>
      <c r="F43" s="11">
        <v>190</v>
      </c>
      <c r="G43" s="11">
        <v>503</v>
      </c>
      <c r="H43" s="11">
        <v>0</v>
      </c>
      <c r="I43" s="11">
        <v>200</v>
      </c>
      <c r="J43" s="11">
        <v>200</v>
      </c>
      <c r="K43" s="11">
        <v>200</v>
      </c>
      <c r="L43" s="11">
        <v>600</v>
      </c>
      <c r="M43" s="11">
        <v>0</v>
      </c>
      <c r="N43" s="11">
        <v>185</v>
      </c>
      <c r="O43" s="11">
        <v>196</v>
      </c>
      <c r="P43" s="11">
        <v>198</v>
      </c>
      <c r="Q43" s="11">
        <v>579</v>
      </c>
      <c r="R43" s="11">
        <v>0</v>
      </c>
      <c r="S43" s="11">
        <v>200</v>
      </c>
      <c r="T43" s="11">
        <v>200</v>
      </c>
      <c r="U43" s="11">
        <v>200</v>
      </c>
      <c r="V43" s="11">
        <v>600</v>
      </c>
      <c r="W43" s="11">
        <v>156</v>
      </c>
      <c r="X43" s="11">
        <v>293</v>
      </c>
      <c r="Y43" s="11">
        <v>236</v>
      </c>
      <c r="Z43" s="11">
        <v>30</v>
      </c>
      <c r="AA43" s="11">
        <v>715</v>
      </c>
      <c r="AB43" s="11">
        <v>246</v>
      </c>
      <c r="AC43" s="11">
        <v>300</v>
      </c>
      <c r="AD43" s="11">
        <v>200</v>
      </c>
      <c r="AE43" s="11">
        <v>200</v>
      </c>
      <c r="AF43" s="11">
        <v>946</v>
      </c>
      <c r="AG43" s="11">
        <v>3943</v>
      </c>
    </row>
    <row r="44" spans="2:33" x14ac:dyDescent="0.2">
      <c r="B44" s="24" t="s">
        <v>40</v>
      </c>
      <c r="C44" s="11">
        <v>0</v>
      </c>
      <c r="D44" s="11">
        <v>124</v>
      </c>
      <c r="E44" s="11">
        <v>166</v>
      </c>
      <c r="F44" s="11">
        <v>190</v>
      </c>
      <c r="G44" s="11">
        <v>480</v>
      </c>
      <c r="H44" s="11">
        <v>0</v>
      </c>
      <c r="I44" s="11">
        <v>200</v>
      </c>
      <c r="J44" s="11">
        <v>200</v>
      </c>
      <c r="K44" s="11">
        <v>160</v>
      </c>
      <c r="L44" s="11">
        <v>560</v>
      </c>
      <c r="M44" s="11">
        <v>0</v>
      </c>
      <c r="N44" s="11">
        <v>185</v>
      </c>
      <c r="O44" s="11">
        <v>196</v>
      </c>
      <c r="P44" s="11">
        <v>198</v>
      </c>
      <c r="Q44" s="11">
        <v>579</v>
      </c>
      <c r="R44" s="11">
        <v>0</v>
      </c>
      <c r="S44" s="11">
        <v>200</v>
      </c>
      <c r="T44" s="11">
        <v>200</v>
      </c>
      <c r="U44" s="11">
        <v>200</v>
      </c>
      <c r="V44" s="11">
        <v>600</v>
      </c>
      <c r="W44" s="11">
        <v>156</v>
      </c>
      <c r="X44" s="11">
        <v>293</v>
      </c>
      <c r="Y44" s="11">
        <v>236</v>
      </c>
      <c r="Z44" s="11">
        <v>30</v>
      </c>
      <c r="AA44" s="11">
        <v>715</v>
      </c>
      <c r="AB44" s="11">
        <v>246</v>
      </c>
      <c r="AC44" s="11">
        <v>246</v>
      </c>
      <c r="AD44" s="11">
        <v>200</v>
      </c>
      <c r="AE44" s="11">
        <v>200</v>
      </c>
      <c r="AF44" s="11">
        <v>892</v>
      </c>
      <c r="AG44" s="11">
        <v>3826</v>
      </c>
    </row>
    <row r="45" spans="2:33" x14ac:dyDescent="0.2">
      <c r="B45" s="24" t="s">
        <v>41</v>
      </c>
      <c r="C45" s="11">
        <v>0</v>
      </c>
      <c r="D45" s="11">
        <v>124</v>
      </c>
      <c r="E45" s="11">
        <v>166</v>
      </c>
      <c r="F45" s="11">
        <v>190</v>
      </c>
      <c r="G45" s="11">
        <v>480</v>
      </c>
      <c r="H45" s="11">
        <v>0</v>
      </c>
      <c r="I45" s="11">
        <v>200</v>
      </c>
      <c r="J45" s="11">
        <v>200</v>
      </c>
      <c r="K45" s="11">
        <v>160</v>
      </c>
      <c r="L45" s="11">
        <v>560</v>
      </c>
      <c r="M45" s="11">
        <v>0</v>
      </c>
      <c r="N45" s="11">
        <v>185</v>
      </c>
      <c r="O45" s="11">
        <v>196</v>
      </c>
      <c r="P45" s="11">
        <v>198</v>
      </c>
      <c r="Q45" s="11">
        <v>579</v>
      </c>
      <c r="R45" s="11">
        <v>0</v>
      </c>
      <c r="S45" s="11">
        <v>200</v>
      </c>
      <c r="T45" s="11">
        <v>159</v>
      </c>
      <c r="U45" s="11">
        <v>200</v>
      </c>
      <c r="V45" s="11">
        <v>559</v>
      </c>
      <c r="W45" s="11">
        <v>156</v>
      </c>
      <c r="X45" s="11">
        <v>224</v>
      </c>
      <c r="Y45" s="11">
        <v>236</v>
      </c>
      <c r="Z45" s="11">
        <v>30</v>
      </c>
      <c r="AA45" s="11">
        <v>646</v>
      </c>
      <c r="AB45" s="11">
        <v>246</v>
      </c>
      <c r="AC45" s="11">
        <v>195</v>
      </c>
      <c r="AD45" s="11">
        <v>161</v>
      </c>
      <c r="AE45" s="11">
        <v>200</v>
      </c>
      <c r="AF45" s="11">
        <v>802</v>
      </c>
      <c r="AG45" s="11">
        <v>3626</v>
      </c>
    </row>
    <row r="46" spans="2:33" x14ac:dyDescent="0.2">
      <c r="B46" s="24" t="s">
        <v>42</v>
      </c>
      <c r="C46" s="11">
        <v>0</v>
      </c>
      <c r="D46" s="11">
        <v>124</v>
      </c>
      <c r="E46" s="11">
        <v>166</v>
      </c>
      <c r="F46" s="11">
        <v>190</v>
      </c>
      <c r="G46" s="11">
        <v>480</v>
      </c>
      <c r="H46" s="11">
        <v>0</v>
      </c>
      <c r="I46" s="11">
        <v>200</v>
      </c>
      <c r="J46" s="11">
        <v>200</v>
      </c>
      <c r="K46" s="11">
        <v>136</v>
      </c>
      <c r="L46" s="11">
        <v>536</v>
      </c>
      <c r="M46" s="11">
        <v>0</v>
      </c>
      <c r="N46" s="11">
        <v>185</v>
      </c>
      <c r="O46" s="11">
        <v>196</v>
      </c>
      <c r="P46" s="11">
        <v>198</v>
      </c>
      <c r="Q46" s="11">
        <v>579</v>
      </c>
      <c r="R46" s="11">
        <v>0</v>
      </c>
      <c r="S46" s="11">
        <v>200</v>
      </c>
      <c r="T46" s="11">
        <v>119</v>
      </c>
      <c r="U46" s="11">
        <v>200</v>
      </c>
      <c r="V46" s="11">
        <v>519</v>
      </c>
      <c r="W46" s="11">
        <v>16</v>
      </c>
      <c r="X46" s="11">
        <v>300</v>
      </c>
      <c r="Y46" s="11">
        <v>300</v>
      </c>
      <c r="Z46" s="11">
        <v>30</v>
      </c>
      <c r="AA46" s="11">
        <v>646</v>
      </c>
      <c r="AB46" s="11">
        <v>102</v>
      </c>
      <c r="AC46" s="11">
        <v>256</v>
      </c>
      <c r="AD46" s="11">
        <v>150</v>
      </c>
      <c r="AE46" s="11">
        <v>200</v>
      </c>
      <c r="AF46" s="11">
        <v>708</v>
      </c>
      <c r="AG46" s="11">
        <v>3468</v>
      </c>
    </row>
    <row r="47" spans="2:33" x14ac:dyDescent="0.2">
      <c r="B47" s="24" t="s">
        <v>43</v>
      </c>
      <c r="C47" s="11">
        <v>0</v>
      </c>
      <c r="D47" s="11">
        <v>99</v>
      </c>
      <c r="E47" s="11">
        <v>166</v>
      </c>
      <c r="F47" s="11">
        <v>190</v>
      </c>
      <c r="G47" s="11">
        <v>455</v>
      </c>
      <c r="H47" s="11">
        <v>0</v>
      </c>
      <c r="I47" s="11">
        <v>200</v>
      </c>
      <c r="J47" s="11">
        <v>200</v>
      </c>
      <c r="K47" s="11">
        <v>118</v>
      </c>
      <c r="L47" s="11">
        <v>518</v>
      </c>
      <c r="M47" s="11">
        <v>0</v>
      </c>
      <c r="N47" s="11">
        <v>185</v>
      </c>
      <c r="O47" s="11">
        <v>196</v>
      </c>
      <c r="P47" s="11">
        <v>198</v>
      </c>
      <c r="Q47" s="11">
        <v>579</v>
      </c>
      <c r="R47" s="11">
        <v>0</v>
      </c>
      <c r="S47" s="11">
        <v>200</v>
      </c>
      <c r="T47" s="11">
        <v>119</v>
      </c>
      <c r="U47" s="11">
        <v>172</v>
      </c>
      <c r="V47" s="11">
        <v>491</v>
      </c>
      <c r="W47" s="11">
        <v>16</v>
      </c>
      <c r="X47" s="11">
        <v>300</v>
      </c>
      <c r="Y47" s="11">
        <v>300</v>
      </c>
      <c r="Z47" s="11">
        <v>30</v>
      </c>
      <c r="AA47" s="11">
        <v>646</v>
      </c>
      <c r="AB47" s="11">
        <v>102</v>
      </c>
      <c r="AC47" s="11">
        <v>186</v>
      </c>
      <c r="AD47" s="11">
        <v>150</v>
      </c>
      <c r="AE47" s="11">
        <v>200</v>
      </c>
      <c r="AF47" s="11">
        <v>638</v>
      </c>
      <c r="AG47" s="11">
        <v>3327</v>
      </c>
    </row>
    <row r="48" spans="2:33" x14ac:dyDescent="0.2">
      <c r="B48" s="24" t="s">
        <v>44</v>
      </c>
      <c r="C48" s="11">
        <v>0</v>
      </c>
      <c r="D48" s="11">
        <v>67</v>
      </c>
      <c r="E48" s="11">
        <v>166</v>
      </c>
      <c r="F48" s="11">
        <v>165</v>
      </c>
      <c r="G48" s="11">
        <v>398</v>
      </c>
      <c r="H48" s="11">
        <v>0</v>
      </c>
      <c r="I48" s="11">
        <v>200</v>
      </c>
      <c r="J48" s="11">
        <v>200</v>
      </c>
      <c r="K48" s="11">
        <v>118</v>
      </c>
      <c r="L48" s="11">
        <v>518</v>
      </c>
      <c r="M48" s="11">
        <v>0</v>
      </c>
      <c r="N48" s="11">
        <v>161</v>
      </c>
      <c r="O48" s="11">
        <v>168</v>
      </c>
      <c r="P48" s="11">
        <v>198</v>
      </c>
      <c r="Q48" s="11">
        <v>527</v>
      </c>
      <c r="R48" s="11">
        <v>0</v>
      </c>
      <c r="S48" s="11">
        <v>200</v>
      </c>
      <c r="T48" s="11">
        <v>119</v>
      </c>
      <c r="U48" s="11">
        <v>172</v>
      </c>
      <c r="V48" s="11">
        <v>491</v>
      </c>
      <c r="W48" s="11">
        <v>16</v>
      </c>
      <c r="X48" s="11">
        <v>255</v>
      </c>
      <c r="Y48" s="11">
        <v>300</v>
      </c>
      <c r="Z48" s="11">
        <v>30</v>
      </c>
      <c r="AA48" s="11">
        <v>601</v>
      </c>
      <c r="AB48" s="11">
        <v>102</v>
      </c>
      <c r="AC48" s="11">
        <v>75</v>
      </c>
      <c r="AD48" s="11">
        <v>111</v>
      </c>
      <c r="AE48" s="11">
        <v>200</v>
      </c>
      <c r="AF48" s="11">
        <v>488</v>
      </c>
      <c r="AG48" s="11">
        <v>3023</v>
      </c>
    </row>
    <row r="49" spans="2:33" x14ac:dyDescent="0.2">
      <c r="B49" s="24" t="s">
        <v>45</v>
      </c>
      <c r="C49" s="11">
        <v>202</v>
      </c>
      <c r="D49" s="11">
        <v>67</v>
      </c>
      <c r="E49" s="11">
        <v>139</v>
      </c>
      <c r="F49" s="11">
        <v>134</v>
      </c>
      <c r="G49" s="11">
        <v>542</v>
      </c>
      <c r="H49" s="11">
        <v>82</v>
      </c>
      <c r="I49" s="11">
        <v>200</v>
      </c>
      <c r="J49" s="11">
        <v>200</v>
      </c>
      <c r="K49" s="11">
        <v>94</v>
      </c>
      <c r="L49" s="11">
        <v>576</v>
      </c>
      <c r="M49" s="11">
        <v>73</v>
      </c>
      <c r="N49" s="11">
        <v>161</v>
      </c>
      <c r="O49" s="11">
        <v>145</v>
      </c>
      <c r="P49" s="11">
        <v>198</v>
      </c>
      <c r="Q49" s="11">
        <v>577</v>
      </c>
      <c r="R49" s="11">
        <v>109</v>
      </c>
      <c r="S49" s="11">
        <v>200</v>
      </c>
      <c r="T49" s="11">
        <v>88</v>
      </c>
      <c r="U49" s="11">
        <v>172</v>
      </c>
      <c r="V49" s="11">
        <v>569</v>
      </c>
      <c r="W49" s="11">
        <v>399</v>
      </c>
      <c r="X49" s="11">
        <v>271</v>
      </c>
      <c r="Y49" s="11">
        <v>300</v>
      </c>
      <c r="Z49" s="11">
        <v>30</v>
      </c>
      <c r="AA49" s="11">
        <v>1000</v>
      </c>
      <c r="AB49" s="11">
        <v>512</v>
      </c>
      <c r="AC49" s="11">
        <v>149</v>
      </c>
      <c r="AD49" s="11">
        <v>139</v>
      </c>
      <c r="AE49" s="11">
        <v>200</v>
      </c>
      <c r="AF49" s="11">
        <v>1000</v>
      </c>
      <c r="AG49" s="11">
        <v>4264</v>
      </c>
    </row>
    <row r="50" spans="2:33" x14ac:dyDescent="0.2">
      <c r="B50" s="24" t="s">
        <v>46</v>
      </c>
      <c r="C50" s="11">
        <v>202</v>
      </c>
      <c r="D50" s="11">
        <v>67</v>
      </c>
      <c r="E50" s="11">
        <v>139</v>
      </c>
      <c r="F50" s="11">
        <v>134</v>
      </c>
      <c r="G50" s="11">
        <v>542</v>
      </c>
      <c r="H50" s="11">
        <v>82</v>
      </c>
      <c r="I50" s="11">
        <v>200</v>
      </c>
      <c r="J50" s="11">
        <v>200</v>
      </c>
      <c r="K50" s="11">
        <v>94</v>
      </c>
      <c r="L50" s="11">
        <v>576</v>
      </c>
      <c r="M50" s="11">
        <v>73</v>
      </c>
      <c r="N50" s="11">
        <v>161</v>
      </c>
      <c r="O50" s="11">
        <v>145</v>
      </c>
      <c r="P50" s="11">
        <v>198</v>
      </c>
      <c r="Q50" s="11">
        <v>577</v>
      </c>
      <c r="R50" s="11">
        <v>109</v>
      </c>
      <c r="S50" s="11">
        <v>200</v>
      </c>
      <c r="T50" s="11">
        <v>88</v>
      </c>
      <c r="U50" s="11">
        <v>172</v>
      </c>
      <c r="V50" s="11">
        <v>569</v>
      </c>
      <c r="W50" s="11">
        <v>399</v>
      </c>
      <c r="X50" s="11">
        <v>271</v>
      </c>
      <c r="Y50" s="11">
        <v>300</v>
      </c>
      <c r="Z50" s="11">
        <v>30</v>
      </c>
      <c r="AA50" s="11">
        <v>1000</v>
      </c>
      <c r="AB50" s="11">
        <v>512</v>
      </c>
      <c r="AC50" s="11">
        <v>149</v>
      </c>
      <c r="AD50" s="11">
        <v>89</v>
      </c>
      <c r="AE50" s="11">
        <v>200</v>
      </c>
      <c r="AF50" s="11">
        <v>950</v>
      </c>
      <c r="AG50" s="11">
        <v>4214</v>
      </c>
    </row>
    <row r="51" spans="2:33" x14ac:dyDescent="0.2">
      <c r="B51" s="24" t="s">
        <v>59</v>
      </c>
      <c r="C51" s="11">
        <v>202</v>
      </c>
      <c r="D51" s="11">
        <v>67</v>
      </c>
      <c r="E51" s="11">
        <v>112</v>
      </c>
      <c r="F51" s="11">
        <v>134</v>
      </c>
      <c r="G51" s="11">
        <v>515</v>
      </c>
      <c r="H51" s="11">
        <v>82</v>
      </c>
      <c r="I51" s="11">
        <v>200</v>
      </c>
      <c r="J51" s="11">
        <v>200</v>
      </c>
      <c r="K51" s="11">
        <v>94</v>
      </c>
      <c r="L51" s="11">
        <v>576</v>
      </c>
      <c r="M51" s="11">
        <v>73</v>
      </c>
      <c r="N51" s="11">
        <v>161</v>
      </c>
      <c r="O51" s="11">
        <v>145</v>
      </c>
      <c r="P51" s="11">
        <v>198</v>
      </c>
      <c r="Q51" s="11">
        <v>577</v>
      </c>
      <c r="R51" s="11">
        <v>109</v>
      </c>
      <c r="S51" s="11">
        <v>200</v>
      </c>
      <c r="T51" s="11">
        <v>61</v>
      </c>
      <c r="U51" s="11">
        <v>172</v>
      </c>
      <c r="V51" s="11">
        <v>542</v>
      </c>
      <c r="W51" s="11">
        <v>399</v>
      </c>
      <c r="X51" s="11">
        <v>271</v>
      </c>
      <c r="Y51" s="11">
        <v>300</v>
      </c>
      <c r="Z51" s="11">
        <v>30</v>
      </c>
      <c r="AA51" s="11">
        <v>1000</v>
      </c>
      <c r="AB51" s="11">
        <v>512</v>
      </c>
      <c r="AC51" s="11">
        <v>149</v>
      </c>
      <c r="AD51" s="11">
        <v>31</v>
      </c>
      <c r="AE51" s="11">
        <v>200</v>
      </c>
      <c r="AF51" s="11">
        <v>892</v>
      </c>
      <c r="AG51" s="11">
        <v>4102</v>
      </c>
    </row>
    <row r="52" spans="2:33" x14ac:dyDescent="0.2">
      <c r="B52" s="24" t="s">
        <v>7</v>
      </c>
      <c r="C52" s="11">
        <v>6553</v>
      </c>
      <c r="D52" s="11">
        <v>3318</v>
      </c>
      <c r="E52" s="11">
        <v>4035</v>
      </c>
      <c r="F52" s="11">
        <v>4995</v>
      </c>
      <c r="G52" s="11">
        <v>18901</v>
      </c>
      <c r="H52" s="11">
        <v>5865</v>
      </c>
      <c r="I52" s="11">
        <v>5605</v>
      </c>
      <c r="J52" s="11">
        <v>5819</v>
      </c>
      <c r="K52" s="11">
        <v>3296</v>
      </c>
      <c r="L52" s="11">
        <v>20585</v>
      </c>
      <c r="M52" s="11">
        <v>5678</v>
      </c>
      <c r="N52" s="11">
        <v>4955</v>
      </c>
      <c r="O52" s="11">
        <v>5245</v>
      </c>
      <c r="P52" s="11">
        <v>5539</v>
      </c>
      <c r="Q52" s="11">
        <v>21417</v>
      </c>
      <c r="R52" s="11">
        <v>6106</v>
      </c>
      <c r="S52" s="11">
        <v>3855</v>
      </c>
      <c r="T52" s="11">
        <v>4757</v>
      </c>
      <c r="U52" s="11">
        <v>5383</v>
      </c>
      <c r="V52" s="11">
        <v>20101</v>
      </c>
      <c r="W52" s="11">
        <v>10696</v>
      </c>
      <c r="X52" s="11">
        <v>5037</v>
      </c>
      <c r="Y52" s="11">
        <v>6391</v>
      </c>
      <c r="Z52" s="11">
        <v>1505</v>
      </c>
      <c r="AA52" s="11">
        <v>23629</v>
      </c>
      <c r="AB52" s="11">
        <v>10767</v>
      </c>
      <c r="AC52" s="11">
        <v>4808</v>
      </c>
      <c r="AD52" s="11">
        <v>3705</v>
      </c>
      <c r="AE52" s="11">
        <v>4759</v>
      </c>
      <c r="AF52" s="11">
        <v>24039</v>
      </c>
      <c r="AG52" s="11">
        <v>128672</v>
      </c>
    </row>
    <row r="53" spans="2:33" ht="17.25" customHeight="1" x14ac:dyDescent="0.2">
      <c r="B53" s="24"/>
      <c r="C53" s="11"/>
      <c r="D53" s="11"/>
      <c r="E53" s="11"/>
      <c r="F53" s="11"/>
      <c r="G53" s="11"/>
    </row>
    <row r="54" spans="2:33" ht="17.25" customHeight="1" x14ac:dyDescent="0.2">
      <c r="B54" s="24"/>
      <c r="C54" s="11"/>
      <c r="D54" s="11"/>
      <c r="E54" s="11"/>
      <c r="F54" s="11"/>
      <c r="G54" s="11"/>
    </row>
    <row r="55" spans="2:33" ht="17.25" customHeight="1" x14ac:dyDescent="0.2">
      <c r="B55" s="24"/>
      <c r="C55" s="11"/>
      <c r="D55" s="11"/>
      <c r="E55" s="11"/>
      <c r="F55" s="11"/>
      <c r="G55" s="11"/>
    </row>
    <row r="56" spans="2:33" ht="17.25" hidden="1" customHeight="1" x14ac:dyDescent="0.2">
      <c r="B56" s="11" t="s">
        <v>97</v>
      </c>
      <c r="C56" s="11" t="s">
        <v>98</v>
      </c>
      <c r="D56" s="11"/>
      <c r="E56" s="11"/>
      <c r="F56" s="11"/>
      <c r="G56" s="11"/>
      <c r="H56" s="11"/>
      <c r="I56" s="11"/>
      <c r="J56" s="11"/>
      <c r="K56" s="11"/>
      <c r="L56" s="11"/>
      <c r="M56" s="11"/>
      <c r="N56" s="11"/>
      <c r="O56" s="11"/>
      <c r="P56" s="11"/>
      <c r="Q56" s="11"/>
      <c r="R56" s="11"/>
      <c r="S56" s="11"/>
      <c r="T56" s="11"/>
      <c r="U56" s="11"/>
      <c r="V56" s="11"/>
      <c r="W56" s="11"/>
      <c r="X56" s="11"/>
      <c r="Y56" s="11"/>
      <c r="Z56" s="11"/>
    </row>
    <row r="57" spans="2:33" ht="17.25" hidden="1" customHeight="1" x14ac:dyDescent="0.2">
      <c r="B57" s="11"/>
      <c r="C57" s="11" t="s">
        <v>1</v>
      </c>
      <c r="D57" s="11"/>
      <c r="E57" s="11"/>
      <c r="F57" s="11" t="s">
        <v>99</v>
      </c>
      <c r="G57" s="11" t="s">
        <v>2</v>
      </c>
      <c r="H57" s="11"/>
      <c r="I57" s="11"/>
      <c r="J57" s="11" t="s">
        <v>100</v>
      </c>
      <c r="K57" s="11" t="s">
        <v>3</v>
      </c>
      <c r="L57" s="11"/>
      <c r="M57" s="11"/>
      <c r="N57" s="11" t="s">
        <v>101</v>
      </c>
      <c r="O57" s="11" t="s">
        <v>4</v>
      </c>
      <c r="P57" s="11"/>
      <c r="Q57" s="11"/>
      <c r="R57" s="11" t="s">
        <v>102</v>
      </c>
      <c r="S57" s="11" t="s">
        <v>5</v>
      </c>
      <c r="T57" s="11"/>
      <c r="U57" s="11"/>
      <c r="V57" s="11" t="s">
        <v>103</v>
      </c>
      <c r="W57" s="11" t="s">
        <v>6</v>
      </c>
      <c r="X57" s="11"/>
      <c r="Y57" s="11"/>
      <c r="Z57" s="11" t="s">
        <v>104</v>
      </c>
    </row>
    <row r="58" spans="2:33" ht="17.25" hidden="1" customHeight="1" x14ac:dyDescent="0.2">
      <c r="B58" s="11" t="s">
        <v>8</v>
      </c>
      <c r="C58" s="11" t="s">
        <v>48</v>
      </c>
      <c r="D58" s="11" t="s">
        <v>49</v>
      </c>
      <c r="E58" s="11" t="s">
        <v>50</v>
      </c>
      <c r="F58" s="11"/>
      <c r="G58" s="11" t="s">
        <v>48</v>
      </c>
      <c r="H58" s="11" t="s">
        <v>49</v>
      </c>
      <c r="I58" s="11" t="s">
        <v>50</v>
      </c>
      <c r="J58" s="11"/>
      <c r="K58" s="11" t="s">
        <v>48</v>
      </c>
      <c r="L58" s="11" t="s">
        <v>49</v>
      </c>
      <c r="M58" s="11" t="s">
        <v>50</v>
      </c>
      <c r="N58" s="11"/>
      <c r="O58" s="11" t="s">
        <v>48</v>
      </c>
      <c r="P58" s="11" t="s">
        <v>49</v>
      </c>
      <c r="Q58" s="11" t="s">
        <v>50</v>
      </c>
      <c r="R58" s="11"/>
      <c r="S58" s="11" t="s">
        <v>48</v>
      </c>
      <c r="T58" s="11" t="s">
        <v>49</v>
      </c>
      <c r="U58" s="11" t="s">
        <v>50</v>
      </c>
      <c r="V58" s="11"/>
      <c r="W58" s="11" t="s">
        <v>48</v>
      </c>
      <c r="X58" s="11" t="s">
        <v>49</v>
      </c>
      <c r="Y58" s="11" t="s">
        <v>50</v>
      </c>
      <c r="Z58" s="11"/>
    </row>
    <row r="59" spans="2:33" ht="17.25" hidden="1" customHeight="1" x14ac:dyDescent="0.2">
      <c r="B59" s="24" t="s">
        <v>9</v>
      </c>
      <c r="C59" s="11">
        <v>63</v>
      </c>
      <c r="D59" s="11">
        <v>10</v>
      </c>
      <c r="E59" s="11">
        <v>27</v>
      </c>
      <c r="F59" s="11">
        <v>100</v>
      </c>
      <c r="G59" s="11">
        <v>0</v>
      </c>
      <c r="H59" s="11">
        <v>0</v>
      </c>
      <c r="I59" s="11">
        <v>63</v>
      </c>
      <c r="J59" s="11">
        <v>63</v>
      </c>
      <c r="K59" s="11">
        <v>0</v>
      </c>
      <c r="L59" s="11">
        <v>25</v>
      </c>
      <c r="M59" s="11">
        <v>24</v>
      </c>
      <c r="N59" s="11">
        <v>49</v>
      </c>
      <c r="O59" s="11">
        <v>100</v>
      </c>
      <c r="P59" s="11">
        <v>0</v>
      </c>
      <c r="Q59" s="11">
        <v>0</v>
      </c>
      <c r="R59" s="11">
        <v>100</v>
      </c>
      <c r="S59" s="11">
        <v>100</v>
      </c>
      <c r="T59" s="11">
        <v>0</v>
      </c>
      <c r="U59" s="11">
        <v>0</v>
      </c>
      <c r="V59" s="11">
        <v>100</v>
      </c>
      <c r="W59" s="11">
        <v>100</v>
      </c>
      <c r="X59" s="11">
        <v>0</v>
      </c>
      <c r="Y59" s="11">
        <v>0</v>
      </c>
      <c r="Z59" s="11">
        <v>100</v>
      </c>
    </row>
    <row r="60" spans="2:33" ht="17.25" hidden="1" customHeight="1" x14ac:dyDescent="0.2">
      <c r="B60" s="24" t="s">
        <v>10</v>
      </c>
      <c r="C60" s="11">
        <v>32</v>
      </c>
      <c r="D60" s="11">
        <v>58</v>
      </c>
      <c r="E60" s="11">
        <v>0</v>
      </c>
      <c r="F60" s="11">
        <v>90</v>
      </c>
      <c r="G60" s="11">
        <v>0</v>
      </c>
      <c r="H60" s="11">
        <v>19</v>
      </c>
      <c r="I60" s="11">
        <v>18</v>
      </c>
      <c r="J60" s="11">
        <v>37</v>
      </c>
      <c r="K60" s="11">
        <v>0</v>
      </c>
      <c r="L60" s="11">
        <v>29</v>
      </c>
      <c r="M60" s="11">
        <v>27</v>
      </c>
      <c r="N60" s="11">
        <v>56</v>
      </c>
      <c r="O60" s="11">
        <v>0</v>
      </c>
      <c r="P60" s="11">
        <v>0</v>
      </c>
      <c r="Q60" s="11">
        <v>0</v>
      </c>
      <c r="R60" s="11">
        <v>0</v>
      </c>
      <c r="S60" s="11">
        <v>0</v>
      </c>
      <c r="T60" s="11">
        <v>65</v>
      </c>
      <c r="U60" s="11">
        <v>35</v>
      </c>
      <c r="V60" s="11">
        <v>100</v>
      </c>
      <c r="W60" s="11">
        <v>0</v>
      </c>
      <c r="X60" s="11">
        <v>100</v>
      </c>
      <c r="Y60" s="11">
        <v>0</v>
      </c>
      <c r="Z60" s="11">
        <v>100</v>
      </c>
    </row>
    <row r="61" spans="2:33" ht="17.25" hidden="1" customHeight="1" x14ac:dyDescent="0.2">
      <c r="B61" s="24" t="s">
        <v>11</v>
      </c>
      <c r="C61" s="11">
        <v>0</v>
      </c>
      <c r="D61" s="11">
        <v>0</v>
      </c>
      <c r="E61" s="11">
        <v>0</v>
      </c>
      <c r="F61" s="11">
        <v>0</v>
      </c>
      <c r="G61" s="11">
        <v>0</v>
      </c>
      <c r="H61" s="11">
        <v>0</v>
      </c>
      <c r="I61" s="11">
        <v>19</v>
      </c>
      <c r="J61" s="11">
        <v>19</v>
      </c>
      <c r="K61" s="11">
        <v>0</v>
      </c>
      <c r="L61" s="11">
        <v>0</v>
      </c>
      <c r="M61" s="11">
        <v>0</v>
      </c>
      <c r="N61" s="11">
        <v>0</v>
      </c>
      <c r="O61" s="11">
        <v>0</v>
      </c>
      <c r="P61" s="11">
        <v>0</v>
      </c>
      <c r="Q61" s="11">
        <v>36</v>
      </c>
      <c r="R61" s="11">
        <v>36</v>
      </c>
      <c r="S61" s="11">
        <v>0</v>
      </c>
      <c r="T61" s="11">
        <v>35</v>
      </c>
      <c r="U61" s="11">
        <v>30</v>
      </c>
      <c r="V61" s="11">
        <v>65</v>
      </c>
      <c r="W61" s="11">
        <v>0</v>
      </c>
      <c r="X61" s="11">
        <v>0</v>
      </c>
      <c r="Y61" s="11">
        <v>0</v>
      </c>
      <c r="Z61" s="11">
        <v>0</v>
      </c>
    </row>
    <row r="62" spans="2:33" ht="17.25" hidden="1" customHeight="1" x14ac:dyDescent="0.2">
      <c r="B62" s="24" t="s">
        <v>12</v>
      </c>
      <c r="C62" s="11">
        <v>31</v>
      </c>
      <c r="D62" s="11">
        <v>0</v>
      </c>
      <c r="E62" s="11">
        <v>0</v>
      </c>
      <c r="F62" s="11">
        <v>31</v>
      </c>
      <c r="G62" s="11">
        <v>0</v>
      </c>
      <c r="H62" s="11">
        <v>0</v>
      </c>
      <c r="I62" s="11">
        <v>62</v>
      </c>
      <c r="J62" s="11">
        <v>62</v>
      </c>
      <c r="K62" s="11">
        <v>26</v>
      </c>
      <c r="L62" s="11">
        <v>30</v>
      </c>
      <c r="M62" s="11">
        <v>26</v>
      </c>
      <c r="N62" s="11">
        <v>82</v>
      </c>
      <c r="O62" s="11">
        <v>48</v>
      </c>
      <c r="P62" s="11">
        <v>0</v>
      </c>
      <c r="Q62" s="11">
        <v>0</v>
      </c>
      <c r="R62" s="11">
        <v>48</v>
      </c>
      <c r="S62" s="11">
        <v>100</v>
      </c>
      <c r="T62" s="11">
        <v>0</v>
      </c>
      <c r="U62" s="11">
        <v>0</v>
      </c>
      <c r="V62" s="11">
        <v>100</v>
      </c>
      <c r="W62" s="11">
        <v>100</v>
      </c>
      <c r="X62" s="11">
        <v>0</v>
      </c>
      <c r="Y62" s="11">
        <v>0</v>
      </c>
      <c r="Z62" s="11">
        <v>100</v>
      </c>
    </row>
    <row r="63" spans="2:33" ht="17.25" hidden="1" customHeight="1" x14ac:dyDescent="0.2">
      <c r="B63" s="24" t="s">
        <v>13</v>
      </c>
      <c r="C63" s="11">
        <v>0</v>
      </c>
      <c r="D63" s="11">
        <v>59</v>
      </c>
      <c r="E63" s="11">
        <v>30</v>
      </c>
      <c r="F63" s="11">
        <v>89</v>
      </c>
      <c r="G63" s="11">
        <v>0</v>
      </c>
      <c r="H63" s="11">
        <v>0</v>
      </c>
      <c r="I63" s="11">
        <v>19</v>
      </c>
      <c r="J63" s="11">
        <v>19</v>
      </c>
      <c r="K63" s="11">
        <v>21</v>
      </c>
      <c r="L63" s="11">
        <v>23</v>
      </c>
      <c r="M63" s="11">
        <v>25</v>
      </c>
      <c r="N63" s="11">
        <v>69</v>
      </c>
      <c r="O63" s="11">
        <v>32</v>
      </c>
      <c r="P63" s="11">
        <v>48</v>
      </c>
      <c r="Q63" s="11">
        <v>0</v>
      </c>
      <c r="R63" s="11">
        <v>80</v>
      </c>
      <c r="S63" s="11">
        <v>0</v>
      </c>
      <c r="T63" s="11">
        <v>65</v>
      </c>
      <c r="U63" s="11">
        <v>0</v>
      </c>
      <c r="V63" s="11">
        <v>65</v>
      </c>
      <c r="W63" s="11">
        <v>0</v>
      </c>
      <c r="X63" s="11">
        <v>100</v>
      </c>
      <c r="Y63" s="11">
        <v>0</v>
      </c>
      <c r="Z63" s="11">
        <v>100</v>
      </c>
    </row>
    <row r="64" spans="2:33" ht="17.25" hidden="1" customHeight="1" x14ac:dyDescent="0.2">
      <c r="B64" s="24" t="s">
        <v>14</v>
      </c>
      <c r="C64" s="11">
        <v>31</v>
      </c>
      <c r="D64" s="11">
        <v>0</v>
      </c>
      <c r="E64" s="11">
        <v>27</v>
      </c>
      <c r="F64" s="11">
        <v>58</v>
      </c>
      <c r="G64" s="11">
        <v>23</v>
      </c>
      <c r="H64" s="11">
        <v>0</v>
      </c>
      <c r="I64" s="11">
        <v>0</v>
      </c>
      <c r="J64" s="11">
        <v>23</v>
      </c>
      <c r="K64" s="11">
        <v>0</v>
      </c>
      <c r="L64" s="11">
        <v>40</v>
      </c>
      <c r="M64" s="11">
        <v>9</v>
      </c>
      <c r="N64" s="11">
        <v>49</v>
      </c>
      <c r="O64" s="11">
        <v>20</v>
      </c>
      <c r="P64" s="11">
        <v>0</v>
      </c>
      <c r="Q64" s="11">
        <v>0</v>
      </c>
      <c r="R64" s="11">
        <v>20</v>
      </c>
      <c r="S64" s="11">
        <v>0</v>
      </c>
      <c r="T64" s="11">
        <v>0</v>
      </c>
      <c r="U64" s="11">
        <v>70</v>
      </c>
      <c r="V64" s="11">
        <v>70</v>
      </c>
      <c r="W64" s="11">
        <v>0</v>
      </c>
      <c r="X64" s="11">
        <v>0</v>
      </c>
      <c r="Y64" s="11">
        <v>0</v>
      </c>
      <c r="Z64" s="11">
        <v>0</v>
      </c>
    </row>
    <row r="65" spans="2:26" ht="17.25" hidden="1" customHeight="1" x14ac:dyDescent="0.2">
      <c r="B65" s="24" t="s">
        <v>15</v>
      </c>
      <c r="C65" s="11">
        <v>31</v>
      </c>
      <c r="D65" s="11">
        <v>24</v>
      </c>
      <c r="E65" s="11">
        <v>0</v>
      </c>
      <c r="F65" s="11">
        <v>55</v>
      </c>
      <c r="G65" s="11">
        <v>26</v>
      </c>
      <c r="H65" s="11">
        <v>0</v>
      </c>
      <c r="I65" s="11">
        <v>17</v>
      </c>
      <c r="J65" s="11">
        <v>43</v>
      </c>
      <c r="K65" s="11">
        <v>27</v>
      </c>
      <c r="L65" s="11">
        <v>0</v>
      </c>
      <c r="M65" s="11">
        <v>0</v>
      </c>
      <c r="N65" s="11">
        <v>27</v>
      </c>
      <c r="O65" s="11">
        <v>80</v>
      </c>
      <c r="P65" s="11">
        <v>20</v>
      </c>
      <c r="Q65" s="11">
        <v>0</v>
      </c>
      <c r="R65" s="11">
        <v>100</v>
      </c>
      <c r="S65" s="11">
        <v>70</v>
      </c>
      <c r="T65" s="11">
        <v>0</v>
      </c>
      <c r="U65" s="11">
        <v>0</v>
      </c>
      <c r="V65" s="11">
        <v>70</v>
      </c>
      <c r="W65" s="11">
        <v>50</v>
      </c>
      <c r="X65" s="11">
        <v>0</v>
      </c>
      <c r="Y65" s="11">
        <v>0</v>
      </c>
      <c r="Z65" s="11">
        <v>50</v>
      </c>
    </row>
    <row r="66" spans="2:26" ht="17.25" hidden="1" customHeight="1" x14ac:dyDescent="0.2">
      <c r="B66" s="24" t="s">
        <v>16</v>
      </c>
      <c r="C66" s="11">
        <v>0</v>
      </c>
      <c r="D66" s="11">
        <v>24</v>
      </c>
      <c r="E66" s="11">
        <v>0</v>
      </c>
      <c r="F66" s="11">
        <v>24</v>
      </c>
      <c r="G66" s="11">
        <v>0</v>
      </c>
      <c r="H66" s="11">
        <v>0</v>
      </c>
      <c r="I66" s="11">
        <v>83</v>
      </c>
      <c r="J66" s="11">
        <v>83</v>
      </c>
      <c r="K66" s="11">
        <v>0</v>
      </c>
      <c r="L66" s="11">
        <v>0</v>
      </c>
      <c r="M66" s="11">
        <v>23</v>
      </c>
      <c r="N66" s="11">
        <v>23</v>
      </c>
      <c r="O66" s="11">
        <v>0</v>
      </c>
      <c r="P66" s="11">
        <v>0</v>
      </c>
      <c r="Q66" s="11">
        <v>48</v>
      </c>
      <c r="R66" s="11">
        <v>48</v>
      </c>
      <c r="S66" s="11">
        <v>0</v>
      </c>
      <c r="T66" s="11">
        <v>24</v>
      </c>
      <c r="U66" s="11">
        <v>0</v>
      </c>
      <c r="V66" s="11">
        <v>24</v>
      </c>
      <c r="W66" s="11">
        <v>0</v>
      </c>
      <c r="X66" s="11">
        <v>0</v>
      </c>
      <c r="Y66" s="11">
        <v>0</v>
      </c>
      <c r="Z66" s="11">
        <v>0</v>
      </c>
    </row>
    <row r="67" spans="2:26" ht="17.25" hidden="1" customHeight="1" x14ac:dyDescent="0.2">
      <c r="B67" s="24" t="s">
        <v>17</v>
      </c>
      <c r="C67" s="11">
        <v>36</v>
      </c>
      <c r="D67" s="11">
        <v>11</v>
      </c>
      <c r="E67" s="11">
        <v>0</v>
      </c>
      <c r="F67" s="11">
        <v>47</v>
      </c>
      <c r="G67" s="11">
        <v>0</v>
      </c>
      <c r="H67" s="11">
        <v>25</v>
      </c>
      <c r="I67" s="11">
        <v>0</v>
      </c>
      <c r="J67" s="11">
        <v>25</v>
      </c>
      <c r="K67" s="11">
        <v>0</v>
      </c>
      <c r="L67" s="11">
        <v>0</v>
      </c>
      <c r="M67" s="11">
        <v>19</v>
      </c>
      <c r="N67" s="11">
        <v>19</v>
      </c>
      <c r="O67" s="11">
        <v>0</v>
      </c>
      <c r="P67" s="11">
        <v>0</v>
      </c>
      <c r="Q67" s="11">
        <v>0</v>
      </c>
      <c r="R67" s="11">
        <v>0</v>
      </c>
      <c r="S67" s="11">
        <v>0</v>
      </c>
      <c r="T67" s="11">
        <v>0</v>
      </c>
      <c r="U67" s="11">
        <v>0</v>
      </c>
      <c r="V67" s="11">
        <v>0</v>
      </c>
      <c r="W67" s="11">
        <v>0</v>
      </c>
      <c r="X67" s="11">
        <v>0</v>
      </c>
      <c r="Y67" s="11">
        <v>56</v>
      </c>
      <c r="Z67" s="11">
        <v>56</v>
      </c>
    </row>
    <row r="68" spans="2:26" ht="17.25" hidden="1" customHeight="1" x14ac:dyDescent="0.2">
      <c r="B68" s="24" t="s">
        <v>18</v>
      </c>
      <c r="C68" s="11">
        <v>0</v>
      </c>
      <c r="D68" s="11">
        <v>24</v>
      </c>
      <c r="E68" s="11">
        <v>0</v>
      </c>
      <c r="F68" s="11">
        <v>24</v>
      </c>
      <c r="G68" s="11">
        <v>0</v>
      </c>
      <c r="H68" s="11">
        <v>26</v>
      </c>
      <c r="I68" s="11">
        <v>42</v>
      </c>
      <c r="J68" s="11">
        <v>68</v>
      </c>
      <c r="K68" s="11">
        <v>24</v>
      </c>
      <c r="L68" s="11">
        <v>0</v>
      </c>
      <c r="M68" s="11">
        <v>0</v>
      </c>
      <c r="N68" s="11">
        <v>24</v>
      </c>
      <c r="O68" s="11">
        <v>0</v>
      </c>
      <c r="P68" s="11">
        <v>84</v>
      </c>
      <c r="Q68" s="11">
        <v>0</v>
      </c>
      <c r="R68" s="11">
        <v>84</v>
      </c>
      <c r="S68" s="11">
        <v>0</v>
      </c>
      <c r="T68" s="11">
        <v>0</v>
      </c>
      <c r="U68" s="11">
        <v>6</v>
      </c>
      <c r="V68" s="11">
        <v>6</v>
      </c>
      <c r="W68" s="11">
        <v>0</v>
      </c>
      <c r="X68" s="11">
        <v>50</v>
      </c>
      <c r="Y68" s="11">
        <v>0</v>
      </c>
      <c r="Z68" s="11">
        <v>50</v>
      </c>
    </row>
    <row r="69" spans="2:26" ht="17.25" hidden="1" customHeight="1" x14ac:dyDescent="0.2">
      <c r="B69" s="24" t="s">
        <v>19</v>
      </c>
      <c r="C69" s="11">
        <v>0</v>
      </c>
      <c r="D69" s="11">
        <v>0</v>
      </c>
      <c r="E69" s="11">
        <v>0</v>
      </c>
      <c r="F69" s="11">
        <v>0</v>
      </c>
      <c r="G69" s="11">
        <v>21</v>
      </c>
      <c r="H69" s="11">
        <v>0</v>
      </c>
      <c r="I69" s="11">
        <v>4</v>
      </c>
      <c r="J69" s="11">
        <v>25</v>
      </c>
      <c r="K69" s="11">
        <v>0</v>
      </c>
      <c r="L69" s="11">
        <v>19</v>
      </c>
      <c r="M69" s="11">
        <v>0</v>
      </c>
      <c r="N69" s="11">
        <v>19</v>
      </c>
      <c r="O69" s="11">
        <v>22</v>
      </c>
      <c r="P69" s="11">
        <v>0</v>
      </c>
      <c r="Q69" s="11">
        <v>40</v>
      </c>
      <c r="R69" s="11">
        <v>62</v>
      </c>
      <c r="S69" s="11">
        <v>0</v>
      </c>
      <c r="T69" s="11">
        <v>0</v>
      </c>
      <c r="U69" s="11">
        <v>0</v>
      </c>
      <c r="V69" s="11">
        <v>0</v>
      </c>
      <c r="W69" s="11">
        <v>0</v>
      </c>
      <c r="X69" s="11">
        <v>0</v>
      </c>
      <c r="Y69" s="11">
        <v>0</v>
      </c>
      <c r="Z69" s="11">
        <v>0</v>
      </c>
    </row>
    <row r="70" spans="2:26" ht="17.25" hidden="1" customHeight="1" x14ac:dyDescent="0.2">
      <c r="B70" s="24" t="s">
        <v>20</v>
      </c>
      <c r="C70" s="11">
        <v>0</v>
      </c>
      <c r="D70" s="11">
        <v>0</v>
      </c>
      <c r="E70" s="11">
        <v>0</v>
      </c>
      <c r="F70" s="11">
        <v>0</v>
      </c>
      <c r="G70" s="11">
        <v>20</v>
      </c>
      <c r="H70" s="11">
        <v>0</v>
      </c>
      <c r="I70" s="11">
        <v>1</v>
      </c>
      <c r="J70" s="11">
        <v>21</v>
      </c>
      <c r="K70" s="11">
        <v>0</v>
      </c>
      <c r="L70" s="11">
        <v>0</v>
      </c>
      <c r="M70" s="11">
        <v>37</v>
      </c>
      <c r="N70" s="11">
        <v>37</v>
      </c>
      <c r="O70" s="11">
        <v>0</v>
      </c>
      <c r="P70" s="11">
        <v>0</v>
      </c>
      <c r="Q70" s="11">
        <v>0</v>
      </c>
      <c r="R70" s="11">
        <v>0</v>
      </c>
      <c r="S70" s="11">
        <v>0</v>
      </c>
      <c r="T70" s="11">
        <v>0</v>
      </c>
      <c r="U70" s="11">
        <v>0</v>
      </c>
      <c r="V70" s="11">
        <v>0</v>
      </c>
      <c r="W70" s="11">
        <v>0</v>
      </c>
      <c r="X70" s="11">
        <v>0</v>
      </c>
      <c r="Y70" s="11">
        <v>0</v>
      </c>
      <c r="Z70" s="11">
        <v>0</v>
      </c>
    </row>
    <row r="71" spans="2:26" ht="17.25" hidden="1" customHeight="1" x14ac:dyDescent="0.2">
      <c r="B71" s="24" t="s">
        <v>21</v>
      </c>
      <c r="C71" s="11">
        <v>28</v>
      </c>
      <c r="D71" s="11">
        <v>40</v>
      </c>
      <c r="E71" s="11">
        <v>0</v>
      </c>
      <c r="F71" s="11">
        <v>68</v>
      </c>
      <c r="G71" s="11">
        <v>0</v>
      </c>
      <c r="H71" s="11">
        <v>0</v>
      </c>
      <c r="I71" s="11">
        <v>38</v>
      </c>
      <c r="J71" s="11">
        <v>38</v>
      </c>
      <c r="K71" s="11">
        <v>0</v>
      </c>
      <c r="L71" s="11">
        <v>0</v>
      </c>
      <c r="M71" s="11">
        <v>0</v>
      </c>
      <c r="N71" s="11">
        <v>0</v>
      </c>
      <c r="O71" s="11">
        <v>0</v>
      </c>
      <c r="P71" s="11">
        <v>0</v>
      </c>
      <c r="Q71" s="11">
        <v>0</v>
      </c>
      <c r="R71" s="11">
        <v>0</v>
      </c>
      <c r="S71" s="11">
        <v>81</v>
      </c>
      <c r="T71" s="11">
        <v>0</v>
      </c>
      <c r="U71" s="11">
        <v>0</v>
      </c>
      <c r="V71" s="11">
        <v>81</v>
      </c>
      <c r="W71" s="11">
        <v>49</v>
      </c>
      <c r="X71" s="11">
        <v>0</v>
      </c>
      <c r="Y71" s="11">
        <v>51</v>
      </c>
      <c r="Z71" s="11">
        <v>100</v>
      </c>
    </row>
    <row r="72" spans="2:26" ht="17.25" hidden="1" customHeight="1" x14ac:dyDescent="0.2">
      <c r="B72" s="24" t="s">
        <v>22</v>
      </c>
      <c r="C72" s="11">
        <v>0</v>
      </c>
      <c r="D72" s="11">
        <v>0</v>
      </c>
      <c r="E72" s="11">
        <v>0</v>
      </c>
      <c r="F72" s="11">
        <v>0</v>
      </c>
      <c r="G72" s="11">
        <v>0</v>
      </c>
      <c r="H72" s="11">
        <v>0</v>
      </c>
      <c r="I72" s="11">
        <v>42</v>
      </c>
      <c r="J72" s="11">
        <v>42</v>
      </c>
      <c r="K72" s="11">
        <v>25</v>
      </c>
      <c r="L72" s="11">
        <v>0</v>
      </c>
      <c r="M72" s="11">
        <v>0</v>
      </c>
      <c r="N72" s="11">
        <v>25</v>
      </c>
      <c r="O72" s="11">
        <v>47</v>
      </c>
      <c r="P72" s="11">
        <v>0</v>
      </c>
      <c r="Q72" s="11">
        <v>39</v>
      </c>
      <c r="R72" s="11">
        <v>86</v>
      </c>
      <c r="S72" s="11">
        <v>219</v>
      </c>
      <c r="T72" s="11">
        <v>0</v>
      </c>
      <c r="U72" s="11">
        <v>0</v>
      </c>
      <c r="V72" s="11">
        <v>219</v>
      </c>
      <c r="W72" s="11">
        <v>0</v>
      </c>
      <c r="X72" s="11">
        <v>100</v>
      </c>
      <c r="Y72" s="11">
        <v>0</v>
      </c>
      <c r="Z72" s="11">
        <v>100</v>
      </c>
    </row>
    <row r="73" spans="2:26" ht="17.25" hidden="1" customHeight="1" x14ac:dyDescent="0.2">
      <c r="B73" s="24" t="s">
        <v>23</v>
      </c>
      <c r="C73" s="11">
        <v>0</v>
      </c>
      <c r="D73" s="11">
        <v>0</v>
      </c>
      <c r="E73" s="11">
        <v>0</v>
      </c>
      <c r="F73" s="11">
        <v>0</v>
      </c>
      <c r="G73" s="11">
        <v>0</v>
      </c>
      <c r="H73" s="11">
        <v>0</v>
      </c>
      <c r="I73" s="11">
        <v>19</v>
      </c>
      <c r="J73" s="11">
        <v>19</v>
      </c>
      <c r="K73" s="11">
        <v>27</v>
      </c>
      <c r="L73" s="11">
        <v>0</v>
      </c>
      <c r="M73" s="11">
        <v>22</v>
      </c>
      <c r="N73" s="11">
        <v>49</v>
      </c>
      <c r="O73" s="11">
        <v>34</v>
      </c>
      <c r="P73" s="11">
        <v>0</v>
      </c>
      <c r="Q73" s="11">
        <v>0</v>
      </c>
      <c r="R73" s="11">
        <v>34</v>
      </c>
      <c r="S73" s="11">
        <v>0</v>
      </c>
      <c r="T73" s="11">
        <v>0</v>
      </c>
      <c r="U73" s="11">
        <v>74</v>
      </c>
      <c r="V73" s="11">
        <v>74</v>
      </c>
      <c r="W73" s="11">
        <v>0</v>
      </c>
      <c r="X73" s="11">
        <v>0</v>
      </c>
      <c r="Y73" s="11">
        <v>0</v>
      </c>
      <c r="Z73" s="11">
        <v>0</v>
      </c>
    </row>
    <row r="74" spans="2:26" ht="17.25" hidden="1" customHeight="1" x14ac:dyDescent="0.2">
      <c r="B74" s="24" t="s">
        <v>24</v>
      </c>
      <c r="C74" s="11">
        <v>35</v>
      </c>
      <c r="D74" s="11">
        <v>0</v>
      </c>
      <c r="E74" s="11">
        <v>36</v>
      </c>
      <c r="F74" s="11">
        <v>71</v>
      </c>
      <c r="G74" s="11">
        <v>26</v>
      </c>
      <c r="H74" s="11">
        <v>0</v>
      </c>
      <c r="I74" s="11">
        <v>45</v>
      </c>
      <c r="J74" s="11">
        <v>71</v>
      </c>
      <c r="K74" s="11">
        <v>23</v>
      </c>
      <c r="L74" s="11">
        <v>0</v>
      </c>
      <c r="M74" s="11">
        <v>0</v>
      </c>
      <c r="N74" s="11">
        <v>23</v>
      </c>
      <c r="O74" s="11">
        <v>34</v>
      </c>
      <c r="P74" s="11">
        <v>0</v>
      </c>
      <c r="Q74" s="11">
        <v>0</v>
      </c>
      <c r="R74" s="11">
        <v>34</v>
      </c>
      <c r="S74" s="11">
        <v>69</v>
      </c>
      <c r="T74" s="11">
        <v>0</v>
      </c>
      <c r="U74" s="11">
        <v>0</v>
      </c>
      <c r="V74" s="11">
        <v>69</v>
      </c>
      <c r="W74" s="11">
        <v>99</v>
      </c>
      <c r="X74" s="11">
        <v>0</v>
      </c>
      <c r="Y74" s="11">
        <v>0</v>
      </c>
      <c r="Z74" s="11">
        <v>99</v>
      </c>
    </row>
    <row r="75" spans="2:26" ht="17.25" hidden="1" customHeight="1" x14ac:dyDescent="0.2">
      <c r="B75" s="24" t="s">
        <v>25</v>
      </c>
      <c r="C75" s="11">
        <v>51</v>
      </c>
      <c r="D75" s="11">
        <v>35</v>
      </c>
      <c r="E75" s="11">
        <v>0</v>
      </c>
      <c r="F75" s="11">
        <v>86</v>
      </c>
      <c r="G75" s="11">
        <v>0</v>
      </c>
      <c r="H75" s="11">
        <v>0</v>
      </c>
      <c r="I75" s="11">
        <v>36</v>
      </c>
      <c r="J75" s="11">
        <v>36</v>
      </c>
      <c r="K75" s="11">
        <v>0</v>
      </c>
      <c r="L75" s="11">
        <v>23</v>
      </c>
      <c r="M75" s="11">
        <v>21</v>
      </c>
      <c r="N75" s="11">
        <v>44</v>
      </c>
      <c r="O75" s="11">
        <v>32</v>
      </c>
      <c r="P75" s="11">
        <v>0</v>
      </c>
      <c r="Q75" s="11">
        <v>0</v>
      </c>
      <c r="R75" s="11">
        <v>32</v>
      </c>
      <c r="S75" s="11">
        <v>25</v>
      </c>
      <c r="T75" s="11">
        <v>0</v>
      </c>
      <c r="U75" s="11">
        <v>0</v>
      </c>
      <c r="V75" s="11">
        <v>25</v>
      </c>
      <c r="W75" s="11">
        <v>0</v>
      </c>
      <c r="X75" s="11">
        <v>0</v>
      </c>
      <c r="Y75" s="11">
        <v>59</v>
      </c>
      <c r="Z75" s="11">
        <v>59</v>
      </c>
    </row>
    <row r="76" spans="2:26" ht="17.25" hidden="1" customHeight="1" x14ac:dyDescent="0.2">
      <c r="B76" s="24" t="s">
        <v>26</v>
      </c>
      <c r="C76" s="11">
        <v>0</v>
      </c>
      <c r="D76" s="11">
        <v>0</v>
      </c>
      <c r="E76" s="11">
        <v>0</v>
      </c>
      <c r="F76" s="11">
        <v>0</v>
      </c>
      <c r="G76" s="11">
        <v>22</v>
      </c>
      <c r="H76" s="11">
        <v>0</v>
      </c>
      <c r="I76" s="11">
        <v>0</v>
      </c>
      <c r="J76" s="11">
        <v>22</v>
      </c>
      <c r="K76" s="11">
        <v>24</v>
      </c>
      <c r="L76" s="11">
        <v>0</v>
      </c>
      <c r="M76" s="11">
        <v>0</v>
      </c>
      <c r="N76" s="11">
        <v>24</v>
      </c>
      <c r="O76" s="11">
        <v>0</v>
      </c>
      <c r="P76" s="11">
        <v>0</v>
      </c>
      <c r="Q76" s="11">
        <v>0</v>
      </c>
      <c r="R76" s="11">
        <v>0</v>
      </c>
      <c r="S76" s="11">
        <v>0</v>
      </c>
      <c r="T76" s="11">
        <v>0</v>
      </c>
      <c r="U76" s="11">
        <v>0</v>
      </c>
      <c r="V76" s="11">
        <v>0</v>
      </c>
      <c r="W76" s="11">
        <v>0</v>
      </c>
      <c r="X76" s="11">
        <v>0</v>
      </c>
      <c r="Y76" s="11">
        <v>39</v>
      </c>
      <c r="Z76" s="11">
        <v>39</v>
      </c>
    </row>
    <row r="77" spans="2:26" ht="17.25" hidden="1" customHeight="1" x14ac:dyDescent="0.2">
      <c r="B77" s="24" t="s">
        <v>27</v>
      </c>
      <c r="C77" s="11">
        <v>28</v>
      </c>
      <c r="D77" s="11">
        <v>50</v>
      </c>
      <c r="E77" s="11">
        <v>35</v>
      </c>
      <c r="F77" s="11">
        <v>113</v>
      </c>
      <c r="G77" s="11">
        <v>0</v>
      </c>
      <c r="H77" s="11">
        <v>0</v>
      </c>
      <c r="I77" s="11">
        <v>20</v>
      </c>
      <c r="J77" s="11">
        <v>20</v>
      </c>
      <c r="K77" s="11">
        <v>0</v>
      </c>
      <c r="L77" s="11">
        <v>28</v>
      </c>
      <c r="M77" s="11">
        <v>0</v>
      </c>
      <c r="N77" s="11">
        <v>28</v>
      </c>
      <c r="O77" s="11">
        <v>0</v>
      </c>
      <c r="P77" s="11">
        <v>0</v>
      </c>
      <c r="Q77" s="11">
        <v>0</v>
      </c>
      <c r="R77" s="11">
        <v>0</v>
      </c>
      <c r="S77" s="11">
        <v>0</v>
      </c>
      <c r="T77" s="11">
        <v>0</v>
      </c>
      <c r="U77" s="11">
        <v>26</v>
      </c>
      <c r="V77" s="11">
        <v>26</v>
      </c>
      <c r="W77" s="11">
        <v>0</v>
      </c>
      <c r="X77" s="11">
        <v>97</v>
      </c>
      <c r="Y77" s="11">
        <v>0</v>
      </c>
      <c r="Z77" s="11">
        <v>97</v>
      </c>
    </row>
    <row r="78" spans="2:26" ht="17.25" hidden="1" customHeight="1" x14ac:dyDescent="0.2">
      <c r="B78" s="24" t="s">
        <v>28</v>
      </c>
      <c r="C78" s="11">
        <v>0</v>
      </c>
      <c r="D78" s="11">
        <v>0</v>
      </c>
      <c r="E78" s="11">
        <v>0</v>
      </c>
      <c r="F78" s="11">
        <v>0</v>
      </c>
      <c r="G78" s="11">
        <v>0</v>
      </c>
      <c r="H78" s="11">
        <v>0</v>
      </c>
      <c r="I78" s="11">
        <v>0</v>
      </c>
      <c r="J78" s="11">
        <v>0</v>
      </c>
      <c r="K78" s="11">
        <v>0</v>
      </c>
      <c r="L78" s="11">
        <v>0</v>
      </c>
      <c r="M78" s="11">
        <v>0</v>
      </c>
      <c r="N78" s="11">
        <v>0</v>
      </c>
      <c r="O78" s="11">
        <v>34</v>
      </c>
      <c r="P78" s="11">
        <v>0</v>
      </c>
      <c r="Q78" s="11">
        <v>0</v>
      </c>
      <c r="R78" s="11">
        <v>34</v>
      </c>
      <c r="S78" s="11">
        <v>0</v>
      </c>
      <c r="T78" s="11">
        <v>62</v>
      </c>
      <c r="U78" s="11">
        <v>0</v>
      </c>
      <c r="V78" s="11">
        <v>62</v>
      </c>
      <c r="W78" s="11">
        <v>0</v>
      </c>
      <c r="X78" s="11">
        <v>0</v>
      </c>
      <c r="Y78" s="11">
        <v>0</v>
      </c>
      <c r="Z78" s="11">
        <v>0</v>
      </c>
    </row>
    <row r="79" spans="2:26" ht="17.25" hidden="1" customHeight="1" x14ac:dyDescent="0.2">
      <c r="B79" s="24" t="s">
        <v>29</v>
      </c>
      <c r="C79" s="11">
        <v>0</v>
      </c>
      <c r="D79" s="11">
        <v>0</v>
      </c>
      <c r="E79" s="11">
        <v>0</v>
      </c>
      <c r="F79" s="11">
        <v>0</v>
      </c>
      <c r="G79" s="11">
        <v>0</v>
      </c>
      <c r="H79" s="11">
        <v>0</v>
      </c>
      <c r="I79" s="11">
        <v>18</v>
      </c>
      <c r="J79" s="11">
        <v>18</v>
      </c>
      <c r="K79" s="11">
        <v>0</v>
      </c>
      <c r="L79" s="11">
        <v>22</v>
      </c>
      <c r="M79" s="11">
        <v>0</v>
      </c>
      <c r="N79" s="11">
        <v>22</v>
      </c>
      <c r="O79" s="11">
        <v>0</v>
      </c>
      <c r="P79" s="11">
        <v>0</v>
      </c>
      <c r="Q79" s="11">
        <v>0</v>
      </c>
      <c r="R79" s="11">
        <v>0</v>
      </c>
      <c r="S79" s="11">
        <v>0</v>
      </c>
      <c r="T79" s="11">
        <v>0</v>
      </c>
      <c r="U79" s="11">
        <v>0</v>
      </c>
      <c r="V79" s="11">
        <v>0</v>
      </c>
      <c r="W79" s="11">
        <v>0</v>
      </c>
      <c r="X79" s="11">
        <v>0</v>
      </c>
      <c r="Y79" s="11">
        <v>0</v>
      </c>
      <c r="Z79" s="11">
        <v>0</v>
      </c>
    </row>
    <row r="80" spans="2:26" ht="17.25" hidden="1" customHeight="1" x14ac:dyDescent="0.2">
      <c r="B80" s="24" t="s">
        <v>30</v>
      </c>
      <c r="C80" s="11">
        <v>49</v>
      </c>
      <c r="D80" s="11">
        <v>33</v>
      </c>
      <c r="E80" s="11">
        <v>0</v>
      </c>
      <c r="F80" s="11">
        <v>82</v>
      </c>
      <c r="G80" s="11">
        <v>0</v>
      </c>
      <c r="H80" s="11">
        <v>18</v>
      </c>
      <c r="I80" s="11">
        <v>31</v>
      </c>
      <c r="J80" s="11">
        <v>49</v>
      </c>
      <c r="K80" s="11">
        <v>0</v>
      </c>
      <c r="L80" s="11">
        <v>0</v>
      </c>
      <c r="M80" s="11">
        <v>0</v>
      </c>
      <c r="N80" s="11">
        <v>0</v>
      </c>
      <c r="O80" s="11">
        <v>32</v>
      </c>
      <c r="P80" s="11">
        <v>44</v>
      </c>
      <c r="Q80" s="11">
        <v>0</v>
      </c>
      <c r="R80" s="11">
        <v>76</v>
      </c>
      <c r="S80" s="11">
        <v>136</v>
      </c>
      <c r="T80" s="11">
        <v>0</v>
      </c>
      <c r="U80" s="11">
        <v>0</v>
      </c>
      <c r="V80" s="11">
        <v>136</v>
      </c>
      <c r="W80" s="11">
        <v>0</v>
      </c>
      <c r="X80" s="11">
        <v>3</v>
      </c>
      <c r="Y80" s="11">
        <v>0</v>
      </c>
      <c r="Z80" s="11">
        <v>3</v>
      </c>
    </row>
    <row r="81" spans="2:26" ht="17.25" hidden="1" customHeight="1" x14ac:dyDescent="0.2">
      <c r="B81" s="24" t="s">
        <v>31</v>
      </c>
      <c r="C81" s="11">
        <v>0</v>
      </c>
      <c r="D81" s="11">
        <v>57</v>
      </c>
      <c r="E81" s="11">
        <v>31</v>
      </c>
      <c r="F81" s="11">
        <v>88</v>
      </c>
      <c r="G81" s="11">
        <v>0</v>
      </c>
      <c r="H81" s="11">
        <v>0</v>
      </c>
      <c r="I81" s="11">
        <v>43</v>
      </c>
      <c r="J81" s="11">
        <v>43</v>
      </c>
      <c r="K81" s="11">
        <v>0</v>
      </c>
      <c r="L81" s="11">
        <v>0</v>
      </c>
      <c r="M81" s="11">
        <v>0</v>
      </c>
      <c r="N81" s="11">
        <v>0</v>
      </c>
      <c r="O81" s="11">
        <v>0</v>
      </c>
      <c r="P81" s="11">
        <v>0</v>
      </c>
      <c r="Q81" s="11">
        <v>0</v>
      </c>
      <c r="R81" s="11">
        <v>0</v>
      </c>
      <c r="S81" s="11">
        <v>0</v>
      </c>
      <c r="T81" s="11">
        <v>75</v>
      </c>
      <c r="U81" s="11">
        <v>0</v>
      </c>
      <c r="V81" s="11">
        <v>75</v>
      </c>
      <c r="W81" s="11">
        <v>0</v>
      </c>
      <c r="X81" s="11">
        <v>105</v>
      </c>
      <c r="Y81" s="11">
        <v>50</v>
      </c>
      <c r="Z81" s="11">
        <v>155</v>
      </c>
    </row>
    <row r="82" spans="2:26" hidden="1" x14ac:dyDescent="0.2">
      <c r="B82" s="24" t="s">
        <v>32</v>
      </c>
      <c r="C82" s="11">
        <v>0</v>
      </c>
      <c r="D82" s="11">
        <v>0</v>
      </c>
      <c r="E82" s="11">
        <v>0</v>
      </c>
      <c r="F82" s="11">
        <v>0</v>
      </c>
      <c r="G82" s="11">
        <v>0</v>
      </c>
      <c r="H82" s="11">
        <v>0</v>
      </c>
      <c r="I82" s="11">
        <v>0</v>
      </c>
      <c r="J82" s="11">
        <v>0</v>
      </c>
      <c r="K82" s="11">
        <v>22</v>
      </c>
      <c r="L82" s="11">
        <v>0</v>
      </c>
      <c r="M82" s="11">
        <v>0</v>
      </c>
      <c r="N82" s="11">
        <v>22</v>
      </c>
      <c r="O82" s="11">
        <v>42</v>
      </c>
      <c r="P82" s="11">
        <v>0</v>
      </c>
      <c r="Q82" s="11">
        <v>0</v>
      </c>
      <c r="R82" s="11">
        <v>42</v>
      </c>
      <c r="S82" s="11">
        <v>51</v>
      </c>
      <c r="T82" s="11">
        <v>0</v>
      </c>
      <c r="U82" s="11">
        <v>0</v>
      </c>
      <c r="V82" s="11">
        <v>51</v>
      </c>
      <c r="W82" s="11">
        <v>56</v>
      </c>
      <c r="X82" s="11">
        <v>0</v>
      </c>
      <c r="Y82" s="11">
        <v>66</v>
      </c>
      <c r="Z82" s="11">
        <v>122</v>
      </c>
    </row>
    <row r="83" spans="2:26" hidden="1" x14ac:dyDescent="0.2">
      <c r="B83" s="24" t="s">
        <v>33</v>
      </c>
      <c r="C83" s="11">
        <v>0</v>
      </c>
      <c r="D83" s="11">
        <v>23</v>
      </c>
      <c r="E83" s="11">
        <v>0</v>
      </c>
      <c r="F83" s="11">
        <v>23</v>
      </c>
      <c r="G83" s="11">
        <v>0</v>
      </c>
      <c r="H83" s="11">
        <v>0</v>
      </c>
      <c r="I83" s="11">
        <v>15</v>
      </c>
      <c r="J83" s="11">
        <v>15</v>
      </c>
      <c r="K83" s="11">
        <v>49</v>
      </c>
      <c r="L83" s="11">
        <v>0</v>
      </c>
      <c r="M83" s="11">
        <v>0</v>
      </c>
      <c r="N83" s="11">
        <v>49</v>
      </c>
      <c r="O83" s="11">
        <v>0</v>
      </c>
      <c r="P83" s="11">
        <v>0</v>
      </c>
      <c r="Q83" s="11">
        <v>0</v>
      </c>
      <c r="R83" s="11">
        <v>0</v>
      </c>
      <c r="S83" s="11">
        <v>50</v>
      </c>
      <c r="T83" s="11">
        <v>0</v>
      </c>
      <c r="U83" s="11">
        <v>0</v>
      </c>
      <c r="V83" s="11">
        <v>50</v>
      </c>
      <c r="W83" s="11">
        <v>0</v>
      </c>
      <c r="X83" s="11">
        <v>60</v>
      </c>
      <c r="Y83" s="11">
        <v>55</v>
      </c>
      <c r="Z83" s="11">
        <v>115</v>
      </c>
    </row>
    <row r="84" spans="2:26" hidden="1" x14ac:dyDescent="0.2">
      <c r="B84" s="24" t="s">
        <v>34</v>
      </c>
      <c r="C84" s="11">
        <v>0</v>
      </c>
      <c r="D84" s="11">
        <v>0</v>
      </c>
      <c r="E84" s="11">
        <v>0</v>
      </c>
      <c r="F84" s="11">
        <v>0</v>
      </c>
      <c r="G84" s="11">
        <v>0</v>
      </c>
      <c r="H84" s="11">
        <v>17</v>
      </c>
      <c r="I84" s="11">
        <v>21</v>
      </c>
      <c r="J84" s="11">
        <v>38</v>
      </c>
      <c r="K84" s="11">
        <v>0</v>
      </c>
      <c r="L84" s="11">
        <v>0</v>
      </c>
      <c r="M84" s="11">
        <v>0</v>
      </c>
      <c r="N84" s="11">
        <v>0</v>
      </c>
      <c r="O84" s="11">
        <v>0</v>
      </c>
      <c r="P84" s="11">
        <v>0</v>
      </c>
      <c r="Q84" s="11">
        <v>0</v>
      </c>
      <c r="R84" s="11">
        <v>0</v>
      </c>
      <c r="S84" s="11">
        <v>57</v>
      </c>
      <c r="T84" s="11">
        <v>0</v>
      </c>
      <c r="U84" s="11">
        <v>0</v>
      </c>
      <c r="V84" s="11">
        <v>57</v>
      </c>
      <c r="W84" s="11">
        <v>56</v>
      </c>
      <c r="X84" s="11">
        <v>0</v>
      </c>
      <c r="Y84" s="11">
        <v>0</v>
      </c>
      <c r="Z84" s="11">
        <v>56</v>
      </c>
    </row>
    <row r="85" spans="2:26" hidden="1" x14ac:dyDescent="0.2">
      <c r="B85" s="24" t="s">
        <v>35</v>
      </c>
      <c r="C85" s="11">
        <v>32</v>
      </c>
      <c r="D85" s="11">
        <v>0</v>
      </c>
      <c r="E85" s="11">
        <v>0</v>
      </c>
      <c r="F85" s="11">
        <v>32</v>
      </c>
      <c r="G85" s="11">
        <v>0</v>
      </c>
      <c r="H85" s="11">
        <v>0</v>
      </c>
      <c r="I85" s="11">
        <v>0</v>
      </c>
      <c r="J85" s="11">
        <v>0</v>
      </c>
      <c r="K85" s="11">
        <v>0</v>
      </c>
      <c r="L85" s="11">
        <v>0</v>
      </c>
      <c r="M85" s="11">
        <v>0</v>
      </c>
      <c r="N85" s="11">
        <v>0</v>
      </c>
      <c r="O85" s="11">
        <v>75</v>
      </c>
      <c r="P85" s="11">
        <v>29</v>
      </c>
      <c r="Q85" s="11">
        <v>47</v>
      </c>
      <c r="R85" s="11">
        <v>151</v>
      </c>
      <c r="S85" s="11">
        <v>80</v>
      </c>
      <c r="T85" s="11">
        <v>51</v>
      </c>
      <c r="U85" s="11">
        <v>0</v>
      </c>
      <c r="V85" s="11">
        <v>131</v>
      </c>
      <c r="W85" s="11">
        <v>0</v>
      </c>
      <c r="X85" s="11">
        <v>87</v>
      </c>
      <c r="Y85" s="11">
        <v>0</v>
      </c>
      <c r="Z85" s="11">
        <v>87</v>
      </c>
    </row>
    <row r="86" spans="2:26" hidden="1" x14ac:dyDescent="0.2">
      <c r="B86" s="24" t="s">
        <v>36</v>
      </c>
      <c r="C86" s="11">
        <v>0</v>
      </c>
      <c r="D86" s="11">
        <v>28</v>
      </c>
      <c r="E86" s="11">
        <v>0</v>
      </c>
      <c r="F86" s="11">
        <v>28</v>
      </c>
      <c r="G86" s="11">
        <v>0</v>
      </c>
      <c r="H86" s="11">
        <v>0</v>
      </c>
      <c r="I86" s="11">
        <v>0</v>
      </c>
      <c r="J86" s="11">
        <v>0</v>
      </c>
      <c r="K86" s="11">
        <v>21</v>
      </c>
      <c r="L86" s="11">
        <v>0</v>
      </c>
      <c r="M86" s="11">
        <v>0</v>
      </c>
      <c r="N86" s="11">
        <v>21</v>
      </c>
      <c r="O86" s="11">
        <v>0</v>
      </c>
      <c r="P86" s="11">
        <v>0</v>
      </c>
      <c r="Q86" s="11">
        <v>0</v>
      </c>
      <c r="R86" s="11">
        <v>0</v>
      </c>
      <c r="S86" s="11">
        <v>148</v>
      </c>
      <c r="T86" s="11">
        <v>63</v>
      </c>
      <c r="U86" s="11">
        <v>0</v>
      </c>
      <c r="V86" s="11">
        <v>211</v>
      </c>
      <c r="W86" s="11">
        <v>0</v>
      </c>
      <c r="X86" s="11">
        <v>54</v>
      </c>
      <c r="Y86" s="11">
        <v>0</v>
      </c>
      <c r="Z86" s="11">
        <v>54</v>
      </c>
    </row>
    <row r="87" spans="2:26" hidden="1" x14ac:dyDescent="0.2">
      <c r="B87" s="24" t="s">
        <v>37</v>
      </c>
      <c r="C87" s="11">
        <v>69</v>
      </c>
      <c r="D87" s="11">
        <v>0</v>
      </c>
      <c r="E87" s="11">
        <v>0</v>
      </c>
      <c r="F87" s="11">
        <v>69</v>
      </c>
      <c r="G87" s="11">
        <v>0</v>
      </c>
      <c r="H87" s="11">
        <v>0</v>
      </c>
      <c r="I87" s="11">
        <v>0</v>
      </c>
      <c r="J87" s="11">
        <v>0</v>
      </c>
      <c r="K87" s="11">
        <v>0</v>
      </c>
      <c r="L87" s="11">
        <v>0</v>
      </c>
      <c r="M87" s="11">
        <v>0</v>
      </c>
      <c r="N87" s="11">
        <v>0</v>
      </c>
      <c r="O87" s="11">
        <v>0</v>
      </c>
      <c r="P87" s="11">
        <v>0</v>
      </c>
      <c r="Q87" s="11">
        <v>0</v>
      </c>
      <c r="R87" s="11">
        <v>0</v>
      </c>
      <c r="S87" s="11">
        <v>3</v>
      </c>
      <c r="T87" s="11">
        <v>0</v>
      </c>
      <c r="U87" s="11">
        <v>0</v>
      </c>
      <c r="V87" s="11">
        <v>3</v>
      </c>
      <c r="W87" s="11">
        <v>0</v>
      </c>
      <c r="X87" s="11">
        <v>0</v>
      </c>
      <c r="Y87" s="11">
        <v>0</v>
      </c>
      <c r="Z87" s="11">
        <v>0</v>
      </c>
    </row>
    <row r="88" spans="2:26" hidden="1" x14ac:dyDescent="0.2">
      <c r="B88" s="24" t="s">
        <v>38</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7</v>
      </c>
      <c r="T88" s="11">
        <v>64</v>
      </c>
      <c r="U88" s="11">
        <v>0</v>
      </c>
      <c r="V88" s="11">
        <v>71</v>
      </c>
      <c r="W88" s="11">
        <v>0</v>
      </c>
      <c r="X88" s="11">
        <v>0</v>
      </c>
      <c r="Y88" s="11">
        <v>0</v>
      </c>
      <c r="Z88" s="11">
        <v>0</v>
      </c>
    </row>
    <row r="89" spans="2:26" hidden="1" x14ac:dyDescent="0.2">
      <c r="B89" s="24" t="s">
        <v>39</v>
      </c>
      <c r="C89" s="11">
        <v>23</v>
      </c>
      <c r="D89" s="11">
        <v>0</v>
      </c>
      <c r="E89" s="11">
        <v>0</v>
      </c>
      <c r="F89" s="11">
        <v>23</v>
      </c>
      <c r="G89" s="11">
        <v>0</v>
      </c>
      <c r="H89" s="11">
        <v>0</v>
      </c>
      <c r="I89" s="11">
        <v>40</v>
      </c>
      <c r="J89" s="11">
        <v>40</v>
      </c>
      <c r="K89" s="11">
        <v>0</v>
      </c>
      <c r="L89" s="11">
        <v>0</v>
      </c>
      <c r="M89" s="11">
        <v>0</v>
      </c>
      <c r="N89" s="11">
        <v>0</v>
      </c>
      <c r="O89" s="11">
        <v>0</v>
      </c>
      <c r="P89" s="11">
        <v>0</v>
      </c>
      <c r="Q89" s="11">
        <v>0</v>
      </c>
      <c r="R89" s="11">
        <v>0</v>
      </c>
      <c r="S89" s="11">
        <v>0</v>
      </c>
      <c r="T89" s="11">
        <v>0</v>
      </c>
      <c r="U89" s="11">
        <v>0</v>
      </c>
      <c r="V89" s="11">
        <v>0</v>
      </c>
      <c r="W89" s="11">
        <v>54</v>
      </c>
      <c r="X89" s="11">
        <v>0</v>
      </c>
      <c r="Y89" s="11">
        <v>0</v>
      </c>
      <c r="Z89" s="11">
        <v>54</v>
      </c>
    </row>
    <row r="90" spans="2:26" hidden="1" x14ac:dyDescent="0.2">
      <c r="B90" s="24" t="s">
        <v>40</v>
      </c>
      <c r="C90" s="11">
        <v>0</v>
      </c>
      <c r="D90" s="11">
        <v>0</v>
      </c>
      <c r="E90" s="11">
        <v>0</v>
      </c>
      <c r="F90" s="11">
        <v>0</v>
      </c>
      <c r="G90" s="11">
        <v>0</v>
      </c>
      <c r="H90" s="11">
        <v>0</v>
      </c>
      <c r="I90" s="11">
        <v>0</v>
      </c>
      <c r="J90" s="11">
        <v>0</v>
      </c>
      <c r="K90" s="11">
        <v>0</v>
      </c>
      <c r="L90" s="11">
        <v>0</v>
      </c>
      <c r="M90" s="11">
        <v>0</v>
      </c>
      <c r="N90" s="11">
        <v>0</v>
      </c>
      <c r="O90" s="11">
        <v>0</v>
      </c>
      <c r="P90" s="11">
        <v>41</v>
      </c>
      <c r="Q90" s="11">
        <v>0</v>
      </c>
      <c r="R90" s="11">
        <v>41</v>
      </c>
      <c r="S90" s="11">
        <v>69</v>
      </c>
      <c r="T90" s="11">
        <v>0</v>
      </c>
      <c r="U90" s="11">
        <v>0</v>
      </c>
      <c r="V90" s="11">
        <v>69</v>
      </c>
      <c r="W90" s="11">
        <v>51</v>
      </c>
      <c r="X90" s="11">
        <v>39</v>
      </c>
      <c r="Y90" s="11">
        <v>0</v>
      </c>
      <c r="Z90" s="11">
        <v>90</v>
      </c>
    </row>
    <row r="91" spans="2:26" hidden="1" x14ac:dyDescent="0.2">
      <c r="B91" s="24" t="s">
        <v>41</v>
      </c>
      <c r="C91" s="11">
        <v>0</v>
      </c>
      <c r="D91" s="11">
        <v>0</v>
      </c>
      <c r="E91" s="11">
        <v>0</v>
      </c>
      <c r="F91" s="11">
        <v>0</v>
      </c>
      <c r="G91" s="11">
        <v>0</v>
      </c>
      <c r="H91" s="11">
        <v>0</v>
      </c>
      <c r="I91" s="11">
        <v>24</v>
      </c>
      <c r="J91" s="11">
        <v>24</v>
      </c>
      <c r="K91" s="11">
        <v>0</v>
      </c>
      <c r="L91" s="11">
        <v>0</v>
      </c>
      <c r="M91" s="11">
        <v>0</v>
      </c>
      <c r="N91" s="11">
        <v>0</v>
      </c>
      <c r="O91" s="11">
        <v>0</v>
      </c>
      <c r="P91" s="11">
        <v>40</v>
      </c>
      <c r="Q91" s="11">
        <v>0</v>
      </c>
      <c r="R91" s="11">
        <v>40</v>
      </c>
      <c r="S91" s="11">
        <v>0</v>
      </c>
      <c r="T91" s="11">
        <v>0</v>
      </c>
      <c r="U91" s="11">
        <v>0</v>
      </c>
      <c r="V91" s="11">
        <v>0</v>
      </c>
      <c r="W91" s="11">
        <v>44</v>
      </c>
      <c r="X91" s="11">
        <v>50</v>
      </c>
      <c r="Y91" s="11">
        <v>0</v>
      </c>
      <c r="Z91" s="11">
        <v>94</v>
      </c>
    </row>
    <row r="92" spans="2:26" hidden="1" x14ac:dyDescent="0.2">
      <c r="B92" s="24" t="s">
        <v>42</v>
      </c>
      <c r="C92" s="11">
        <v>25</v>
      </c>
      <c r="D92" s="11">
        <v>0</v>
      </c>
      <c r="E92" s="11">
        <v>0</v>
      </c>
      <c r="F92" s="11">
        <v>25</v>
      </c>
      <c r="G92" s="11">
        <v>0</v>
      </c>
      <c r="H92" s="11">
        <v>0</v>
      </c>
      <c r="I92" s="11">
        <v>18</v>
      </c>
      <c r="J92" s="11">
        <v>18</v>
      </c>
      <c r="K92" s="11">
        <v>0</v>
      </c>
      <c r="L92" s="11">
        <v>0</v>
      </c>
      <c r="M92" s="11">
        <v>0</v>
      </c>
      <c r="N92" s="11">
        <v>0</v>
      </c>
      <c r="O92" s="11">
        <v>0</v>
      </c>
      <c r="P92" s="11">
        <v>0</v>
      </c>
      <c r="Q92" s="11">
        <v>28</v>
      </c>
      <c r="R92" s="11">
        <v>28</v>
      </c>
      <c r="S92" s="11">
        <v>0</v>
      </c>
      <c r="T92" s="11">
        <v>0</v>
      </c>
      <c r="U92" s="11">
        <v>0</v>
      </c>
      <c r="V92" s="11">
        <v>0</v>
      </c>
      <c r="W92" s="11">
        <v>70</v>
      </c>
      <c r="X92" s="11">
        <v>0</v>
      </c>
      <c r="Y92" s="11">
        <v>0</v>
      </c>
      <c r="Z92" s="11">
        <v>70</v>
      </c>
    </row>
    <row r="93" spans="2:26" hidden="1" x14ac:dyDescent="0.2">
      <c r="B93" s="24" t="s">
        <v>43</v>
      </c>
      <c r="C93" s="11">
        <v>32</v>
      </c>
      <c r="D93" s="11">
        <v>0</v>
      </c>
      <c r="E93" s="11">
        <v>25</v>
      </c>
      <c r="F93" s="11">
        <v>57</v>
      </c>
      <c r="G93" s="11">
        <v>0</v>
      </c>
      <c r="H93" s="11">
        <v>0</v>
      </c>
      <c r="I93" s="11">
        <v>0</v>
      </c>
      <c r="J93" s="11">
        <v>0</v>
      </c>
      <c r="K93" s="11">
        <v>24</v>
      </c>
      <c r="L93" s="11">
        <v>28</v>
      </c>
      <c r="M93" s="11">
        <v>0</v>
      </c>
      <c r="N93" s="11">
        <v>52</v>
      </c>
      <c r="O93" s="11">
        <v>0</v>
      </c>
      <c r="P93" s="11">
        <v>0</v>
      </c>
      <c r="Q93" s="11">
        <v>0</v>
      </c>
      <c r="R93" s="11">
        <v>0</v>
      </c>
      <c r="S93" s="11">
        <v>45</v>
      </c>
      <c r="T93" s="11">
        <v>0</v>
      </c>
      <c r="U93" s="11">
        <v>0</v>
      </c>
      <c r="V93" s="11">
        <v>45</v>
      </c>
      <c r="W93" s="11">
        <v>111</v>
      </c>
      <c r="X93" s="11">
        <v>39</v>
      </c>
      <c r="Y93" s="11">
        <v>0</v>
      </c>
      <c r="Z93" s="11">
        <v>150</v>
      </c>
    </row>
    <row r="94" spans="2:26" hidden="1" x14ac:dyDescent="0.2">
      <c r="B94" s="24" t="s">
        <v>44</v>
      </c>
      <c r="C94" s="11">
        <v>0</v>
      </c>
      <c r="D94" s="11">
        <v>27</v>
      </c>
      <c r="E94" s="11">
        <v>31</v>
      </c>
      <c r="F94" s="11">
        <v>58</v>
      </c>
      <c r="G94" s="11">
        <v>0</v>
      </c>
      <c r="H94" s="11">
        <v>0</v>
      </c>
      <c r="I94" s="11">
        <v>24</v>
      </c>
      <c r="J94" s="11">
        <v>24</v>
      </c>
      <c r="K94" s="11">
        <v>0</v>
      </c>
      <c r="L94" s="11">
        <v>23</v>
      </c>
      <c r="M94" s="11">
        <v>0</v>
      </c>
      <c r="N94" s="11">
        <v>23</v>
      </c>
      <c r="O94" s="11">
        <v>0</v>
      </c>
      <c r="P94" s="11">
        <v>31</v>
      </c>
      <c r="Q94" s="11">
        <v>0</v>
      </c>
      <c r="R94" s="11">
        <v>31</v>
      </c>
      <c r="S94" s="11">
        <v>0</v>
      </c>
      <c r="T94" s="11">
        <v>0</v>
      </c>
      <c r="U94" s="11">
        <v>0</v>
      </c>
      <c r="V94" s="11">
        <v>0</v>
      </c>
      <c r="W94" s="11">
        <v>0</v>
      </c>
      <c r="X94" s="11">
        <v>0</v>
      </c>
      <c r="Y94" s="11">
        <v>0</v>
      </c>
      <c r="Z94" s="11">
        <v>0</v>
      </c>
    </row>
    <row r="95" spans="2:26" hidden="1" x14ac:dyDescent="0.2">
      <c r="B95" s="24" t="s">
        <v>45</v>
      </c>
      <c r="C95" s="11">
        <v>0</v>
      </c>
      <c r="D95" s="11">
        <v>0</v>
      </c>
      <c r="E95" s="11">
        <v>0</v>
      </c>
      <c r="F95" s="11">
        <v>0</v>
      </c>
      <c r="G95" s="11">
        <v>0</v>
      </c>
      <c r="H95" s="11">
        <v>0</v>
      </c>
      <c r="I95" s="11">
        <v>0</v>
      </c>
      <c r="J95" s="11">
        <v>0</v>
      </c>
      <c r="K95" s="11">
        <v>0</v>
      </c>
      <c r="L95" s="11">
        <v>0</v>
      </c>
      <c r="M95" s="11">
        <v>0</v>
      </c>
      <c r="N95" s="11">
        <v>0</v>
      </c>
      <c r="O95" s="11">
        <v>0</v>
      </c>
      <c r="P95" s="11">
        <v>0</v>
      </c>
      <c r="Q95" s="11">
        <v>0</v>
      </c>
      <c r="R95" s="11">
        <v>0</v>
      </c>
      <c r="S95" s="11">
        <v>0</v>
      </c>
      <c r="T95" s="11">
        <v>0</v>
      </c>
      <c r="U95" s="11">
        <v>0</v>
      </c>
      <c r="V95" s="11">
        <v>0</v>
      </c>
      <c r="W95" s="11">
        <v>0</v>
      </c>
      <c r="X95" s="11">
        <v>50</v>
      </c>
      <c r="Y95" s="11">
        <v>0</v>
      </c>
      <c r="Z95" s="11">
        <v>50</v>
      </c>
    </row>
    <row r="96" spans="2:26" hidden="1" x14ac:dyDescent="0.2">
      <c r="B96" s="24" t="s">
        <v>46</v>
      </c>
      <c r="C96" s="11">
        <v>0</v>
      </c>
      <c r="D96" s="11">
        <v>27</v>
      </c>
      <c r="E96" s="11">
        <v>0</v>
      </c>
      <c r="F96" s="11">
        <v>27</v>
      </c>
      <c r="G96" s="11">
        <v>0</v>
      </c>
      <c r="H96" s="11">
        <v>0</v>
      </c>
      <c r="I96" s="11">
        <v>0</v>
      </c>
      <c r="J96" s="11">
        <v>0</v>
      </c>
      <c r="K96" s="11">
        <v>0</v>
      </c>
      <c r="L96" s="11">
        <v>0</v>
      </c>
      <c r="M96" s="11">
        <v>0</v>
      </c>
      <c r="N96" s="11">
        <v>0</v>
      </c>
      <c r="O96" s="11">
        <v>0</v>
      </c>
      <c r="P96" s="11">
        <v>27</v>
      </c>
      <c r="Q96" s="11">
        <v>0</v>
      </c>
      <c r="R96" s="11">
        <v>27</v>
      </c>
      <c r="S96" s="11">
        <v>0</v>
      </c>
      <c r="T96" s="11">
        <v>0</v>
      </c>
      <c r="U96" s="11">
        <v>0</v>
      </c>
      <c r="V96" s="11">
        <v>0</v>
      </c>
      <c r="W96" s="11">
        <v>0</v>
      </c>
      <c r="X96" s="11">
        <v>58</v>
      </c>
      <c r="Y96" s="11">
        <v>0</v>
      </c>
      <c r="Z96" s="11">
        <v>58</v>
      </c>
    </row>
    <row r="97" spans="2:38" hidden="1" x14ac:dyDescent="0.2">
      <c r="B97" s="24" t="s">
        <v>7</v>
      </c>
      <c r="C97" s="11">
        <v>596</v>
      </c>
      <c r="D97" s="11">
        <v>530</v>
      </c>
      <c r="E97" s="11">
        <v>242</v>
      </c>
      <c r="F97" s="11">
        <v>1368</v>
      </c>
      <c r="G97" s="11">
        <v>138</v>
      </c>
      <c r="H97" s="11">
        <v>105</v>
      </c>
      <c r="I97" s="11">
        <v>762</v>
      </c>
      <c r="J97" s="11">
        <v>1005</v>
      </c>
      <c r="K97" s="11">
        <v>313</v>
      </c>
      <c r="L97" s="11">
        <v>290</v>
      </c>
      <c r="M97" s="11">
        <v>233</v>
      </c>
      <c r="N97" s="11">
        <v>836</v>
      </c>
      <c r="O97" s="11">
        <v>632</v>
      </c>
      <c r="P97" s="11">
        <v>364</v>
      </c>
      <c r="Q97" s="11">
        <v>238</v>
      </c>
      <c r="R97" s="11">
        <v>1234</v>
      </c>
      <c r="S97" s="11">
        <v>1310</v>
      </c>
      <c r="T97" s="11">
        <v>504</v>
      </c>
      <c r="U97" s="11">
        <v>241</v>
      </c>
      <c r="V97" s="11">
        <v>2055</v>
      </c>
      <c r="W97" s="11">
        <v>840</v>
      </c>
      <c r="X97" s="11">
        <v>992</v>
      </c>
      <c r="Y97" s="11">
        <v>376</v>
      </c>
      <c r="Z97" s="11">
        <v>2208</v>
      </c>
    </row>
    <row r="98" spans="2:38" x14ac:dyDescent="0.2">
      <c r="B98" s="24"/>
      <c r="C98" s="11"/>
      <c r="D98" s="11"/>
      <c r="E98" s="11"/>
      <c r="F98" s="11"/>
      <c r="G98" s="11"/>
    </row>
    <row r="99" spans="2:38" x14ac:dyDescent="0.2">
      <c r="B99" s="24"/>
      <c r="C99" s="11"/>
      <c r="D99" s="11"/>
      <c r="E99" s="11"/>
      <c r="F99" s="11"/>
      <c r="G99" s="11"/>
    </row>
    <row r="100" spans="2:38" x14ac:dyDescent="0.2">
      <c r="B100" s="24"/>
      <c r="C100" s="11"/>
      <c r="D100" s="11"/>
      <c r="E100" s="11"/>
      <c r="F100" s="11"/>
      <c r="G100" s="11"/>
    </row>
    <row r="101" spans="2:38" x14ac:dyDescent="0.2">
      <c r="B101" s="24"/>
      <c r="C101" s="11"/>
      <c r="D101" s="11"/>
      <c r="E101" s="11"/>
      <c r="F101" s="11"/>
      <c r="G101" s="11"/>
    </row>
    <row r="102" spans="2:38" x14ac:dyDescent="0.2">
      <c r="B102" s="145" t="s">
        <v>95</v>
      </c>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c r="AA102" s="146"/>
      <c r="AB102" s="146"/>
    </row>
    <row r="103" spans="2:38" x14ac:dyDescent="0.2">
      <c r="B103" s="147" t="s">
        <v>1</v>
      </c>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row>
    <row r="104" spans="2:38" x14ac:dyDescent="0.2">
      <c r="B104" s="2"/>
    </row>
    <row r="105" spans="2:38" x14ac:dyDescent="0.2">
      <c r="B105" s="145" t="s">
        <v>60</v>
      </c>
      <c r="C105" s="146"/>
      <c r="D105" s="146"/>
      <c r="E105" s="146"/>
      <c r="F105" s="146"/>
      <c r="G105" s="146"/>
      <c r="I105" s="145" t="s">
        <v>112</v>
      </c>
      <c r="J105" s="146"/>
      <c r="K105" s="146"/>
      <c r="L105" s="146"/>
      <c r="M105" s="146"/>
      <c r="N105" s="146"/>
      <c r="P105" s="145" t="s">
        <v>115</v>
      </c>
      <c r="Q105" s="146"/>
      <c r="R105" s="146"/>
      <c r="S105" s="146"/>
      <c r="T105" s="146"/>
      <c r="U105" s="146"/>
      <c r="W105" s="145" t="s">
        <v>116</v>
      </c>
      <c r="X105" s="146"/>
      <c r="Y105" s="146"/>
      <c r="Z105" s="146"/>
      <c r="AA105" s="146"/>
      <c r="AB105" s="146"/>
    </row>
    <row r="106" spans="2:38" x14ac:dyDescent="0.2">
      <c r="B106" s="3" t="s">
        <v>61</v>
      </c>
      <c r="C106" s="3" t="s">
        <v>117</v>
      </c>
      <c r="D106" s="3" t="s">
        <v>120</v>
      </c>
      <c r="E106" s="3" t="s">
        <v>51</v>
      </c>
      <c r="F106" s="3" t="s">
        <v>118</v>
      </c>
      <c r="G106" s="3" t="s">
        <v>119</v>
      </c>
      <c r="I106" s="3" t="s">
        <v>61</v>
      </c>
      <c r="J106" s="3" t="s">
        <v>121</v>
      </c>
      <c r="K106" s="3" t="s">
        <v>124</v>
      </c>
      <c r="L106" s="3" t="s">
        <v>51</v>
      </c>
      <c r="M106" s="3" t="s">
        <v>125</v>
      </c>
      <c r="N106" s="3" t="s">
        <v>126</v>
      </c>
      <c r="P106" s="3" t="s">
        <v>61</v>
      </c>
      <c r="Q106" s="3" t="s">
        <v>122</v>
      </c>
      <c r="R106" s="3" t="s">
        <v>127</v>
      </c>
      <c r="S106" s="3" t="s">
        <v>51</v>
      </c>
      <c r="T106" s="3" t="s">
        <v>125</v>
      </c>
      <c r="U106" s="3" t="s">
        <v>126</v>
      </c>
      <c r="W106" s="3" t="s">
        <v>61</v>
      </c>
      <c r="X106" s="3" t="s">
        <v>123</v>
      </c>
      <c r="Y106" s="3" t="s">
        <v>128</v>
      </c>
      <c r="Z106" s="3" t="s">
        <v>51</v>
      </c>
      <c r="AA106" s="3" t="s">
        <v>125</v>
      </c>
      <c r="AB106" s="3" t="s">
        <v>126</v>
      </c>
      <c r="AD106" s="3"/>
      <c r="AE106" s="3"/>
      <c r="AF106" s="3"/>
      <c r="AG106" s="3"/>
      <c r="AH106" s="3"/>
      <c r="AI106" s="3"/>
      <c r="AJ106" s="3"/>
      <c r="AK106" s="3"/>
      <c r="AL106" s="3"/>
    </row>
    <row r="107" spans="2:38" x14ac:dyDescent="0.2">
      <c r="B107" s="4" t="s">
        <v>54</v>
      </c>
      <c r="C107" s="20">
        <f t="shared" ref="C107:C150" si="0">GETPIVOTDATA("STOCK_LEVEL", $B$5, "PRODUCT", $B$103, "INVENTORY_DATE", B107 )</f>
        <v>0</v>
      </c>
      <c r="D107" s="20">
        <f>C108-Table25[[#This Row],[Stock Level  ]]</f>
        <v>600</v>
      </c>
      <c r="E107" s="20">
        <f>IFERROR(GETPIVOTDATA("QTY",$B$56,"PRODUCT_DESCRIPTION", $B$103, "SALES_ORDER_DATE",Table25[[#This Row],[Date]]), 0)</f>
        <v>0</v>
      </c>
      <c r="F107" s="20">
        <f>Table25[[#This Row],[Stock Change (t1-t0)]]+Table25[[#This Row],[Sales]]</f>
        <v>600</v>
      </c>
      <c r="G107" s="18">
        <f>IF(Table25[[#This Row],[Purchase (Real)]]=0, 0, Table25[[#This Row],[Purchase (Real)]]+0)</f>
        <v>600</v>
      </c>
      <c r="I107" s="4" t="s">
        <v>54</v>
      </c>
      <c r="J107" s="20">
        <f t="shared" ref="J107:J150" si="1">GETPIVOTDATA("STOCK_LEVEL", $B$5, "PRODUCT", $B$103, "INVENTORY_DATE", I107, "STORAGE_LOCATION_ID", "North" )</f>
        <v>0</v>
      </c>
      <c r="K107" s="20">
        <f>J108-Table2529[[#This Row],[Stock Level  (North)]]</f>
        <v>0</v>
      </c>
      <c r="L107" s="20">
        <f>IFERROR(GETPIVOTDATA("QTY",$B$56,"PRODUCT_DESCRIPTION", $B$103, "SALES_ORDER_DATE",Table2529[[#This Row],[Date]], "AREA_NAME", "North"), 0)</f>
        <v>0</v>
      </c>
      <c r="M107" s="20">
        <f>Table2529[[#This Row],[Stock Change (t1-t0) (North)]]+Table2529[[#This Row],[Sales]]</f>
        <v>0</v>
      </c>
      <c r="N107" s="18">
        <f>IF(Table2529[[#This Row],[Regional Transfer (Real)]]=0, 0, Table2529[[#This Row],[Regional Transfer (Real)]]+Table2529[[#This Row],[Stock Level  (North)]])</f>
        <v>0</v>
      </c>
      <c r="P107" s="4" t="s">
        <v>54</v>
      </c>
      <c r="Q107" s="20">
        <f>GETPIVOTDATA("STOCK_LEVEL", $B$5, "PRODUCT", $B$103, "INVENTORY_DATE", P107, "STORAGE_LOCATION_ID", "South" )</f>
        <v>0</v>
      </c>
      <c r="R107" s="20">
        <f>Q108-Table252930[[#This Row],[Stock Level  (South)]]</f>
        <v>0</v>
      </c>
      <c r="S107" s="20">
        <f>IFERROR(GETPIVOTDATA("QTY",$B$56,"PRODUCT_DESCRIPTION", $B$103, "SALES_ORDER_DATE",Table252930[[#This Row],[Date]], "AREA_NAME", "South"), 0)</f>
        <v>0</v>
      </c>
      <c r="T107" s="20">
        <f>Table252930[[#This Row],[Stock Change (t1-t0) (South)]]+Table252930[[#This Row],[Sales]]</f>
        <v>0</v>
      </c>
      <c r="U107" s="18">
        <f>IF(Table252930[[#This Row],[Regional Transfer (Real)]]=0, 0, Table252930[[#This Row],[Regional Transfer (Real)]]+Table252930[[#This Row],[Stock Level  (South)]])</f>
        <v>0</v>
      </c>
      <c r="W107" s="4" t="s">
        <v>54</v>
      </c>
      <c r="X107" s="20">
        <f>GETPIVOTDATA("STOCK_LEVEL", $B$5, "PRODUCT", $B$103, "INVENTORY_DATE", W107, "STORAGE_LOCATION_ID", "West" )</f>
        <v>0</v>
      </c>
      <c r="Y107" s="20">
        <f>X108-Table25293032[[#This Row],[Stock Level  (West)]]</f>
        <v>0</v>
      </c>
      <c r="Z107" s="20">
        <f>IFERROR(GETPIVOTDATA("QTY",$B$56,"PRODUCT_DESCRIPTION", $B$103, "SALES_ORDER_DATE",Table25293032[[#This Row],[Date]], "AREA_NAME", "West"), 0)</f>
        <v>0</v>
      </c>
      <c r="AA107" s="20">
        <f>Table25293032[[#This Row],[Stock Change (t1-t0) (West)]]+Table25293032[[#This Row],[Sales]]</f>
        <v>0</v>
      </c>
      <c r="AB107" s="18">
        <f>IF(Table25293032[[#This Row],[Regional Transfer (Real)]]=0, 0, Table25293032[[#This Row],[Regional Transfer (Real)]]+Table25293032[[#This Row],[Stock Level  (West)]])</f>
        <v>0</v>
      </c>
      <c r="AD107" s="4"/>
      <c r="AE107" s="20"/>
      <c r="AF107" s="18"/>
      <c r="AG107" s="20"/>
      <c r="AH107" s="18"/>
      <c r="AI107" s="20"/>
      <c r="AJ107" s="18"/>
      <c r="AK107" s="20"/>
      <c r="AL107" s="18"/>
    </row>
    <row r="108" spans="2:38" x14ac:dyDescent="0.2">
      <c r="B108" s="4" t="s">
        <v>55</v>
      </c>
      <c r="C108" s="20">
        <f t="shared" si="0"/>
        <v>600</v>
      </c>
      <c r="D108" s="20">
        <f>C109-Table25[[#This Row],[Stock Level  ]]</f>
        <v>0</v>
      </c>
      <c r="E108" s="20">
        <f>IFERROR(GETPIVOTDATA("QTY",$B$56,"PRODUCT_DESCRIPTION", $B$103, "SALES_ORDER_DATE",Table25[[#This Row],[Date]]), 0)</f>
        <v>0</v>
      </c>
      <c r="F108" s="20">
        <f>Table25[[#This Row],[Stock Change (t1-t0)]]+Table25[[#This Row],[Sales]]</f>
        <v>0</v>
      </c>
      <c r="G108" s="18">
        <f>IF(Table25[[#This Row],[Purchase (Real)]]=0, 0, Table25[[#This Row],[Purchase (Real)]]+C107)</f>
        <v>0</v>
      </c>
      <c r="I108" s="4" t="s">
        <v>55</v>
      </c>
      <c r="J108" s="20">
        <f t="shared" si="1"/>
        <v>0</v>
      </c>
      <c r="K108" s="20">
        <f>J109-Table2529[[#This Row],[Stock Level  (North)]]</f>
        <v>100</v>
      </c>
      <c r="L108" s="20">
        <f>IFERROR(GETPIVOTDATA("QTY",$B$56,"PRODUCT_DESCRIPTION", $B$103, "SALES_ORDER_DATE",Table2529[[#This Row],[Date]], "AREA_NAME", "North"), 0)</f>
        <v>0</v>
      </c>
      <c r="M108" s="20">
        <f>Table2529[[#This Row],[Stock Change (t1-t0) (North)]]+Table2529[[#This Row],[Sales]]</f>
        <v>100</v>
      </c>
      <c r="N108" s="18">
        <f>IF(Table2529[[#This Row],[Regional Transfer (Real)]]=0, 0, Table2529[[#This Row],[Regional Transfer (Real)]]+Table2529[[#This Row],[Stock Level  (North)]])</f>
        <v>100</v>
      </c>
      <c r="P108" s="4" t="s">
        <v>55</v>
      </c>
      <c r="Q108" s="20">
        <f t="shared" ref="Q108:Q150" si="2">GETPIVOTDATA("STOCK_LEVEL", $B$5, "PRODUCT", $B$103, "INVENTORY_DATE", P108, "STORAGE_LOCATION_ID", "South" )</f>
        <v>0</v>
      </c>
      <c r="R108" s="20">
        <f>Q109-Table252930[[#This Row],[Stock Level  (South)]]</f>
        <v>100</v>
      </c>
      <c r="S108" s="20">
        <f>IFERROR(GETPIVOTDATA("QTY",$B$56,"PRODUCT_DESCRIPTION", $B$103, "SALES_ORDER_DATE",Table252930[[#This Row],[Date]], "AREA_NAME", "South"), 0)</f>
        <v>0</v>
      </c>
      <c r="T108" s="20">
        <f>Table252930[[#This Row],[Stock Change (t1-t0) (South)]]+Table252930[[#This Row],[Sales]]</f>
        <v>100</v>
      </c>
      <c r="U108" s="18">
        <f>IF(Table252930[[#This Row],[Regional Transfer (Real)]]=0, 0, Table252930[[#This Row],[Regional Transfer (Real)]]+Table252930[[#This Row],[Stock Level  (South)]])</f>
        <v>100</v>
      </c>
      <c r="W108" s="4" t="s">
        <v>55</v>
      </c>
      <c r="X108" s="20">
        <f t="shared" ref="X108:X150" si="3">GETPIVOTDATA("STOCK_LEVEL", $B$5, "PRODUCT", $B$103, "INVENTORY_DATE", W108, "STORAGE_LOCATION_ID", "West" )</f>
        <v>0</v>
      </c>
      <c r="Y108" s="20">
        <f>X109-Table25293032[[#This Row],[Stock Level  (West)]]</f>
        <v>100</v>
      </c>
      <c r="Z108" s="20">
        <f>IFERROR(GETPIVOTDATA("QTY",$B$56,"PRODUCT_DESCRIPTION", $B$103, "SALES_ORDER_DATE",Table25293032[[#This Row],[Date]], "AREA_NAME", "West"), 0)</f>
        <v>0</v>
      </c>
      <c r="AA108" s="20">
        <f>Table25293032[[#This Row],[Stock Change (t1-t0) (West)]]+Table25293032[[#This Row],[Sales]]</f>
        <v>100</v>
      </c>
      <c r="AB108" s="18">
        <f>IF(Table25293032[[#This Row],[Regional Transfer (Real)]]=0, 0, Table25293032[[#This Row],[Regional Transfer (Real)]]+Table25293032[[#This Row],[Stock Level  (West)]])</f>
        <v>100</v>
      </c>
      <c r="AD108" s="4"/>
      <c r="AE108" s="20"/>
      <c r="AF108" s="18"/>
      <c r="AG108" s="20"/>
      <c r="AH108" s="18"/>
      <c r="AI108" s="20"/>
      <c r="AJ108" s="18"/>
      <c r="AK108" s="20"/>
      <c r="AL108" s="18"/>
    </row>
    <row r="109" spans="2:38" x14ac:dyDescent="0.2">
      <c r="B109" s="4" t="s">
        <v>9</v>
      </c>
      <c r="C109" s="20">
        <f t="shared" si="0"/>
        <v>600</v>
      </c>
      <c r="D109" s="20">
        <f>C110-Table25[[#This Row],[Stock Level  ]]</f>
        <v>-100</v>
      </c>
      <c r="E109" s="20">
        <f>IFERROR(GETPIVOTDATA("QTY",$B$56,"PRODUCT_DESCRIPTION", $B$103, "SALES_ORDER_DATE",Table25[[#This Row],[Date]]), 0)</f>
        <v>100</v>
      </c>
      <c r="F109" s="20">
        <f>Table25[[#This Row],[Stock Change (t1-t0)]]+Table25[[#This Row],[Sales]]</f>
        <v>0</v>
      </c>
      <c r="G109" s="18">
        <f>IF(Table25[[#This Row],[Purchase (Real)]]=0, 0, Table25[[#This Row],[Purchase (Real)]]+C108)</f>
        <v>0</v>
      </c>
      <c r="I109" s="4" t="s">
        <v>9</v>
      </c>
      <c r="J109" s="20">
        <f t="shared" si="1"/>
        <v>100</v>
      </c>
      <c r="K109" s="20">
        <f>J110-Table2529[[#This Row],[Stock Level  (North)]]</f>
        <v>-63</v>
      </c>
      <c r="L109" s="20">
        <f>IFERROR(GETPIVOTDATA("QTY",$B$56,"PRODUCT_DESCRIPTION", $B$103, "SALES_ORDER_DATE",Table2529[[#This Row],[Date]], "AREA_NAME", "North"), 0)</f>
        <v>63</v>
      </c>
      <c r="M109" s="20">
        <f>Table2529[[#This Row],[Stock Change (t1-t0) (North)]]+Table2529[[#This Row],[Sales]]</f>
        <v>0</v>
      </c>
      <c r="N109" s="18">
        <f>IF(Table2529[[#This Row],[Regional Transfer (Real)]]=0, 0, Table2529[[#This Row],[Regional Transfer (Real)]]+Table2529[[#This Row],[Stock Level  (North)]])</f>
        <v>0</v>
      </c>
      <c r="P109" s="4" t="s">
        <v>9</v>
      </c>
      <c r="Q109" s="20">
        <f t="shared" si="2"/>
        <v>100</v>
      </c>
      <c r="R109" s="20">
        <f>Q110-Table252930[[#This Row],[Stock Level  (South)]]</f>
        <v>-10</v>
      </c>
      <c r="S109" s="20">
        <f>IFERROR(GETPIVOTDATA("QTY",$B$56,"PRODUCT_DESCRIPTION", $B$103, "SALES_ORDER_DATE",Table252930[[#This Row],[Date]], "AREA_NAME", "South"), 0)</f>
        <v>10</v>
      </c>
      <c r="T109" s="20">
        <f>Table252930[[#This Row],[Stock Change (t1-t0) (South)]]+Table252930[[#This Row],[Sales]]</f>
        <v>0</v>
      </c>
      <c r="U109" s="18">
        <f>IF(Table252930[[#This Row],[Regional Transfer (Real)]]=0, 0, Table252930[[#This Row],[Regional Transfer (Real)]]+Table252930[[#This Row],[Stock Level  (South)]])</f>
        <v>0</v>
      </c>
      <c r="W109" s="4" t="s">
        <v>9</v>
      </c>
      <c r="X109" s="20">
        <f t="shared" si="3"/>
        <v>100</v>
      </c>
      <c r="Y109" s="20">
        <f>X110-Table25293032[[#This Row],[Stock Level  (West)]]</f>
        <v>-27</v>
      </c>
      <c r="Z109" s="20">
        <f>IFERROR(GETPIVOTDATA("QTY",$B$56,"PRODUCT_DESCRIPTION", $B$103, "SALES_ORDER_DATE",Table25293032[[#This Row],[Date]], "AREA_NAME", "West"), 0)</f>
        <v>27</v>
      </c>
      <c r="AA109" s="20">
        <f>Table25293032[[#This Row],[Stock Change (t1-t0) (West)]]+Table25293032[[#This Row],[Sales]]</f>
        <v>0</v>
      </c>
      <c r="AB109" s="18">
        <f>IF(Table25293032[[#This Row],[Regional Transfer (Real)]]=0, 0, Table25293032[[#This Row],[Regional Transfer (Real)]]+Table25293032[[#This Row],[Stock Level  (West)]])</f>
        <v>0</v>
      </c>
      <c r="AD109" s="4"/>
      <c r="AE109" s="20"/>
      <c r="AF109" s="18"/>
      <c r="AG109" s="20"/>
      <c r="AH109" s="18"/>
      <c r="AI109" s="20"/>
      <c r="AJ109" s="18"/>
      <c r="AK109" s="20"/>
      <c r="AL109" s="18"/>
    </row>
    <row r="110" spans="2:38" x14ac:dyDescent="0.2">
      <c r="B110" s="4" t="s">
        <v>10</v>
      </c>
      <c r="C110" s="20">
        <f t="shared" si="0"/>
        <v>500</v>
      </c>
      <c r="D110" s="20">
        <f>C111-Table25[[#This Row],[Stock Level  ]]</f>
        <v>-90</v>
      </c>
      <c r="E110" s="20">
        <f>IFERROR(GETPIVOTDATA("QTY",$B$56,"PRODUCT_DESCRIPTION", $B$103, "SALES_ORDER_DATE",Table25[[#This Row],[Date]]), 0)</f>
        <v>90</v>
      </c>
      <c r="F110" s="20">
        <f>Table25[[#This Row],[Stock Change (t1-t0)]]+Table25[[#This Row],[Sales]]</f>
        <v>0</v>
      </c>
      <c r="G110" s="18">
        <f>IF(Table25[[#This Row],[Purchase (Real)]]=0, 0, Table25[[#This Row],[Purchase (Real)]]+C109)</f>
        <v>0</v>
      </c>
      <c r="I110" s="4" t="s">
        <v>10</v>
      </c>
      <c r="J110" s="20">
        <f t="shared" si="1"/>
        <v>37</v>
      </c>
      <c r="K110" s="20">
        <f>J111-Table2529[[#This Row],[Stock Level  (North)]]</f>
        <v>-32</v>
      </c>
      <c r="L110" s="20">
        <f>IFERROR(GETPIVOTDATA("QTY",$B$56,"PRODUCT_DESCRIPTION", $B$103, "SALES_ORDER_DATE",Table2529[[#This Row],[Date]], "AREA_NAME", "North"), 0)</f>
        <v>32</v>
      </c>
      <c r="M110" s="20">
        <f>Table2529[[#This Row],[Stock Change (t1-t0) (North)]]+Table2529[[#This Row],[Sales]]</f>
        <v>0</v>
      </c>
      <c r="N110" s="18">
        <f>IF(Table2529[[#This Row],[Regional Transfer (Real)]]=0, 0, Table2529[[#This Row],[Regional Transfer (Real)]]+Table2529[[#This Row],[Stock Level  (North)]])</f>
        <v>0</v>
      </c>
      <c r="P110" s="4" t="s">
        <v>10</v>
      </c>
      <c r="Q110" s="20">
        <f t="shared" si="2"/>
        <v>90</v>
      </c>
      <c r="R110" s="20">
        <f>Q111-Table252930[[#This Row],[Stock Level  (South)]]</f>
        <v>-58</v>
      </c>
      <c r="S110" s="20">
        <f>IFERROR(GETPIVOTDATA("QTY",$B$56,"PRODUCT_DESCRIPTION", $B$103, "SALES_ORDER_DATE",Table252930[[#This Row],[Date]], "AREA_NAME", "South"), 0)</f>
        <v>58</v>
      </c>
      <c r="T110" s="20">
        <f>Table252930[[#This Row],[Stock Change (t1-t0) (South)]]+Table252930[[#This Row],[Sales]]</f>
        <v>0</v>
      </c>
      <c r="U110" s="18">
        <f>IF(Table252930[[#This Row],[Regional Transfer (Real)]]=0, 0, Table252930[[#This Row],[Regional Transfer (Real)]]+Table252930[[#This Row],[Stock Level  (South)]])</f>
        <v>0</v>
      </c>
      <c r="W110" s="4" t="s">
        <v>10</v>
      </c>
      <c r="X110" s="20">
        <f t="shared" si="3"/>
        <v>73</v>
      </c>
      <c r="Y110" s="20">
        <f>X111-Table25293032[[#This Row],[Stock Level  (West)]]</f>
        <v>0</v>
      </c>
      <c r="Z110" s="20">
        <f>IFERROR(GETPIVOTDATA("QTY",$B$56,"PRODUCT_DESCRIPTION", $B$103, "SALES_ORDER_DATE",Table25293032[[#This Row],[Date]], "AREA_NAME", "West"), 0)</f>
        <v>0</v>
      </c>
      <c r="AA110" s="20">
        <f>Table25293032[[#This Row],[Stock Change (t1-t0) (West)]]+Table25293032[[#This Row],[Sales]]</f>
        <v>0</v>
      </c>
      <c r="AB110" s="18">
        <f>IF(Table25293032[[#This Row],[Regional Transfer (Real)]]=0, 0, Table25293032[[#This Row],[Regional Transfer (Real)]]+Table25293032[[#This Row],[Stock Level  (West)]])</f>
        <v>0</v>
      </c>
      <c r="AD110" s="4"/>
      <c r="AE110" s="20"/>
      <c r="AF110" s="18"/>
      <c r="AG110" s="20"/>
      <c r="AH110" s="18"/>
      <c r="AI110" s="20"/>
      <c r="AJ110" s="18"/>
      <c r="AK110" s="20"/>
      <c r="AL110" s="18"/>
    </row>
    <row r="111" spans="2:38" x14ac:dyDescent="0.2">
      <c r="B111" s="4" t="s">
        <v>11</v>
      </c>
      <c r="C111" s="20">
        <f t="shared" si="0"/>
        <v>410</v>
      </c>
      <c r="D111" s="20">
        <f>C112-Table25[[#This Row],[Stock Level  ]]</f>
        <v>0</v>
      </c>
      <c r="E111" s="20">
        <f>IFERROR(GETPIVOTDATA("QTY",$B$56,"PRODUCT_DESCRIPTION", $B$103, "SALES_ORDER_DATE",Table25[[#This Row],[Date]]), 0)</f>
        <v>0</v>
      </c>
      <c r="F111" s="20">
        <f>Table25[[#This Row],[Stock Change (t1-t0)]]+Table25[[#This Row],[Sales]]</f>
        <v>0</v>
      </c>
      <c r="G111" s="18">
        <f>IF(Table25[[#This Row],[Purchase (Real)]]=0, 0, Table25[[#This Row],[Purchase (Real)]]+C110)</f>
        <v>0</v>
      </c>
      <c r="I111" s="4" t="s">
        <v>11</v>
      </c>
      <c r="J111" s="20">
        <f t="shared" si="1"/>
        <v>5</v>
      </c>
      <c r="K111" s="20">
        <f>J112-Table2529[[#This Row],[Stock Level  (North)]]</f>
        <v>95</v>
      </c>
      <c r="L111" s="20">
        <f>IFERROR(GETPIVOTDATA("QTY",$B$56,"PRODUCT_DESCRIPTION", $B$103, "SALES_ORDER_DATE",Table2529[[#This Row],[Date]], "AREA_NAME", "North"), 0)</f>
        <v>0</v>
      </c>
      <c r="M111" s="20">
        <f>Table2529[[#This Row],[Stock Change (t1-t0) (North)]]+Table2529[[#This Row],[Sales]]</f>
        <v>95</v>
      </c>
      <c r="N111" s="18">
        <f>IF(Table2529[[#This Row],[Regional Transfer (Real)]]=0, 0, Table2529[[#This Row],[Regional Transfer (Real)]]+Table2529[[#This Row],[Stock Level  (North)]])</f>
        <v>100</v>
      </c>
      <c r="P111" s="4" t="s">
        <v>11</v>
      </c>
      <c r="Q111" s="20">
        <f t="shared" si="2"/>
        <v>32</v>
      </c>
      <c r="R111" s="20">
        <f>Q112-Table252930[[#This Row],[Stock Level  (South)]]</f>
        <v>68</v>
      </c>
      <c r="S111" s="20">
        <f>IFERROR(GETPIVOTDATA("QTY",$B$56,"PRODUCT_DESCRIPTION", $B$103, "SALES_ORDER_DATE",Table252930[[#This Row],[Date]], "AREA_NAME", "South"), 0)</f>
        <v>0</v>
      </c>
      <c r="T111" s="20">
        <f>Table252930[[#This Row],[Stock Change (t1-t0) (South)]]+Table252930[[#This Row],[Sales]]</f>
        <v>68</v>
      </c>
      <c r="U111" s="18">
        <f>IF(Table252930[[#This Row],[Regional Transfer (Real)]]=0, 0, Table252930[[#This Row],[Regional Transfer (Real)]]+Table252930[[#This Row],[Stock Level  (South)]])</f>
        <v>100</v>
      </c>
      <c r="W111" s="4" t="s">
        <v>11</v>
      </c>
      <c r="X111" s="20">
        <f t="shared" si="3"/>
        <v>73</v>
      </c>
      <c r="Y111" s="20">
        <f>X112-Table25293032[[#This Row],[Stock Level  (West)]]</f>
        <v>27</v>
      </c>
      <c r="Z111" s="20">
        <f>IFERROR(GETPIVOTDATA("QTY",$B$56,"PRODUCT_DESCRIPTION", $B$103, "SALES_ORDER_DATE",Table25293032[[#This Row],[Date]], "AREA_NAME", "West"), 0)</f>
        <v>0</v>
      </c>
      <c r="AA111" s="20">
        <f>Table25293032[[#This Row],[Stock Change (t1-t0) (West)]]+Table25293032[[#This Row],[Sales]]</f>
        <v>27</v>
      </c>
      <c r="AB111" s="18">
        <f>IF(Table25293032[[#This Row],[Regional Transfer (Real)]]=0, 0, Table25293032[[#This Row],[Regional Transfer (Real)]]+Table25293032[[#This Row],[Stock Level  (West)]])</f>
        <v>100</v>
      </c>
      <c r="AD111" s="4"/>
      <c r="AE111" s="20"/>
      <c r="AF111" s="18"/>
      <c r="AG111" s="20"/>
      <c r="AH111" s="18"/>
      <c r="AI111" s="20"/>
      <c r="AJ111" s="18"/>
      <c r="AK111" s="20"/>
      <c r="AL111" s="18"/>
    </row>
    <row r="112" spans="2:38" x14ac:dyDescent="0.2">
      <c r="B112" s="4" t="s">
        <v>12</v>
      </c>
      <c r="C112" s="20">
        <f t="shared" si="0"/>
        <v>410</v>
      </c>
      <c r="D112" s="20">
        <f>C113-Table25[[#This Row],[Stock Level  ]]</f>
        <v>-31</v>
      </c>
      <c r="E112" s="20">
        <f>IFERROR(GETPIVOTDATA("QTY",$B$56,"PRODUCT_DESCRIPTION", $B$103, "SALES_ORDER_DATE",Table25[[#This Row],[Date]]), 0)</f>
        <v>31</v>
      </c>
      <c r="F112" s="20">
        <f>Table25[[#This Row],[Stock Change (t1-t0)]]+Table25[[#This Row],[Sales]]</f>
        <v>0</v>
      </c>
      <c r="G112" s="18">
        <f>IF(Table25[[#This Row],[Purchase (Real)]]=0, 0, Table25[[#This Row],[Purchase (Real)]]+C111)</f>
        <v>0</v>
      </c>
      <c r="I112" s="4" t="s">
        <v>12</v>
      </c>
      <c r="J112" s="20">
        <f t="shared" si="1"/>
        <v>100</v>
      </c>
      <c r="K112" s="20">
        <f>J113-Table2529[[#This Row],[Stock Level  (North)]]</f>
        <v>-31</v>
      </c>
      <c r="L112" s="20">
        <f>IFERROR(GETPIVOTDATA("QTY",$B$56,"PRODUCT_DESCRIPTION", $B$103, "SALES_ORDER_DATE",Table2529[[#This Row],[Date]], "AREA_NAME", "North"), 0)</f>
        <v>31</v>
      </c>
      <c r="M112" s="20">
        <f>Table2529[[#This Row],[Stock Change (t1-t0) (North)]]+Table2529[[#This Row],[Sales]]</f>
        <v>0</v>
      </c>
      <c r="N112" s="18">
        <f>IF(Table2529[[#This Row],[Regional Transfer (Real)]]=0, 0, Table2529[[#This Row],[Regional Transfer (Real)]]+Table2529[[#This Row],[Stock Level  (North)]])</f>
        <v>0</v>
      </c>
      <c r="P112" s="4" t="s">
        <v>12</v>
      </c>
      <c r="Q112" s="20">
        <f t="shared" si="2"/>
        <v>100</v>
      </c>
      <c r="R112" s="20">
        <f>Q113-Table252930[[#This Row],[Stock Level  (South)]]</f>
        <v>0</v>
      </c>
      <c r="S112" s="20">
        <f>IFERROR(GETPIVOTDATA("QTY",$B$56,"PRODUCT_DESCRIPTION", $B$103, "SALES_ORDER_DATE",Table252930[[#This Row],[Date]], "AREA_NAME", "South"), 0)</f>
        <v>0</v>
      </c>
      <c r="T112" s="20">
        <f>Table252930[[#This Row],[Stock Change (t1-t0) (South)]]+Table252930[[#This Row],[Sales]]</f>
        <v>0</v>
      </c>
      <c r="U112" s="18">
        <f>IF(Table252930[[#This Row],[Regional Transfer (Real)]]=0, 0, Table252930[[#This Row],[Regional Transfer (Real)]]+Table252930[[#This Row],[Stock Level  (South)]])</f>
        <v>0</v>
      </c>
      <c r="W112" s="4" t="s">
        <v>12</v>
      </c>
      <c r="X112" s="20">
        <f t="shared" si="3"/>
        <v>100</v>
      </c>
      <c r="Y112" s="20">
        <f>X113-Table25293032[[#This Row],[Stock Level  (West)]]</f>
        <v>0</v>
      </c>
      <c r="Z112" s="20">
        <f>IFERROR(GETPIVOTDATA("QTY",$B$56,"PRODUCT_DESCRIPTION", $B$103, "SALES_ORDER_DATE",Table25293032[[#This Row],[Date]], "AREA_NAME", "West"), 0)</f>
        <v>0</v>
      </c>
      <c r="AA112" s="20">
        <f>Table25293032[[#This Row],[Stock Change (t1-t0) (West)]]+Table25293032[[#This Row],[Sales]]</f>
        <v>0</v>
      </c>
      <c r="AB112" s="18">
        <f>IF(Table25293032[[#This Row],[Regional Transfer (Real)]]=0, 0, Table25293032[[#This Row],[Regional Transfer (Real)]]+Table25293032[[#This Row],[Stock Level  (West)]])</f>
        <v>0</v>
      </c>
      <c r="AD112" s="4"/>
      <c r="AE112" s="20"/>
      <c r="AF112" s="18"/>
      <c r="AG112" s="20"/>
      <c r="AH112" s="18"/>
      <c r="AI112" s="20"/>
      <c r="AJ112" s="18"/>
      <c r="AK112" s="20"/>
      <c r="AL112" s="18"/>
    </row>
    <row r="113" spans="2:38" x14ac:dyDescent="0.2">
      <c r="B113" s="4" t="s">
        <v>13</v>
      </c>
      <c r="C113" s="20">
        <f t="shared" si="0"/>
        <v>379</v>
      </c>
      <c r="D113" s="20">
        <f>C114-Table25[[#This Row],[Stock Level  ]]</f>
        <v>-89</v>
      </c>
      <c r="E113" s="20">
        <f>IFERROR(GETPIVOTDATA("QTY",$B$56,"PRODUCT_DESCRIPTION", $B$103, "SALES_ORDER_DATE",Table25[[#This Row],[Date]]), 0)</f>
        <v>89</v>
      </c>
      <c r="F113" s="20">
        <f>Table25[[#This Row],[Stock Change (t1-t0)]]+Table25[[#This Row],[Sales]]</f>
        <v>0</v>
      </c>
      <c r="G113" s="18">
        <f>IF(Table25[[#This Row],[Purchase (Real)]]=0, 0, Table25[[#This Row],[Purchase (Real)]]+C112)</f>
        <v>0</v>
      </c>
      <c r="I113" s="4" t="s">
        <v>13</v>
      </c>
      <c r="J113" s="20">
        <f t="shared" si="1"/>
        <v>69</v>
      </c>
      <c r="K113" s="20">
        <f>J114-Table2529[[#This Row],[Stock Level  (North)]]</f>
        <v>0</v>
      </c>
      <c r="L113" s="20">
        <f>IFERROR(GETPIVOTDATA("QTY",$B$56,"PRODUCT_DESCRIPTION", $B$103, "SALES_ORDER_DATE",Table2529[[#This Row],[Date]], "AREA_NAME", "North"), 0)</f>
        <v>0</v>
      </c>
      <c r="M113" s="20">
        <f>Table2529[[#This Row],[Stock Change (t1-t0) (North)]]+Table2529[[#This Row],[Sales]]</f>
        <v>0</v>
      </c>
      <c r="N113" s="18">
        <f>IF(Table2529[[#This Row],[Regional Transfer (Real)]]=0, 0, Table2529[[#This Row],[Regional Transfer (Real)]]+Table2529[[#This Row],[Stock Level  (North)]])</f>
        <v>0</v>
      </c>
      <c r="P113" s="4" t="s">
        <v>13</v>
      </c>
      <c r="Q113" s="20">
        <f t="shared" si="2"/>
        <v>100</v>
      </c>
      <c r="R113" s="20">
        <f>Q114-Table252930[[#This Row],[Stock Level  (South)]]</f>
        <v>-59</v>
      </c>
      <c r="S113" s="20">
        <f>IFERROR(GETPIVOTDATA("QTY",$B$56,"PRODUCT_DESCRIPTION", $B$103, "SALES_ORDER_DATE",Table252930[[#This Row],[Date]], "AREA_NAME", "South"), 0)</f>
        <v>59</v>
      </c>
      <c r="T113" s="20">
        <f>Table252930[[#This Row],[Stock Change (t1-t0) (South)]]+Table252930[[#This Row],[Sales]]</f>
        <v>0</v>
      </c>
      <c r="U113" s="18">
        <f>IF(Table252930[[#This Row],[Regional Transfer (Real)]]=0, 0, Table252930[[#This Row],[Regional Transfer (Real)]]+Table252930[[#This Row],[Stock Level  (South)]])</f>
        <v>0</v>
      </c>
      <c r="W113" s="4" t="s">
        <v>13</v>
      </c>
      <c r="X113" s="20">
        <f t="shared" si="3"/>
        <v>100</v>
      </c>
      <c r="Y113" s="20">
        <f>X114-Table25293032[[#This Row],[Stock Level  (West)]]</f>
        <v>-30</v>
      </c>
      <c r="Z113" s="20">
        <f>IFERROR(GETPIVOTDATA("QTY",$B$56,"PRODUCT_DESCRIPTION", $B$103, "SALES_ORDER_DATE",Table25293032[[#This Row],[Date]], "AREA_NAME", "West"), 0)</f>
        <v>30</v>
      </c>
      <c r="AA113" s="20">
        <f>Table25293032[[#This Row],[Stock Change (t1-t0) (West)]]+Table25293032[[#This Row],[Sales]]</f>
        <v>0</v>
      </c>
      <c r="AB113" s="18">
        <f>IF(Table25293032[[#This Row],[Regional Transfer (Real)]]=0, 0, Table25293032[[#This Row],[Regional Transfer (Real)]]+Table25293032[[#This Row],[Stock Level  (West)]])</f>
        <v>0</v>
      </c>
      <c r="AD113" s="4"/>
      <c r="AE113" s="20"/>
      <c r="AF113" s="18"/>
      <c r="AG113" s="20"/>
      <c r="AH113" s="18"/>
      <c r="AI113" s="20"/>
      <c r="AJ113" s="18"/>
      <c r="AK113" s="20"/>
      <c r="AL113" s="18"/>
    </row>
    <row r="114" spans="2:38" x14ac:dyDescent="0.2">
      <c r="B114" s="4" t="s">
        <v>14</v>
      </c>
      <c r="C114" s="20">
        <f t="shared" si="0"/>
        <v>290</v>
      </c>
      <c r="D114" s="20">
        <f>C115-Table25[[#This Row],[Stock Level  ]]</f>
        <v>-58</v>
      </c>
      <c r="E114" s="20">
        <f>IFERROR(GETPIVOTDATA("QTY",$B$56,"PRODUCT_DESCRIPTION", $B$103, "SALES_ORDER_DATE",Table25[[#This Row],[Date]]), 0)</f>
        <v>58</v>
      </c>
      <c r="F114" s="20">
        <f>Table25[[#This Row],[Stock Change (t1-t0)]]+Table25[[#This Row],[Sales]]</f>
        <v>0</v>
      </c>
      <c r="G114" s="18">
        <f>IF(Table25[[#This Row],[Purchase (Real)]]=0, 0, Table25[[#This Row],[Purchase (Real)]]+C113)</f>
        <v>0</v>
      </c>
      <c r="I114" s="4" t="s">
        <v>14</v>
      </c>
      <c r="J114" s="20">
        <f t="shared" si="1"/>
        <v>69</v>
      </c>
      <c r="K114" s="20">
        <f>J115-Table2529[[#This Row],[Stock Level  (North)]]</f>
        <v>-2</v>
      </c>
      <c r="L114" s="20">
        <f>IFERROR(GETPIVOTDATA("QTY",$B$56,"PRODUCT_DESCRIPTION", $B$103, "SALES_ORDER_DATE",Table2529[[#This Row],[Date]], "AREA_NAME", "North"), 0)</f>
        <v>31</v>
      </c>
      <c r="M114" s="20">
        <f>Table2529[[#This Row],[Stock Change (t1-t0) (North)]]+Table2529[[#This Row],[Sales]]</f>
        <v>29</v>
      </c>
      <c r="N114" s="18">
        <f>IF(Table2529[[#This Row],[Regional Transfer (Real)]]=0, 0, Table2529[[#This Row],[Regional Transfer (Real)]]+Table2529[[#This Row],[Stock Level  (North)]])</f>
        <v>98</v>
      </c>
      <c r="P114" s="4" t="s">
        <v>14</v>
      </c>
      <c r="Q114" s="20">
        <f t="shared" si="2"/>
        <v>41</v>
      </c>
      <c r="R114" s="20">
        <f>Q115-Table252930[[#This Row],[Stock Level  (South)]]</f>
        <v>54</v>
      </c>
      <c r="S114" s="20">
        <f>IFERROR(GETPIVOTDATA("QTY",$B$56,"PRODUCT_DESCRIPTION", $B$103, "SALES_ORDER_DATE",Table252930[[#This Row],[Date]], "AREA_NAME", "South"), 0)</f>
        <v>0</v>
      </c>
      <c r="T114" s="20">
        <f>Table252930[[#This Row],[Stock Change (t1-t0) (South)]]+Table252930[[#This Row],[Sales]]</f>
        <v>54</v>
      </c>
      <c r="U114" s="18">
        <f>IF(Table252930[[#This Row],[Regional Transfer (Real)]]=0, 0, Table252930[[#This Row],[Regional Transfer (Real)]]+Table252930[[#This Row],[Stock Level  (South)]])</f>
        <v>95</v>
      </c>
      <c r="W114" s="4" t="s">
        <v>14</v>
      </c>
      <c r="X114" s="20">
        <f t="shared" si="3"/>
        <v>70</v>
      </c>
      <c r="Y114" s="20">
        <f>X115-Table25293032[[#This Row],[Stock Level  (West)]]</f>
        <v>0</v>
      </c>
      <c r="Z114" s="20">
        <f>IFERROR(GETPIVOTDATA("QTY",$B$56,"PRODUCT_DESCRIPTION", $B$103, "SALES_ORDER_DATE",Table25293032[[#This Row],[Date]], "AREA_NAME", "West"), 0)</f>
        <v>27</v>
      </c>
      <c r="AA114" s="20">
        <f>Table25293032[[#This Row],[Stock Change (t1-t0) (West)]]+Table25293032[[#This Row],[Sales]]</f>
        <v>27</v>
      </c>
      <c r="AB114" s="18">
        <f>IF(Table25293032[[#This Row],[Regional Transfer (Real)]]=0, 0, Table25293032[[#This Row],[Regional Transfer (Real)]]+Table25293032[[#This Row],[Stock Level  (West)]])</f>
        <v>97</v>
      </c>
      <c r="AD114" s="4"/>
      <c r="AE114" s="20"/>
      <c r="AF114" s="18"/>
      <c r="AG114" s="20"/>
      <c r="AH114" s="18"/>
      <c r="AI114" s="20"/>
      <c r="AJ114" s="18"/>
      <c r="AK114" s="20"/>
      <c r="AL114" s="18"/>
    </row>
    <row r="115" spans="2:38" x14ac:dyDescent="0.2">
      <c r="B115" s="4" t="s">
        <v>15</v>
      </c>
      <c r="C115" s="20">
        <f t="shared" si="0"/>
        <v>232</v>
      </c>
      <c r="D115" s="20">
        <f>C116-Table25[[#This Row],[Stock Level  ]]</f>
        <v>-55</v>
      </c>
      <c r="E115" s="20">
        <f>IFERROR(GETPIVOTDATA("QTY",$B$56,"PRODUCT_DESCRIPTION", $B$103, "SALES_ORDER_DATE",Table25[[#This Row],[Date]]), 0)</f>
        <v>55</v>
      </c>
      <c r="F115" s="20">
        <f>Table25[[#This Row],[Stock Change (t1-t0)]]+Table25[[#This Row],[Sales]]</f>
        <v>0</v>
      </c>
      <c r="G115" s="18">
        <f>IF(Table25[[#This Row],[Purchase (Real)]]=0, 0, Table25[[#This Row],[Purchase (Real)]]+C114)</f>
        <v>0</v>
      </c>
      <c r="I115" s="4" t="s">
        <v>15</v>
      </c>
      <c r="J115" s="20">
        <f t="shared" si="1"/>
        <v>67</v>
      </c>
      <c r="K115" s="20">
        <f>J116-Table2529[[#This Row],[Stock Level  (North)]]</f>
        <v>-31</v>
      </c>
      <c r="L115" s="20">
        <f>IFERROR(GETPIVOTDATA("QTY",$B$56,"PRODUCT_DESCRIPTION", $B$103, "SALES_ORDER_DATE",Table2529[[#This Row],[Date]], "AREA_NAME", "North"), 0)</f>
        <v>31</v>
      </c>
      <c r="M115" s="20">
        <f>Table2529[[#This Row],[Stock Change (t1-t0) (North)]]+Table2529[[#This Row],[Sales]]</f>
        <v>0</v>
      </c>
      <c r="N115" s="18">
        <f>IF(Table2529[[#This Row],[Regional Transfer (Real)]]=0, 0, Table2529[[#This Row],[Regional Transfer (Real)]]+Table2529[[#This Row],[Stock Level  (North)]])</f>
        <v>0</v>
      </c>
      <c r="P115" s="4" t="s">
        <v>15</v>
      </c>
      <c r="Q115" s="20">
        <f t="shared" si="2"/>
        <v>95</v>
      </c>
      <c r="R115" s="20">
        <f>Q116-Table252930[[#This Row],[Stock Level  (South)]]</f>
        <v>-24</v>
      </c>
      <c r="S115" s="20">
        <f>IFERROR(GETPIVOTDATA("QTY",$B$56,"PRODUCT_DESCRIPTION", $B$103, "SALES_ORDER_DATE",Table252930[[#This Row],[Date]], "AREA_NAME", "South"), 0)</f>
        <v>24</v>
      </c>
      <c r="T115" s="20">
        <f>Table252930[[#This Row],[Stock Change (t1-t0) (South)]]+Table252930[[#This Row],[Sales]]</f>
        <v>0</v>
      </c>
      <c r="U115" s="18">
        <f>IF(Table252930[[#This Row],[Regional Transfer (Real)]]=0, 0, Table252930[[#This Row],[Regional Transfer (Real)]]+Table252930[[#This Row],[Stock Level  (South)]])</f>
        <v>0</v>
      </c>
      <c r="W115" s="4" t="s">
        <v>15</v>
      </c>
      <c r="X115" s="20">
        <f t="shared" si="3"/>
        <v>70</v>
      </c>
      <c r="Y115" s="20">
        <f>X116-Table25293032[[#This Row],[Stock Level  (West)]]</f>
        <v>0</v>
      </c>
      <c r="Z115" s="20">
        <f>IFERROR(GETPIVOTDATA("QTY",$B$56,"PRODUCT_DESCRIPTION", $B$103, "SALES_ORDER_DATE",Table25293032[[#This Row],[Date]], "AREA_NAME", "West"), 0)</f>
        <v>0</v>
      </c>
      <c r="AA115" s="20">
        <f>Table25293032[[#This Row],[Stock Change (t1-t0) (West)]]+Table25293032[[#This Row],[Sales]]</f>
        <v>0</v>
      </c>
      <c r="AB115" s="18">
        <f>IF(Table25293032[[#This Row],[Regional Transfer (Real)]]=0, 0, Table25293032[[#This Row],[Regional Transfer (Real)]]+Table25293032[[#This Row],[Stock Level  (West)]])</f>
        <v>0</v>
      </c>
      <c r="AD115" s="4"/>
      <c r="AE115" s="20"/>
      <c r="AF115" s="18"/>
      <c r="AG115" s="20"/>
      <c r="AH115" s="18"/>
      <c r="AI115" s="20"/>
      <c r="AJ115" s="18"/>
      <c r="AK115" s="20"/>
      <c r="AL115" s="18"/>
    </row>
    <row r="116" spans="2:38" x14ac:dyDescent="0.2">
      <c r="B116" s="4" t="s">
        <v>16</v>
      </c>
      <c r="C116" s="20">
        <f t="shared" si="0"/>
        <v>177</v>
      </c>
      <c r="D116" s="20">
        <f>C117-Table25[[#This Row],[Stock Level  ]]</f>
        <v>-24</v>
      </c>
      <c r="E116" s="20">
        <f>IFERROR(GETPIVOTDATA("QTY",$B$56,"PRODUCT_DESCRIPTION", $B$103, "SALES_ORDER_DATE",Table25[[#This Row],[Date]]), 0)</f>
        <v>24</v>
      </c>
      <c r="F116" s="20">
        <f>Table25[[#This Row],[Stock Change (t1-t0)]]+Table25[[#This Row],[Sales]]</f>
        <v>0</v>
      </c>
      <c r="G116" s="18">
        <f>IF(Table25[[#This Row],[Purchase (Real)]]=0, 0, Table25[[#This Row],[Purchase (Real)]]+C115)</f>
        <v>0</v>
      </c>
      <c r="I116" s="4" t="s">
        <v>16</v>
      </c>
      <c r="J116" s="20">
        <f t="shared" si="1"/>
        <v>36</v>
      </c>
      <c r="K116" s="20">
        <f>J117-Table2529[[#This Row],[Stock Level  (North)]]</f>
        <v>0</v>
      </c>
      <c r="L116" s="20">
        <f>IFERROR(GETPIVOTDATA("QTY",$B$56,"PRODUCT_DESCRIPTION", $B$103, "SALES_ORDER_DATE",Table2529[[#This Row],[Date]], "AREA_NAME", "North"), 0)</f>
        <v>0</v>
      </c>
      <c r="M116" s="20">
        <f>Table2529[[#This Row],[Stock Change (t1-t0) (North)]]+Table2529[[#This Row],[Sales]]</f>
        <v>0</v>
      </c>
      <c r="N116" s="18">
        <f>IF(Table2529[[#This Row],[Regional Transfer (Real)]]=0, 0, Table2529[[#This Row],[Regional Transfer (Real)]]+Table2529[[#This Row],[Stock Level  (North)]])</f>
        <v>0</v>
      </c>
      <c r="P116" s="4" t="s">
        <v>16</v>
      </c>
      <c r="Q116" s="20">
        <f t="shared" si="2"/>
        <v>71</v>
      </c>
      <c r="R116" s="20">
        <f>Q117-Table252930[[#This Row],[Stock Level  (South)]]</f>
        <v>-24</v>
      </c>
      <c r="S116" s="20">
        <f>IFERROR(GETPIVOTDATA("QTY",$B$56,"PRODUCT_DESCRIPTION", $B$103, "SALES_ORDER_DATE",Table252930[[#This Row],[Date]], "AREA_NAME", "South"), 0)</f>
        <v>24</v>
      </c>
      <c r="T116" s="20">
        <f>Table252930[[#This Row],[Stock Change (t1-t0) (South)]]+Table252930[[#This Row],[Sales]]</f>
        <v>0</v>
      </c>
      <c r="U116" s="18">
        <f>IF(Table252930[[#This Row],[Regional Transfer (Real)]]=0, 0, Table252930[[#This Row],[Regional Transfer (Real)]]+Table252930[[#This Row],[Stock Level  (South)]])</f>
        <v>0</v>
      </c>
      <c r="W116" s="4" t="s">
        <v>16</v>
      </c>
      <c r="X116" s="20">
        <f t="shared" si="3"/>
        <v>70</v>
      </c>
      <c r="Y116" s="20">
        <f>X117-Table25293032[[#This Row],[Stock Level  (West)]]</f>
        <v>0</v>
      </c>
      <c r="Z116" s="20">
        <f>IFERROR(GETPIVOTDATA("QTY",$B$56,"PRODUCT_DESCRIPTION", $B$103, "SALES_ORDER_DATE",Table25293032[[#This Row],[Date]], "AREA_NAME", "West"), 0)</f>
        <v>0</v>
      </c>
      <c r="AA116" s="20">
        <f>Table25293032[[#This Row],[Stock Change (t1-t0) (West)]]+Table25293032[[#This Row],[Sales]]</f>
        <v>0</v>
      </c>
      <c r="AB116" s="18">
        <f>IF(Table25293032[[#This Row],[Regional Transfer (Real)]]=0, 0, Table25293032[[#This Row],[Regional Transfer (Real)]]+Table25293032[[#This Row],[Stock Level  (West)]])</f>
        <v>0</v>
      </c>
      <c r="AD116" s="4"/>
      <c r="AE116" s="20"/>
      <c r="AF116" s="18"/>
      <c r="AG116" s="20"/>
      <c r="AH116" s="18"/>
      <c r="AI116" s="20"/>
      <c r="AJ116" s="18"/>
      <c r="AK116" s="20"/>
      <c r="AL116" s="18"/>
    </row>
    <row r="117" spans="2:38" x14ac:dyDescent="0.2">
      <c r="B117" s="4" t="s">
        <v>56</v>
      </c>
      <c r="C117" s="20">
        <f t="shared" si="0"/>
        <v>153</v>
      </c>
      <c r="D117" s="20">
        <f>C118-Table25[[#This Row],[Stock Level  ]]</f>
        <v>0</v>
      </c>
      <c r="E117" s="20">
        <f>IFERROR(GETPIVOTDATA("QTY",$B$56,"PRODUCT_DESCRIPTION", $B$103, "SALES_ORDER_DATE",Table25[[#This Row],[Date]]), 0)</f>
        <v>0</v>
      </c>
      <c r="F117" s="20">
        <f>Table25[[#This Row],[Stock Change (t1-t0)]]+Table25[[#This Row],[Sales]]</f>
        <v>0</v>
      </c>
      <c r="G117" s="18">
        <f>IF(Table25[[#This Row],[Purchase (Real)]]=0, 0, Table25[[#This Row],[Purchase (Real)]]+C116)</f>
        <v>0</v>
      </c>
      <c r="I117" s="4" t="s">
        <v>56</v>
      </c>
      <c r="J117" s="20">
        <f t="shared" si="1"/>
        <v>36</v>
      </c>
      <c r="K117" s="20">
        <f>J118-Table2529[[#This Row],[Stock Level  (North)]]</f>
        <v>0</v>
      </c>
      <c r="L117" s="20">
        <f>IFERROR(GETPIVOTDATA("QTY",$B$56,"PRODUCT_DESCRIPTION", $B$103, "SALES_ORDER_DATE",Table2529[[#This Row],[Date]], "AREA_NAME", "North"), 0)</f>
        <v>0</v>
      </c>
      <c r="M117" s="20">
        <f>Table2529[[#This Row],[Stock Change (t1-t0) (North)]]+Table2529[[#This Row],[Sales]]</f>
        <v>0</v>
      </c>
      <c r="N117" s="18">
        <f>IF(Table2529[[#This Row],[Regional Transfer (Real)]]=0, 0, Table2529[[#This Row],[Regional Transfer (Real)]]+Table2529[[#This Row],[Stock Level  (North)]])</f>
        <v>0</v>
      </c>
      <c r="P117" s="4" t="s">
        <v>56</v>
      </c>
      <c r="Q117" s="20">
        <f t="shared" si="2"/>
        <v>47</v>
      </c>
      <c r="R117" s="20">
        <f>Q118-Table252930[[#This Row],[Stock Level  (South)]]</f>
        <v>0</v>
      </c>
      <c r="S117" s="20">
        <f>IFERROR(GETPIVOTDATA("QTY",$B$56,"PRODUCT_DESCRIPTION", $B$103, "SALES_ORDER_DATE",Table252930[[#This Row],[Date]], "AREA_NAME", "South"), 0)</f>
        <v>0</v>
      </c>
      <c r="T117" s="20">
        <f>Table252930[[#This Row],[Stock Change (t1-t0) (South)]]+Table252930[[#This Row],[Sales]]</f>
        <v>0</v>
      </c>
      <c r="U117" s="18">
        <f>IF(Table252930[[#This Row],[Regional Transfer (Real)]]=0, 0, Table252930[[#This Row],[Regional Transfer (Real)]]+Table252930[[#This Row],[Stock Level  (South)]])</f>
        <v>0</v>
      </c>
      <c r="W117" s="4" t="s">
        <v>56</v>
      </c>
      <c r="X117" s="20">
        <f t="shared" si="3"/>
        <v>70</v>
      </c>
      <c r="Y117" s="20">
        <f>X118-Table25293032[[#This Row],[Stock Level  (West)]]</f>
        <v>0</v>
      </c>
      <c r="Z117" s="20">
        <f>IFERROR(GETPIVOTDATA("QTY",$B$56,"PRODUCT_DESCRIPTION", $B$103, "SALES_ORDER_DATE",Table25293032[[#This Row],[Date]], "AREA_NAME", "West"), 0)</f>
        <v>0</v>
      </c>
      <c r="AA117" s="20">
        <f>Table25293032[[#This Row],[Stock Change (t1-t0) (West)]]+Table25293032[[#This Row],[Sales]]</f>
        <v>0</v>
      </c>
      <c r="AB117" s="18">
        <f>IF(Table25293032[[#This Row],[Regional Transfer (Real)]]=0, 0, Table25293032[[#This Row],[Regional Transfer (Real)]]+Table25293032[[#This Row],[Stock Level  (West)]])</f>
        <v>0</v>
      </c>
      <c r="AD117" s="4"/>
      <c r="AE117" s="20"/>
      <c r="AF117" s="18"/>
      <c r="AG117" s="20"/>
      <c r="AH117" s="18"/>
      <c r="AI117" s="20"/>
      <c r="AJ117" s="18"/>
      <c r="AK117" s="20"/>
      <c r="AL117" s="18"/>
    </row>
    <row r="118" spans="2:38" x14ac:dyDescent="0.2">
      <c r="B118" s="4" t="s">
        <v>17</v>
      </c>
      <c r="C118" s="20">
        <f t="shared" si="0"/>
        <v>153</v>
      </c>
      <c r="D118" s="20">
        <f>C119-Table25[[#This Row],[Stock Level  ]]</f>
        <v>400</v>
      </c>
      <c r="E118" s="20">
        <f>IFERROR(GETPIVOTDATA("QTY",$B$56,"PRODUCT_DESCRIPTION", $B$103, "SALES_ORDER_DATE",Table25[[#This Row],[Date]]), 0)</f>
        <v>47</v>
      </c>
      <c r="F118" s="20">
        <f>Table25[[#This Row],[Stock Change (t1-t0)]]+Table25[[#This Row],[Sales]]</f>
        <v>447</v>
      </c>
      <c r="G118" s="18">
        <f>IF(Table25[[#This Row],[Purchase (Real)]]=0, 0, Table25[[#This Row],[Purchase (Real)]]+C117)</f>
        <v>600</v>
      </c>
      <c r="I118" s="4" t="s">
        <v>17</v>
      </c>
      <c r="J118" s="20">
        <f t="shared" si="1"/>
        <v>36</v>
      </c>
      <c r="K118" s="20">
        <f>J119-Table2529[[#This Row],[Stock Level  (North)]]</f>
        <v>-36</v>
      </c>
      <c r="L118" s="20">
        <f>IFERROR(GETPIVOTDATA("QTY",$B$56,"PRODUCT_DESCRIPTION", $B$103, "SALES_ORDER_DATE",Table2529[[#This Row],[Date]], "AREA_NAME", "North"), 0)</f>
        <v>36</v>
      </c>
      <c r="M118" s="20">
        <f>Table2529[[#This Row],[Stock Change (t1-t0) (North)]]+Table2529[[#This Row],[Sales]]</f>
        <v>0</v>
      </c>
      <c r="N118" s="18">
        <f>IF(Table2529[[#This Row],[Regional Transfer (Real)]]=0, 0, Table2529[[#This Row],[Regional Transfer (Real)]]+Table2529[[#This Row],[Stock Level  (North)]])</f>
        <v>0</v>
      </c>
      <c r="P118" s="4" t="s">
        <v>17</v>
      </c>
      <c r="Q118" s="20">
        <f t="shared" si="2"/>
        <v>47</v>
      </c>
      <c r="R118" s="20">
        <f>Q119-Table252930[[#This Row],[Stock Level  (South)]]</f>
        <v>-11</v>
      </c>
      <c r="S118" s="20">
        <f>IFERROR(GETPIVOTDATA("QTY",$B$56,"PRODUCT_DESCRIPTION", $B$103, "SALES_ORDER_DATE",Table252930[[#This Row],[Date]], "AREA_NAME", "South"), 0)</f>
        <v>11</v>
      </c>
      <c r="T118" s="20">
        <f>Table252930[[#This Row],[Stock Change (t1-t0) (South)]]+Table252930[[#This Row],[Sales]]</f>
        <v>0</v>
      </c>
      <c r="U118" s="18">
        <f>IF(Table252930[[#This Row],[Regional Transfer (Real)]]=0, 0, Table252930[[#This Row],[Regional Transfer (Real)]]+Table252930[[#This Row],[Stock Level  (South)]])</f>
        <v>0</v>
      </c>
      <c r="W118" s="4" t="s">
        <v>17</v>
      </c>
      <c r="X118" s="20">
        <f t="shared" si="3"/>
        <v>70</v>
      </c>
      <c r="Y118" s="20">
        <f>X119-Table25293032[[#This Row],[Stock Level  (West)]]</f>
        <v>0</v>
      </c>
      <c r="Z118" s="20">
        <f>IFERROR(GETPIVOTDATA("QTY",$B$56,"PRODUCT_DESCRIPTION", $B$103, "SALES_ORDER_DATE",Table25293032[[#This Row],[Date]], "AREA_NAME", "West"), 0)</f>
        <v>0</v>
      </c>
      <c r="AA118" s="20">
        <f>Table25293032[[#This Row],[Stock Change (t1-t0) (West)]]+Table25293032[[#This Row],[Sales]]</f>
        <v>0</v>
      </c>
      <c r="AB118" s="18">
        <f>IF(Table25293032[[#This Row],[Regional Transfer (Real)]]=0, 0, Table25293032[[#This Row],[Regional Transfer (Real)]]+Table25293032[[#This Row],[Stock Level  (West)]])</f>
        <v>0</v>
      </c>
      <c r="AD118" s="4"/>
      <c r="AE118" s="20"/>
      <c r="AF118" s="18"/>
      <c r="AG118" s="20"/>
      <c r="AH118" s="18"/>
      <c r="AI118" s="20"/>
      <c r="AJ118" s="18"/>
      <c r="AK118" s="20"/>
      <c r="AL118" s="18"/>
    </row>
    <row r="119" spans="2:38" x14ac:dyDescent="0.2">
      <c r="B119" s="4" t="s">
        <v>18</v>
      </c>
      <c r="C119" s="20">
        <f t="shared" si="0"/>
        <v>553</v>
      </c>
      <c r="D119" s="20">
        <f>C120-Table25[[#This Row],[Stock Level  ]]</f>
        <v>-24</v>
      </c>
      <c r="E119" s="20">
        <f>IFERROR(GETPIVOTDATA("QTY",$B$56,"PRODUCT_DESCRIPTION", $B$103, "SALES_ORDER_DATE",Table25[[#This Row],[Date]]), 0)</f>
        <v>24</v>
      </c>
      <c r="F119" s="20">
        <f>Table25[[#This Row],[Stock Change (t1-t0)]]+Table25[[#This Row],[Sales]]</f>
        <v>0</v>
      </c>
      <c r="G119" s="18">
        <f>IF(Table25[[#This Row],[Purchase (Real)]]=0, 0, Table25[[#This Row],[Purchase (Real)]]+C118)</f>
        <v>0</v>
      </c>
      <c r="I119" s="4" t="s">
        <v>18</v>
      </c>
      <c r="J119" s="20">
        <f t="shared" si="1"/>
        <v>0</v>
      </c>
      <c r="K119" s="20">
        <f>J120-Table2529[[#This Row],[Stock Level  (North)]]</f>
        <v>0</v>
      </c>
      <c r="L119" s="20">
        <f>IFERROR(GETPIVOTDATA("QTY",$B$56,"PRODUCT_DESCRIPTION", $B$103, "SALES_ORDER_DATE",Table2529[[#This Row],[Date]], "AREA_NAME", "North"), 0)</f>
        <v>0</v>
      </c>
      <c r="M119" s="20">
        <f>Table2529[[#This Row],[Stock Change (t1-t0) (North)]]+Table2529[[#This Row],[Sales]]</f>
        <v>0</v>
      </c>
      <c r="N119" s="18">
        <f>IF(Table2529[[#This Row],[Regional Transfer (Real)]]=0, 0, Table2529[[#This Row],[Regional Transfer (Real)]]+Table2529[[#This Row],[Stock Level  (North)]])</f>
        <v>0</v>
      </c>
      <c r="P119" s="4" t="s">
        <v>18</v>
      </c>
      <c r="Q119" s="20">
        <f t="shared" si="2"/>
        <v>36</v>
      </c>
      <c r="R119" s="20">
        <f>Q120-Table252930[[#This Row],[Stock Level  (South)]]</f>
        <v>-24</v>
      </c>
      <c r="S119" s="20">
        <f>IFERROR(GETPIVOTDATA("QTY",$B$56,"PRODUCT_DESCRIPTION", $B$103, "SALES_ORDER_DATE",Table252930[[#This Row],[Date]], "AREA_NAME", "South"), 0)</f>
        <v>24</v>
      </c>
      <c r="T119" s="20">
        <f>Table252930[[#This Row],[Stock Change (t1-t0) (South)]]+Table252930[[#This Row],[Sales]]</f>
        <v>0</v>
      </c>
      <c r="U119" s="18">
        <f>IF(Table252930[[#This Row],[Regional Transfer (Real)]]=0, 0, Table252930[[#This Row],[Regional Transfer (Real)]]+Table252930[[#This Row],[Stock Level  (South)]])</f>
        <v>0</v>
      </c>
      <c r="W119" s="4" t="s">
        <v>18</v>
      </c>
      <c r="X119" s="20">
        <f t="shared" si="3"/>
        <v>70</v>
      </c>
      <c r="Y119" s="20">
        <f>X120-Table25293032[[#This Row],[Stock Level  (West)]]</f>
        <v>0</v>
      </c>
      <c r="Z119" s="20">
        <f>IFERROR(GETPIVOTDATA("QTY",$B$56,"PRODUCT_DESCRIPTION", $B$103, "SALES_ORDER_DATE",Table25293032[[#This Row],[Date]], "AREA_NAME", "West"), 0)</f>
        <v>0</v>
      </c>
      <c r="AA119" s="20">
        <f>Table25293032[[#This Row],[Stock Change (t1-t0) (West)]]+Table25293032[[#This Row],[Sales]]</f>
        <v>0</v>
      </c>
      <c r="AB119" s="18">
        <f>IF(Table25293032[[#This Row],[Regional Transfer (Real)]]=0, 0, Table25293032[[#This Row],[Regional Transfer (Real)]]+Table25293032[[#This Row],[Stock Level  (West)]])</f>
        <v>0</v>
      </c>
      <c r="AD119" s="4"/>
      <c r="AE119" s="20"/>
      <c r="AF119" s="18"/>
      <c r="AG119" s="20"/>
      <c r="AH119" s="18"/>
      <c r="AI119" s="20"/>
      <c r="AJ119" s="18"/>
      <c r="AK119" s="20"/>
      <c r="AL119" s="18"/>
    </row>
    <row r="120" spans="2:38" x14ac:dyDescent="0.2">
      <c r="B120" s="4" t="s">
        <v>19</v>
      </c>
      <c r="C120" s="20">
        <f t="shared" si="0"/>
        <v>529</v>
      </c>
      <c r="D120" s="20">
        <f>C121-Table25[[#This Row],[Stock Level  ]]</f>
        <v>0</v>
      </c>
      <c r="E120" s="20">
        <f>IFERROR(GETPIVOTDATA("QTY",$B$56,"PRODUCT_DESCRIPTION", $B$103, "SALES_ORDER_DATE",Table25[[#This Row],[Date]]), 0)</f>
        <v>0</v>
      </c>
      <c r="F120" s="20">
        <f>Table25[[#This Row],[Stock Change (t1-t0)]]+Table25[[#This Row],[Sales]]</f>
        <v>0</v>
      </c>
      <c r="G120" s="18">
        <f>IF(Table25[[#This Row],[Purchase (Real)]]=0, 0, Table25[[#This Row],[Purchase (Real)]]+C119)</f>
        <v>0</v>
      </c>
      <c r="I120" s="4" t="s">
        <v>19</v>
      </c>
      <c r="J120" s="20">
        <f t="shared" si="1"/>
        <v>0</v>
      </c>
      <c r="K120" s="20">
        <f>J121-Table2529[[#This Row],[Stock Level  (North)]]</f>
        <v>0</v>
      </c>
      <c r="L120" s="20">
        <f>IFERROR(GETPIVOTDATA("QTY",$B$56,"PRODUCT_DESCRIPTION", $B$103, "SALES_ORDER_DATE",Table2529[[#This Row],[Date]], "AREA_NAME", "North"), 0)</f>
        <v>0</v>
      </c>
      <c r="M120" s="20">
        <f>Table2529[[#This Row],[Stock Change (t1-t0) (North)]]+Table2529[[#This Row],[Sales]]</f>
        <v>0</v>
      </c>
      <c r="N120" s="18">
        <f>IF(Table2529[[#This Row],[Regional Transfer (Real)]]=0, 0, Table2529[[#This Row],[Regional Transfer (Real)]]+Table2529[[#This Row],[Stock Level  (North)]])</f>
        <v>0</v>
      </c>
      <c r="P120" s="4" t="s">
        <v>19</v>
      </c>
      <c r="Q120" s="20">
        <f t="shared" si="2"/>
        <v>12</v>
      </c>
      <c r="R120" s="20">
        <f>Q121-Table252930[[#This Row],[Stock Level  (South)]]</f>
        <v>0</v>
      </c>
      <c r="S120" s="20">
        <f>IFERROR(GETPIVOTDATA("QTY",$B$56,"PRODUCT_DESCRIPTION", $B$103, "SALES_ORDER_DATE",Table252930[[#This Row],[Date]], "AREA_NAME", "South"), 0)</f>
        <v>0</v>
      </c>
      <c r="T120" s="20">
        <f>Table252930[[#This Row],[Stock Change (t1-t0) (South)]]+Table252930[[#This Row],[Sales]]</f>
        <v>0</v>
      </c>
      <c r="U120" s="18">
        <f>IF(Table252930[[#This Row],[Regional Transfer (Real)]]=0, 0, Table252930[[#This Row],[Regional Transfer (Real)]]+Table252930[[#This Row],[Stock Level  (South)]])</f>
        <v>0</v>
      </c>
      <c r="W120" s="4" t="s">
        <v>19</v>
      </c>
      <c r="X120" s="20">
        <f t="shared" si="3"/>
        <v>70</v>
      </c>
      <c r="Y120" s="20">
        <f>X121-Table25293032[[#This Row],[Stock Level  (West)]]</f>
        <v>0</v>
      </c>
      <c r="Z120" s="20">
        <f>IFERROR(GETPIVOTDATA("QTY",$B$56,"PRODUCT_DESCRIPTION", $B$103, "SALES_ORDER_DATE",Table25293032[[#This Row],[Date]], "AREA_NAME", "West"), 0)</f>
        <v>0</v>
      </c>
      <c r="AA120" s="20">
        <f>Table25293032[[#This Row],[Stock Change (t1-t0) (West)]]+Table25293032[[#This Row],[Sales]]</f>
        <v>0</v>
      </c>
      <c r="AB120" s="18">
        <f>IF(Table25293032[[#This Row],[Regional Transfer (Real)]]=0, 0, Table25293032[[#This Row],[Regional Transfer (Real)]]+Table25293032[[#This Row],[Stock Level  (West)]])</f>
        <v>0</v>
      </c>
      <c r="AD120" s="4"/>
      <c r="AE120" s="20"/>
      <c r="AF120" s="18"/>
      <c r="AG120" s="20"/>
      <c r="AH120" s="18"/>
      <c r="AI120" s="20"/>
      <c r="AJ120" s="18"/>
      <c r="AK120" s="20"/>
      <c r="AL120" s="18"/>
    </row>
    <row r="121" spans="2:38" x14ac:dyDescent="0.2">
      <c r="B121" s="4" t="s">
        <v>20</v>
      </c>
      <c r="C121" s="20">
        <f t="shared" si="0"/>
        <v>529</v>
      </c>
      <c r="D121" s="20">
        <f>C122-Table25[[#This Row],[Stock Level  ]]</f>
        <v>0</v>
      </c>
      <c r="E121" s="20">
        <f>IFERROR(GETPIVOTDATA("QTY",$B$56,"PRODUCT_DESCRIPTION", $B$103, "SALES_ORDER_DATE",Table25[[#This Row],[Date]]), 0)</f>
        <v>0</v>
      </c>
      <c r="F121" s="20">
        <f>Table25[[#This Row],[Stock Change (t1-t0)]]+Table25[[#This Row],[Sales]]</f>
        <v>0</v>
      </c>
      <c r="G121" s="18">
        <f>IF(Table25[[#This Row],[Purchase (Real)]]=0, 0, Table25[[#This Row],[Purchase (Real)]]+C120)</f>
        <v>0</v>
      </c>
      <c r="I121" s="4" t="s">
        <v>20</v>
      </c>
      <c r="J121" s="20">
        <f t="shared" si="1"/>
        <v>0</v>
      </c>
      <c r="K121" s="20">
        <f>J122-Table2529[[#This Row],[Stock Level  (North)]]</f>
        <v>100</v>
      </c>
      <c r="L121" s="20">
        <f>IFERROR(GETPIVOTDATA("QTY",$B$56,"PRODUCT_DESCRIPTION", $B$103, "SALES_ORDER_DATE",Table2529[[#This Row],[Date]], "AREA_NAME", "North"), 0)</f>
        <v>0</v>
      </c>
      <c r="M121" s="20">
        <f>Table2529[[#This Row],[Stock Change (t1-t0) (North)]]+Table2529[[#This Row],[Sales]]</f>
        <v>100</v>
      </c>
      <c r="N121" s="18">
        <f>IF(Table2529[[#This Row],[Regional Transfer (Real)]]=0, 0, Table2529[[#This Row],[Regional Transfer (Real)]]+Table2529[[#This Row],[Stock Level  (North)]])</f>
        <v>100</v>
      </c>
      <c r="P121" s="4" t="s">
        <v>20</v>
      </c>
      <c r="Q121" s="20">
        <f t="shared" si="2"/>
        <v>12</v>
      </c>
      <c r="R121" s="20">
        <f>Q122-Table252930[[#This Row],[Stock Level  (South)]]</f>
        <v>88</v>
      </c>
      <c r="S121" s="20">
        <f>IFERROR(GETPIVOTDATA("QTY",$B$56,"PRODUCT_DESCRIPTION", $B$103, "SALES_ORDER_DATE",Table252930[[#This Row],[Date]], "AREA_NAME", "South"), 0)</f>
        <v>0</v>
      </c>
      <c r="T121" s="20">
        <f>Table252930[[#This Row],[Stock Change (t1-t0) (South)]]+Table252930[[#This Row],[Sales]]</f>
        <v>88</v>
      </c>
      <c r="U121" s="18">
        <f>IF(Table252930[[#This Row],[Regional Transfer (Real)]]=0, 0, Table252930[[#This Row],[Regional Transfer (Real)]]+Table252930[[#This Row],[Stock Level  (South)]])</f>
        <v>100</v>
      </c>
      <c r="W121" s="4" t="s">
        <v>20</v>
      </c>
      <c r="X121" s="20">
        <f t="shared" si="3"/>
        <v>70</v>
      </c>
      <c r="Y121" s="20">
        <f>X122-Table25293032[[#This Row],[Stock Level  (West)]]</f>
        <v>30</v>
      </c>
      <c r="Z121" s="20">
        <f>IFERROR(GETPIVOTDATA("QTY",$B$56,"PRODUCT_DESCRIPTION", $B$103, "SALES_ORDER_DATE",Table25293032[[#This Row],[Date]], "AREA_NAME", "West"), 0)</f>
        <v>0</v>
      </c>
      <c r="AA121" s="20">
        <f>Table25293032[[#This Row],[Stock Change (t1-t0) (West)]]+Table25293032[[#This Row],[Sales]]</f>
        <v>30</v>
      </c>
      <c r="AB121" s="18">
        <f>IF(Table25293032[[#This Row],[Regional Transfer (Real)]]=0, 0, Table25293032[[#This Row],[Regional Transfer (Real)]]+Table25293032[[#This Row],[Stock Level  (West)]])</f>
        <v>100</v>
      </c>
      <c r="AD121" s="4"/>
      <c r="AE121" s="20"/>
      <c r="AF121" s="18"/>
      <c r="AG121" s="20"/>
      <c r="AH121" s="18"/>
      <c r="AI121" s="20"/>
      <c r="AJ121" s="18"/>
      <c r="AK121" s="20"/>
      <c r="AL121" s="18"/>
    </row>
    <row r="122" spans="2:38" x14ac:dyDescent="0.2">
      <c r="B122" s="4" t="s">
        <v>21</v>
      </c>
      <c r="C122" s="20">
        <f t="shared" si="0"/>
        <v>529</v>
      </c>
      <c r="D122" s="20">
        <f>C123-Table25[[#This Row],[Stock Level  ]]</f>
        <v>-68</v>
      </c>
      <c r="E122" s="20">
        <f>IFERROR(GETPIVOTDATA("QTY",$B$56,"PRODUCT_DESCRIPTION", $B$103, "SALES_ORDER_DATE",Table25[[#This Row],[Date]]), 0)</f>
        <v>68</v>
      </c>
      <c r="F122" s="20">
        <f>Table25[[#This Row],[Stock Change (t1-t0)]]+Table25[[#This Row],[Sales]]</f>
        <v>0</v>
      </c>
      <c r="G122" s="18">
        <f>IF(Table25[[#This Row],[Purchase (Real)]]=0, 0, Table25[[#This Row],[Purchase (Real)]]+C121)</f>
        <v>0</v>
      </c>
      <c r="I122" s="4" t="s">
        <v>21</v>
      </c>
      <c r="J122" s="20">
        <f t="shared" si="1"/>
        <v>100</v>
      </c>
      <c r="K122" s="20">
        <f>J123-Table2529[[#This Row],[Stock Level  (North)]]</f>
        <v>-28</v>
      </c>
      <c r="L122" s="20">
        <f>IFERROR(GETPIVOTDATA("QTY",$B$56,"PRODUCT_DESCRIPTION", $B$103, "SALES_ORDER_DATE",Table2529[[#This Row],[Date]], "AREA_NAME", "North"), 0)</f>
        <v>28</v>
      </c>
      <c r="M122" s="20">
        <f>Table2529[[#This Row],[Stock Change (t1-t0) (North)]]+Table2529[[#This Row],[Sales]]</f>
        <v>0</v>
      </c>
      <c r="N122" s="18">
        <f>IF(Table2529[[#This Row],[Regional Transfer (Real)]]=0, 0, Table2529[[#This Row],[Regional Transfer (Real)]]+Table2529[[#This Row],[Stock Level  (North)]])</f>
        <v>0</v>
      </c>
      <c r="P122" s="4" t="s">
        <v>21</v>
      </c>
      <c r="Q122" s="20">
        <f t="shared" si="2"/>
        <v>100</v>
      </c>
      <c r="R122" s="20">
        <f>Q123-Table252930[[#This Row],[Stock Level  (South)]]</f>
        <v>-40</v>
      </c>
      <c r="S122" s="20">
        <f>IFERROR(GETPIVOTDATA("QTY",$B$56,"PRODUCT_DESCRIPTION", $B$103, "SALES_ORDER_DATE",Table252930[[#This Row],[Date]], "AREA_NAME", "South"), 0)</f>
        <v>40</v>
      </c>
      <c r="T122" s="20">
        <f>Table252930[[#This Row],[Stock Change (t1-t0) (South)]]+Table252930[[#This Row],[Sales]]</f>
        <v>0</v>
      </c>
      <c r="U122" s="18">
        <f>IF(Table252930[[#This Row],[Regional Transfer (Real)]]=0, 0, Table252930[[#This Row],[Regional Transfer (Real)]]+Table252930[[#This Row],[Stock Level  (South)]])</f>
        <v>0</v>
      </c>
      <c r="W122" s="4" t="s">
        <v>21</v>
      </c>
      <c r="X122" s="20">
        <f t="shared" si="3"/>
        <v>100</v>
      </c>
      <c r="Y122" s="20">
        <f>X123-Table25293032[[#This Row],[Stock Level  (West)]]</f>
        <v>0</v>
      </c>
      <c r="Z122" s="20">
        <f>IFERROR(GETPIVOTDATA("QTY",$B$56,"PRODUCT_DESCRIPTION", $B$103, "SALES_ORDER_DATE",Table25293032[[#This Row],[Date]], "AREA_NAME", "West"), 0)</f>
        <v>0</v>
      </c>
      <c r="AA122" s="20">
        <f>Table25293032[[#This Row],[Stock Change (t1-t0) (West)]]+Table25293032[[#This Row],[Sales]]</f>
        <v>0</v>
      </c>
      <c r="AB122" s="18">
        <f>IF(Table25293032[[#This Row],[Regional Transfer (Real)]]=0, 0, Table25293032[[#This Row],[Regional Transfer (Real)]]+Table25293032[[#This Row],[Stock Level  (West)]])</f>
        <v>0</v>
      </c>
      <c r="AD122" s="4"/>
      <c r="AE122" s="20"/>
      <c r="AF122" s="18"/>
      <c r="AG122" s="20"/>
      <c r="AH122" s="18"/>
      <c r="AI122" s="20"/>
      <c r="AJ122" s="18"/>
      <c r="AK122" s="20"/>
      <c r="AL122" s="18"/>
    </row>
    <row r="123" spans="2:38" x14ac:dyDescent="0.2">
      <c r="B123" s="4" t="s">
        <v>22</v>
      </c>
      <c r="C123" s="20">
        <f t="shared" si="0"/>
        <v>461</v>
      </c>
      <c r="D123" s="20">
        <f>C124-Table25[[#This Row],[Stock Level  ]]</f>
        <v>0</v>
      </c>
      <c r="E123" s="20">
        <f>IFERROR(GETPIVOTDATA("QTY",$B$56,"PRODUCT_DESCRIPTION", $B$103, "SALES_ORDER_DATE",Table25[[#This Row],[Date]]), 0)</f>
        <v>0</v>
      </c>
      <c r="F123" s="20">
        <f>Table25[[#This Row],[Stock Change (t1-t0)]]+Table25[[#This Row],[Sales]]</f>
        <v>0</v>
      </c>
      <c r="G123" s="18">
        <f>IF(Table25[[#This Row],[Purchase (Real)]]=0, 0, Table25[[#This Row],[Purchase (Real)]]+C122)</f>
        <v>0</v>
      </c>
      <c r="I123" s="4" t="s">
        <v>22</v>
      </c>
      <c r="J123" s="20">
        <f t="shared" si="1"/>
        <v>72</v>
      </c>
      <c r="K123" s="20">
        <f>J124-Table2529[[#This Row],[Stock Level  (North)]]</f>
        <v>0</v>
      </c>
      <c r="L123" s="20">
        <f>IFERROR(GETPIVOTDATA("QTY",$B$56,"PRODUCT_DESCRIPTION", $B$103, "SALES_ORDER_DATE",Table2529[[#This Row],[Date]], "AREA_NAME", "North"), 0)</f>
        <v>0</v>
      </c>
      <c r="M123" s="20">
        <f>Table2529[[#This Row],[Stock Change (t1-t0) (North)]]+Table2529[[#This Row],[Sales]]</f>
        <v>0</v>
      </c>
      <c r="N123" s="18">
        <f>IF(Table2529[[#This Row],[Regional Transfer (Real)]]=0, 0, Table2529[[#This Row],[Regional Transfer (Real)]]+Table2529[[#This Row],[Stock Level  (North)]])</f>
        <v>0</v>
      </c>
      <c r="P123" s="4" t="s">
        <v>22</v>
      </c>
      <c r="Q123" s="20">
        <f t="shared" si="2"/>
        <v>60</v>
      </c>
      <c r="R123" s="20">
        <f>Q124-Table252930[[#This Row],[Stock Level  (South)]]</f>
        <v>0</v>
      </c>
      <c r="S123" s="20">
        <f>IFERROR(GETPIVOTDATA("QTY",$B$56,"PRODUCT_DESCRIPTION", $B$103, "SALES_ORDER_DATE",Table252930[[#This Row],[Date]], "AREA_NAME", "South"), 0)</f>
        <v>0</v>
      </c>
      <c r="T123" s="20">
        <f>Table252930[[#This Row],[Stock Change (t1-t0) (South)]]+Table252930[[#This Row],[Sales]]</f>
        <v>0</v>
      </c>
      <c r="U123" s="18">
        <f>IF(Table252930[[#This Row],[Regional Transfer (Real)]]=0, 0, Table252930[[#This Row],[Regional Transfer (Real)]]+Table252930[[#This Row],[Stock Level  (South)]])</f>
        <v>0</v>
      </c>
      <c r="W123" s="4" t="s">
        <v>22</v>
      </c>
      <c r="X123" s="20">
        <f t="shared" si="3"/>
        <v>100</v>
      </c>
      <c r="Y123" s="20">
        <f>X124-Table25293032[[#This Row],[Stock Level  (West)]]</f>
        <v>0</v>
      </c>
      <c r="Z123" s="20">
        <f>IFERROR(GETPIVOTDATA("QTY",$B$56,"PRODUCT_DESCRIPTION", $B$103, "SALES_ORDER_DATE",Table25293032[[#This Row],[Date]], "AREA_NAME", "West"), 0)</f>
        <v>0</v>
      </c>
      <c r="AA123" s="20">
        <f>Table25293032[[#This Row],[Stock Change (t1-t0) (West)]]+Table25293032[[#This Row],[Sales]]</f>
        <v>0</v>
      </c>
      <c r="AB123" s="18">
        <f>IF(Table25293032[[#This Row],[Regional Transfer (Real)]]=0, 0, Table25293032[[#This Row],[Regional Transfer (Real)]]+Table25293032[[#This Row],[Stock Level  (West)]])</f>
        <v>0</v>
      </c>
      <c r="AD123" s="4"/>
      <c r="AE123" s="20"/>
      <c r="AF123" s="18"/>
      <c r="AG123" s="20"/>
      <c r="AH123" s="18"/>
      <c r="AI123" s="20"/>
      <c r="AJ123" s="18"/>
      <c r="AK123" s="20"/>
      <c r="AL123" s="18"/>
    </row>
    <row r="124" spans="2:38" x14ac:dyDescent="0.2">
      <c r="B124" s="4" t="s">
        <v>23</v>
      </c>
      <c r="C124" s="20">
        <f t="shared" si="0"/>
        <v>461</v>
      </c>
      <c r="D124" s="20">
        <f>C125-Table25[[#This Row],[Stock Level  ]]</f>
        <v>0</v>
      </c>
      <c r="E124" s="20">
        <f>IFERROR(GETPIVOTDATA("QTY",$B$56,"PRODUCT_DESCRIPTION", $B$103, "SALES_ORDER_DATE",Table25[[#This Row],[Date]]), 0)</f>
        <v>0</v>
      </c>
      <c r="F124" s="20">
        <f>Table25[[#This Row],[Stock Change (t1-t0)]]+Table25[[#This Row],[Sales]]</f>
        <v>0</v>
      </c>
      <c r="G124" s="18">
        <f>IF(Table25[[#This Row],[Purchase (Real)]]=0, 0, Table25[[#This Row],[Purchase (Real)]]+C123)</f>
        <v>0</v>
      </c>
      <c r="I124" s="4" t="s">
        <v>23</v>
      </c>
      <c r="J124" s="20">
        <f t="shared" si="1"/>
        <v>72</v>
      </c>
      <c r="K124" s="20">
        <f>J125-Table2529[[#This Row],[Stock Level  (North)]]</f>
        <v>28</v>
      </c>
      <c r="L124" s="20">
        <f>IFERROR(GETPIVOTDATA("QTY",$B$56,"PRODUCT_DESCRIPTION", $B$103, "SALES_ORDER_DATE",Table2529[[#This Row],[Date]], "AREA_NAME", "North"), 0)</f>
        <v>0</v>
      </c>
      <c r="M124" s="20">
        <f>Table2529[[#This Row],[Stock Change (t1-t0) (North)]]+Table2529[[#This Row],[Sales]]</f>
        <v>28</v>
      </c>
      <c r="N124" s="18">
        <f>IF(Table2529[[#This Row],[Regional Transfer (Real)]]=0, 0, Table2529[[#This Row],[Regional Transfer (Real)]]+Table2529[[#This Row],[Stock Level  (North)]])</f>
        <v>100</v>
      </c>
      <c r="P124" s="4" t="s">
        <v>23</v>
      </c>
      <c r="Q124" s="20">
        <f t="shared" si="2"/>
        <v>60</v>
      </c>
      <c r="R124" s="20">
        <f>Q125-Table252930[[#This Row],[Stock Level  (South)]]</f>
        <v>40</v>
      </c>
      <c r="S124" s="20">
        <f>IFERROR(GETPIVOTDATA("QTY",$B$56,"PRODUCT_DESCRIPTION", $B$103, "SALES_ORDER_DATE",Table252930[[#This Row],[Date]], "AREA_NAME", "South"), 0)</f>
        <v>0</v>
      </c>
      <c r="T124" s="20">
        <f>Table252930[[#This Row],[Stock Change (t1-t0) (South)]]+Table252930[[#This Row],[Sales]]</f>
        <v>40</v>
      </c>
      <c r="U124" s="18">
        <f>IF(Table252930[[#This Row],[Regional Transfer (Real)]]=0, 0, Table252930[[#This Row],[Regional Transfer (Real)]]+Table252930[[#This Row],[Stock Level  (South)]])</f>
        <v>100</v>
      </c>
      <c r="W124" s="4" t="s">
        <v>23</v>
      </c>
      <c r="X124" s="20">
        <f t="shared" si="3"/>
        <v>100</v>
      </c>
      <c r="Y124" s="20">
        <f>X125-Table25293032[[#This Row],[Stock Level  (West)]]</f>
        <v>0</v>
      </c>
      <c r="Z124" s="20">
        <f>IFERROR(GETPIVOTDATA("QTY",$B$56,"PRODUCT_DESCRIPTION", $B$103, "SALES_ORDER_DATE",Table25293032[[#This Row],[Date]], "AREA_NAME", "West"), 0)</f>
        <v>0</v>
      </c>
      <c r="AA124" s="20">
        <f>Table25293032[[#This Row],[Stock Change (t1-t0) (West)]]+Table25293032[[#This Row],[Sales]]</f>
        <v>0</v>
      </c>
      <c r="AB124" s="18">
        <f>IF(Table25293032[[#This Row],[Regional Transfer (Real)]]=0, 0, Table25293032[[#This Row],[Regional Transfer (Real)]]+Table25293032[[#This Row],[Stock Level  (West)]])</f>
        <v>0</v>
      </c>
      <c r="AD124" s="4"/>
      <c r="AE124" s="20"/>
      <c r="AF124" s="18"/>
      <c r="AG124" s="20"/>
      <c r="AH124" s="18"/>
      <c r="AI124" s="20"/>
      <c r="AJ124" s="18"/>
      <c r="AK124" s="20"/>
      <c r="AL124" s="18"/>
    </row>
    <row r="125" spans="2:38" x14ac:dyDescent="0.2">
      <c r="B125" s="4" t="s">
        <v>24</v>
      </c>
      <c r="C125" s="20">
        <f t="shared" si="0"/>
        <v>461</v>
      </c>
      <c r="D125" s="20">
        <f>C126-Table25[[#This Row],[Stock Level  ]]</f>
        <v>-71</v>
      </c>
      <c r="E125" s="20">
        <f>IFERROR(GETPIVOTDATA("QTY",$B$56,"PRODUCT_DESCRIPTION", $B$103, "SALES_ORDER_DATE",Table25[[#This Row],[Date]]), 0)</f>
        <v>71</v>
      </c>
      <c r="F125" s="20">
        <f>Table25[[#This Row],[Stock Change (t1-t0)]]+Table25[[#This Row],[Sales]]</f>
        <v>0</v>
      </c>
      <c r="G125" s="18">
        <f>IF(Table25[[#This Row],[Purchase (Real)]]=0, 0, Table25[[#This Row],[Purchase (Real)]]+C124)</f>
        <v>0</v>
      </c>
      <c r="I125" s="4" t="s">
        <v>24</v>
      </c>
      <c r="J125" s="20">
        <f t="shared" si="1"/>
        <v>100</v>
      </c>
      <c r="K125" s="20">
        <f>J126-Table2529[[#This Row],[Stock Level  (North)]]</f>
        <v>-35</v>
      </c>
      <c r="L125" s="20">
        <f>IFERROR(GETPIVOTDATA("QTY",$B$56,"PRODUCT_DESCRIPTION", $B$103, "SALES_ORDER_DATE",Table2529[[#This Row],[Date]], "AREA_NAME", "North"), 0)</f>
        <v>35</v>
      </c>
      <c r="M125" s="20">
        <f>Table2529[[#This Row],[Stock Change (t1-t0) (North)]]+Table2529[[#This Row],[Sales]]</f>
        <v>0</v>
      </c>
      <c r="N125" s="18">
        <f>IF(Table2529[[#This Row],[Regional Transfer (Real)]]=0, 0, Table2529[[#This Row],[Regional Transfer (Real)]]+Table2529[[#This Row],[Stock Level  (North)]])</f>
        <v>0</v>
      </c>
      <c r="P125" s="4" t="s">
        <v>24</v>
      </c>
      <c r="Q125" s="20">
        <f t="shared" si="2"/>
        <v>100</v>
      </c>
      <c r="R125" s="20">
        <f>Q126-Table252930[[#This Row],[Stock Level  (South)]]</f>
        <v>0</v>
      </c>
      <c r="S125" s="20">
        <f>IFERROR(GETPIVOTDATA("QTY",$B$56,"PRODUCT_DESCRIPTION", $B$103, "SALES_ORDER_DATE",Table252930[[#This Row],[Date]], "AREA_NAME", "South"), 0)</f>
        <v>0</v>
      </c>
      <c r="T125" s="20">
        <f>Table252930[[#This Row],[Stock Change (t1-t0) (South)]]+Table252930[[#This Row],[Sales]]</f>
        <v>0</v>
      </c>
      <c r="U125" s="18">
        <f>IF(Table252930[[#This Row],[Regional Transfer (Real)]]=0, 0, Table252930[[#This Row],[Regional Transfer (Real)]]+Table252930[[#This Row],[Stock Level  (South)]])</f>
        <v>0</v>
      </c>
      <c r="W125" s="4" t="s">
        <v>24</v>
      </c>
      <c r="X125" s="20">
        <f t="shared" si="3"/>
        <v>100</v>
      </c>
      <c r="Y125" s="20">
        <f>X126-Table25293032[[#This Row],[Stock Level  (West)]]</f>
        <v>-36</v>
      </c>
      <c r="Z125" s="20">
        <f>IFERROR(GETPIVOTDATA("QTY",$B$56,"PRODUCT_DESCRIPTION", $B$103, "SALES_ORDER_DATE",Table25293032[[#This Row],[Date]], "AREA_NAME", "West"), 0)</f>
        <v>36</v>
      </c>
      <c r="AA125" s="20">
        <f>Table25293032[[#This Row],[Stock Change (t1-t0) (West)]]+Table25293032[[#This Row],[Sales]]</f>
        <v>0</v>
      </c>
      <c r="AB125" s="18">
        <f>IF(Table25293032[[#This Row],[Regional Transfer (Real)]]=0, 0, Table25293032[[#This Row],[Regional Transfer (Real)]]+Table25293032[[#This Row],[Stock Level  (West)]])</f>
        <v>0</v>
      </c>
      <c r="AD125" s="4"/>
      <c r="AE125" s="20"/>
      <c r="AF125" s="18"/>
      <c r="AG125" s="20"/>
      <c r="AH125" s="18"/>
      <c r="AI125" s="20"/>
      <c r="AJ125" s="18"/>
      <c r="AK125" s="20"/>
      <c r="AL125" s="18"/>
    </row>
    <row r="126" spans="2:38" x14ac:dyDescent="0.2">
      <c r="B126" s="4" t="s">
        <v>25</v>
      </c>
      <c r="C126" s="20">
        <f t="shared" si="0"/>
        <v>390</v>
      </c>
      <c r="D126" s="20">
        <f>C127-Table25[[#This Row],[Stock Level  ]]</f>
        <v>-86</v>
      </c>
      <c r="E126" s="20">
        <f>IFERROR(GETPIVOTDATA("QTY",$B$56,"PRODUCT_DESCRIPTION", $B$103, "SALES_ORDER_DATE",Table25[[#This Row],[Date]]), 0)</f>
        <v>86</v>
      </c>
      <c r="F126" s="20">
        <f>Table25[[#This Row],[Stock Change (t1-t0)]]+Table25[[#This Row],[Sales]]</f>
        <v>0</v>
      </c>
      <c r="G126" s="18">
        <f>IF(Table25[[#This Row],[Purchase (Real)]]=0, 0, Table25[[#This Row],[Purchase (Real)]]+C125)</f>
        <v>0</v>
      </c>
      <c r="I126" s="4" t="s">
        <v>25</v>
      </c>
      <c r="J126" s="20">
        <f t="shared" si="1"/>
        <v>65</v>
      </c>
      <c r="K126" s="20">
        <f>J127-Table2529[[#This Row],[Stock Level  (North)]]</f>
        <v>-51</v>
      </c>
      <c r="L126" s="20">
        <f>IFERROR(GETPIVOTDATA("QTY",$B$56,"PRODUCT_DESCRIPTION", $B$103, "SALES_ORDER_DATE",Table2529[[#This Row],[Date]], "AREA_NAME", "North"), 0)</f>
        <v>51</v>
      </c>
      <c r="M126" s="20">
        <f>Table2529[[#This Row],[Stock Change (t1-t0) (North)]]+Table2529[[#This Row],[Sales]]</f>
        <v>0</v>
      </c>
      <c r="N126" s="18">
        <f>IF(Table2529[[#This Row],[Regional Transfer (Real)]]=0, 0, Table2529[[#This Row],[Regional Transfer (Real)]]+Table2529[[#This Row],[Stock Level  (North)]])</f>
        <v>0</v>
      </c>
      <c r="P126" s="4" t="s">
        <v>25</v>
      </c>
      <c r="Q126" s="20">
        <f t="shared" si="2"/>
        <v>100</v>
      </c>
      <c r="R126" s="20">
        <f>Q127-Table252930[[#This Row],[Stock Level  (South)]]</f>
        <v>-35</v>
      </c>
      <c r="S126" s="20">
        <f>IFERROR(GETPIVOTDATA("QTY",$B$56,"PRODUCT_DESCRIPTION", $B$103, "SALES_ORDER_DATE",Table252930[[#This Row],[Date]], "AREA_NAME", "South"), 0)</f>
        <v>35</v>
      </c>
      <c r="T126" s="20">
        <f>Table252930[[#This Row],[Stock Change (t1-t0) (South)]]+Table252930[[#This Row],[Sales]]</f>
        <v>0</v>
      </c>
      <c r="U126" s="18">
        <f>IF(Table252930[[#This Row],[Regional Transfer (Real)]]=0, 0, Table252930[[#This Row],[Regional Transfer (Real)]]+Table252930[[#This Row],[Stock Level  (South)]])</f>
        <v>0</v>
      </c>
      <c r="W126" s="4" t="s">
        <v>25</v>
      </c>
      <c r="X126" s="20">
        <f t="shared" si="3"/>
        <v>64</v>
      </c>
      <c r="Y126" s="20">
        <f>X127-Table25293032[[#This Row],[Stock Level  (West)]]</f>
        <v>0</v>
      </c>
      <c r="Z126" s="20">
        <f>IFERROR(GETPIVOTDATA("QTY",$B$56,"PRODUCT_DESCRIPTION", $B$103, "SALES_ORDER_DATE",Table25293032[[#This Row],[Date]], "AREA_NAME", "West"), 0)</f>
        <v>0</v>
      </c>
      <c r="AA126" s="20">
        <f>Table25293032[[#This Row],[Stock Change (t1-t0) (West)]]+Table25293032[[#This Row],[Sales]]</f>
        <v>0</v>
      </c>
      <c r="AB126" s="18">
        <f>IF(Table25293032[[#This Row],[Regional Transfer (Real)]]=0, 0, Table25293032[[#This Row],[Regional Transfer (Real)]]+Table25293032[[#This Row],[Stock Level  (West)]])</f>
        <v>0</v>
      </c>
      <c r="AD126" s="4"/>
      <c r="AE126" s="20"/>
      <c r="AF126" s="18"/>
      <c r="AG126" s="20"/>
      <c r="AH126" s="18"/>
      <c r="AI126" s="20"/>
      <c r="AJ126" s="18"/>
      <c r="AK126" s="20"/>
      <c r="AL126" s="18"/>
    </row>
    <row r="127" spans="2:38" x14ac:dyDescent="0.2">
      <c r="B127" s="4" t="s">
        <v>26</v>
      </c>
      <c r="C127" s="20">
        <f t="shared" si="0"/>
        <v>304</v>
      </c>
      <c r="D127" s="20">
        <f>C128-Table25[[#This Row],[Stock Level  ]]</f>
        <v>0</v>
      </c>
      <c r="E127" s="20">
        <f>IFERROR(GETPIVOTDATA("QTY",$B$56,"PRODUCT_DESCRIPTION", $B$103, "SALES_ORDER_DATE",Table25[[#This Row],[Date]]), 0)</f>
        <v>0</v>
      </c>
      <c r="F127" s="20">
        <f>Table25[[#This Row],[Stock Change (t1-t0)]]+Table25[[#This Row],[Sales]]</f>
        <v>0</v>
      </c>
      <c r="G127" s="18">
        <f>IF(Table25[[#This Row],[Purchase (Real)]]=0, 0, Table25[[#This Row],[Purchase (Real)]]+C126)</f>
        <v>0</v>
      </c>
      <c r="I127" s="4" t="s">
        <v>26</v>
      </c>
      <c r="J127" s="20">
        <f t="shared" si="1"/>
        <v>14</v>
      </c>
      <c r="K127" s="20">
        <f>J128-Table2529[[#This Row],[Stock Level  (North)]]</f>
        <v>66</v>
      </c>
      <c r="L127" s="20">
        <f>IFERROR(GETPIVOTDATA("QTY",$B$56,"PRODUCT_DESCRIPTION", $B$103, "SALES_ORDER_DATE",Table2529[[#This Row],[Date]], "AREA_NAME", "North"), 0)</f>
        <v>0</v>
      </c>
      <c r="M127" s="20">
        <f>Table2529[[#This Row],[Stock Change (t1-t0) (North)]]+Table2529[[#This Row],[Sales]]</f>
        <v>66</v>
      </c>
      <c r="N127" s="18">
        <f>IF(Table2529[[#This Row],[Regional Transfer (Real)]]=0, 0, Table2529[[#This Row],[Regional Transfer (Real)]]+Table2529[[#This Row],[Stock Level  (North)]])</f>
        <v>80</v>
      </c>
      <c r="P127" s="4" t="s">
        <v>26</v>
      </c>
      <c r="Q127" s="20">
        <f t="shared" si="2"/>
        <v>65</v>
      </c>
      <c r="R127" s="20">
        <f>Q128-Table252930[[#This Row],[Stock Level  (South)]]</f>
        <v>48</v>
      </c>
      <c r="S127" s="20">
        <f>IFERROR(GETPIVOTDATA("QTY",$B$56,"PRODUCT_DESCRIPTION", $B$103, "SALES_ORDER_DATE",Table252930[[#This Row],[Date]], "AREA_NAME", "South"), 0)</f>
        <v>0</v>
      </c>
      <c r="T127" s="20">
        <f>Table252930[[#This Row],[Stock Change (t1-t0) (South)]]+Table252930[[#This Row],[Sales]]</f>
        <v>48</v>
      </c>
      <c r="U127" s="18">
        <f>IF(Table252930[[#This Row],[Regional Transfer (Real)]]=0, 0, Table252930[[#This Row],[Regional Transfer (Real)]]+Table252930[[#This Row],[Stock Level  (South)]])</f>
        <v>113</v>
      </c>
      <c r="W127" s="4" t="s">
        <v>26</v>
      </c>
      <c r="X127" s="20">
        <f t="shared" si="3"/>
        <v>64</v>
      </c>
      <c r="Y127" s="20">
        <f>X128-Table25293032[[#This Row],[Stock Level  (West)]]</f>
        <v>47</v>
      </c>
      <c r="Z127" s="20">
        <f>IFERROR(GETPIVOTDATA("QTY",$B$56,"PRODUCT_DESCRIPTION", $B$103, "SALES_ORDER_DATE",Table25293032[[#This Row],[Date]], "AREA_NAME", "West"), 0)</f>
        <v>0</v>
      </c>
      <c r="AA127" s="20">
        <f>Table25293032[[#This Row],[Stock Change (t1-t0) (West)]]+Table25293032[[#This Row],[Sales]]</f>
        <v>47</v>
      </c>
      <c r="AB127" s="18">
        <f>IF(Table25293032[[#This Row],[Regional Transfer (Real)]]=0, 0, Table25293032[[#This Row],[Regional Transfer (Real)]]+Table25293032[[#This Row],[Stock Level  (West)]])</f>
        <v>111</v>
      </c>
      <c r="AD127" s="4"/>
      <c r="AE127" s="20"/>
      <c r="AF127" s="18"/>
      <c r="AG127" s="20"/>
      <c r="AH127" s="18"/>
      <c r="AI127" s="20"/>
      <c r="AJ127" s="18"/>
      <c r="AK127" s="20"/>
      <c r="AL127" s="18"/>
    </row>
    <row r="128" spans="2:38" x14ac:dyDescent="0.2">
      <c r="B128" s="4" t="s">
        <v>57</v>
      </c>
      <c r="C128" s="20">
        <f t="shared" si="0"/>
        <v>304</v>
      </c>
      <c r="D128" s="20">
        <f>C129-Table25[[#This Row],[Stock Level  ]]</f>
        <v>0</v>
      </c>
      <c r="E128" s="20">
        <f>IFERROR(GETPIVOTDATA("QTY",$B$56,"PRODUCT_DESCRIPTION", $B$103, "SALES_ORDER_DATE",Table25[[#This Row],[Date]]), 0)</f>
        <v>0</v>
      </c>
      <c r="F128" s="20">
        <f>Table25[[#This Row],[Stock Change (t1-t0)]]+Table25[[#This Row],[Sales]]</f>
        <v>0</v>
      </c>
      <c r="G128" s="18">
        <f>IF(Table25[[#This Row],[Purchase (Real)]]=0, 0, Table25[[#This Row],[Purchase (Real)]]+C127)</f>
        <v>0</v>
      </c>
      <c r="I128" s="4" t="s">
        <v>57</v>
      </c>
      <c r="J128" s="20">
        <f t="shared" si="1"/>
        <v>80</v>
      </c>
      <c r="K128" s="20">
        <f>J129-Table2529[[#This Row],[Stock Level  (North)]]</f>
        <v>0</v>
      </c>
      <c r="L128" s="20">
        <f>IFERROR(GETPIVOTDATA("QTY",$B$56,"PRODUCT_DESCRIPTION", $B$103, "SALES_ORDER_DATE",Table2529[[#This Row],[Date]], "AREA_NAME", "North"), 0)</f>
        <v>0</v>
      </c>
      <c r="M128" s="20">
        <f>Table2529[[#This Row],[Stock Change (t1-t0) (North)]]+Table2529[[#This Row],[Sales]]</f>
        <v>0</v>
      </c>
      <c r="N128" s="18">
        <f>IF(Table2529[[#This Row],[Regional Transfer (Real)]]=0, 0, Table2529[[#This Row],[Regional Transfer (Real)]]+Table2529[[#This Row],[Stock Level  (North)]])</f>
        <v>0</v>
      </c>
      <c r="P128" s="4" t="s">
        <v>57</v>
      </c>
      <c r="Q128" s="20">
        <f t="shared" si="2"/>
        <v>113</v>
      </c>
      <c r="R128" s="20">
        <f>Q129-Table252930[[#This Row],[Stock Level  (South)]]</f>
        <v>0</v>
      </c>
      <c r="S128" s="20">
        <f>IFERROR(GETPIVOTDATA("QTY",$B$56,"PRODUCT_DESCRIPTION", $B$103, "SALES_ORDER_DATE",Table252930[[#This Row],[Date]], "AREA_NAME", "South"), 0)</f>
        <v>0</v>
      </c>
      <c r="T128" s="20">
        <f>Table252930[[#This Row],[Stock Change (t1-t0) (South)]]+Table252930[[#This Row],[Sales]]</f>
        <v>0</v>
      </c>
      <c r="U128" s="18">
        <f>IF(Table252930[[#This Row],[Regional Transfer (Real)]]=0, 0, Table252930[[#This Row],[Regional Transfer (Real)]]+Table252930[[#This Row],[Stock Level  (South)]])</f>
        <v>0</v>
      </c>
      <c r="W128" s="4" t="s">
        <v>57</v>
      </c>
      <c r="X128" s="20">
        <f t="shared" si="3"/>
        <v>111</v>
      </c>
      <c r="Y128" s="20">
        <f>X129-Table25293032[[#This Row],[Stock Level  (West)]]</f>
        <v>0</v>
      </c>
      <c r="Z128" s="20">
        <f>IFERROR(GETPIVOTDATA("QTY",$B$56,"PRODUCT_DESCRIPTION", $B$103, "SALES_ORDER_DATE",Table25293032[[#This Row],[Date]], "AREA_NAME", "West"), 0)</f>
        <v>0</v>
      </c>
      <c r="AA128" s="20">
        <f>Table25293032[[#This Row],[Stock Change (t1-t0) (West)]]+Table25293032[[#This Row],[Sales]]</f>
        <v>0</v>
      </c>
      <c r="AB128" s="18">
        <f>IF(Table25293032[[#This Row],[Regional Transfer (Real)]]=0, 0, Table25293032[[#This Row],[Regional Transfer (Real)]]+Table25293032[[#This Row],[Stock Level  (West)]])</f>
        <v>0</v>
      </c>
      <c r="AD128" s="4"/>
      <c r="AE128" s="20"/>
      <c r="AF128" s="18"/>
      <c r="AG128" s="20"/>
      <c r="AH128" s="18"/>
      <c r="AI128" s="20"/>
      <c r="AJ128" s="18"/>
      <c r="AK128" s="20"/>
      <c r="AL128" s="18"/>
    </row>
    <row r="129" spans="2:38" x14ac:dyDescent="0.2">
      <c r="B129" s="4" t="s">
        <v>27</v>
      </c>
      <c r="C129" s="20">
        <f t="shared" si="0"/>
        <v>304</v>
      </c>
      <c r="D129" s="20">
        <f>C130-Table25[[#This Row],[Stock Level  ]]</f>
        <v>183</v>
      </c>
      <c r="E129" s="20">
        <f>IFERROR(GETPIVOTDATA("QTY",$B$56,"PRODUCT_DESCRIPTION", $B$103, "SALES_ORDER_DATE",Table25[[#This Row],[Date]]), 0)</f>
        <v>113</v>
      </c>
      <c r="F129" s="20">
        <f>Table25[[#This Row],[Stock Change (t1-t0)]]+Table25[[#This Row],[Sales]]</f>
        <v>296</v>
      </c>
      <c r="G129" s="18">
        <f>IF(Table25[[#This Row],[Purchase (Real)]]=0, 0, Table25[[#This Row],[Purchase (Real)]]+C128)</f>
        <v>600</v>
      </c>
      <c r="I129" s="4" t="s">
        <v>27</v>
      </c>
      <c r="J129" s="20">
        <f t="shared" si="1"/>
        <v>80</v>
      </c>
      <c r="K129" s="20">
        <f>J130-Table2529[[#This Row],[Stock Level  (North)]]</f>
        <v>-28</v>
      </c>
      <c r="L129" s="20">
        <f>IFERROR(GETPIVOTDATA("QTY",$B$56,"PRODUCT_DESCRIPTION", $B$103, "SALES_ORDER_DATE",Table2529[[#This Row],[Date]], "AREA_NAME", "North"), 0)</f>
        <v>28</v>
      </c>
      <c r="M129" s="20">
        <f>Table2529[[#This Row],[Stock Change (t1-t0) (North)]]+Table2529[[#This Row],[Sales]]</f>
        <v>0</v>
      </c>
      <c r="N129" s="18">
        <f>IF(Table2529[[#This Row],[Regional Transfer (Real)]]=0, 0, Table2529[[#This Row],[Regional Transfer (Real)]]+Table2529[[#This Row],[Stock Level  (North)]])</f>
        <v>0</v>
      </c>
      <c r="P129" s="4" t="s">
        <v>27</v>
      </c>
      <c r="Q129" s="20">
        <f t="shared" si="2"/>
        <v>113</v>
      </c>
      <c r="R129" s="20">
        <f>Q130-Table252930[[#This Row],[Stock Level  (South)]]</f>
        <v>-50</v>
      </c>
      <c r="S129" s="20">
        <f>IFERROR(GETPIVOTDATA("QTY",$B$56,"PRODUCT_DESCRIPTION", $B$103, "SALES_ORDER_DATE",Table252930[[#This Row],[Date]], "AREA_NAME", "South"), 0)</f>
        <v>50</v>
      </c>
      <c r="T129" s="20">
        <f>Table252930[[#This Row],[Stock Change (t1-t0) (South)]]+Table252930[[#This Row],[Sales]]</f>
        <v>0</v>
      </c>
      <c r="U129" s="18">
        <f>IF(Table252930[[#This Row],[Regional Transfer (Real)]]=0, 0, Table252930[[#This Row],[Regional Transfer (Real)]]+Table252930[[#This Row],[Stock Level  (South)]])</f>
        <v>0</v>
      </c>
      <c r="W129" s="4" t="s">
        <v>27</v>
      </c>
      <c r="X129" s="20">
        <f t="shared" si="3"/>
        <v>111</v>
      </c>
      <c r="Y129" s="20">
        <f>X130-Table25293032[[#This Row],[Stock Level  (West)]]</f>
        <v>-35</v>
      </c>
      <c r="Z129" s="20">
        <f>IFERROR(GETPIVOTDATA("QTY",$B$56,"PRODUCT_DESCRIPTION", $B$103, "SALES_ORDER_DATE",Table25293032[[#This Row],[Date]], "AREA_NAME", "West"), 0)</f>
        <v>35</v>
      </c>
      <c r="AA129" s="20">
        <f>Table25293032[[#This Row],[Stock Change (t1-t0) (West)]]+Table25293032[[#This Row],[Sales]]</f>
        <v>0</v>
      </c>
      <c r="AB129" s="18">
        <f>IF(Table25293032[[#This Row],[Regional Transfer (Real)]]=0, 0, Table25293032[[#This Row],[Regional Transfer (Real)]]+Table25293032[[#This Row],[Stock Level  (West)]])</f>
        <v>0</v>
      </c>
      <c r="AD129" s="4"/>
      <c r="AE129" s="20"/>
      <c r="AF129" s="18"/>
      <c r="AG129" s="20"/>
      <c r="AH129" s="18"/>
      <c r="AI129" s="20"/>
      <c r="AJ129" s="18"/>
      <c r="AK129" s="20"/>
      <c r="AL129" s="18"/>
    </row>
    <row r="130" spans="2:38" x14ac:dyDescent="0.2">
      <c r="B130" s="4" t="s">
        <v>28</v>
      </c>
      <c r="C130" s="20">
        <f t="shared" si="0"/>
        <v>487</v>
      </c>
      <c r="D130" s="20">
        <f>C131-Table25[[#This Row],[Stock Level  ]]</f>
        <v>0</v>
      </c>
      <c r="E130" s="20">
        <f>IFERROR(GETPIVOTDATA("QTY",$B$56,"PRODUCT_DESCRIPTION", $B$103, "SALES_ORDER_DATE",Table25[[#This Row],[Date]]), 0)</f>
        <v>0</v>
      </c>
      <c r="F130" s="20">
        <f>Table25[[#This Row],[Stock Change (t1-t0)]]+Table25[[#This Row],[Sales]]</f>
        <v>0</v>
      </c>
      <c r="G130" s="18">
        <f>IF(Table25[[#This Row],[Purchase (Real)]]=0, 0, Table25[[#This Row],[Purchase (Real)]]+C129)</f>
        <v>0</v>
      </c>
      <c r="I130" s="4" t="s">
        <v>28</v>
      </c>
      <c r="J130" s="20">
        <f t="shared" si="1"/>
        <v>52</v>
      </c>
      <c r="K130" s="20">
        <f>J131-Table2529[[#This Row],[Stock Level  (North)]]</f>
        <v>0</v>
      </c>
      <c r="L130" s="20">
        <f>IFERROR(GETPIVOTDATA("QTY",$B$56,"PRODUCT_DESCRIPTION", $B$103, "SALES_ORDER_DATE",Table2529[[#This Row],[Date]], "AREA_NAME", "North"), 0)</f>
        <v>0</v>
      </c>
      <c r="M130" s="20">
        <f>Table2529[[#This Row],[Stock Change (t1-t0) (North)]]+Table2529[[#This Row],[Sales]]</f>
        <v>0</v>
      </c>
      <c r="N130" s="18">
        <f>IF(Table2529[[#This Row],[Regional Transfer (Real)]]=0, 0, Table2529[[#This Row],[Regional Transfer (Real)]]+Table2529[[#This Row],[Stock Level  (North)]])</f>
        <v>0</v>
      </c>
      <c r="P130" s="4" t="s">
        <v>28</v>
      </c>
      <c r="Q130" s="20">
        <f t="shared" si="2"/>
        <v>63</v>
      </c>
      <c r="R130" s="20">
        <f>Q131-Table252930[[#This Row],[Stock Level  (South)]]</f>
        <v>0</v>
      </c>
      <c r="S130" s="20">
        <f>IFERROR(GETPIVOTDATA("QTY",$B$56,"PRODUCT_DESCRIPTION", $B$103, "SALES_ORDER_DATE",Table252930[[#This Row],[Date]], "AREA_NAME", "South"), 0)</f>
        <v>0</v>
      </c>
      <c r="T130" s="20">
        <f>Table252930[[#This Row],[Stock Change (t1-t0) (South)]]+Table252930[[#This Row],[Sales]]</f>
        <v>0</v>
      </c>
      <c r="U130" s="18">
        <f>IF(Table252930[[#This Row],[Regional Transfer (Real)]]=0, 0, Table252930[[#This Row],[Regional Transfer (Real)]]+Table252930[[#This Row],[Stock Level  (South)]])</f>
        <v>0</v>
      </c>
      <c r="W130" s="4" t="s">
        <v>28</v>
      </c>
      <c r="X130" s="20">
        <f t="shared" si="3"/>
        <v>76</v>
      </c>
      <c r="Y130" s="20">
        <f>X131-Table25293032[[#This Row],[Stock Level  (West)]]</f>
        <v>0</v>
      </c>
      <c r="Z130" s="20">
        <f>IFERROR(GETPIVOTDATA("QTY",$B$56,"PRODUCT_DESCRIPTION", $B$103, "SALES_ORDER_DATE",Table25293032[[#This Row],[Date]], "AREA_NAME", "West"), 0)</f>
        <v>0</v>
      </c>
      <c r="AA130" s="20">
        <f>Table25293032[[#This Row],[Stock Change (t1-t0) (West)]]+Table25293032[[#This Row],[Sales]]</f>
        <v>0</v>
      </c>
      <c r="AB130" s="18">
        <f>IF(Table25293032[[#This Row],[Regional Transfer (Real)]]=0, 0, Table25293032[[#This Row],[Regional Transfer (Real)]]+Table25293032[[#This Row],[Stock Level  (West)]])</f>
        <v>0</v>
      </c>
      <c r="AD130" s="4"/>
      <c r="AE130" s="20"/>
      <c r="AF130" s="18"/>
      <c r="AG130" s="20"/>
      <c r="AH130" s="18"/>
      <c r="AI130" s="20"/>
      <c r="AJ130" s="18"/>
      <c r="AK130" s="20"/>
      <c r="AL130" s="18"/>
    </row>
    <row r="131" spans="2:38" x14ac:dyDescent="0.2">
      <c r="B131" s="4" t="s">
        <v>29</v>
      </c>
      <c r="C131" s="20">
        <f t="shared" si="0"/>
        <v>487</v>
      </c>
      <c r="D131" s="20">
        <f>C132-Table25[[#This Row],[Stock Level  ]]</f>
        <v>0</v>
      </c>
      <c r="E131" s="20">
        <f>IFERROR(GETPIVOTDATA("QTY",$B$56,"PRODUCT_DESCRIPTION", $B$103, "SALES_ORDER_DATE",Table25[[#This Row],[Date]]), 0)</f>
        <v>0</v>
      </c>
      <c r="F131" s="20">
        <f>Table25[[#This Row],[Stock Change (t1-t0)]]+Table25[[#This Row],[Sales]]</f>
        <v>0</v>
      </c>
      <c r="G131" s="18">
        <f>IF(Table25[[#This Row],[Purchase (Real)]]=0, 0, Table25[[#This Row],[Purchase (Real)]]+C130)</f>
        <v>0</v>
      </c>
      <c r="I131" s="4" t="s">
        <v>29</v>
      </c>
      <c r="J131" s="20">
        <f t="shared" si="1"/>
        <v>52</v>
      </c>
      <c r="K131" s="20">
        <f>J132-Table2529[[#This Row],[Stock Level  (North)]]</f>
        <v>108</v>
      </c>
      <c r="L131" s="20">
        <f>IFERROR(GETPIVOTDATA("QTY",$B$56,"PRODUCT_DESCRIPTION", $B$103, "SALES_ORDER_DATE",Table2529[[#This Row],[Date]], "AREA_NAME", "North"), 0)</f>
        <v>0</v>
      </c>
      <c r="M131" s="20">
        <f>Table2529[[#This Row],[Stock Change (t1-t0) (North)]]+Table2529[[#This Row],[Sales]]</f>
        <v>108</v>
      </c>
      <c r="N131" s="18">
        <f>IF(Table2529[[#This Row],[Regional Transfer (Real)]]=0, 0, Table2529[[#This Row],[Regional Transfer (Real)]]+Table2529[[#This Row],[Stock Level  (North)]])</f>
        <v>160</v>
      </c>
      <c r="P131" s="4" t="s">
        <v>29</v>
      </c>
      <c r="Q131" s="20">
        <f t="shared" si="2"/>
        <v>63</v>
      </c>
      <c r="R131" s="20">
        <f>Q132-Table252930[[#This Row],[Stock Level  (South)]]</f>
        <v>99</v>
      </c>
      <c r="S131" s="20">
        <f>IFERROR(GETPIVOTDATA("QTY",$B$56,"PRODUCT_DESCRIPTION", $B$103, "SALES_ORDER_DATE",Table252930[[#This Row],[Date]], "AREA_NAME", "South"), 0)</f>
        <v>0</v>
      </c>
      <c r="T131" s="20">
        <f>Table252930[[#This Row],[Stock Change (t1-t0) (South)]]+Table252930[[#This Row],[Sales]]</f>
        <v>99</v>
      </c>
      <c r="U131" s="18">
        <f>IF(Table252930[[#This Row],[Regional Transfer (Real)]]=0, 0, Table252930[[#This Row],[Regional Transfer (Real)]]+Table252930[[#This Row],[Stock Level  (South)]])</f>
        <v>162</v>
      </c>
      <c r="W131" s="4" t="s">
        <v>29</v>
      </c>
      <c r="X131" s="20">
        <f t="shared" si="3"/>
        <v>76</v>
      </c>
      <c r="Y131" s="20">
        <f>X132-Table25293032[[#This Row],[Stock Level  (West)]]</f>
        <v>89</v>
      </c>
      <c r="Z131" s="20">
        <f>IFERROR(GETPIVOTDATA("QTY",$B$56,"PRODUCT_DESCRIPTION", $B$103, "SALES_ORDER_DATE",Table25293032[[#This Row],[Date]], "AREA_NAME", "West"), 0)</f>
        <v>0</v>
      </c>
      <c r="AA131" s="20">
        <f>Table25293032[[#This Row],[Stock Change (t1-t0) (West)]]+Table25293032[[#This Row],[Sales]]</f>
        <v>89</v>
      </c>
      <c r="AB131" s="18">
        <f>IF(Table25293032[[#This Row],[Regional Transfer (Real)]]=0, 0, Table25293032[[#This Row],[Regional Transfer (Real)]]+Table25293032[[#This Row],[Stock Level  (West)]])</f>
        <v>165</v>
      </c>
      <c r="AD131" s="4"/>
      <c r="AE131" s="20"/>
      <c r="AF131" s="18"/>
      <c r="AG131" s="20"/>
      <c r="AH131" s="18"/>
      <c r="AI131" s="20"/>
      <c r="AJ131" s="18"/>
      <c r="AK131" s="20"/>
      <c r="AL131" s="18"/>
    </row>
    <row r="132" spans="2:38" x14ac:dyDescent="0.2">
      <c r="B132" s="4" t="s">
        <v>30</v>
      </c>
      <c r="C132" s="20">
        <f t="shared" si="0"/>
        <v>487</v>
      </c>
      <c r="D132" s="20">
        <f>C133-Table25[[#This Row],[Stock Level  ]]</f>
        <v>-82</v>
      </c>
      <c r="E132" s="20">
        <f>IFERROR(GETPIVOTDATA("QTY",$B$56,"PRODUCT_DESCRIPTION", $B$103, "SALES_ORDER_DATE",Table25[[#This Row],[Date]]), 0)</f>
        <v>82</v>
      </c>
      <c r="F132" s="20">
        <f>Table25[[#This Row],[Stock Change (t1-t0)]]+Table25[[#This Row],[Sales]]</f>
        <v>0</v>
      </c>
      <c r="G132" s="18">
        <f>IF(Table25[[#This Row],[Purchase (Real)]]=0, 0, Table25[[#This Row],[Purchase (Real)]]+C131)</f>
        <v>0</v>
      </c>
      <c r="I132" s="4" t="s">
        <v>30</v>
      </c>
      <c r="J132" s="20">
        <f t="shared" si="1"/>
        <v>160</v>
      </c>
      <c r="K132" s="20">
        <f>J133-Table2529[[#This Row],[Stock Level  (North)]]</f>
        <v>-49</v>
      </c>
      <c r="L132" s="20">
        <f>IFERROR(GETPIVOTDATA("QTY",$B$56,"PRODUCT_DESCRIPTION", $B$103, "SALES_ORDER_DATE",Table2529[[#This Row],[Date]], "AREA_NAME", "North"), 0)</f>
        <v>49</v>
      </c>
      <c r="M132" s="20">
        <f>Table2529[[#This Row],[Stock Change (t1-t0) (North)]]+Table2529[[#This Row],[Sales]]</f>
        <v>0</v>
      </c>
      <c r="N132" s="18">
        <f>IF(Table2529[[#This Row],[Regional Transfer (Real)]]=0, 0, Table2529[[#This Row],[Regional Transfer (Real)]]+Table2529[[#This Row],[Stock Level  (North)]])</f>
        <v>0</v>
      </c>
      <c r="P132" s="4" t="s">
        <v>30</v>
      </c>
      <c r="Q132" s="20">
        <f t="shared" si="2"/>
        <v>162</v>
      </c>
      <c r="R132" s="20">
        <f>Q133-Table252930[[#This Row],[Stock Level  (South)]]</f>
        <v>-33</v>
      </c>
      <c r="S132" s="20">
        <f>IFERROR(GETPIVOTDATA("QTY",$B$56,"PRODUCT_DESCRIPTION", $B$103, "SALES_ORDER_DATE",Table252930[[#This Row],[Date]], "AREA_NAME", "South"), 0)</f>
        <v>33</v>
      </c>
      <c r="T132" s="20">
        <f>Table252930[[#This Row],[Stock Change (t1-t0) (South)]]+Table252930[[#This Row],[Sales]]</f>
        <v>0</v>
      </c>
      <c r="U132" s="18">
        <f>IF(Table252930[[#This Row],[Regional Transfer (Real)]]=0, 0, Table252930[[#This Row],[Regional Transfer (Real)]]+Table252930[[#This Row],[Stock Level  (South)]])</f>
        <v>0</v>
      </c>
      <c r="W132" s="4" t="s">
        <v>30</v>
      </c>
      <c r="X132" s="20">
        <f t="shared" si="3"/>
        <v>165</v>
      </c>
      <c r="Y132" s="20">
        <f>X133-Table25293032[[#This Row],[Stock Level  (West)]]</f>
        <v>0</v>
      </c>
      <c r="Z132" s="20">
        <f>IFERROR(GETPIVOTDATA("QTY",$B$56,"PRODUCT_DESCRIPTION", $B$103, "SALES_ORDER_DATE",Table25293032[[#This Row],[Date]], "AREA_NAME", "West"), 0)</f>
        <v>0</v>
      </c>
      <c r="AA132" s="20">
        <f>Table25293032[[#This Row],[Stock Change (t1-t0) (West)]]+Table25293032[[#This Row],[Sales]]</f>
        <v>0</v>
      </c>
      <c r="AB132" s="18">
        <f>IF(Table25293032[[#This Row],[Regional Transfer (Real)]]=0, 0, Table25293032[[#This Row],[Regional Transfer (Real)]]+Table25293032[[#This Row],[Stock Level  (West)]])</f>
        <v>0</v>
      </c>
      <c r="AD132" s="4"/>
      <c r="AE132" s="20"/>
      <c r="AF132" s="18"/>
      <c r="AG132" s="20"/>
      <c r="AH132" s="18"/>
      <c r="AI132" s="20"/>
      <c r="AJ132" s="18"/>
      <c r="AK132" s="20"/>
      <c r="AL132" s="18"/>
    </row>
    <row r="133" spans="2:38" x14ac:dyDescent="0.2">
      <c r="B133" s="4" t="s">
        <v>31</v>
      </c>
      <c r="C133" s="20">
        <f t="shared" si="0"/>
        <v>405</v>
      </c>
      <c r="D133" s="20">
        <f>C134-Table25[[#This Row],[Stock Level  ]]</f>
        <v>-88</v>
      </c>
      <c r="E133" s="20">
        <f>IFERROR(GETPIVOTDATA("QTY",$B$56,"PRODUCT_DESCRIPTION", $B$103, "SALES_ORDER_DATE",Table25[[#This Row],[Date]]), 0)</f>
        <v>88</v>
      </c>
      <c r="F133" s="20">
        <f>Table25[[#This Row],[Stock Change (t1-t0)]]+Table25[[#This Row],[Sales]]</f>
        <v>0</v>
      </c>
      <c r="G133" s="18">
        <f>IF(Table25[[#This Row],[Purchase (Real)]]=0, 0, Table25[[#This Row],[Purchase (Real)]]+C132)</f>
        <v>0</v>
      </c>
      <c r="I133" s="4" t="s">
        <v>31</v>
      </c>
      <c r="J133" s="20">
        <f t="shared" si="1"/>
        <v>111</v>
      </c>
      <c r="K133" s="20">
        <f>J134-Table2529[[#This Row],[Stock Level  (North)]]</f>
        <v>0</v>
      </c>
      <c r="L133" s="20">
        <f>IFERROR(GETPIVOTDATA("QTY",$B$56,"PRODUCT_DESCRIPTION", $B$103, "SALES_ORDER_DATE",Table2529[[#This Row],[Date]], "AREA_NAME", "North"), 0)</f>
        <v>0</v>
      </c>
      <c r="M133" s="20">
        <f>Table2529[[#This Row],[Stock Change (t1-t0) (North)]]+Table2529[[#This Row],[Sales]]</f>
        <v>0</v>
      </c>
      <c r="N133" s="18">
        <f>IF(Table2529[[#This Row],[Regional Transfer (Real)]]=0, 0, Table2529[[#This Row],[Regional Transfer (Real)]]+Table2529[[#This Row],[Stock Level  (North)]])</f>
        <v>0</v>
      </c>
      <c r="P133" s="4" t="s">
        <v>31</v>
      </c>
      <c r="Q133" s="20">
        <f t="shared" si="2"/>
        <v>129</v>
      </c>
      <c r="R133" s="20">
        <f>Q134-Table252930[[#This Row],[Stock Level  (South)]]</f>
        <v>-57</v>
      </c>
      <c r="S133" s="20">
        <f>IFERROR(GETPIVOTDATA("QTY",$B$56,"PRODUCT_DESCRIPTION", $B$103, "SALES_ORDER_DATE",Table252930[[#This Row],[Date]], "AREA_NAME", "South"), 0)</f>
        <v>57</v>
      </c>
      <c r="T133" s="20">
        <f>Table252930[[#This Row],[Stock Change (t1-t0) (South)]]+Table252930[[#This Row],[Sales]]</f>
        <v>0</v>
      </c>
      <c r="U133" s="18">
        <f>IF(Table252930[[#This Row],[Regional Transfer (Real)]]=0, 0, Table252930[[#This Row],[Regional Transfer (Real)]]+Table252930[[#This Row],[Stock Level  (South)]])</f>
        <v>0</v>
      </c>
      <c r="W133" s="4" t="s">
        <v>31</v>
      </c>
      <c r="X133" s="20">
        <f t="shared" si="3"/>
        <v>165</v>
      </c>
      <c r="Y133" s="20">
        <f>X134-Table25293032[[#This Row],[Stock Level  (West)]]</f>
        <v>-31</v>
      </c>
      <c r="Z133" s="20">
        <f>IFERROR(GETPIVOTDATA("QTY",$B$56,"PRODUCT_DESCRIPTION", $B$103, "SALES_ORDER_DATE",Table25293032[[#This Row],[Date]], "AREA_NAME", "West"), 0)</f>
        <v>31</v>
      </c>
      <c r="AA133" s="20">
        <f>Table25293032[[#This Row],[Stock Change (t1-t0) (West)]]+Table25293032[[#This Row],[Sales]]</f>
        <v>0</v>
      </c>
      <c r="AB133" s="18">
        <f>IF(Table25293032[[#This Row],[Regional Transfer (Real)]]=0, 0, Table25293032[[#This Row],[Regional Transfer (Real)]]+Table25293032[[#This Row],[Stock Level  (West)]])</f>
        <v>0</v>
      </c>
      <c r="AD133" s="4"/>
      <c r="AE133" s="20"/>
      <c r="AF133" s="18"/>
      <c r="AG133" s="20"/>
      <c r="AH133" s="18"/>
      <c r="AI133" s="20"/>
      <c r="AJ133" s="18"/>
      <c r="AK133" s="20"/>
      <c r="AL133" s="18"/>
    </row>
    <row r="134" spans="2:38" x14ac:dyDescent="0.2">
      <c r="B134" s="4" t="s">
        <v>32</v>
      </c>
      <c r="C134" s="20">
        <f t="shared" si="0"/>
        <v>317</v>
      </c>
      <c r="D134" s="20">
        <f>C135-Table25[[#This Row],[Stock Level  ]]</f>
        <v>195</v>
      </c>
      <c r="E134" s="20">
        <f>IFERROR(GETPIVOTDATA("QTY",$B$56,"PRODUCT_DESCRIPTION", $B$103, "SALES_ORDER_DATE",Table25[[#This Row],[Date]]), 0)</f>
        <v>0</v>
      </c>
      <c r="F134" s="20">
        <f>Table25[[#This Row],[Stock Change (t1-t0)]]+Table25[[#This Row],[Sales]]</f>
        <v>195</v>
      </c>
      <c r="G134" s="18">
        <f>IF(Table25[[#This Row],[Purchase (Real)]]=0, 0, Table25[[#This Row],[Purchase (Real)]]+C133)</f>
        <v>600</v>
      </c>
      <c r="I134" s="4" t="s">
        <v>32</v>
      </c>
      <c r="J134" s="20">
        <f t="shared" si="1"/>
        <v>111</v>
      </c>
      <c r="K134" s="20">
        <f>J135-Table2529[[#This Row],[Stock Level  (North)]]</f>
        <v>0</v>
      </c>
      <c r="L134" s="20">
        <f>IFERROR(GETPIVOTDATA("QTY",$B$56,"PRODUCT_DESCRIPTION", $B$103, "SALES_ORDER_DATE",Table2529[[#This Row],[Date]], "AREA_NAME", "North"), 0)</f>
        <v>0</v>
      </c>
      <c r="M134" s="20">
        <f>Table2529[[#This Row],[Stock Change (t1-t0) (North)]]+Table2529[[#This Row],[Sales]]</f>
        <v>0</v>
      </c>
      <c r="N134" s="18">
        <f>IF(Table2529[[#This Row],[Regional Transfer (Real)]]=0, 0, Table2529[[#This Row],[Regional Transfer (Real)]]+Table2529[[#This Row],[Stock Level  (North)]])</f>
        <v>0</v>
      </c>
      <c r="P134" s="4" t="s">
        <v>32</v>
      </c>
      <c r="Q134" s="20">
        <f t="shared" si="2"/>
        <v>72</v>
      </c>
      <c r="R134" s="20">
        <f>Q135-Table252930[[#This Row],[Stock Level  (South)]]</f>
        <v>0</v>
      </c>
      <c r="S134" s="20">
        <f>IFERROR(GETPIVOTDATA("QTY",$B$56,"PRODUCT_DESCRIPTION", $B$103, "SALES_ORDER_DATE",Table252930[[#This Row],[Date]], "AREA_NAME", "South"), 0)</f>
        <v>0</v>
      </c>
      <c r="T134" s="20">
        <f>Table252930[[#This Row],[Stock Change (t1-t0) (South)]]+Table252930[[#This Row],[Sales]]</f>
        <v>0</v>
      </c>
      <c r="U134" s="18">
        <f>IF(Table252930[[#This Row],[Regional Transfer (Real)]]=0, 0, Table252930[[#This Row],[Regional Transfer (Real)]]+Table252930[[#This Row],[Stock Level  (South)]])</f>
        <v>0</v>
      </c>
      <c r="W134" s="4" t="s">
        <v>32</v>
      </c>
      <c r="X134" s="20">
        <f t="shared" si="3"/>
        <v>134</v>
      </c>
      <c r="Y134" s="20">
        <f>X135-Table25293032[[#This Row],[Stock Level  (West)]]</f>
        <v>0</v>
      </c>
      <c r="Z134" s="20">
        <f>IFERROR(GETPIVOTDATA("QTY",$B$56,"PRODUCT_DESCRIPTION", $B$103, "SALES_ORDER_DATE",Table25293032[[#This Row],[Date]], "AREA_NAME", "West"), 0)</f>
        <v>0</v>
      </c>
      <c r="AA134" s="20">
        <f>Table25293032[[#This Row],[Stock Change (t1-t0) (West)]]+Table25293032[[#This Row],[Sales]]</f>
        <v>0</v>
      </c>
      <c r="AB134" s="18">
        <f>IF(Table25293032[[#This Row],[Regional Transfer (Real)]]=0, 0, Table25293032[[#This Row],[Regional Transfer (Real)]]+Table25293032[[#This Row],[Stock Level  (West)]])</f>
        <v>0</v>
      </c>
      <c r="AD134" s="4"/>
      <c r="AE134" s="20"/>
      <c r="AF134" s="18"/>
      <c r="AG134" s="20"/>
      <c r="AH134" s="18"/>
      <c r="AI134" s="20"/>
      <c r="AJ134" s="18"/>
      <c r="AK134" s="20"/>
      <c r="AL134" s="18"/>
    </row>
    <row r="135" spans="2:38" x14ac:dyDescent="0.2">
      <c r="B135" s="4" t="s">
        <v>33</v>
      </c>
      <c r="C135" s="20">
        <f t="shared" si="0"/>
        <v>512</v>
      </c>
      <c r="D135" s="20">
        <f>C136-Table25[[#This Row],[Stock Level  ]]</f>
        <v>-23</v>
      </c>
      <c r="E135" s="20">
        <f>IFERROR(GETPIVOTDATA("QTY",$B$56,"PRODUCT_DESCRIPTION", $B$103, "SALES_ORDER_DATE",Table25[[#This Row],[Date]]), 0)</f>
        <v>23</v>
      </c>
      <c r="F135" s="20">
        <f>Table25[[#This Row],[Stock Change (t1-t0)]]+Table25[[#This Row],[Sales]]</f>
        <v>0</v>
      </c>
      <c r="G135" s="18">
        <f>IF(Table25[[#This Row],[Purchase (Real)]]=0, 0, Table25[[#This Row],[Purchase (Real)]]+C134)</f>
        <v>0</v>
      </c>
      <c r="I135" s="4" t="s">
        <v>33</v>
      </c>
      <c r="J135" s="20">
        <f t="shared" si="1"/>
        <v>111</v>
      </c>
      <c r="K135" s="20">
        <f>J136-Table2529[[#This Row],[Stock Level  (North)]]</f>
        <v>0</v>
      </c>
      <c r="L135" s="20">
        <f>IFERROR(GETPIVOTDATA("QTY",$B$56,"PRODUCT_DESCRIPTION", $B$103, "SALES_ORDER_DATE",Table2529[[#This Row],[Date]], "AREA_NAME", "North"), 0)</f>
        <v>0</v>
      </c>
      <c r="M135" s="20">
        <f>Table2529[[#This Row],[Stock Change (t1-t0) (North)]]+Table2529[[#This Row],[Sales]]</f>
        <v>0</v>
      </c>
      <c r="N135" s="18">
        <f>IF(Table2529[[#This Row],[Regional Transfer (Real)]]=0, 0, Table2529[[#This Row],[Regional Transfer (Real)]]+Table2529[[#This Row],[Stock Level  (North)]])</f>
        <v>0</v>
      </c>
      <c r="P135" s="4" t="s">
        <v>33</v>
      </c>
      <c r="Q135" s="20">
        <f t="shared" si="2"/>
        <v>72</v>
      </c>
      <c r="R135" s="20">
        <f>Q136-Table252930[[#This Row],[Stock Level  (South)]]</f>
        <v>-23</v>
      </c>
      <c r="S135" s="20">
        <f>IFERROR(GETPIVOTDATA("QTY",$B$56,"PRODUCT_DESCRIPTION", $B$103, "SALES_ORDER_DATE",Table252930[[#This Row],[Date]], "AREA_NAME", "South"), 0)</f>
        <v>23</v>
      </c>
      <c r="T135" s="20">
        <f>Table252930[[#This Row],[Stock Change (t1-t0) (South)]]+Table252930[[#This Row],[Sales]]</f>
        <v>0</v>
      </c>
      <c r="U135" s="18">
        <f>IF(Table252930[[#This Row],[Regional Transfer (Real)]]=0, 0, Table252930[[#This Row],[Regional Transfer (Real)]]+Table252930[[#This Row],[Stock Level  (South)]])</f>
        <v>0</v>
      </c>
      <c r="W135" s="4" t="s">
        <v>33</v>
      </c>
      <c r="X135" s="20">
        <f t="shared" si="3"/>
        <v>134</v>
      </c>
      <c r="Y135" s="20">
        <f>X136-Table25293032[[#This Row],[Stock Level  (West)]]</f>
        <v>0</v>
      </c>
      <c r="Z135" s="20">
        <f>IFERROR(GETPIVOTDATA("QTY",$B$56,"PRODUCT_DESCRIPTION", $B$103, "SALES_ORDER_DATE",Table25293032[[#This Row],[Date]], "AREA_NAME", "West"), 0)</f>
        <v>0</v>
      </c>
      <c r="AA135" s="20">
        <f>Table25293032[[#This Row],[Stock Change (t1-t0) (West)]]+Table25293032[[#This Row],[Sales]]</f>
        <v>0</v>
      </c>
      <c r="AB135" s="18">
        <f>IF(Table25293032[[#This Row],[Regional Transfer (Real)]]=0, 0, Table25293032[[#This Row],[Regional Transfer (Real)]]+Table25293032[[#This Row],[Stock Level  (West)]])</f>
        <v>0</v>
      </c>
      <c r="AD135" s="4"/>
      <c r="AE135" s="20"/>
      <c r="AF135" s="18"/>
      <c r="AG135" s="20"/>
      <c r="AH135" s="18"/>
      <c r="AI135" s="20"/>
      <c r="AJ135" s="18"/>
      <c r="AK135" s="20"/>
      <c r="AL135" s="18"/>
    </row>
    <row r="136" spans="2:38" x14ac:dyDescent="0.2">
      <c r="B136" s="4" t="s">
        <v>34</v>
      </c>
      <c r="C136" s="20">
        <f t="shared" si="0"/>
        <v>489</v>
      </c>
      <c r="D136" s="20">
        <f>C137-Table25[[#This Row],[Stock Level  ]]</f>
        <v>0</v>
      </c>
      <c r="E136" s="20">
        <f>IFERROR(GETPIVOTDATA("QTY",$B$56,"PRODUCT_DESCRIPTION", $B$103, "SALES_ORDER_DATE",Table25[[#This Row],[Date]]), 0)</f>
        <v>0</v>
      </c>
      <c r="F136" s="20">
        <f>Table25[[#This Row],[Stock Change (t1-t0)]]+Table25[[#This Row],[Sales]]</f>
        <v>0</v>
      </c>
      <c r="G136" s="18">
        <f>IF(Table25[[#This Row],[Purchase (Real)]]=0, 0, Table25[[#This Row],[Purchase (Real)]]+C135)</f>
        <v>0</v>
      </c>
      <c r="I136" s="4" t="s">
        <v>34</v>
      </c>
      <c r="J136" s="20">
        <f t="shared" si="1"/>
        <v>111</v>
      </c>
      <c r="K136" s="20">
        <f>J137-Table2529[[#This Row],[Stock Level  (North)]]</f>
        <v>0</v>
      </c>
      <c r="L136" s="20">
        <f>IFERROR(GETPIVOTDATA("QTY",$B$56,"PRODUCT_DESCRIPTION", $B$103, "SALES_ORDER_DATE",Table2529[[#This Row],[Date]], "AREA_NAME", "North"), 0)</f>
        <v>0</v>
      </c>
      <c r="M136" s="20">
        <f>Table2529[[#This Row],[Stock Change (t1-t0) (North)]]+Table2529[[#This Row],[Sales]]</f>
        <v>0</v>
      </c>
      <c r="N136" s="18">
        <f>IF(Table2529[[#This Row],[Regional Transfer (Real)]]=0, 0, Table2529[[#This Row],[Regional Transfer (Real)]]+Table2529[[#This Row],[Stock Level  (North)]])</f>
        <v>0</v>
      </c>
      <c r="P136" s="4" t="s">
        <v>34</v>
      </c>
      <c r="Q136" s="20">
        <f t="shared" si="2"/>
        <v>49</v>
      </c>
      <c r="R136" s="20">
        <f>Q137-Table252930[[#This Row],[Stock Level  (South)]]</f>
        <v>0</v>
      </c>
      <c r="S136" s="20">
        <f>IFERROR(GETPIVOTDATA("QTY",$B$56,"PRODUCT_DESCRIPTION", $B$103, "SALES_ORDER_DATE",Table252930[[#This Row],[Date]], "AREA_NAME", "South"), 0)</f>
        <v>0</v>
      </c>
      <c r="T136" s="20">
        <f>Table252930[[#This Row],[Stock Change (t1-t0) (South)]]+Table252930[[#This Row],[Sales]]</f>
        <v>0</v>
      </c>
      <c r="U136" s="18">
        <f>IF(Table252930[[#This Row],[Regional Transfer (Real)]]=0, 0, Table252930[[#This Row],[Regional Transfer (Real)]]+Table252930[[#This Row],[Stock Level  (South)]])</f>
        <v>0</v>
      </c>
      <c r="W136" s="4" t="s">
        <v>34</v>
      </c>
      <c r="X136" s="20">
        <f t="shared" si="3"/>
        <v>134</v>
      </c>
      <c r="Y136" s="20">
        <f>X137-Table25293032[[#This Row],[Stock Level  (West)]]</f>
        <v>0</v>
      </c>
      <c r="Z136" s="20">
        <f>IFERROR(GETPIVOTDATA("QTY",$B$56,"PRODUCT_DESCRIPTION", $B$103, "SALES_ORDER_DATE",Table25293032[[#This Row],[Date]], "AREA_NAME", "West"), 0)</f>
        <v>0</v>
      </c>
      <c r="AA136" s="20">
        <f>Table25293032[[#This Row],[Stock Change (t1-t0) (West)]]+Table25293032[[#This Row],[Sales]]</f>
        <v>0</v>
      </c>
      <c r="AB136" s="18">
        <f>IF(Table25293032[[#This Row],[Regional Transfer (Real)]]=0, 0, Table25293032[[#This Row],[Regional Transfer (Real)]]+Table25293032[[#This Row],[Stock Level  (West)]])</f>
        <v>0</v>
      </c>
      <c r="AD136" s="4"/>
      <c r="AE136" s="20"/>
      <c r="AF136" s="18"/>
      <c r="AG136" s="20"/>
      <c r="AH136" s="18"/>
      <c r="AI136" s="20"/>
      <c r="AJ136" s="18"/>
      <c r="AK136" s="20"/>
      <c r="AL136" s="18"/>
    </row>
    <row r="137" spans="2:38" x14ac:dyDescent="0.2">
      <c r="B137" s="4" t="s">
        <v>35</v>
      </c>
      <c r="C137" s="20">
        <f t="shared" si="0"/>
        <v>489</v>
      </c>
      <c r="D137" s="20">
        <f>C138-Table25[[#This Row],[Stock Level  ]]</f>
        <v>-32</v>
      </c>
      <c r="E137" s="20">
        <f>IFERROR(GETPIVOTDATA("QTY",$B$56,"PRODUCT_DESCRIPTION", $B$103, "SALES_ORDER_DATE",Table25[[#This Row],[Date]]), 0)</f>
        <v>32</v>
      </c>
      <c r="F137" s="20">
        <f>Table25[[#This Row],[Stock Change (t1-t0)]]+Table25[[#This Row],[Sales]]</f>
        <v>0</v>
      </c>
      <c r="G137" s="18">
        <f>IF(Table25[[#This Row],[Purchase (Real)]]=0, 0, Table25[[#This Row],[Purchase (Real)]]+C136)</f>
        <v>0</v>
      </c>
      <c r="I137" s="4" t="s">
        <v>35</v>
      </c>
      <c r="J137" s="20">
        <f t="shared" si="1"/>
        <v>111</v>
      </c>
      <c r="K137" s="20">
        <f>J138-Table2529[[#This Row],[Stock Level  (North)]]</f>
        <v>25</v>
      </c>
      <c r="L137" s="20">
        <f>IFERROR(GETPIVOTDATA("QTY",$B$56,"PRODUCT_DESCRIPTION", $B$103, "SALES_ORDER_DATE",Table2529[[#This Row],[Date]], "AREA_NAME", "North"), 0)</f>
        <v>32</v>
      </c>
      <c r="M137" s="20">
        <f>Table2529[[#This Row],[Stock Change (t1-t0) (North)]]+Table2529[[#This Row],[Sales]]</f>
        <v>57</v>
      </c>
      <c r="N137" s="18">
        <f>IF(Table2529[[#This Row],[Regional Transfer (Real)]]=0, 0, Table2529[[#This Row],[Regional Transfer (Real)]]+Table2529[[#This Row],[Stock Level  (North)]])</f>
        <v>168</v>
      </c>
      <c r="P137" s="4" t="s">
        <v>35</v>
      </c>
      <c r="Q137" s="20">
        <f t="shared" si="2"/>
        <v>49</v>
      </c>
      <c r="R137" s="20">
        <f>Q138-Table252930[[#This Row],[Stock Level  (South)]]</f>
        <v>96</v>
      </c>
      <c r="S137" s="20">
        <f>IFERROR(GETPIVOTDATA("QTY",$B$56,"PRODUCT_DESCRIPTION", $B$103, "SALES_ORDER_DATE",Table252930[[#This Row],[Date]], "AREA_NAME", "South"), 0)</f>
        <v>0</v>
      </c>
      <c r="T137" s="20">
        <f>Table252930[[#This Row],[Stock Change (t1-t0) (South)]]+Table252930[[#This Row],[Sales]]</f>
        <v>96</v>
      </c>
      <c r="U137" s="18">
        <f>IF(Table252930[[#This Row],[Regional Transfer (Real)]]=0, 0, Table252930[[#This Row],[Regional Transfer (Real)]]+Table252930[[#This Row],[Stock Level  (South)]])</f>
        <v>145</v>
      </c>
      <c r="W137" s="4" t="s">
        <v>35</v>
      </c>
      <c r="X137" s="20">
        <f t="shared" si="3"/>
        <v>134</v>
      </c>
      <c r="Y137" s="20">
        <f>X138-Table25293032[[#This Row],[Stock Level  (West)]]</f>
        <v>42</v>
      </c>
      <c r="Z137" s="20">
        <f>IFERROR(GETPIVOTDATA("QTY",$B$56,"PRODUCT_DESCRIPTION", $B$103, "SALES_ORDER_DATE",Table25293032[[#This Row],[Date]], "AREA_NAME", "West"), 0)</f>
        <v>0</v>
      </c>
      <c r="AA137" s="20">
        <f>Table25293032[[#This Row],[Stock Change (t1-t0) (West)]]+Table25293032[[#This Row],[Sales]]</f>
        <v>42</v>
      </c>
      <c r="AB137" s="18">
        <f>IF(Table25293032[[#This Row],[Regional Transfer (Real)]]=0, 0, Table25293032[[#This Row],[Regional Transfer (Real)]]+Table25293032[[#This Row],[Stock Level  (West)]])</f>
        <v>176</v>
      </c>
      <c r="AD137" s="4"/>
      <c r="AE137" s="20"/>
      <c r="AF137" s="18"/>
      <c r="AG137" s="20"/>
      <c r="AH137" s="18"/>
      <c r="AI137" s="20"/>
      <c r="AJ137" s="18"/>
      <c r="AK137" s="20"/>
      <c r="AL137" s="18"/>
    </row>
    <row r="138" spans="2:38" x14ac:dyDescent="0.2">
      <c r="B138" s="4" t="s">
        <v>36</v>
      </c>
      <c r="C138" s="20">
        <f t="shared" si="0"/>
        <v>457</v>
      </c>
      <c r="D138" s="20">
        <f>C139-Table25[[#This Row],[Stock Level  ]]</f>
        <v>115</v>
      </c>
      <c r="E138" s="20">
        <f>IFERROR(GETPIVOTDATA("QTY",$B$56,"PRODUCT_DESCRIPTION", $B$103, "SALES_ORDER_DATE",Table25[[#This Row],[Date]]), 0)</f>
        <v>28</v>
      </c>
      <c r="F138" s="20">
        <f>Table25[[#This Row],[Stock Change (t1-t0)]]+Table25[[#This Row],[Sales]]</f>
        <v>143</v>
      </c>
      <c r="G138" s="18">
        <f>IF(Table25[[#This Row],[Purchase (Real)]]=0, 0, Table25[[#This Row],[Purchase (Real)]]+C137)</f>
        <v>632</v>
      </c>
      <c r="I138" s="4" t="s">
        <v>36</v>
      </c>
      <c r="J138" s="20">
        <f t="shared" si="1"/>
        <v>136</v>
      </c>
      <c r="K138" s="20">
        <f>J139-Table2529[[#This Row],[Stock Level  (North)]]</f>
        <v>0</v>
      </c>
      <c r="L138" s="20">
        <f>IFERROR(GETPIVOTDATA("QTY",$B$56,"PRODUCT_DESCRIPTION", $B$103, "SALES_ORDER_DATE",Table2529[[#This Row],[Date]], "AREA_NAME", "North"), 0)</f>
        <v>0</v>
      </c>
      <c r="M138" s="20">
        <f>Table2529[[#This Row],[Stock Change (t1-t0) (North)]]+Table2529[[#This Row],[Sales]]</f>
        <v>0</v>
      </c>
      <c r="N138" s="18">
        <f>IF(Table2529[[#This Row],[Regional Transfer (Real)]]=0, 0, Table2529[[#This Row],[Regional Transfer (Real)]]+Table2529[[#This Row],[Stock Level  (North)]])</f>
        <v>0</v>
      </c>
      <c r="P138" s="4" t="s">
        <v>36</v>
      </c>
      <c r="Q138" s="20">
        <f t="shared" si="2"/>
        <v>145</v>
      </c>
      <c r="R138" s="20">
        <f>Q139-Table252930[[#This Row],[Stock Level  (South)]]</f>
        <v>-28</v>
      </c>
      <c r="S138" s="20">
        <f>IFERROR(GETPIVOTDATA("QTY",$B$56,"PRODUCT_DESCRIPTION", $B$103, "SALES_ORDER_DATE",Table252930[[#This Row],[Date]], "AREA_NAME", "South"), 0)</f>
        <v>28</v>
      </c>
      <c r="T138" s="20">
        <f>Table252930[[#This Row],[Stock Change (t1-t0) (South)]]+Table252930[[#This Row],[Sales]]</f>
        <v>0</v>
      </c>
      <c r="U138" s="18">
        <f>IF(Table252930[[#This Row],[Regional Transfer (Real)]]=0, 0, Table252930[[#This Row],[Regional Transfer (Real)]]+Table252930[[#This Row],[Stock Level  (South)]])</f>
        <v>0</v>
      </c>
      <c r="W138" s="4" t="s">
        <v>36</v>
      </c>
      <c r="X138" s="20">
        <f t="shared" si="3"/>
        <v>176</v>
      </c>
      <c r="Y138" s="20">
        <f>X139-Table25293032[[#This Row],[Stock Level  (West)]]</f>
        <v>0</v>
      </c>
      <c r="Z138" s="20">
        <f>IFERROR(GETPIVOTDATA("QTY",$B$56,"PRODUCT_DESCRIPTION", $B$103, "SALES_ORDER_DATE",Table25293032[[#This Row],[Date]], "AREA_NAME", "West"), 0)</f>
        <v>0</v>
      </c>
      <c r="AA138" s="20">
        <f>Table25293032[[#This Row],[Stock Change (t1-t0) (West)]]+Table25293032[[#This Row],[Sales]]</f>
        <v>0</v>
      </c>
      <c r="AB138" s="18">
        <f>IF(Table25293032[[#This Row],[Regional Transfer (Real)]]=0, 0, Table25293032[[#This Row],[Regional Transfer (Real)]]+Table25293032[[#This Row],[Stock Level  (West)]])</f>
        <v>0</v>
      </c>
      <c r="AD138" s="4"/>
      <c r="AE138" s="20"/>
      <c r="AF138" s="18"/>
      <c r="AG138" s="20"/>
      <c r="AH138" s="18"/>
      <c r="AI138" s="20"/>
      <c r="AJ138" s="18"/>
      <c r="AK138" s="20"/>
      <c r="AL138" s="18"/>
    </row>
    <row r="139" spans="2:38" x14ac:dyDescent="0.2">
      <c r="B139" s="4" t="s">
        <v>58</v>
      </c>
      <c r="C139" s="20">
        <f t="shared" si="0"/>
        <v>572</v>
      </c>
      <c r="D139" s="20">
        <f>C140-Table25[[#This Row],[Stock Level  ]]</f>
        <v>0</v>
      </c>
      <c r="E139" s="20">
        <f>IFERROR(GETPIVOTDATA("QTY",$B$56,"PRODUCT_DESCRIPTION", $B$103, "SALES_ORDER_DATE",Table25[[#This Row],[Date]]), 0)</f>
        <v>0</v>
      </c>
      <c r="F139" s="20">
        <f>Table25[[#This Row],[Stock Change (t1-t0)]]+Table25[[#This Row],[Sales]]</f>
        <v>0</v>
      </c>
      <c r="G139" s="18">
        <f>IF(Table25[[#This Row],[Purchase (Real)]]=0, 0, Table25[[#This Row],[Purchase (Real)]]+C138)</f>
        <v>0</v>
      </c>
      <c r="I139" s="4" t="s">
        <v>58</v>
      </c>
      <c r="J139" s="20">
        <f t="shared" si="1"/>
        <v>136</v>
      </c>
      <c r="K139" s="20">
        <f>J140-Table2529[[#This Row],[Stock Level  (North)]]</f>
        <v>0</v>
      </c>
      <c r="L139" s="20">
        <f>IFERROR(GETPIVOTDATA("QTY",$B$56,"PRODUCT_DESCRIPTION", $B$103, "SALES_ORDER_DATE",Table2529[[#This Row],[Date]], "AREA_NAME", "North"), 0)</f>
        <v>0</v>
      </c>
      <c r="M139" s="20">
        <f>Table2529[[#This Row],[Stock Change (t1-t0) (North)]]+Table2529[[#This Row],[Sales]]</f>
        <v>0</v>
      </c>
      <c r="N139" s="18">
        <f>IF(Table2529[[#This Row],[Regional Transfer (Real)]]=0, 0, Table2529[[#This Row],[Regional Transfer (Real)]]+Table2529[[#This Row],[Stock Level  (North)]])</f>
        <v>0</v>
      </c>
      <c r="P139" s="4" t="s">
        <v>58</v>
      </c>
      <c r="Q139" s="20">
        <f t="shared" si="2"/>
        <v>117</v>
      </c>
      <c r="R139" s="20">
        <f>Q140-Table252930[[#This Row],[Stock Level  (South)]]</f>
        <v>0</v>
      </c>
      <c r="S139" s="20">
        <f>IFERROR(GETPIVOTDATA("QTY",$B$56,"PRODUCT_DESCRIPTION", $B$103, "SALES_ORDER_DATE",Table252930[[#This Row],[Date]], "AREA_NAME", "South"), 0)</f>
        <v>0</v>
      </c>
      <c r="T139" s="20">
        <f>Table252930[[#This Row],[Stock Change (t1-t0) (South)]]+Table252930[[#This Row],[Sales]]</f>
        <v>0</v>
      </c>
      <c r="U139" s="18">
        <f>IF(Table252930[[#This Row],[Regional Transfer (Real)]]=0, 0, Table252930[[#This Row],[Regional Transfer (Real)]]+Table252930[[#This Row],[Stock Level  (South)]])</f>
        <v>0</v>
      </c>
      <c r="W139" s="4" t="s">
        <v>58</v>
      </c>
      <c r="X139" s="20">
        <f t="shared" si="3"/>
        <v>176</v>
      </c>
      <c r="Y139" s="20">
        <f>X140-Table25293032[[#This Row],[Stock Level  (West)]]</f>
        <v>0</v>
      </c>
      <c r="Z139" s="20">
        <f>IFERROR(GETPIVOTDATA("QTY",$B$56,"PRODUCT_DESCRIPTION", $B$103, "SALES_ORDER_DATE",Table25293032[[#This Row],[Date]], "AREA_NAME", "West"), 0)</f>
        <v>0</v>
      </c>
      <c r="AA139" s="20">
        <f>Table25293032[[#This Row],[Stock Change (t1-t0) (West)]]+Table25293032[[#This Row],[Sales]]</f>
        <v>0</v>
      </c>
      <c r="AB139" s="18">
        <f>IF(Table25293032[[#This Row],[Regional Transfer (Real)]]=0, 0, Table25293032[[#This Row],[Regional Transfer (Real)]]+Table25293032[[#This Row],[Stock Level  (West)]])</f>
        <v>0</v>
      </c>
      <c r="AD139" s="4"/>
      <c r="AE139" s="20"/>
      <c r="AF139" s="18"/>
      <c r="AG139" s="20"/>
      <c r="AH139" s="18"/>
      <c r="AI139" s="20"/>
      <c r="AJ139" s="18"/>
      <c r="AK139" s="20"/>
      <c r="AL139" s="18"/>
    </row>
    <row r="140" spans="2:38" x14ac:dyDescent="0.2">
      <c r="B140" s="4" t="s">
        <v>37</v>
      </c>
      <c r="C140" s="20">
        <f t="shared" si="0"/>
        <v>572</v>
      </c>
      <c r="D140" s="20">
        <f>C141-Table25[[#This Row],[Stock Level  ]]</f>
        <v>-69</v>
      </c>
      <c r="E140" s="20">
        <f>IFERROR(GETPIVOTDATA("QTY",$B$56,"PRODUCT_DESCRIPTION", $B$103, "SALES_ORDER_DATE",Table25[[#This Row],[Date]]), 0)</f>
        <v>69</v>
      </c>
      <c r="F140" s="20">
        <f>Table25[[#This Row],[Stock Change (t1-t0)]]+Table25[[#This Row],[Sales]]</f>
        <v>0</v>
      </c>
      <c r="G140" s="18">
        <f>IF(Table25[[#This Row],[Purchase (Real)]]=0, 0, Table25[[#This Row],[Purchase (Real)]]+C139)</f>
        <v>0</v>
      </c>
      <c r="I140" s="4" t="s">
        <v>37</v>
      </c>
      <c r="J140" s="20">
        <f t="shared" si="1"/>
        <v>136</v>
      </c>
      <c r="K140" s="20">
        <f>J141-Table2529[[#This Row],[Stock Level  (North)]]</f>
        <v>-69</v>
      </c>
      <c r="L140" s="20">
        <f>IFERROR(GETPIVOTDATA("QTY",$B$56,"PRODUCT_DESCRIPTION", $B$103, "SALES_ORDER_DATE",Table2529[[#This Row],[Date]], "AREA_NAME", "North"), 0)</f>
        <v>69</v>
      </c>
      <c r="M140" s="20">
        <f>Table2529[[#This Row],[Stock Change (t1-t0) (North)]]+Table2529[[#This Row],[Sales]]</f>
        <v>0</v>
      </c>
      <c r="N140" s="18">
        <f>IF(Table2529[[#This Row],[Regional Transfer (Real)]]=0, 0, Table2529[[#This Row],[Regional Transfer (Real)]]+Table2529[[#This Row],[Stock Level  (North)]])</f>
        <v>0</v>
      </c>
      <c r="P140" s="4" t="s">
        <v>37</v>
      </c>
      <c r="Q140" s="20">
        <f t="shared" si="2"/>
        <v>117</v>
      </c>
      <c r="R140" s="20">
        <f>Q141-Table252930[[#This Row],[Stock Level  (South)]]</f>
        <v>0</v>
      </c>
      <c r="S140" s="20">
        <f>IFERROR(GETPIVOTDATA("QTY",$B$56,"PRODUCT_DESCRIPTION", $B$103, "SALES_ORDER_DATE",Table252930[[#This Row],[Date]], "AREA_NAME", "South"), 0)</f>
        <v>0</v>
      </c>
      <c r="T140" s="20">
        <f>Table252930[[#This Row],[Stock Change (t1-t0) (South)]]+Table252930[[#This Row],[Sales]]</f>
        <v>0</v>
      </c>
      <c r="U140" s="18">
        <f>IF(Table252930[[#This Row],[Regional Transfer (Real)]]=0, 0, Table252930[[#This Row],[Regional Transfer (Real)]]+Table252930[[#This Row],[Stock Level  (South)]])</f>
        <v>0</v>
      </c>
      <c r="W140" s="4" t="s">
        <v>37</v>
      </c>
      <c r="X140" s="20">
        <f t="shared" si="3"/>
        <v>176</v>
      </c>
      <c r="Y140" s="20">
        <f>X141-Table25293032[[#This Row],[Stock Level  (West)]]</f>
        <v>0</v>
      </c>
      <c r="Z140" s="20">
        <f>IFERROR(GETPIVOTDATA("QTY",$B$56,"PRODUCT_DESCRIPTION", $B$103, "SALES_ORDER_DATE",Table25293032[[#This Row],[Date]], "AREA_NAME", "West"), 0)</f>
        <v>0</v>
      </c>
      <c r="AA140" s="20">
        <f>Table25293032[[#This Row],[Stock Change (t1-t0) (West)]]+Table25293032[[#This Row],[Sales]]</f>
        <v>0</v>
      </c>
      <c r="AB140" s="18">
        <f>IF(Table25293032[[#This Row],[Regional Transfer (Real)]]=0, 0, Table25293032[[#This Row],[Regional Transfer (Real)]]+Table25293032[[#This Row],[Stock Level  (West)]])</f>
        <v>0</v>
      </c>
      <c r="AD140" s="4"/>
      <c r="AE140" s="20"/>
      <c r="AF140" s="18"/>
      <c r="AG140" s="20"/>
      <c r="AH140" s="18"/>
      <c r="AI140" s="20"/>
      <c r="AJ140" s="18"/>
      <c r="AK140" s="20"/>
      <c r="AL140" s="18"/>
    </row>
    <row r="141" spans="2:38" x14ac:dyDescent="0.2">
      <c r="B141" s="4" t="s">
        <v>38</v>
      </c>
      <c r="C141" s="20">
        <f t="shared" si="0"/>
        <v>503</v>
      </c>
      <c r="D141" s="20">
        <f>C142-Table25[[#This Row],[Stock Level  ]]</f>
        <v>0</v>
      </c>
      <c r="E141" s="20">
        <f>IFERROR(GETPIVOTDATA("QTY",$B$56,"PRODUCT_DESCRIPTION", $B$103, "SALES_ORDER_DATE",Table25[[#This Row],[Date]]), 0)</f>
        <v>0</v>
      </c>
      <c r="F141" s="20">
        <f>Table25[[#This Row],[Stock Change (t1-t0)]]+Table25[[#This Row],[Sales]]</f>
        <v>0</v>
      </c>
      <c r="G141" s="18">
        <f>IF(Table25[[#This Row],[Purchase (Real)]]=0, 0, Table25[[#This Row],[Purchase (Real)]]+C140)</f>
        <v>0</v>
      </c>
      <c r="I141" s="4" t="s">
        <v>38</v>
      </c>
      <c r="J141" s="20">
        <f t="shared" si="1"/>
        <v>67</v>
      </c>
      <c r="K141" s="20">
        <f>J142-Table2529[[#This Row],[Stock Level  (North)]]</f>
        <v>80</v>
      </c>
      <c r="L141" s="20">
        <f>IFERROR(GETPIVOTDATA("QTY",$B$56,"PRODUCT_DESCRIPTION", $B$103, "SALES_ORDER_DATE",Table2529[[#This Row],[Date]], "AREA_NAME", "North"), 0)</f>
        <v>0</v>
      </c>
      <c r="M141" s="20">
        <f>Table2529[[#This Row],[Stock Change (t1-t0) (North)]]+Table2529[[#This Row],[Sales]]</f>
        <v>80</v>
      </c>
      <c r="N141" s="18">
        <f>IF(Table2529[[#This Row],[Regional Transfer (Real)]]=0, 0, Table2529[[#This Row],[Regional Transfer (Real)]]+Table2529[[#This Row],[Stock Level  (North)]])</f>
        <v>147</v>
      </c>
      <c r="P141" s="4" t="s">
        <v>38</v>
      </c>
      <c r="Q141" s="20">
        <f t="shared" si="2"/>
        <v>117</v>
      </c>
      <c r="R141" s="20">
        <f>Q142-Table252930[[#This Row],[Stock Level  (South)]]</f>
        <v>49</v>
      </c>
      <c r="S141" s="20">
        <f>IFERROR(GETPIVOTDATA("QTY",$B$56,"PRODUCT_DESCRIPTION", $B$103, "SALES_ORDER_DATE",Table252930[[#This Row],[Date]], "AREA_NAME", "South"), 0)</f>
        <v>0</v>
      </c>
      <c r="T141" s="20">
        <f>Table252930[[#This Row],[Stock Change (t1-t0) (South)]]+Table252930[[#This Row],[Sales]]</f>
        <v>49</v>
      </c>
      <c r="U141" s="18">
        <f>IF(Table252930[[#This Row],[Regional Transfer (Real)]]=0, 0, Table252930[[#This Row],[Regional Transfer (Real)]]+Table252930[[#This Row],[Stock Level  (South)]])</f>
        <v>166</v>
      </c>
      <c r="W141" s="4" t="s">
        <v>38</v>
      </c>
      <c r="X141" s="20">
        <f t="shared" si="3"/>
        <v>176</v>
      </c>
      <c r="Y141" s="20">
        <f>X142-Table25293032[[#This Row],[Stock Level  (West)]]</f>
        <v>14</v>
      </c>
      <c r="Z141" s="20">
        <f>IFERROR(GETPIVOTDATA("QTY",$B$56,"PRODUCT_DESCRIPTION", $B$103, "SALES_ORDER_DATE",Table25293032[[#This Row],[Date]], "AREA_NAME", "West"), 0)</f>
        <v>0</v>
      </c>
      <c r="AA141" s="20">
        <f>Table25293032[[#This Row],[Stock Change (t1-t0) (West)]]+Table25293032[[#This Row],[Sales]]</f>
        <v>14</v>
      </c>
      <c r="AB141" s="18">
        <f>IF(Table25293032[[#This Row],[Regional Transfer (Real)]]=0, 0, Table25293032[[#This Row],[Regional Transfer (Real)]]+Table25293032[[#This Row],[Stock Level  (West)]])</f>
        <v>190</v>
      </c>
      <c r="AD141" s="4"/>
      <c r="AE141" s="20"/>
      <c r="AF141" s="18"/>
      <c r="AG141" s="20"/>
      <c r="AH141" s="18"/>
      <c r="AI141" s="20"/>
      <c r="AJ141" s="18"/>
      <c r="AK141" s="20"/>
      <c r="AL141" s="18"/>
    </row>
    <row r="142" spans="2:38" x14ac:dyDescent="0.2">
      <c r="B142" s="4" t="s">
        <v>39</v>
      </c>
      <c r="C142" s="20">
        <f t="shared" si="0"/>
        <v>503</v>
      </c>
      <c r="D142" s="20">
        <f>C143-Table25[[#This Row],[Stock Level  ]]</f>
        <v>-23</v>
      </c>
      <c r="E142" s="20">
        <f>IFERROR(GETPIVOTDATA("QTY",$B$56,"PRODUCT_DESCRIPTION", $B$103, "SALES_ORDER_DATE",Table25[[#This Row],[Date]]), 0)</f>
        <v>23</v>
      </c>
      <c r="F142" s="20">
        <f>Table25[[#This Row],[Stock Change (t1-t0)]]+Table25[[#This Row],[Sales]]</f>
        <v>0</v>
      </c>
      <c r="G142" s="18">
        <f>IF(Table25[[#This Row],[Purchase (Real)]]=0, 0, Table25[[#This Row],[Purchase (Real)]]+C141)</f>
        <v>0</v>
      </c>
      <c r="I142" s="4" t="s">
        <v>39</v>
      </c>
      <c r="J142" s="20">
        <f t="shared" si="1"/>
        <v>147</v>
      </c>
      <c r="K142" s="20">
        <f>J143-Table2529[[#This Row],[Stock Level  (North)]]</f>
        <v>-23</v>
      </c>
      <c r="L142" s="20">
        <f>IFERROR(GETPIVOTDATA("QTY",$B$56,"PRODUCT_DESCRIPTION", $B$103, "SALES_ORDER_DATE",Table2529[[#This Row],[Date]], "AREA_NAME", "North"), 0)</f>
        <v>23</v>
      </c>
      <c r="M142" s="20">
        <f>Table2529[[#This Row],[Stock Change (t1-t0) (North)]]+Table2529[[#This Row],[Sales]]</f>
        <v>0</v>
      </c>
      <c r="N142" s="18">
        <f>IF(Table2529[[#This Row],[Regional Transfer (Real)]]=0, 0, Table2529[[#This Row],[Regional Transfer (Real)]]+Table2529[[#This Row],[Stock Level  (North)]])</f>
        <v>0</v>
      </c>
      <c r="P142" s="4" t="s">
        <v>39</v>
      </c>
      <c r="Q142" s="20">
        <f t="shared" si="2"/>
        <v>166</v>
      </c>
      <c r="R142" s="20">
        <f>Q143-Table252930[[#This Row],[Stock Level  (South)]]</f>
        <v>0</v>
      </c>
      <c r="S142" s="20">
        <f>IFERROR(GETPIVOTDATA("QTY",$B$56,"PRODUCT_DESCRIPTION", $B$103, "SALES_ORDER_DATE",Table252930[[#This Row],[Date]], "AREA_NAME", "South"), 0)</f>
        <v>0</v>
      </c>
      <c r="T142" s="20">
        <f>Table252930[[#This Row],[Stock Change (t1-t0) (South)]]+Table252930[[#This Row],[Sales]]</f>
        <v>0</v>
      </c>
      <c r="U142" s="18">
        <f>IF(Table252930[[#This Row],[Regional Transfer (Real)]]=0, 0, Table252930[[#This Row],[Regional Transfer (Real)]]+Table252930[[#This Row],[Stock Level  (South)]])</f>
        <v>0</v>
      </c>
      <c r="W142" s="4" t="s">
        <v>39</v>
      </c>
      <c r="X142" s="20">
        <f t="shared" si="3"/>
        <v>190</v>
      </c>
      <c r="Y142" s="20">
        <f>X143-Table25293032[[#This Row],[Stock Level  (West)]]</f>
        <v>0</v>
      </c>
      <c r="Z142" s="20">
        <f>IFERROR(GETPIVOTDATA("QTY",$B$56,"PRODUCT_DESCRIPTION", $B$103, "SALES_ORDER_DATE",Table25293032[[#This Row],[Date]], "AREA_NAME", "West"), 0)</f>
        <v>0</v>
      </c>
      <c r="AA142" s="20">
        <f>Table25293032[[#This Row],[Stock Change (t1-t0) (West)]]+Table25293032[[#This Row],[Sales]]</f>
        <v>0</v>
      </c>
      <c r="AB142" s="18">
        <f>IF(Table25293032[[#This Row],[Regional Transfer (Real)]]=0, 0, Table25293032[[#This Row],[Regional Transfer (Real)]]+Table25293032[[#This Row],[Stock Level  (West)]])</f>
        <v>0</v>
      </c>
      <c r="AD142" s="4"/>
      <c r="AE142" s="20"/>
      <c r="AF142" s="18"/>
      <c r="AG142" s="20"/>
      <c r="AH142" s="18"/>
      <c r="AI142" s="20"/>
      <c r="AJ142" s="18"/>
      <c r="AK142" s="20"/>
      <c r="AL142" s="18"/>
    </row>
    <row r="143" spans="2:38" x14ac:dyDescent="0.2">
      <c r="B143" s="4" t="s">
        <v>40</v>
      </c>
      <c r="C143" s="20">
        <f t="shared" si="0"/>
        <v>480</v>
      </c>
      <c r="D143" s="20">
        <f>C144-Table25[[#This Row],[Stock Level  ]]</f>
        <v>0</v>
      </c>
      <c r="E143" s="20">
        <f>IFERROR(GETPIVOTDATA("QTY",$B$56,"PRODUCT_DESCRIPTION", $B$103, "SALES_ORDER_DATE",Table25[[#This Row],[Date]]), 0)</f>
        <v>0</v>
      </c>
      <c r="F143" s="20">
        <f>Table25[[#This Row],[Stock Change (t1-t0)]]+Table25[[#This Row],[Sales]]</f>
        <v>0</v>
      </c>
      <c r="G143" s="18">
        <f>IF(Table25[[#This Row],[Purchase (Real)]]=0, 0, Table25[[#This Row],[Purchase (Real)]]+C142)</f>
        <v>0</v>
      </c>
      <c r="I143" s="4" t="s">
        <v>40</v>
      </c>
      <c r="J143" s="20">
        <f t="shared" si="1"/>
        <v>124</v>
      </c>
      <c r="K143" s="20">
        <f>J144-Table2529[[#This Row],[Stock Level  (North)]]</f>
        <v>0</v>
      </c>
      <c r="L143" s="20">
        <f>IFERROR(GETPIVOTDATA("QTY",$B$56,"PRODUCT_DESCRIPTION", $B$103, "SALES_ORDER_DATE",Table2529[[#This Row],[Date]], "AREA_NAME", "North"), 0)</f>
        <v>0</v>
      </c>
      <c r="M143" s="20">
        <f>Table2529[[#This Row],[Stock Change (t1-t0) (North)]]+Table2529[[#This Row],[Sales]]</f>
        <v>0</v>
      </c>
      <c r="N143" s="18">
        <f>IF(Table2529[[#This Row],[Regional Transfer (Real)]]=0, 0, Table2529[[#This Row],[Regional Transfer (Real)]]+Table2529[[#This Row],[Stock Level  (North)]])</f>
        <v>0</v>
      </c>
      <c r="P143" s="4" t="s">
        <v>40</v>
      </c>
      <c r="Q143" s="20">
        <f t="shared" si="2"/>
        <v>166</v>
      </c>
      <c r="R143" s="20">
        <f>Q144-Table252930[[#This Row],[Stock Level  (South)]]</f>
        <v>0</v>
      </c>
      <c r="S143" s="20">
        <f>IFERROR(GETPIVOTDATA("QTY",$B$56,"PRODUCT_DESCRIPTION", $B$103, "SALES_ORDER_DATE",Table252930[[#This Row],[Date]], "AREA_NAME", "South"), 0)</f>
        <v>0</v>
      </c>
      <c r="T143" s="20">
        <f>Table252930[[#This Row],[Stock Change (t1-t0) (South)]]+Table252930[[#This Row],[Sales]]</f>
        <v>0</v>
      </c>
      <c r="U143" s="18">
        <f>IF(Table252930[[#This Row],[Regional Transfer (Real)]]=0, 0, Table252930[[#This Row],[Regional Transfer (Real)]]+Table252930[[#This Row],[Stock Level  (South)]])</f>
        <v>0</v>
      </c>
      <c r="W143" s="4" t="s">
        <v>40</v>
      </c>
      <c r="X143" s="20">
        <f t="shared" si="3"/>
        <v>190</v>
      </c>
      <c r="Y143" s="20">
        <f>X144-Table25293032[[#This Row],[Stock Level  (West)]]</f>
        <v>0</v>
      </c>
      <c r="Z143" s="20">
        <f>IFERROR(GETPIVOTDATA("QTY",$B$56,"PRODUCT_DESCRIPTION", $B$103, "SALES_ORDER_DATE",Table25293032[[#This Row],[Date]], "AREA_NAME", "West"), 0)</f>
        <v>0</v>
      </c>
      <c r="AA143" s="20">
        <f>Table25293032[[#This Row],[Stock Change (t1-t0) (West)]]+Table25293032[[#This Row],[Sales]]</f>
        <v>0</v>
      </c>
      <c r="AB143" s="18">
        <f>IF(Table25293032[[#This Row],[Regional Transfer (Real)]]=0, 0, Table25293032[[#This Row],[Regional Transfer (Real)]]+Table25293032[[#This Row],[Stock Level  (West)]])</f>
        <v>0</v>
      </c>
      <c r="AD143" s="4"/>
      <c r="AE143" s="20"/>
      <c r="AF143" s="18"/>
      <c r="AG143" s="20"/>
      <c r="AH143" s="18"/>
      <c r="AI143" s="20"/>
      <c r="AJ143" s="18"/>
      <c r="AK143" s="20"/>
      <c r="AL143" s="18"/>
    </row>
    <row r="144" spans="2:38" x14ac:dyDescent="0.2">
      <c r="B144" s="4" t="s">
        <v>41</v>
      </c>
      <c r="C144" s="20">
        <f t="shared" si="0"/>
        <v>480</v>
      </c>
      <c r="D144" s="20">
        <f>C145-Table25[[#This Row],[Stock Level  ]]</f>
        <v>0</v>
      </c>
      <c r="E144" s="20">
        <f>IFERROR(GETPIVOTDATA("QTY",$B$56,"PRODUCT_DESCRIPTION", $B$103, "SALES_ORDER_DATE",Table25[[#This Row],[Date]]), 0)</f>
        <v>0</v>
      </c>
      <c r="F144" s="20">
        <f>Table25[[#This Row],[Stock Change (t1-t0)]]+Table25[[#This Row],[Sales]]</f>
        <v>0</v>
      </c>
      <c r="G144" s="18">
        <f>IF(Table25[[#This Row],[Purchase (Real)]]=0, 0, Table25[[#This Row],[Purchase (Real)]]+C143)</f>
        <v>0</v>
      </c>
      <c r="I144" s="4" t="s">
        <v>41</v>
      </c>
      <c r="J144" s="20">
        <f t="shared" si="1"/>
        <v>124</v>
      </c>
      <c r="K144" s="20">
        <f>J145-Table2529[[#This Row],[Stock Level  (North)]]</f>
        <v>0</v>
      </c>
      <c r="L144" s="20">
        <f>IFERROR(GETPIVOTDATA("QTY",$B$56,"PRODUCT_DESCRIPTION", $B$103, "SALES_ORDER_DATE",Table2529[[#This Row],[Date]], "AREA_NAME", "North"), 0)</f>
        <v>0</v>
      </c>
      <c r="M144" s="20">
        <f>Table2529[[#This Row],[Stock Change (t1-t0) (North)]]+Table2529[[#This Row],[Sales]]</f>
        <v>0</v>
      </c>
      <c r="N144" s="18">
        <f>IF(Table2529[[#This Row],[Regional Transfer (Real)]]=0, 0, Table2529[[#This Row],[Regional Transfer (Real)]]+Table2529[[#This Row],[Stock Level  (North)]])</f>
        <v>0</v>
      </c>
      <c r="P144" s="4" t="s">
        <v>41</v>
      </c>
      <c r="Q144" s="20">
        <f t="shared" si="2"/>
        <v>166</v>
      </c>
      <c r="R144" s="20">
        <f>Q145-Table252930[[#This Row],[Stock Level  (South)]]</f>
        <v>0</v>
      </c>
      <c r="S144" s="20">
        <f>IFERROR(GETPIVOTDATA("QTY",$B$56,"PRODUCT_DESCRIPTION", $B$103, "SALES_ORDER_DATE",Table252930[[#This Row],[Date]], "AREA_NAME", "South"), 0)</f>
        <v>0</v>
      </c>
      <c r="T144" s="20">
        <f>Table252930[[#This Row],[Stock Change (t1-t0) (South)]]+Table252930[[#This Row],[Sales]]</f>
        <v>0</v>
      </c>
      <c r="U144" s="18">
        <f>IF(Table252930[[#This Row],[Regional Transfer (Real)]]=0, 0, Table252930[[#This Row],[Regional Transfer (Real)]]+Table252930[[#This Row],[Stock Level  (South)]])</f>
        <v>0</v>
      </c>
      <c r="W144" s="4" t="s">
        <v>41</v>
      </c>
      <c r="X144" s="20">
        <f t="shared" si="3"/>
        <v>190</v>
      </c>
      <c r="Y144" s="20">
        <f>X145-Table25293032[[#This Row],[Stock Level  (West)]]</f>
        <v>0</v>
      </c>
      <c r="Z144" s="20">
        <f>IFERROR(GETPIVOTDATA("QTY",$B$56,"PRODUCT_DESCRIPTION", $B$103, "SALES_ORDER_DATE",Table25293032[[#This Row],[Date]], "AREA_NAME", "West"), 0)</f>
        <v>0</v>
      </c>
      <c r="AA144" s="20">
        <f>Table25293032[[#This Row],[Stock Change (t1-t0) (West)]]+Table25293032[[#This Row],[Sales]]</f>
        <v>0</v>
      </c>
      <c r="AB144" s="18">
        <f>IF(Table25293032[[#This Row],[Regional Transfer (Real)]]=0, 0, Table25293032[[#This Row],[Regional Transfer (Real)]]+Table25293032[[#This Row],[Stock Level  (West)]])</f>
        <v>0</v>
      </c>
      <c r="AD144" s="4"/>
      <c r="AE144" s="20"/>
      <c r="AF144" s="18"/>
      <c r="AG144" s="20"/>
      <c r="AH144" s="18"/>
      <c r="AI144" s="20"/>
      <c r="AJ144" s="18"/>
      <c r="AK144" s="20"/>
      <c r="AL144" s="18"/>
    </row>
    <row r="145" spans="2:38" x14ac:dyDescent="0.2">
      <c r="B145" s="4" t="s">
        <v>42</v>
      </c>
      <c r="C145" s="20">
        <f t="shared" si="0"/>
        <v>480</v>
      </c>
      <c r="D145" s="20">
        <f>C146-Table25[[#This Row],[Stock Level  ]]</f>
        <v>-25</v>
      </c>
      <c r="E145" s="20">
        <f>IFERROR(GETPIVOTDATA("QTY",$B$56,"PRODUCT_DESCRIPTION", $B$103, "SALES_ORDER_DATE",Table25[[#This Row],[Date]]), 0)</f>
        <v>25</v>
      </c>
      <c r="F145" s="20">
        <f>Table25[[#This Row],[Stock Change (t1-t0)]]+Table25[[#This Row],[Sales]]</f>
        <v>0</v>
      </c>
      <c r="G145" s="18">
        <f>IF(Table25[[#This Row],[Purchase (Real)]]=0, 0, Table25[[#This Row],[Purchase (Real)]]+C144)</f>
        <v>0</v>
      </c>
      <c r="I145" s="4" t="s">
        <v>42</v>
      </c>
      <c r="J145" s="20">
        <f t="shared" si="1"/>
        <v>124</v>
      </c>
      <c r="K145" s="20">
        <f>J146-Table2529[[#This Row],[Stock Level  (North)]]</f>
        <v>-25</v>
      </c>
      <c r="L145" s="20">
        <f>IFERROR(GETPIVOTDATA("QTY",$B$56,"PRODUCT_DESCRIPTION", $B$103, "SALES_ORDER_DATE",Table2529[[#This Row],[Date]], "AREA_NAME", "North"), 0)</f>
        <v>25</v>
      </c>
      <c r="M145" s="20">
        <f>Table2529[[#This Row],[Stock Change (t1-t0) (North)]]+Table2529[[#This Row],[Sales]]</f>
        <v>0</v>
      </c>
      <c r="N145" s="18">
        <f>IF(Table2529[[#This Row],[Regional Transfer (Real)]]=0, 0, Table2529[[#This Row],[Regional Transfer (Real)]]+Table2529[[#This Row],[Stock Level  (North)]])</f>
        <v>0</v>
      </c>
      <c r="P145" s="4" t="s">
        <v>42</v>
      </c>
      <c r="Q145" s="20">
        <f t="shared" si="2"/>
        <v>166</v>
      </c>
      <c r="R145" s="20">
        <f>Q146-Table252930[[#This Row],[Stock Level  (South)]]</f>
        <v>0</v>
      </c>
      <c r="S145" s="20">
        <f>IFERROR(GETPIVOTDATA("QTY",$B$56,"PRODUCT_DESCRIPTION", $B$103, "SALES_ORDER_DATE",Table252930[[#This Row],[Date]], "AREA_NAME", "South"), 0)</f>
        <v>0</v>
      </c>
      <c r="T145" s="20">
        <f>Table252930[[#This Row],[Stock Change (t1-t0) (South)]]+Table252930[[#This Row],[Sales]]</f>
        <v>0</v>
      </c>
      <c r="U145" s="18">
        <f>IF(Table252930[[#This Row],[Regional Transfer (Real)]]=0, 0, Table252930[[#This Row],[Regional Transfer (Real)]]+Table252930[[#This Row],[Stock Level  (South)]])</f>
        <v>0</v>
      </c>
      <c r="W145" s="4" t="s">
        <v>42</v>
      </c>
      <c r="X145" s="20">
        <f t="shared" si="3"/>
        <v>190</v>
      </c>
      <c r="Y145" s="20">
        <f>X146-Table25293032[[#This Row],[Stock Level  (West)]]</f>
        <v>0</v>
      </c>
      <c r="Z145" s="20">
        <f>IFERROR(GETPIVOTDATA("QTY",$B$56,"PRODUCT_DESCRIPTION", $B$103, "SALES_ORDER_DATE",Table25293032[[#This Row],[Date]], "AREA_NAME", "West"), 0)</f>
        <v>0</v>
      </c>
      <c r="AA145" s="20">
        <f>Table25293032[[#This Row],[Stock Change (t1-t0) (West)]]+Table25293032[[#This Row],[Sales]]</f>
        <v>0</v>
      </c>
      <c r="AB145" s="18">
        <f>IF(Table25293032[[#This Row],[Regional Transfer (Real)]]=0, 0, Table25293032[[#This Row],[Regional Transfer (Real)]]+Table25293032[[#This Row],[Stock Level  (West)]])</f>
        <v>0</v>
      </c>
      <c r="AD145" s="4"/>
      <c r="AE145" s="20"/>
      <c r="AF145" s="18"/>
      <c r="AG145" s="20"/>
      <c r="AH145" s="18"/>
      <c r="AI145" s="20"/>
      <c r="AJ145" s="18"/>
      <c r="AK145" s="20"/>
      <c r="AL145" s="18"/>
    </row>
    <row r="146" spans="2:38" x14ac:dyDescent="0.2">
      <c r="B146" s="4" t="s">
        <v>43</v>
      </c>
      <c r="C146" s="20">
        <f t="shared" si="0"/>
        <v>455</v>
      </c>
      <c r="D146" s="20">
        <f>C147-Table25[[#This Row],[Stock Level  ]]</f>
        <v>-57</v>
      </c>
      <c r="E146" s="20">
        <f>IFERROR(GETPIVOTDATA("QTY",$B$56,"PRODUCT_DESCRIPTION", $B$103, "SALES_ORDER_DATE",Table25[[#This Row],[Date]]), 0)</f>
        <v>57</v>
      </c>
      <c r="F146" s="20">
        <f>Table25[[#This Row],[Stock Change (t1-t0)]]+Table25[[#This Row],[Sales]]</f>
        <v>0</v>
      </c>
      <c r="G146" s="18">
        <f>IF(Table25[[#This Row],[Purchase (Real)]]=0, 0, Table25[[#This Row],[Purchase (Real)]]+C145)</f>
        <v>0</v>
      </c>
      <c r="I146" s="4" t="s">
        <v>43</v>
      </c>
      <c r="J146" s="20">
        <f t="shared" si="1"/>
        <v>99</v>
      </c>
      <c r="K146" s="20">
        <f>J147-Table2529[[#This Row],[Stock Level  (North)]]</f>
        <v>-32</v>
      </c>
      <c r="L146" s="20">
        <f>IFERROR(GETPIVOTDATA("QTY",$B$56,"PRODUCT_DESCRIPTION", $B$103, "SALES_ORDER_DATE",Table2529[[#This Row],[Date]], "AREA_NAME", "North"), 0)</f>
        <v>32</v>
      </c>
      <c r="M146" s="20">
        <f>Table2529[[#This Row],[Stock Change (t1-t0) (North)]]+Table2529[[#This Row],[Sales]]</f>
        <v>0</v>
      </c>
      <c r="N146" s="18">
        <f>IF(Table2529[[#This Row],[Regional Transfer (Real)]]=0, 0, Table2529[[#This Row],[Regional Transfer (Real)]]+Table2529[[#This Row],[Stock Level  (North)]])</f>
        <v>0</v>
      </c>
      <c r="P146" s="4" t="s">
        <v>43</v>
      </c>
      <c r="Q146" s="20">
        <f t="shared" si="2"/>
        <v>166</v>
      </c>
      <c r="R146" s="20">
        <f>Q147-Table252930[[#This Row],[Stock Level  (South)]]</f>
        <v>0</v>
      </c>
      <c r="S146" s="20">
        <f>IFERROR(GETPIVOTDATA("QTY",$B$56,"PRODUCT_DESCRIPTION", $B$103, "SALES_ORDER_DATE",Table252930[[#This Row],[Date]], "AREA_NAME", "South"), 0)</f>
        <v>0</v>
      </c>
      <c r="T146" s="20">
        <f>Table252930[[#This Row],[Stock Change (t1-t0) (South)]]+Table252930[[#This Row],[Sales]]</f>
        <v>0</v>
      </c>
      <c r="U146" s="18">
        <f>IF(Table252930[[#This Row],[Regional Transfer (Real)]]=0, 0, Table252930[[#This Row],[Regional Transfer (Real)]]+Table252930[[#This Row],[Stock Level  (South)]])</f>
        <v>0</v>
      </c>
      <c r="W146" s="4" t="s">
        <v>43</v>
      </c>
      <c r="X146" s="20">
        <f t="shared" si="3"/>
        <v>190</v>
      </c>
      <c r="Y146" s="20">
        <f>X147-Table25293032[[#This Row],[Stock Level  (West)]]</f>
        <v>-25</v>
      </c>
      <c r="Z146" s="20">
        <f>IFERROR(GETPIVOTDATA("QTY",$B$56,"PRODUCT_DESCRIPTION", $B$103, "SALES_ORDER_DATE",Table25293032[[#This Row],[Date]], "AREA_NAME", "West"), 0)</f>
        <v>25</v>
      </c>
      <c r="AA146" s="20">
        <f>Table25293032[[#This Row],[Stock Change (t1-t0) (West)]]+Table25293032[[#This Row],[Sales]]</f>
        <v>0</v>
      </c>
      <c r="AB146" s="18">
        <f>IF(Table25293032[[#This Row],[Regional Transfer (Real)]]=0, 0, Table25293032[[#This Row],[Regional Transfer (Real)]]+Table25293032[[#This Row],[Stock Level  (West)]])</f>
        <v>0</v>
      </c>
      <c r="AD146" s="4"/>
      <c r="AE146" s="20"/>
      <c r="AF146" s="18"/>
      <c r="AG146" s="20"/>
      <c r="AH146" s="18"/>
      <c r="AI146" s="20"/>
      <c r="AJ146" s="18"/>
      <c r="AK146" s="20"/>
      <c r="AL146" s="18"/>
    </row>
    <row r="147" spans="2:38" x14ac:dyDescent="0.2">
      <c r="B147" s="4" t="s">
        <v>44</v>
      </c>
      <c r="C147" s="20">
        <f t="shared" si="0"/>
        <v>398</v>
      </c>
      <c r="D147" s="20">
        <f>C148-Table25[[#This Row],[Stock Level  ]]</f>
        <v>144</v>
      </c>
      <c r="E147" s="20">
        <f>IFERROR(GETPIVOTDATA("QTY",$B$56,"PRODUCT_DESCRIPTION", $B$103, "SALES_ORDER_DATE",Table25[[#This Row],[Date]]), 0)</f>
        <v>58</v>
      </c>
      <c r="F147" s="20">
        <f>Table25[[#This Row],[Stock Change (t1-t0)]]+Table25[[#This Row],[Sales]]</f>
        <v>202</v>
      </c>
      <c r="G147" s="18">
        <f>IF(Table25[[#This Row],[Purchase (Real)]]=0, 0, Table25[[#This Row],[Purchase (Real)]]+C146)</f>
        <v>657</v>
      </c>
      <c r="I147" s="4" t="s">
        <v>44</v>
      </c>
      <c r="J147" s="20">
        <f t="shared" si="1"/>
        <v>67</v>
      </c>
      <c r="K147" s="20">
        <f>J148-Table2529[[#This Row],[Stock Level  (North)]]</f>
        <v>0</v>
      </c>
      <c r="L147" s="20">
        <f>IFERROR(GETPIVOTDATA("QTY",$B$56,"PRODUCT_DESCRIPTION", $B$103, "SALES_ORDER_DATE",Table2529[[#This Row],[Date]], "AREA_NAME", "North"), 0)</f>
        <v>0</v>
      </c>
      <c r="M147" s="20">
        <f>Table2529[[#This Row],[Stock Change (t1-t0) (North)]]+Table2529[[#This Row],[Sales]]</f>
        <v>0</v>
      </c>
      <c r="N147" s="18">
        <f>IF(Table2529[[#This Row],[Regional Transfer (Real)]]=0, 0, Table2529[[#This Row],[Regional Transfer (Real)]]+Table2529[[#This Row],[Stock Level  (North)]])</f>
        <v>0</v>
      </c>
      <c r="P147" s="4" t="s">
        <v>44</v>
      </c>
      <c r="Q147" s="20">
        <f t="shared" si="2"/>
        <v>166</v>
      </c>
      <c r="R147" s="20">
        <f>Q148-Table252930[[#This Row],[Stock Level  (South)]]</f>
        <v>-27</v>
      </c>
      <c r="S147" s="20">
        <f>IFERROR(GETPIVOTDATA("QTY",$B$56,"PRODUCT_DESCRIPTION", $B$103, "SALES_ORDER_DATE",Table252930[[#This Row],[Date]], "AREA_NAME", "South"), 0)</f>
        <v>27</v>
      </c>
      <c r="T147" s="20">
        <f>Table252930[[#This Row],[Stock Change (t1-t0) (South)]]+Table252930[[#This Row],[Sales]]</f>
        <v>0</v>
      </c>
      <c r="U147" s="18">
        <f>IF(Table252930[[#This Row],[Regional Transfer (Real)]]=0, 0, Table252930[[#This Row],[Regional Transfer (Real)]]+Table252930[[#This Row],[Stock Level  (South)]])</f>
        <v>0</v>
      </c>
      <c r="W147" s="4" t="s">
        <v>44</v>
      </c>
      <c r="X147" s="20">
        <f t="shared" si="3"/>
        <v>165</v>
      </c>
      <c r="Y147" s="20">
        <f>X148-Table25293032[[#This Row],[Stock Level  (West)]]</f>
        <v>-31</v>
      </c>
      <c r="Z147" s="20">
        <f>IFERROR(GETPIVOTDATA("QTY",$B$56,"PRODUCT_DESCRIPTION", $B$103, "SALES_ORDER_DATE",Table25293032[[#This Row],[Date]], "AREA_NAME", "West"), 0)</f>
        <v>31</v>
      </c>
      <c r="AA147" s="20">
        <f>Table25293032[[#This Row],[Stock Change (t1-t0) (West)]]+Table25293032[[#This Row],[Sales]]</f>
        <v>0</v>
      </c>
      <c r="AB147" s="18">
        <f>IF(Table25293032[[#This Row],[Regional Transfer (Real)]]=0, 0, Table25293032[[#This Row],[Regional Transfer (Real)]]+Table25293032[[#This Row],[Stock Level  (West)]])</f>
        <v>0</v>
      </c>
      <c r="AD147" s="4"/>
      <c r="AE147" s="20"/>
      <c r="AF147" s="18"/>
      <c r="AG147" s="20"/>
      <c r="AH147" s="18"/>
      <c r="AI147" s="20"/>
      <c r="AJ147" s="18"/>
      <c r="AK147" s="20"/>
      <c r="AL147" s="18"/>
    </row>
    <row r="148" spans="2:38" x14ac:dyDescent="0.2">
      <c r="B148" s="4" t="s">
        <v>45</v>
      </c>
      <c r="C148" s="20">
        <f t="shared" si="0"/>
        <v>542</v>
      </c>
      <c r="D148" s="20">
        <f>C149-Table25[[#This Row],[Stock Level  ]]</f>
        <v>0</v>
      </c>
      <c r="E148" s="20">
        <f>IFERROR(GETPIVOTDATA("QTY",$B$56,"PRODUCT_DESCRIPTION", $B$103, "SALES_ORDER_DATE",Table25[[#This Row],[Date]]), 0)</f>
        <v>0</v>
      </c>
      <c r="F148" s="20">
        <f>Table25[[#This Row],[Stock Change (t1-t0)]]+Table25[[#This Row],[Sales]]</f>
        <v>0</v>
      </c>
      <c r="G148" s="18">
        <f>IF(Table25[[#This Row],[Purchase (Real)]]=0, 0, Table25[[#This Row],[Purchase (Real)]]+C147)</f>
        <v>0</v>
      </c>
      <c r="I148" s="4" t="s">
        <v>45</v>
      </c>
      <c r="J148" s="20">
        <f t="shared" si="1"/>
        <v>67</v>
      </c>
      <c r="K148" s="20">
        <f>J149-Table2529[[#This Row],[Stock Level  (North)]]</f>
        <v>0</v>
      </c>
      <c r="L148" s="20">
        <f>IFERROR(GETPIVOTDATA("QTY",$B$56,"PRODUCT_DESCRIPTION", $B$103, "SALES_ORDER_DATE",Table2529[[#This Row],[Date]], "AREA_NAME", "North"), 0)</f>
        <v>0</v>
      </c>
      <c r="M148" s="20">
        <f>Table2529[[#This Row],[Stock Change (t1-t0) (North)]]+Table2529[[#This Row],[Sales]]</f>
        <v>0</v>
      </c>
      <c r="N148" s="18">
        <f>IF(Table2529[[#This Row],[Regional Transfer (Real)]]=0, 0, Table2529[[#This Row],[Regional Transfer (Real)]]+Table2529[[#This Row],[Stock Level  (North)]])</f>
        <v>0</v>
      </c>
      <c r="P148" s="4" t="s">
        <v>45</v>
      </c>
      <c r="Q148" s="20">
        <f t="shared" si="2"/>
        <v>139</v>
      </c>
      <c r="R148" s="20">
        <f>Q149-Table252930[[#This Row],[Stock Level  (South)]]</f>
        <v>0</v>
      </c>
      <c r="S148" s="20">
        <f>IFERROR(GETPIVOTDATA("QTY",$B$56,"PRODUCT_DESCRIPTION", $B$103, "SALES_ORDER_DATE",Table252930[[#This Row],[Date]], "AREA_NAME", "South"), 0)</f>
        <v>0</v>
      </c>
      <c r="T148" s="20">
        <f>Table252930[[#This Row],[Stock Change (t1-t0) (South)]]+Table252930[[#This Row],[Sales]]</f>
        <v>0</v>
      </c>
      <c r="U148" s="18">
        <f>IF(Table252930[[#This Row],[Regional Transfer (Real)]]=0, 0, Table252930[[#This Row],[Regional Transfer (Real)]]+Table252930[[#This Row],[Stock Level  (South)]])</f>
        <v>0</v>
      </c>
      <c r="W148" s="4" t="s">
        <v>45</v>
      </c>
      <c r="X148" s="20">
        <f t="shared" si="3"/>
        <v>134</v>
      </c>
      <c r="Y148" s="20">
        <f>X149-Table25293032[[#This Row],[Stock Level  (West)]]</f>
        <v>0</v>
      </c>
      <c r="Z148" s="20">
        <f>IFERROR(GETPIVOTDATA("QTY",$B$56,"PRODUCT_DESCRIPTION", $B$103, "SALES_ORDER_DATE",Table25293032[[#This Row],[Date]], "AREA_NAME", "West"), 0)</f>
        <v>0</v>
      </c>
      <c r="AA148" s="20">
        <f>Table25293032[[#This Row],[Stock Change (t1-t0) (West)]]+Table25293032[[#This Row],[Sales]]</f>
        <v>0</v>
      </c>
      <c r="AB148" s="18">
        <f>IF(Table25293032[[#This Row],[Regional Transfer (Real)]]=0, 0, Table25293032[[#This Row],[Regional Transfer (Real)]]+Table25293032[[#This Row],[Stock Level  (West)]])</f>
        <v>0</v>
      </c>
      <c r="AD148" s="4"/>
      <c r="AE148" s="20"/>
      <c r="AF148" s="18"/>
      <c r="AG148" s="20"/>
      <c r="AH148" s="18"/>
      <c r="AI148" s="20"/>
      <c r="AJ148" s="18"/>
      <c r="AK148" s="20"/>
      <c r="AL148" s="18"/>
    </row>
    <row r="149" spans="2:38" x14ac:dyDescent="0.2">
      <c r="B149" s="4" t="s">
        <v>46</v>
      </c>
      <c r="C149" s="20">
        <f t="shared" si="0"/>
        <v>542</v>
      </c>
      <c r="D149" s="20">
        <f>C150-Table25[[#This Row],[Stock Level  ]]</f>
        <v>-27</v>
      </c>
      <c r="E149" s="20">
        <f>IFERROR(GETPIVOTDATA("QTY",$B$56,"PRODUCT_DESCRIPTION", $B$103, "SALES_ORDER_DATE",Table25[[#This Row],[Date]]), 0)</f>
        <v>27</v>
      </c>
      <c r="F149" s="20">
        <f>Table25[[#This Row],[Stock Change (t1-t0)]]+Table25[[#This Row],[Sales]]</f>
        <v>0</v>
      </c>
      <c r="G149" s="18">
        <f>IF(Table25[[#This Row],[Purchase (Real)]]=0, 0, Table25[[#This Row],[Purchase (Real)]]+C148)</f>
        <v>0</v>
      </c>
      <c r="I149" s="4" t="s">
        <v>46</v>
      </c>
      <c r="J149" s="20">
        <f t="shared" si="1"/>
        <v>67</v>
      </c>
      <c r="K149" s="20">
        <f>J150-Table2529[[#This Row],[Stock Level  (North)]]</f>
        <v>0</v>
      </c>
      <c r="L149" s="20">
        <f>IFERROR(GETPIVOTDATA("QTY",$B$56,"PRODUCT_DESCRIPTION", $B$103, "SALES_ORDER_DATE",Table2529[[#This Row],[Date]], "AREA_NAME", "North"), 0)</f>
        <v>0</v>
      </c>
      <c r="M149" s="20">
        <f>Table2529[[#This Row],[Stock Change (t1-t0) (North)]]+Table2529[[#This Row],[Sales]]</f>
        <v>0</v>
      </c>
      <c r="N149" s="18">
        <f>IF(Table2529[[#This Row],[Regional Transfer (Real)]]=0, 0, Table2529[[#This Row],[Regional Transfer (Real)]]+Table2529[[#This Row],[Stock Level  (North)]])</f>
        <v>0</v>
      </c>
      <c r="P149" s="4" t="s">
        <v>46</v>
      </c>
      <c r="Q149" s="20">
        <f t="shared" si="2"/>
        <v>139</v>
      </c>
      <c r="R149" s="20">
        <f>Q150-Table252930[[#This Row],[Stock Level  (South)]]</f>
        <v>-27</v>
      </c>
      <c r="S149" s="20">
        <f>IFERROR(GETPIVOTDATA("QTY",$B$56,"PRODUCT_DESCRIPTION", $B$103, "SALES_ORDER_DATE",Table252930[[#This Row],[Date]], "AREA_NAME", "South"), 0)</f>
        <v>27</v>
      </c>
      <c r="T149" s="20">
        <f>Table252930[[#This Row],[Stock Change (t1-t0) (South)]]+Table252930[[#This Row],[Sales]]</f>
        <v>0</v>
      </c>
      <c r="U149" s="18">
        <f>IF(Table252930[[#This Row],[Regional Transfer (Real)]]=0, 0, Table252930[[#This Row],[Regional Transfer (Real)]]+Table252930[[#This Row],[Stock Level  (South)]])</f>
        <v>0</v>
      </c>
      <c r="W149" s="4" t="s">
        <v>46</v>
      </c>
      <c r="X149" s="20">
        <f t="shared" si="3"/>
        <v>134</v>
      </c>
      <c r="Y149" s="20">
        <f>X150-Table25293032[[#This Row],[Stock Level  (West)]]</f>
        <v>0</v>
      </c>
      <c r="Z149" s="20">
        <f>IFERROR(GETPIVOTDATA("QTY",$B$56,"PRODUCT_DESCRIPTION", $B$103, "SALES_ORDER_DATE",Table25293032[[#This Row],[Date]], "AREA_NAME", "West"), 0)</f>
        <v>0</v>
      </c>
      <c r="AA149" s="20">
        <f>Table25293032[[#This Row],[Stock Change (t1-t0) (West)]]+Table25293032[[#This Row],[Sales]]</f>
        <v>0</v>
      </c>
      <c r="AB149" s="18">
        <f>IF(Table25293032[[#This Row],[Regional Transfer (Real)]]=0, 0, Table25293032[[#This Row],[Regional Transfer (Real)]]+Table25293032[[#This Row],[Stock Level  (West)]])</f>
        <v>0</v>
      </c>
      <c r="AD149" s="4"/>
      <c r="AE149" s="20"/>
      <c r="AF149" s="18"/>
      <c r="AG149" s="20"/>
      <c r="AH149" s="18"/>
      <c r="AI149" s="20"/>
      <c r="AJ149" s="18"/>
      <c r="AK149" s="20"/>
      <c r="AL149" s="18"/>
    </row>
    <row r="150" spans="2:38" x14ac:dyDescent="0.2">
      <c r="B150" s="4" t="s">
        <v>59</v>
      </c>
      <c r="C150" s="20">
        <f t="shared" si="0"/>
        <v>515</v>
      </c>
      <c r="D150" s="20">
        <v>0</v>
      </c>
      <c r="E150" s="20">
        <f>IFERROR(GETPIVOTDATA("QTY",$B$56,"PRODUCT_DESCRIPTION", $B$103, "SALES_ORDER_DATE",Table25[[#This Row],[Date]]), 0)</f>
        <v>0</v>
      </c>
      <c r="F150" s="20">
        <f>Table25[[#This Row],[Stock Change (t1-t0)]]+Table25[[#This Row],[Sales]]</f>
        <v>0</v>
      </c>
      <c r="G150" s="18">
        <f>IF(Table25[[#This Row],[Purchase (Real)]]=0, 0, Table25[[#This Row],[Purchase (Real)]]+C149)</f>
        <v>0</v>
      </c>
      <c r="I150" s="4" t="s">
        <v>59</v>
      </c>
      <c r="J150" s="20">
        <f t="shared" si="1"/>
        <v>67</v>
      </c>
      <c r="K150" s="20">
        <v>0</v>
      </c>
      <c r="L150" s="20">
        <f>IFERROR(GETPIVOTDATA("QTY",$B$56,"PRODUCT_DESCRIPTION", $B$103, "SALES_ORDER_DATE",Table2529[[#This Row],[Date]], "AREA_NAME", "North"), 0)</f>
        <v>0</v>
      </c>
      <c r="M150" s="20">
        <f>Table2529[[#This Row],[Stock Change (t1-t0) (North)]]+Table2529[[#This Row],[Sales]]</f>
        <v>0</v>
      </c>
      <c r="N150" s="18">
        <f>IF(Table2529[[#This Row],[Regional Transfer (Real)]]=0, 0, Table2529[[#This Row],[Regional Transfer (Real)]]+Table2529[[#This Row],[Stock Level  (North)]])</f>
        <v>0</v>
      </c>
      <c r="P150" s="4" t="s">
        <v>59</v>
      </c>
      <c r="Q150" s="20">
        <f t="shared" si="2"/>
        <v>112</v>
      </c>
      <c r="R150" s="20">
        <v>0</v>
      </c>
      <c r="S150" s="20">
        <f>IFERROR(GETPIVOTDATA("QTY",$B$56,"PRODUCT_DESCRIPTION", $B$103, "SALES_ORDER_DATE",Table252930[[#This Row],[Date]], "AREA_NAME", "South"), 0)</f>
        <v>0</v>
      </c>
      <c r="T150" s="20">
        <f>Table252930[[#This Row],[Stock Change (t1-t0) (South)]]+Table252930[[#This Row],[Sales]]</f>
        <v>0</v>
      </c>
      <c r="U150" s="18">
        <f>IF(Table252930[[#This Row],[Regional Transfer (Real)]]=0, 0, Table252930[[#This Row],[Regional Transfer (Real)]]+Table252930[[#This Row],[Stock Level  (South)]])</f>
        <v>0</v>
      </c>
      <c r="W150" s="4" t="s">
        <v>59</v>
      </c>
      <c r="X150" s="20">
        <f t="shared" si="3"/>
        <v>134</v>
      </c>
      <c r="Y150" s="20">
        <v>0</v>
      </c>
      <c r="Z150" s="20">
        <f>IFERROR(GETPIVOTDATA("QTY",$B$56,"PRODUCT_DESCRIPTION", $B$103, "SALES_ORDER_DATE",Table25293032[[#This Row],[Date]], "AREA_NAME", "West"), 0)</f>
        <v>0</v>
      </c>
      <c r="AA150" s="20">
        <f>Table25293032[[#This Row],[Stock Change (t1-t0) (West)]]+Table25293032[[#This Row],[Sales]]</f>
        <v>0</v>
      </c>
      <c r="AB150" s="18">
        <f>IF(Table25293032[[#This Row],[Regional Transfer (Real)]]=0, 0, Table25293032[[#This Row],[Regional Transfer (Real)]]+Table25293032[[#This Row],[Stock Level  (West)]])</f>
        <v>0</v>
      </c>
      <c r="AD150" s="4"/>
      <c r="AE150" s="20"/>
      <c r="AF150" s="18"/>
      <c r="AG150" s="20"/>
      <c r="AH150" s="18"/>
      <c r="AI150" s="20"/>
      <c r="AJ150" s="18"/>
      <c r="AK150" s="20"/>
      <c r="AL150" s="18"/>
    </row>
    <row r="151" spans="2:38" x14ac:dyDescent="0.2">
      <c r="B151" s="4" t="s">
        <v>91</v>
      </c>
      <c r="C151" s="21"/>
      <c r="D151" s="21"/>
      <c r="E151" s="21"/>
      <c r="F151" s="22">
        <f>SUBTOTAL(109,Table25[Purchase (Real)])</f>
        <v>1883</v>
      </c>
      <c r="G151" s="11"/>
      <c r="I151" s="4" t="s">
        <v>91</v>
      </c>
      <c r="M151" cm="1">
        <f t="array" ref="M151">COUNT(IF(Table2529[Regional Transfer (Real)]&lt;&gt;0, Table2529[Regional Transfer (Real)]))</f>
        <v>9</v>
      </c>
      <c r="N151" s="11"/>
      <c r="P151" s="4" t="s">
        <v>91</v>
      </c>
      <c r="T151" cm="1">
        <f t="array" ref="T151">COUNT(IF(T107:T150&lt;&gt;0, Table252930[Regional Transfer (Real)]))</f>
        <v>9</v>
      </c>
      <c r="U151" s="11"/>
      <c r="W151" s="4" t="s">
        <v>91</v>
      </c>
      <c r="AA151" cm="1">
        <f t="array" ref="AA151">COUNT(IF(AA107:AA150&lt;&gt;0, Table25293032[Regional Transfer (Real)]))</f>
        <v>8</v>
      </c>
      <c r="AB151" s="11"/>
    </row>
    <row r="153" spans="2:38" x14ac:dyDescent="0.2">
      <c r="B153" s="145" t="s">
        <v>95</v>
      </c>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c r="AA153" s="146"/>
      <c r="AB153" s="146"/>
    </row>
    <row r="154" spans="2:38" x14ac:dyDescent="0.2">
      <c r="B154" s="147" t="s">
        <v>2</v>
      </c>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row>
    <row r="155" spans="2:38" x14ac:dyDescent="0.2">
      <c r="B155" s="2"/>
    </row>
    <row r="156" spans="2:38" x14ac:dyDescent="0.2">
      <c r="B156" s="145" t="s">
        <v>60</v>
      </c>
      <c r="C156" s="146"/>
      <c r="D156" s="146"/>
      <c r="E156" s="146"/>
      <c r="F156" s="146"/>
      <c r="G156" s="146"/>
      <c r="I156" s="145" t="s">
        <v>112</v>
      </c>
      <c r="J156" s="146"/>
      <c r="K156" s="146"/>
      <c r="L156" s="146"/>
      <c r="M156" s="146"/>
      <c r="N156" s="146"/>
      <c r="P156" s="145" t="s">
        <v>115</v>
      </c>
      <c r="Q156" s="146"/>
      <c r="R156" s="146"/>
      <c r="S156" s="146"/>
      <c r="T156" s="146"/>
      <c r="U156" s="146"/>
      <c r="W156" s="145" t="s">
        <v>116</v>
      </c>
      <c r="X156" s="146"/>
      <c r="Y156" s="146"/>
      <c r="Z156" s="146"/>
      <c r="AA156" s="146"/>
      <c r="AB156" s="146"/>
    </row>
    <row r="157" spans="2:38" x14ac:dyDescent="0.2">
      <c r="B157" s="3" t="s">
        <v>61</v>
      </c>
      <c r="C157" s="3" t="s">
        <v>117</v>
      </c>
      <c r="D157" s="3" t="s">
        <v>120</v>
      </c>
      <c r="E157" s="3" t="s">
        <v>51</v>
      </c>
      <c r="F157" s="3" t="s">
        <v>118</v>
      </c>
      <c r="G157" s="3" t="s">
        <v>119</v>
      </c>
      <c r="I157" s="3" t="s">
        <v>61</v>
      </c>
      <c r="J157" s="3" t="s">
        <v>121</v>
      </c>
      <c r="K157" s="3" t="s">
        <v>124</v>
      </c>
      <c r="L157" s="3" t="s">
        <v>51</v>
      </c>
      <c r="M157" s="3" t="s">
        <v>125</v>
      </c>
      <c r="N157" s="3" t="s">
        <v>126</v>
      </c>
      <c r="P157" s="3" t="s">
        <v>61</v>
      </c>
      <c r="Q157" s="3" t="s">
        <v>122</v>
      </c>
      <c r="R157" s="3" t="s">
        <v>127</v>
      </c>
      <c r="S157" s="3" t="s">
        <v>51</v>
      </c>
      <c r="T157" s="3" t="s">
        <v>125</v>
      </c>
      <c r="U157" s="3" t="s">
        <v>126</v>
      </c>
      <c r="W157" s="3" t="s">
        <v>61</v>
      </c>
      <c r="X157" s="3" t="s">
        <v>123</v>
      </c>
      <c r="Y157" s="3" t="s">
        <v>128</v>
      </c>
      <c r="Z157" s="3" t="s">
        <v>51</v>
      </c>
      <c r="AA157" s="3" t="s">
        <v>125</v>
      </c>
      <c r="AB157" s="3" t="s">
        <v>126</v>
      </c>
    </row>
    <row r="158" spans="2:38" x14ac:dyDescent="0.2">
      <c r="B158" s="4" t="s">
        <v>54</v>
      </c>
      <c r="C158" s="20">
        <f>GETPIVOTDATA("STOCK_LEVEL", $B$5, "PRODUCT", $B$154, "INVENTORY_DATE", B158 )</f>
        <v>0</v>
      </c>
      <c r="D158" s="20">
        <f>C159-Table2533[[#This Row],[Stock Level  ]]</f>
        <v>600</v>
      </c>
      <c r="E158" s="20">
        <f>IFERROR(GETPIVOTDATA("QTY",$B$56,"PRODUCT_DESCRIPTION", $B$154, "SALES_ORDER_DATE",Table2533[[#This Row],[Date]]), 0)</f>
        <v>0</v>
      </c>
      <c r="F158" s="20">
        <f>Table2533[[#This Row],[Stock Change (t1-t0)]]+Table2533[[#This Row],[Sales]]</f>
        <v>600</v>
      </c>
      <c r="G158" s="18">
        <f>IF(Table2533[[#This Row],[Purchase (Real)]]=0, 0, Table2533[[#This Row],[Purchase (Real)]]+0)</f>
        <v>600</v>
      </c>
      <c r="I158" s="4" t="s">
        <v>54</v>
      </c>
      <c r="J158" s="20">
        <f>GETPIVOTDATA("STOCK_LEVEL", $B$5, "PRODUCT", $B$154, "INVENTORY_DATE", I158, "STORAGE_LOCATION_ID", "North" )</f>
        <v>0</v>
      </c>
      <c r="K158" s="20">
        <f>J159-Table252934[[#This Row],[Stock Level  (North)]]</f>
        <v>0</v>
      </c>
      <c r="L158" s="20">
        <f>IFERROR(GETPIVOTDATA("QTY",$B$56,"PRODUCT_DESCRIPTION", $B$154, "SALES_ORDER_DATE",Table252934[[#This Row],[Date]], "AREA_NAME", "North"), 0)</f>
        <v>0</v>
      </c>
      <c r="M158" s="20">
        <f>Table252934[[#This Row],[Stock Change (t1-t0) (North)]]+Table252934[[#This Row],[Sales]]</f>
        <v>0</v>
      </c>
      <c r="N158" s="18">
        <f>IF(Table252934[[#This Row],[Regional Transfer (Real)]]=0, 0, Table252934[[#This Row],[Regional Transfer (Real)]]+Table252934[[#This Row],[Stock Level  (North)]])</f>
        <v>0</v>
      </c>
      <c r="P158" s="4" t="s">
        <v>54</v>
      </c>
      <c r="Q158" s="20">
        <f>GETPIVOTDATA("STOCK_LEVEL", $B$5, "PRODUCT", $B$154, "INVENTORY_DATE", P158, "STORAGE_LOCATION_ID", "South" )</f>
        <v>0</v>
      </c>
      <c r="R158" s="20">
        <f>Q159-Table25293035[[#This Row],[Stock Level  (South)]]</f>
        <v>0</v>
      </c>
      <c r="S158" s="20">
        <f>IFERROR(GETPIVOTDATA("QTY",$B$56,"PRODUCT_DESCRIPTION", $B$154, "SALES_ORDER_DATE",Table25293035[[#This Row],[Date]], "AREA_NAME", "South"), 0)</f>
        <v>0</v>
      </c>
      <c r="T158" s="20">
        <f>Table25293035[[#This Row],[Stock Change (t1-t0) (South)]]+Table25293035[[#This Row],[Sales]]</f>
        <v>0</v>
      </c>
      <c r="U158" s="18">
        <f>IF(Table25293035[[#This Row],[Regional Transfer (Real)]]=0, 0, Table25293035[[#This Row],[Regional Transfer (Real)]]+Table25293035[[#This Row],[Stock Level  (South)]])</f>
        <v>0</v>
      </c>
      <c r="W158" s="4" t="s">
        <v>54</v>
      </c>
      <c r="X158" s="20">
        <f>GETPIVOTDATA("STOCK_LEVEL", $B$5, "PRODUCT", $B$154, "INVENTORY_DATE", W158, "STORAGE_LOCATION_ID", "West" )</f>
        <v>0</v>
      </c>
      <c r="Y158" s="20">
        <f>X159-Table2529303236[[#This Row],[Stock Level  (West)]]</f>
        <v>0</v>
      </c>
      <c r="Z158" s="20">
        <f>IFERROR(GETPIVOTDATA("QTY",$B$56,"PRODUCT_DESCRIPTION", $B$154, "SALES_ORDER_DATE",Table2529303236[[#This Row],[Date]], "AREA_NAME", "West"), 0)</f>
        <v>0</v>
      </c>
      <c r="AA158" s="20">
        <f>Table2529303236[[#This Row],[Stock Change (t1-t0) (West)]]+Table2529303236[[#This Row],[Sales]]</f>
        <v>0</v>
      </c>
      <c r="AB158" s="18">
        <f>IF(Table2529303236[[#This Row],[Regional Transfer (Real)]]=0, 0, Table2529303236[[#This Row],[Regional Transfer (Real)]]+Table2529303236[[#This Row],[Stock Level  (West)]])</f>
        <v>0</v>
      </c>
    </row>
    <row r="159" spans="2:38" x14ac:dyDescent="0.2">
      <c r="B159" s="4" t="s">
        <v>55</v>
      </c>
      <c r="C159" s="20">
        <f t="shared" ref="C159:C201" si="4">GETPIVOTDATA("STOCK_LEVEL", $B$5, "PRODUCT", $B$154, "INVENTORY_DATE", B159 )</f>
        <v>600</v>
      </c>
      <c r="D159" s="20">
        <f>C160-Table2533[[#This Row],[Stock Level  ]]</f>
        <v>0</v>
      </c>
      <c r="E159" s="20">
        <f>IFERROR(GETPIVOTDATA("QTY",$B$56,"PRODUCT_DESCRIPTION", $B$154, "SALES_ORDER_DATE",Table2533[[#This Row],[Date]]), 0)</f>
        <v>0</v>
      </c>
      <c r="F159" s="20">
        <f>Table2533[[#This Row],[Stock Change (t1-t0)]]+Table2533[[#This Row],[Sales]]</f>
        <v>0</v>
      </c>
      <c r="G159" s="18">
        <f>IF(Table2533[[#This Row],[Purchase (Real)]]=0, 0, Table2533[[#This Row],[Purchase (Real)]]+C158)</f>
        <v>0</v>
      </c>
      <c r="I159" s="4" t="s">
        <v>55</v>
      </c>
      <c r="J159" s="20">
        <f t="shared" ref="J159:J201" si="5">GETPIVOTDATA("STOCK_LEVEL", $B$5, "PRODUCT", $B$154, "INVENTORY_DATE", I159, "STORAGE_LOCATION_ID", "North" )</f>
        <v>0</v>
      </c>
      <c r="K159" s="20">
        <f>J160-Table252934[[#This Row],[Stock Level  (North)]]</f>
        <v>100</v>
      </c>
      <c r="L159" s="20">
        <f>IFERROR(GETPIVOTDATA("QTY",$B$56,"PRODUCT_DESCRIPTION", $B$154, "SALES_ORDER_DATE",Table252934[[#This Row],[Date]], "AREA_NAME", "North"), 0)</f>
        <v>0</v>
      </c>
      <c r="M159" s="20">
        <f>Table252934[[#This Row],[Stock Change (t1-t0) (North)]]+Table252934[[#This Row],[Sales]]</f>
        <v>100</v>
      </c>
      <c r="N159" s="18">
        <f>IF(Table252934[[#This Row],[Regional Transfer (Real)]]=0, 0, Table252934[[#This Row],[Regional Transfer (Real)]]+Table252934[[#This Row],[Stock Level  (North)]])</f>
        <v>100</v>
      </c>
      <c r="P159" s="4" t="s">
        <v>55</v>
      </c>
      <c r="Q159" s="20">
        <f t="shared" ref="Q159:Q201" si="6">GETPIVOTDATA("STOCK_LEVEL", $B$5, "PRODUCT", $B$154, "INVENTORY_DATE", P159, "STORAGE_LOCATION_ID", "South" )</f>
        <v>0</v>
      </c>
      <c r="R159" s="20">
        <f>Q160-Table25293035[[#This Row],[Stock Level  (South)]]</f>
        <v>100</v>
      </c>
      <c r="S159" s="20">
        <f>IFERROR(GETPIVOTDATA("QTY",$B$56,"PRODUCT_DESCRIPTION", $B$154, "SALES_ORDER_DATE",Table25293035[[#This Row],[Date]], "AREA_NAME", "South"), 0)</f>
        <v>0</v>
      </c>
      <c r="T159" s="20">
        <f>Table25293035[[#This Row],[Stock Change (t1-t0) (South)]]+Table25293035[[#This Row],[Sales]]</f>
        <v>100</v>
      </c>
      <c r="U159" s="18">
        <f>IF(Table25293035[[#This Row],[Regional Transfer (Real)]]=0, 0, Table25293035[[#This Row],[Regional Transfer (Real)]]+Table25293035[[#This Row],[Stock Level  (South)]])</f>
        <v>100</v>
      </c>
      <c r="W159" s="4" t="s">
        <v>55</v>
      </c>
      <c r="X159" s="20">
        <f t="shared" ref="X159:X201" si="7">GETPIVOTDATA("STOCK_LEVEL", $B$5, "PRODUCT", $B$154, "INVENTORY_DATE", W159, "STORAGE_LOCATION_ID", "West" )</f>
        <v>0</v>
      </c>
      <c r="Y159" s="20">
        <f>X160-Table2529303236[[#This Row],[Stock Level  (West)]]</f>
        <v>100</v>
      </c>
      <c r="Z159" s="20">
        <f>IFERROR(GETPIVOTDATA("QTY",$B$56,"PRODUCT_DESCRIPTION", $B$154, "SALES_ORDER_DATE",Table2529303236[[#This Row],[Date]], "AREA_NAME", "West"), 0)</f>
        <v>0</v>
      </c>
      <c r="AA159" s="20">
        <f>Table2529303236[[#This Row],[Stock Change (t1-t0) (West)]]+Table2529303236[[#This Row],[Sales]]</f>
        <v>100</v>
      </c>
      <c r="AB159" s="18">
        <f>IF(Table2529303236[[#This Row],[Regional Transfer (Real)]]=0, 0, Table2529303236[[#This Row],[Regional Transfer (Real)]]+Table2529303236[[#This Row],[Stock Level  (West)]])</f>
        <v>100</v>
      </c>
    </row>
    <row r="160" spans="2:38" x14ac:dyDescent="0.2">
      <c r="B160" s="4" t="s">
        <v>9</v>
      </c>
      <c r="C160" s="20">
        <f t="shared" si="4"/>
        <v>600</v>
      </c>
      <c r="D160" s="20">
        <f>C161-Table2533[[#This Row],[Stock Level  ]]</f>
        <v>-63</v>
      </c>
      <c r="E160" s="20">
        <f>IFERROR(GETPIVOTDATA("QTY",$B$56,"PRODUCT_DESCRIPTION", $B$154, "SALES_ORDER_DATE",Table2533[[#This Row],[Date]]), 0)</f>
        <v>63</v>
      </c>
      <c r="F160" s="20">
        <f>Table2533[[#This Row],[Stock Change (t1-t0)]]+Table2533[[#This Row],[Sales]]</f>
        <v>0</v>
      </c>
      <c r="G160" s="18">
        <f>IF(Table2533[[#This Row],[Purchase (Real)]]=0, 0, Table2533[[#This Row],[Purchase (Real)]]+C159)</f>
        <v>0</v>
      </c>
      <c r="I160" s="4" t="s">
        <v>9</v>
      </c>
      <c r="J160" s="20">
        <f t="shared" si="5"/>
        <v>100</v>
      </c>
      <c r="K160" s="20">
        <f>J161-Table252934[[#This Row],[Stock Level  (North)]]</f>
        <v>0</v>
      </c>
      <c r="L160" s="20">
        <f>IFERROR(GETPIVOTDATA("QTY",$B$56,"PRODUCT_DESCRIPTION", $B$154, "SALES_ORDER_DATE",Table252934[[#This Row],[Date]], "AREA_NAME", "North"), 0)</f>
        <v>0</v>
      </c>
      <c r="M160" s="20">
        <f>Table252934[[#This Row],[Stock Change (t1-t0) (North)]]+Table252934[[#This Row],[Sales]]</f>
        <v>0</v>
      </c>
      <c r="N160" s="18">
        <f>IF(Table252934[[#This Row],[Regional Transfer (Real)]]=0, 0, Table252934[[#This Row],[Regional Transfer (Real)]]+Table252934[[#This Row],[Stock Level  (North)]])</f>
        <v>0</v>
      </c>
      <c r="P160" s="4" t="s">
        <v>9</v>
      </c>
      <c r="Q160" s="20">
        <f t="shared" si="6"/>
        <v>100</v>
      </c>
      <c r="R160" s="20">
        <f>Q161-Table25293035[[#This Row],[Stock Level  (South)]]</f>
        <v>0</v>
      </c>
      <c r="S160" s="20">
        <f>IFERROR(GETPIVOTDATA("QTY",$B$56,"PRODUCT_DESCRIPTION", $B$154, "SALES_ORDER_DATE",Table25293035[[#This Row],[Date]], "AREA_NAME", "South"), 0)</f>
        <v>0</v>
      </c>
      <c r="T160" s="20">
        <f>Table25293035[[#This Row],[Stock Change (t1-t0) (South)]]+Table25293035[[#This Row],[Sales]]</f>
        <v>0</v>
      </c>
      <c r="U160" s="18">
        <f>IF(Table25293035[[#This Row],[Regional Transfer (Real)]]=0, 0, Table25293035[[#This Row],[Regional Transfer (Real)]]+Table25293035[[#This Row],[Stock Level  (South)]])</f>
        <v>0</v>
      </c>
      <c r="W160" s="4" t="s">
        <v>9</v>
      </c>
      <c r="X160" s="20">
        <f t="shared" si="7"/>
        <v>100</v>
      </c>
      <c r="Y160" s="20">
        <f>X161-Table2529303236[[#This Row],[Stock Level  (West)]]</f>
        <v>-63</v>
      </c>
      <c r="Z160" s="20">
        <f>IFERROR(GETPIVOTDATA("QTY",$B$56,"PRODUCT_DESCRIPTION", $B$154, "SALES_ORDER_DATE",Table2529303236[[#This Row],[Date]], "AREA_NAME", "West"), 0)</f>
        <v>63</v>
      </c>
      <c r="AA160" s="20">
        <f>Table2529303236[[#This Row],[Stock Change (t1-t0) (West)]]+Table2529303236[[#This Row],[Sales]]</f>
        <v>0</v>
      </c>
      <c r="AB160" s="18">
        <f>IF(Table2529303236[[#This Row],[Regional Transfer (Real)]]=0, 0, Table2529303236[[#This Row],[Regional Transfer (Real)]]+Table2529303236[[#This Row],[Stock Level  (West)]])</f>
        <v>0</v>
      </c>
    </row>
    <row r="161" spans="2:28" x14ac:dyDescent="0.2">
      <c r="B161" s="4" t="s">
        <v>10</v>
      </c>
      <c r="C161" s="20">
        <f t="shared" si="4"/>
        <v>537</v>
      </c>
      <c r="D161" s="20">
        <f>C162-Table2533[[#This Row],[Stock Level  ]]</f>
        <v>-37</v>
      </c>
      <c r="E161" s="20">
        <f>IFERROR(GETPIVOTDATA("QTY",$B$56,"PRODUCT_DESCRIPTION", $B$154, "SALES_ORDER_DATE",Table2533[[#This Row],[Date]]), 0)</f>
        <v>37</v>
      </c>
      <c r="F161" s="20">
        <f>Table2533[[#This Row],[Stock Change (t1-t0)]]+Table2533[[#This Row],[Sales]]</f>
        <v>0</v>
      </c>
      <c r="G161" s="18">
        <f>IF(Table2533[[#This Row],[Purchase (Real)]]=0, 0, Table2533[[#This Row],[Purchase (Real)]]+C160)</f>
        <v>0</v>
      </c>
      <c r="I161" s="4" t="s">
        <v>10</v>
      </c>
      <c r="J161" s="20">
        <f t="shared" si="5"/>
        <v>100</v>
      </c>
      <c r="K161" s="20">
        <f>J162-Table252934[[#This Row],[Stock Level  (North)]]</f>
        <v>0</v>
      </c>
      <c r="L161" s="20">
        <f>IFERROR(GETPIVOTDATA("QTY",$B$56,"PRODUCT_DESCRIPTION", $B$154, "SALES_ORDER_DATE",Table252934[[#This Row],[Date]], "AREA_NAME", "North"), 0)</f>
        <v>0</v>
      </c>
      <c r="M161" s="20">
        <f>Table252934[[#This Row],[Stock Change (t1-t0) (North)]]+Table252934[[#This Row],[Sales]]</f>
        <v>0</v>
      </c>
      <c r="N161" s="18">
        <f>IF(Table252934[[#This Row],[Regional Transfer (Real)]]=0, 0, Table252934[[#This Row],[Regional Transfer (Real)]]+Table252934[[#This Row],[Stock Level  (North)]])</f>
        <v>0</v>
      </c>
      <c r="P161" s="4" t="s">
        <v>10</v>
      </c>
      <c r="Q161" s="20">
        <f t="shared" si="6"/>
        <v>100</v>
      </c>
      <c r="R161" s="20">
        <f>Q162-Table25293035[[#This Row],[Stock Level  (South)]]</f>
        <v>-19</v>
      </c>
      <c r="S161" s="20">
        <f>IFERROR(GETPIVOTDATA("QTY",$B$56,"PRODUCT_DESCRIPTION", $B$154, "SALES_ORDER_DATE",Table25293035[[#This Row],[Date]], "AREA_NAME", "South"), 0)</f>
        <v>19</v>
      </c>
      <c r="T161" s="20">
        <f>Table25293035[[#This Row],[Stock Change (t1-t0) (South)]]+Table25293035[[#This Row],[Sales]]</f>
        <v>0</v>
      </c>
      <c r="U161" s="18">
        <f>IF(Table25293035[[#This Row],[Regional Transfer (Real)]]=0, 0, Table25293035[[#This Row],[Regional Transfer (Real)]]+Table25293035[[#This Row],[Stock Level  (South)]])</f>
        <v>0</v>
      </c>
      <c r="W161" s="4" t="s">
        <v>10</v>
      </c>
      <c r="X161" s="20">
        <f t="shared" si="7"/>
        <v>37</v>
      </c>
      <c r="Y161" s="20">
        <f>X162-Table2529303236[[#This Row],[Stock Level  (West)]]</f>
        <v>-18</v>
      </c>
      <c r="Z161" s="20">
        <f>IFERROR(GETPIVOTDATA("QTY",$B$56,"PRODUCT_DESCRIPTION", $B$154, "SALES_ORDER_DATE",Table2529303236[[#This Row],[Date]], "AREA_NAME", "West"), 0)</f>
        <v>18</v>
      </c>
      <c r="AA161" s="20">
        <f>Table2529303236[[#This Row],[Stock Change (t1-t0) (West)]]+Table2529303236[[#This Row],[Sales]]</f>
        <v>0</v>
      </c>
      <c r="AB161" s="18">
        <f>IF(Table2529303236[[#This Row],[Regional Transfer (Real)]]=0, 0, Table2529303236[[#This Row],[Regional Transfer (Real)]]+Table2529303236[[#This Row],[Stock Level  (West)]])</f>
        <v>0</v>
      </c>
    </row>
    <row r="162" spans="2:28" x14ac:dyDescent="0.2">
      <c r="B162" s="4" t="s">
        <v>11</v>
      </c>
      <c r="C162" s="20">
        <f t="shared" si="4"/>
        <v>500</v>
      </c>
      <c r="D162" s="20">
        <f>C163-Table2533[[#This Row],[Stock Level  ]]</f>
        <v>-19</v>
      </c>
      <c r="E162" s="20">
        <f>IFERROR(GETPIVOTDATA("QTY",$B$56,"PRODUCT_DESCRIPTION", $B$154, "SALES_ORDER_DATE",Table2533[[#This Row],[Date]]), 0)</f>
        <v>19</v>
      </c>
      <c r="F162" s="20">
        <f>Table2533[[#This Row],[Stock Change (t1-t0)]]+Table2533[[#This Row],[Sales]]</f>
        <v>0</v>
      </c>
      <c r="G162" s="18">
        <f>IF(Table2533[[#This Row],[Purchase (Real)]]=0, 0, Table2533[[#This Row],[Purchase (Real)]]+C161)</f>
        <v>0</v>
      </c>
      <c r="I162" s="4" t="s">
        <v>11</v>
      </c>
      <c r="J162" s="20">
        <f t="shared" si="5"/>
        <v>100</v>
      </c>
      <c r="K162" s="20">
        <f>J163-Table252934[[#This Row],[Stock Level  (North)]]</f>
        <v>0</v>
      </c>
      <c r="L162" s="20">
        <f>IFERROR(GETPIVOTDATA("QTY",$B$56,"PRODUCT_DESCRIPTION", $B$154, "SALES_ORDER_DATE",Table252934[[#This Row],[Date]], "AREA_NAME", "North"), 0)</f>
        <v>0</v>
      </c>
      <c r="M162" s="20">
        <f>Table252934[[#This Row],[Stock Change (t1-t0) (North)]]+Table252934[[#This Row],[Sales]]</f>
        <v>0</v>
      </c>
      <c r="N162" s="18">
        <f>IF(Table252934[[#This Row],[Regional Transfer (Real)]]=0, 0, Table252934[[#This Row],[Regional Transfer (Real)]]+Table252934[[#This Row],[Stock Level  (North)]])</f>
        <v>0</v>
      </c>
      <c r="P162" s="4" t="s">
        <v>11</v>
      </c>
      <c r="Q162" s="20">
        <f t="shared" si="6"/>
        <v>81</v>
      </c>
      <c r="R162" s="20">
        <f>Q163-Table25293035[[#This Row],[Stock Level  (South)]]</f>
        <v>19</v>
      </c>
      <c r="S162" s="20">
        <f>IFERROR(GETPIVOTDATA("QTY",$B$56,"PRODUCT_DESCRIPTION", $B$154, "SALES_ORDER_DATE",Table25293035[[#This Row],[Date]], "AREA_NAME", "South"), 0)</f>
        <v>0</v>
      </c>
      <c r="T162" s="20">
        <f>Table25293035[[#This Row],[Stock Change (t1-t0) (South)]]+Table25293035[[#This Row],[Sales]]</f>
        <v>19</v>
      </c>
      <c r="U162" s="18">
        <f>IF(Table25293035[[#This Row],[Regional Transfer (Real)]]=0, 0, Table25293035[[#This Row],[Regional Transfer (Real)]]+Table25293035[[#This Row],[Stock Level  (South)]])</f>
        <v>100</v>
      </c>
      <c r="W162" s="4" t="s">
        <v>11</v>
      </c>
      <c r="X162" s="20">
        <f t="shared" si="7"/>
        <v>19</v>
      </c>
      <c r="Y162" s="20">
        <f>X163-Table2529303236[[#This Row],[Stock Level  (West)]]</f>
        <v>62</v>
      </c>
      <c r="Z162" s="20">
        <f>IFERROR(GETPIVOTDATA("QTY",$B$56,"PRODUCT_DESCRIPTION", $B$154, "SALES_ORDER_DATE",Table2529303236[[#This Row],[Date]], "AREA_NAME", "West"), 0)</f>
        <v>19</v>
      </c>
      <c r="AA162" s="20">
        <f>Table2529303236[[#This Row],[Stock Change (t1-t0) (West)]]+Table2529303236[[#This Row],[Sales]]</f>
        <v>81</v>
      </c>
      <c r="AB162" s="18">
        <f>IF(Table2529303236[[#This Row],[Regional Transfer (Real)]]=0, 0, Table2529303236[[#This Row],[Regional Transfer (Real)]]+Table2529303236[[#This Row],[Stock Level  (West)]])</f>
        <v>100</v>
      </c>
    </row>
    <row r="163" spans="2:28" x14ac:dyDescent="0.2">
      <c r="B163" s="4" t="s">
        <v>12</v>
      </c>
      <c r="C163" s="20">
        <f t="shared" si="4"/>
        <v>481</v>
      </c>
      <c r="D163" s="20">
        <f>C164-Table2533[[#This Row],[Stock Level  ]]</f>
        <v>-62</v>
      </c>
      <c r="E163" s="20">
        <f>IFERROR(GETPIVOTDATA("QTY",$B$56,"PRODUCT_DESCRIPTION", $B$154, "SALES_ORDER_DATE",Table2533[[#This Row],[Date]]), 0)</f>
        <v>62</v>
      </c>
      <c r="F163" s="20">
        <f>Table2533[[#This Row],[Stock Change (t1-t0)]]+Table2533[[#This Row],[Sales]]</f>
        <v>0</v>
      </c>
      <c r="G163" s="18">
        <f>IF(Table2533[[#This Row],[Purchase (Real)]]=0, 0, Table2533[[#This Row],[Purchase (Real)]]+C162)</f>
        <v>0</v>
      </c>
      <c r="I163" s="4" t="s">
        <v>12</v>
      </c>
      <c r="J163" s="20">
        <f t="shared" si="5"/>
        <v>100</v>
      </c>
      <c r="K163" s="20">
        <f>J164-Table252934[[#This Row],[Stock Level  (North)]]</f>
        <v>0</v>
      </c>
      <c r="L163" s="20">
        <f>IFERROR(GETPIVOTDATA("QTY",$B$56,"PRODUCT_DESCRIPTION", $B$154, "SALES_ORDER_DATE",Table252934[[#This Row],[Date]], "AREA_NAME", "North"), 0)</f>
        <v>0</v>
      </c>
      <c r="M163" s="20">
        <f>Table252934[[#This Row],[Stock Change (t1-t0) (North)]]+Table252934[[#This Row],[Sales]]</f>
        <v>0</v>
      </c>
      <c r="N163" s="18">
        <f>IF(Table252934[[#This Row],[Regional Transfer (Real)]]=0, 0, Table252934[[#This Row],[Regional Transfer (Real)]]+Table252934[[#This Row],[Stock Level  (North)]])</f>
        <v>0</v>
      </c>
      <c r="P163" s="4" t="s">
        <v>12</v>
      </c>
      <c r="Q163" s="20">
        <f t="shared" si="6"/>
        <v>100</v>
      </c>
      <c r="R163" s="20">
        <f>Q164-Table25293035[[#This Row],[Stock Level  (South)]]</f>
        <v>0</v>
      </c>
      <c r="S163" s="20">
        <f>IFERROR(GETPIVOTDATA("QTY",$B$56,"PRODUCT_DESCRIPTION", $B$154, "SALES_ORDER_DATE",Table25293035[[#This Row],[Date]], "AREA_NAME", "South"), 0)</f>
        <v>0</v>
      </c>
      <c r="T163" s="20">
        <f>Table25293035[[#This Row],[Stock Change (t1-t0) (South)]]+Table25293035[[#This Row],[Sales]]</f>
        <v>0</v>
      </c>
      <c r="U163" s="18">
        <f>IF(Table25293035[[#This Row],[Regional Transfer (Real)]]=0, 0, Table25293035[[#This Row],[Regional Transfer (Real)]]+Table25293035[[#This Row],[Stock Level  (South)]])</f>
        <v>0</v>
      </c>
      <c r="W163" s="4" t="s">
        <v>12</v>
      </c>
      <c r="X163" s="20">
        <f t="shared" si="7"/>
        <v>81</v>
      </c>
      <c r="Y163" s="20">
        <f>X164-Table2529303236[[#This Row],[Stock Level  (West)]]</f>
        <v>-62</v>
      </c>
      <c r="Z163" s="20">
        <f>IFERROR(GETPIVOTDATA("QTY",$B$56,"PRODUCT_DESCRIPTION", $B$154, "SALES_ORDER_DATE",Table2529303236[[#This Row],[Date]], "AREA_NAME", "West"), 0)</f>
        <v>62</v>
      </c>
      <c r="AA163" s="20">
        <f>Table2529303236[[#This Row],[Stock Change (t1-t0) (West)]]+Table2529303236[[#This Row],[Sales]]</f>
        <v>0</v>
      </c>
      <c r="AB163" s="18">
        <f>IF(Table2529303236[[#This Row],[Regional Transfer (Real)]]=0, 0, Table2529303236[[#This Row],[Regional Transfer (Real)]]+Table2529303236[[#This Row],[Stock Level  (West)]])</f>
        <v>0</v>
      </c>
    </row>
    <row r="164" spans="2:28" x14ac:dyDescent="0.2">
      <c r="B164" s="4" t="s">
        <v>13</v>
      </c>
      <c r="C164" s="20">
        <f t="shared" si="4"/>
        <v>419</v>
      </c>
      <c r="D164" s="20">
        <f>C165-Table2533[[#This Row],[Stock Level  ]]</f>
        <v>-19</v>
      </c>
      <c r="E164" s="20">
        <f>IFERROR(GETPIVOTDATA("QTY",$B$56,"PRODUCT_DESCRIPTION", $B$154, "SALES_ORDER_DATE",Table2533[[#This Row],[Date]]), 0)</f>
        <v>19</v>
      </c>
      <c r="F164" s="20">
        <f>Table2533[[#This Row],[Stock Change (t1-t0)]]+Table2533[[#This Row],[Sales]]</f>
        <v>0</v>
      </c>
      <c r="G164" s="18">
        <f>IF(Table2533[[#This Row],[Purchase (Real)]]=0, 0, Table2533[[#This Row],[Purchase (Real)]]+C163)</f>
        <v>0</v>
      </c>
      <c r="I164" s="4" t="s">
        <v>13</v>
      </c>
      <c r="J164" s="20">
        <f t="shared" si="5"/>
        <v>100</v>
      </c>
      <c r="K164" s="20">
        <f>J165-Table252934[[#This Row],[Stock Level  (North)]]</f>
        <v>0</v>
      </c>
      <c r="L164" s="20">
        <f>IFERROR(GETPIVOTDATA("QTY",$B$56,"PRODUCT_DESCRIPTION", $B$154, "SALES_ORDER_DATE",Table252934[[#This Row],[Date]], "AREA_NAME", "North"), 0)</f>
        <v>0</v>
      </c>
      <c r="M164" s="20">
        <f>Table252934[[#This Row],[Stock Change (t1-t0) (North)]]+Table252934[[#This Row],[Sales]]</f>
        <v>0</v>
      </c>
      <c r="N164" s="18">
        <f>IF(Table252934[[#This Row],[Regional Transfer (Real)]]=0, 0, Table252934[[#This Row],[Regional Transfer (Real)]]+Table252934[[#This Row],[Stock Level  (North)]])</f>
        <v>0</v>
      </c>
      <c r="P164" s="4" t="s">
        <v>13</v>
      </c>
      <c r="Q164" s="20">
        <f t="shared" si="6"/>
        <v>100</v>
      </c>
      <c r="R164" s="20">
        <f>Q165-Table25293035[[#This Row],[Stock Level  (South)]]</f>
        <v>0</v>
      </c>
      <c r="S164" s="20">
        <f>IFERROR(GETPIVOTDATA("QTY",$B$56,"PRODUCT_DESCRIPTION", $B$154, "SALES_ORDER_DATE",Table25293035[[#This Row],[Date]], "AREA_NAME", "South"), 0)</f>
        <v>0</v>
      </c>
      <c r="T164" s="20">
        <f>Table25293035[[#This Row],[Stock Change (t1-t0) (South)]]+Table25293035[[#This Row],[Sales]]</f>
        <v>0</v>
      </c>
      <c r="U164" s="18">
        <f>IF(Table25293035[[#This Row],[Regional Transfer (Real)]]=0, 0, Table25293035[[#This Row],[Regional Transfer (Real)]]+Table25293035[[#This Row],[Stock Level  (South)]])</f>
        <v>0</v>
      </c>
      <c r="W164" s="4" t="s">
        <v>13</v>
      </c>
      <c r="X164" s="20">
        <f t="shared" si="7"/>
        <v>19</v>
      </c>
      <c r="Y164" s="20">
        <f>X165-Table2529303236[[#This Row],[Stock Level  (West)]]</f>
        <v>-19</v>
      </c>
      <c r="Z164" s="20">
        <f>IFERROR(GETPIVOTDATA("QTY",$B$56,"PRODUCT_DESCRIPTION", $B$154, "SALES_ORDER_DATE",Table2529303236[[#This Row],[Date]], "AREA_NAME", "West"), 0)</f>
        <v>19</v>
      </c>
      <c r="AA164" s="20">
        <f>Table2529303236[[#This Row],[Stock Change (t1-t0) (West)]]+Table2529303236[[#This Row],[Sales]]</f>
        <v>0</v>
      </c>
      <c r="AB164" s="18">
        <f>IF(Table2529303236[[#This Row],[Regional Transfer (Real)]]=0, 0, Table2529303236[[#This Row],[Regional Transfer (Real)]]+Table2529303236[[#This Row],[Stock Level  (West)]])</f>
        <v>0</v>
      </c>
    </row>
    <row r="165" spans="2:28" x14ac:dyDescent="0.2">
      <c r="B165" s="4" t="s">
        <v>14</v>
      </c>
      <c r="C165" s="20">
        <f t="shared" si="4"/>
        <v>400</v>
      </c>
      <c r="D165" s="20">
        <f>C166-Table2533[[#This Row],[Stock Level  ]]</f>
        <v>-23</v>
      </c>
      <c r="E165" s="20">
        <f>IFERROR(GETPIVOTDATA("QTY",$B$56,"PRODUCT_DESCRIPTION", $B$154, "SALES_ORDER_DATE",Table2533[[#This Row],[Date]]), 0)</f>
        <v>23</v>
      </c>
      <c r="F165" s="20">
        <f>Table2533[[#This Row],[Stock Change (t1-t0)]]+Table2533[[#This Row],[Sales]]</f>
        <v>0</v>
      </c>
      <c r="G165" s="18">
        <f>IF(Table2533[[#This Row],[Purchase (Real)]]=0, 0, Table2533[[#This Row],[Purchase (Real)]]+C164)</f>
        <v>0</v>
      </c>
      <c r="I165" s="4" t="s">
        <v>14</v>
      </c>
      <c r="J165" s="20">
        <f t="shared" si="5"/>
        <v>100</v>
      </c>
      <c r="K165" s="20">
        <f>J166-Table252934[[#This Row],[Stock Level  (North)]]</f>
        <v>-23</v>
      </c>
      <c r="L165" s="20">
        <f>IFERROR(GETPIVOTDATA("QTY",$B$56,"PRODUCT_DESCRIPTION", $B$154, "SALES_ORDER_DATE",Table252934[[#This Row],[Date]], "AREA_NAME", "North"), 0)</f>
        <v>23</v>
      </c>
      <c r="M165" s="20">
        <f>Table252934[[#This Row],[Stock Change (t1-t0) (North)]]+Table252934[[#This Row],[Sales]]</f>
        <v>0</v>
      </c>
      <c r="N165" s="18">
        <f>IF(Table252934[[#This Row],[Regional Transfer (Real)]]=0, 0, Table252934[[#This Row],[Regional Transfer (Real)]]+Table252934[[#This Row],[Stock Level  (North)]])</f>
        <v>0</v>
      </c>
      <c r="P165" s="4" t="s">
        <v>14</v>
      </c>
      <c r="Q165" s="20">
        <f t="shared" si="6"/>
        <v>100</v>
      </c>
      <c r="R165" s="20">
        <f>Q166-Table25293035[[#This Row],[Stock Level  (South)]]</f>
        <v>0</v>
      </c>
      <c r="S165" s="20">
        <f>IFERROR(GETPIVOTDATA("QTY",$B$56,"PRODUCT_DESCRIPTION", $B$154, "SALES_ORDER_DATE",Table25293035[[#This Row],[Date]], "AREA_NAME", "South"), 0)</f>
        <v>0</v>
      </c>
      <c r="T165" s="20">
        <f>Table25293035[[#This Row],[Stock Change (t1-t0) (South)]]+Table25293035[[#This Row],[Sales]]</f>
        <v>0</v>
      </c>
      <c r="U165" s="18">
        <f>IF(Table25293035[[#This Row],[Regional Transfer (Real)]]=0, 0, Table25293035[[#This Row],[Regional Transfer (Real)]]+Table25293035[[#This Row],[Stock Level  (South)]])</f>
        <v>0</v>
      </c>
      <c r="W165" s="4" t="s">
        <v>14</v>
      </c>
      <c r="X165" s="20">
        <f t="shared" si="7"/>
        <v>0</v>
      </c>
      <c r="Y165" s="20">
        <f>X166-Table2529303236[[#This Row],[Stock Level  (West)]]</f>
        <v>100</v>
      </c>
      <c r="Z165" s="20">
        <f>IFERROR(GETPIVOTDATA("QTY",$B$56,"PRODUCT_DESCRIPTION", $B$154, "SALES_ORDER_DATE",Table2529303236[[#This Row],[Date]], "AREA_NAME", "West"), 0)</f>
        <v>0</v>
      </c>
      <c r="AA165" s="20">
        <f>Table2529303236[[#This Row],[Stock Change (t1-t0) (West)]]+Table2529303236[[#This Row],[Sales]]</f>
        <v>100</v>
      </c>
      <c r="AB165" s="18">
        <f>IF(Table2529303236[[#This Row],[Regional Transfer (Real)]]=0, 0, Table2529303236[[#This Row],[Regional Transfer (Real)]]+Table2529303236[[#This Row],[Stock Level  (West)]])</f>
        <v>100</v>
      </c>
    </row>
    <row r="166" spans="2:28" x14ac:dyDescent="0.2">
      <c r="B166" s="4" t="s">
        <v>15</v>
      </c>
      <c r="C166" s="20">
        <f t="shared" si="4"/>
        <v>377</v>
      </c>
      <c r="D166" s="20">
        <f>C167-Table2533[[#This Row],[Stock Level  ]]</f>
        <v>-43</v>
      </c>
      <c r="E166" s="20">
        <f>IFERROR(GETPIVOTDATA("QTY",$B$56,"PRODUCT_DESCRIPTION", $B$154, "SALES_ORDER_DATE",Table2533[[#This Row],[Date]]), 0)</f>
        <v>43</v>
      </c>
      <c r="F166" s="20">
        <f>Table2533[[#This Row],[Stock Change (t1-t0)]]+Table2533[[#This Row],[Sales]]</f>
        <v>0</v>
      </c>
      <c r="G166" s="18">
        <f>IF(Table2533[[#This Row],[Purchase (Real)]]=0, 0, Table2533[[#This Row],[Purchase (Real)]]+C165)</f>
        <v>0</v>
      </c>
      <c r="I166" s="4" t="s">
        <v>15</v>
      </c>
      <c r="J166" s="20">
        <f t="shared" si="5"/>
        <v>77</v>
      </c>
      <c r="K166" s="20">
        <f>J167-Table252934[[#This Row],[Stock Level  (North)]]</f>
        <v>-26</v>
      </c>
      <c r="L166" s="20">
        <f>IFERROR(GETPIVOTDATA("QTY",$B$56,"PRODUCT_DESCRIPTION", $B$154, "SALES_ORDER_DATE",Table252934[[#This Row],[Date]], "AREA_NAME", "North"), 0)</f>
        <v>26</v>
      </c>
      <c r="M166" s="20">
        <f>Table252934[[#This Row],[Stock Change (t1-t0) (North)]]+Table252934[[#This Row],[Sales]]</f>
        <v>0</v>
      </c>
      <c r="N166" s="18">
        <f>IF(Table252934[[#This Row],[Regional Transfer (Real)]]=0, 0, Table252934[[#This Row],[Regional Transfer (Real)]]+Table252934[[#This Row],[Stock Level  (North)]])</f>
        <v>0</v>
      </c>
      <c r="P166" s="4" t="s">
        <v>15</v>
      </c>
      <c r="Q166" s="20">
        <f t="shared" si="6"/>
        <v>100</v>
      </c>
      <c r="R166" s="20">
        <f>Q167-Table25293035[[#This Row],[Stock Level  (South)]]</f>
        <v>0</v>
      </c>
      <c r="S166" s="20">
        <f>IFERROR(GETPIVOTDATA("QTY",$B$56,"PRODUCT_DESCRIPTION", $B$154, "SALES_ORDER_DATE",Table25293035[[#This Row],[Date]], "AREA_NAME", "South"), 0)</f>
        <v>0</v>
      </c>
      <c r="T166" s="20">
        <f>Table25293035[[#This Row],[Stock Change (t1-t0) (South)]]+Table25293035[[#This Row],[Sales]]</f>
        <v>0</v>
      </c>
      <c r="U166" s="18">
        <f>IF(Table25293035[[#This Row],[Regional Transfer (Real)]]=0, 0, Table25293035[[#This Row],[Regional Transfer (Real)]]+Table25293035[[#This Row],[Stock Level  (South)]])</f>
        <v>0</v>
      </c>
      <c r="W166" s="4" t="s">
        <v>15</v>
      </c>
      <c r="X166" s="20">
        <f t="shared" si="7"/>
        <v>100</v>
      </c>
      <c r="Y166" s="20">
        <f>X167-Table2529303236[[#This Row],[Stock Level  (West)]]</f>
        <v>-17</v>
      </c>
      <c r="Z166" s="20">
        <f>IFERROR(GETPIVOTDATA("QTY",$B$56,"PRODUCT_DESCRIPTION", $B$154, "SALES_ORDER_DATE",Table2529303236[[#This Row],[Date]], "AREA_NAME", "West"), 0)</f>
        <v>17</v>
      </c>
      <c r="AA166" s="20">
        <f>Table2529303236[[#This Row],[Stock Change (t1-t0) (West)]]+Table2529303236[[#This Row],[Sales]]</f>
        <v>0</v>
      </c>
      <c r="AB166" s="18">
        <f>IF(Table2529303236[[#This Row],[Regional Transfer (Real)]]=0, 0, Table2529303236[[#This Row],[Regional Transfer (Real)]]+Table2529303236[[#This Row],[Stock Level  (West)]])</f>
        <v>0</v>
      </c>
    </row>
    <row r="167" spans="2:28" x14ac:dyDescent="0.2">
      <c r="B167" s="4" t="s">
        <v>16</v>
      </c>
      <c r="C167" s="20">
        <f t="shared" si="4"/>
        <v>334</v>
      </c>
      <c r="D167" s="20">
        <f>C168-Table2533[[#This Row],[Stock Level  ]]</f>
        <v>-83</v>
      </c>
      <c r="E167" s="20">
        <f>IFERROR(GETPIVOTDATA("QTY",$B$56,"PRODUCT_DESCRIPTION", $B$154, "SALES_ORDER_DATE",Table2533[[#This Row],[Date]]), 0)</f>
        <v>83</v>
      </c>
      <c r="F167" s="20">
        <f>Table2533[[#This Row],[Stock Change (t1-t0)]]+Table2533[[#This Row],[Sales]]</f>
        <v>0</v>
      </c>
      <c r="G167" s="18">
        <f>IF(Table2533[[#This Row],[Purchase (Real)]]=0, 0, Table2533[[#This Row],[Purchase (Real)]]+C166)</f>
        <v>0</v>
      </c>
      <c r="I167" s="4" t="s">
        <v>16</v>
      </c>
      <c r="J167" s="20">
        <f t="shared" si="5"/>
        <v>51</v>
      </c>
      <c r="K167" s="20">
        <f>J168-Table252934[[#This Row],[Stock Level  (North)]]</f>
        <v>0</v>
      </c>
      <c r="L167" s="20">
        <f>IFERROR(GETPIVOTDATA("QTY",$B$56,"PRODUCT_DESCRIPTION", $B$154, "SALES_ORDER_DATE",Table252934[[#This Row],[Date]], "AREA_NAME", "North"), 0)</f>
        <v>0</v>
      </c>
      <c r="M167" s="20">
        <f>Table252934[[#This Row],[Stock Change (t1-t0) (North)]]+Table252934[[#This Row],[Sales]]</f>
        <v>0</v>
      </c>
      <c r="N167" s="18">
        <f>IF(Table252934[[#This Row],[Regional Transfer (Real)]]=0, 0, Table252934[[#This Row],[Regional Transfer (Real)]]+Table252934[[#This Row],[Stock Level  (North)]])</f>
        <v>0</v>
      </c>
      <c r="P167" s="4" t="s">
        <v>16</v>
      </c>
      <c r="Q167" s="20">
        <f t="shared" si="6"/>
        <v>100</v>
      </c>
      <c r="R167" s="20">
        <f>Q168-Table25293035[[#This Row],[Stock Level  (South)]]</f>
        <v>0</v>
      </c>
      <c r="S167" s="20">
        <f>IFERROR(GETPIVOTDATA("QTY",$B$56,"PRODUCT_DESCRIPTION", $B$154, "SALES_ORDER_DATE",Table25293035[[#This Row],[Date]], "AREA_NAME", "South"), 0)</f>
        <v>0</v>
      </c>
      <c r="T167" s="20">
        <f>Table25293035[[#This Row],[Stock Change (t1-t0) (South)]]+Table25293035[[#This Row],[Sales]]</f>
        <v>0</v>
      </c>
      <c r="U167" s="18">
        <f>IF(Table25293035[[#This Row],[Regional Transfer (Real)]]=0, 0, Table25293035[[#This Row],[Regional Transfer (Real)]]+Table25293035[[#This Row],[Stock Level  (South)]])</f>
        <v>0</v>
      </c>
      <c r="W167" s="4" t="s">
        <v>16</v>
      </c>
      <c r="X167" s="20">
        <f t="shared" si="7"/>
        <v>83</v>
      </c>
      <c r="Y167" s="20">
        <f>X168-Table2529303236[[#This Row],[Stock Level  (West)]]</f>
        <v>-83</v>
      </c>
      <c r="Z167" s="20">
        <f>IFERROR(GETPIVOTDATA("QTY",$B$56,"PRODUCT_DESCRIPTION", $B$154, "SALES_ORDER_DATE",Table2529303236[[#This Row],[Date]], "AREA_NAME", "West"), 0)</f>
        <v>83</v>
      </c>
      <c r="AA167" s="20">
        <f>Table2529303236[[#This Row],[Stock Change (t1-t0) (West)]]+Table2529303236[[#This Row],[Sales]]</f>
        <v>0</v>
      </c>
      <c r="AB167" s="18">
        <f>IF(Table2529303236[[#This Row],[Regional Transfer (Real)]]=0, 0, Table2529303236[[#This Row],[Regional Transfer (Real)]]+Table2529303236[[#This Row],[Stock Level  (West)]])</f>
        <v>0</v>
      </c>
    </row>
    <row r="168" spans="2:28" x14ac:dyDescent="0.2">
      <c r="B168" s="4" t="s">
        <v>56</v>
      </c>
      <c r="C168" s="20">
        <f t="shared" si="4"/>
        <v>251</v>
      </c>
      <c r="D168" s="20">
        <f>C169-Table2533[[#This Row],[Stock Level  ]]</f>
        <v>0</v>
      </c>
      <c r="E168" s="20">
        <f>IFERROR(GETPIVOTDATA("QTY",$B$56,"PRODUCT_DESCRIPTION", $B$154, "SALES_ORDER_DATE",Table2533[[#This Row],[Date]]), 0)</f>
        <v>0</v>
      </c>
      <c r="F168" s="20">
        <f>Table2533[[#This Row],[Stock Change (t1-t0)]]+Table2533[[#This Row],[Sales]]</f>
        <v>0</v>
      </c>
      <c r="G168" s="18">
        <f>IF(Table2533[[#This Row],[Purchase (Real)]]=0, 0, Table2533[[#This Row],[Purchase (Real)]]+C167)</f>
        <v>0</v>
      </c>
      <c r="I168" s="4" t="s">
        <v>56</v>
      </c>
      <c r="J168" s="20">
        <f t="shared" si="5"/>
        <v>51</v>
      </c>
      <c r="K168" s="20">
        <f>J169-Table252934[[#This Row],[Stock Level  (North)]]</f>
        <v>0</v>
      </c>
      <c r="L168" s="20">
        <f>IFERROR(GETPIVOTDATA("QTY",$B$56,"PRODUCT_DESCRIPTION", $B$154, "SALES_ORDER_DATE",Table252934[[#This Row],[Date]], "AREA_NAME", "North"), 0)</f>
        <v>0</v>
      </c>
      <c r="M168" s="20">
        <f>Table252934[[#This Row],[Stock Change (t1-t0) (North)]]+Table252934[[#This Row],[Sales]]</f>
        <v>0</v>
      </c>
      <c r="N168" s="18">
        <f>IF(Table252934[[#This Row],[Regional Transfer (Real)]]=0, 0, Table252934[[#This Row],[Regional Transfer (Real)]]+Table252934[[#This Row],[Stock Level  (North)]])</f>
        <v>0</v>
      </c>
      <c r="P168" s="4" t="s">
        <v>56</v>
      </c>
      <c r="Q168" s="20">
        <f t="shared" si="6"/>
        <v>100</v>
      </c>
      <c r="R168" s="20">
        <f>Q169-Table25293035[[#This Row],[Stock Level  (South)]]</f>
        <v>0</v>
      </c>
      <c r="S168" s="20">
        <f>IFERROR(GETPIVOTDATA("QTY",$B$56,"PRODUCT_DESCRIPTION", $B$154, "SALES_ORDER_DATE",Table25293035[[#This Row],[Date]], "AREA_NAME", "South"), 0)</f>
        <v>0</v>
      </c>
      <c r="T168" s="20">
        <f>Table25293035[[#This Row],[Stock Change (t1-t0) (South)]]+Table25293035[[#This Row],[Sales]]</f>
        <v>0</v>
      </c>
      <c r="U168" s="18">
        <f>IF(Table25293035[[#This Row],[Regional Transfer (Real)]]=0, 0, Table25293035[[#This Row],[Regional Transfer (Real)]]+Table25293035[[#This Row],[Stock Level  (South)]])</f>
        <v>0</v>
      </c>
      <c r="W168" s="4" t="s">
        <v>56</v>
      </c>
      <c r="X168" s="20">
        <f t="shared" si="7"/>
        <v>0</v>
      </c>
      <c r="Y168" s="20">
        <f>X169-Table2529303236[[#This Row],[Stock Level  (West)]]</f>
        <v>0</v>
      </c>
      <c r="Z168" s="20">
        <f>IFERROR(GETPIVOTDATA("QTY",$B$56,"PRODUCT_DESCRIPTION", $B$154, "SALES_ORDER_DATE",Table2529303236[[#This Row],[Date]], "AREA_NAME", "West"), 0)</f>
        <v>0</v>
      </c>
      <c r="AA168" s="20">
        <f>Table2529303236[[#This Row],[Stock Change (t1-t0) (West)]]+Table2529303236[[#This Row],[Sales]]</f>
        <v>0</v>
      </c>
      <c r="AB168" s="18">
        <f>IF(Table2529303236[[#This Row],[Regional Transfer (Real)]]=0, 0, Table2529303236[[#This Row],[Regional Transfer (Real)]]+Table2529303236[[#This Row],[Stock Level  (West)]])</f>
        <v>0</v>
      </c>
    </row>
    <row r="169" spans="2:28" x14ac:dyDescent="0.2">
      <c r="B169" s="4" t="s">
        <v>17</v>
      </c>
      <c r="C169" s="20">
        <f t="shared" si="4"/>
        <v>251</v>
      </c>
      <c r="D169" s="20">
        <f>C170-Table2533[[#This Row],[Stock Level  ]]</f>
        <v>324</v>
      </c>
      <c r="E169" s="20">
        <f>IFERROR(GETPIVOTDATA("QTY",$B$56,"PRODUCT_DESCRIPTION", $B$154, "SALES_ORDER_DATE",Table2533[[#This Row],[Date]]), 0)</f>
        <v>25</v>
      </c>
      <c r="F169" s="20">
        <f>Table2533[[#This Row],[Stock Change (t1-t0)]]+Table2533[[#This Row],[Sales]]</f>
        <v>349</v>
      </c>
      <c r="G169" s="18">
        <f>IF(Table2533[[#This Row],[Purchase (Real)]]=0, 0, Table2533[[#This Row],[Purchase (Real)]]+C168)</f>
        <v>600</v>
      </c>
      <c r="I169" s="4" t="s">
        <v>17</v>
      </c>
      <c r="J169" s="20">
        <f t="shared" si="5"/>
        <v>51</v>
      </c>
      <c r="K169" s="20">
        <f>J170-Table252934[[#This Row],[Stock Level  (North)]]</f>
        <v>33</v>
      </c>
      <c r="L169" s="20">
        <f>IFERROR(GETPIVOTDATA("QTY",$B$56,"PRODUCT_DESCRIPTION", $B$154, "SALES_ORDER_DATE",Table252934[[#This Row],[Date]], "AREA_NAME", "North"), 0)</f>
        <v>0</v>
      </c>
      <c r="M169" s="20">
        <f>Table252934[[#This Row],[Stock Change (t1-t0) (North)]]+Table252934[[#This Row],[Sales]]</f>
        <v>33</v>
      </c>
      <c r="N169" s="18">
        <f>IF(Table252934[[#This Row],[Regional Transfer (Real)]]=0, 0, Table252934[[#This Row],[Regional Transfer (Real)]]+Table252934[[#This Row],[Stock Level  (North)]])</f>
        <v>84</v>
      </c>
      <c r="P169" s="4" t="s">
        <v>17</v>
      </c>
      <c r="Q169" s="20">
        <f t="shared" si="6"/>
        <v>100</v>
      </c>
      <c r="R169" s="20">
        <f>Q170-Table25293035[[#This Row],[Stock Level  (South)]]</f>
        <v>-25</v>
      </c>
      <c r="S169" s="20">
        <f>IFERROR(GETPIVOTDATA("QTY",$B$56,"PRODUCT_DESCRIPTION", $B$154, "SALES_ORDER_DATE",Table25293035[[#This Row],[Date]], "AREA_NAME", "South"), 0)</f>
        <v>25</v>
      </c>
      <c r="T169" s="20">
        <f>Table25293035[[#This Row],[Stock Change (t1-t0) (South)]]+Table25293035[[#This Row],[Sales]]</f>
        <v>0</v>
      </c>
      <c r="U169" s="18">
        <f>IF(Table25293035[[#This Row],[Regional Transfer (Real)]]=0, 0, Table25293035[[#This Row],[Regional Transfer (Real)]]+Table25293035[[#This Row],[Stock Level  (South)]])</f>
        <v>0</v>
      </c>
      <c r="W169" s="4" t="s">
        <v>17</v>
      </c>
      <c r="X169" s="20">
        <f t="shared" si="7"/>
        <v>0</v>
      </c>
      <c r="Y169" s="20">
        <f>X170-Table2529303236[[#This Row],[Stock Level  (West)]]</f>
        <v>67</v>
      </c>
      <c r="Z169" s="20">
        <f>IFERROR(GETPIVOTDATA("QTY",$B$56,"PRODUCT_DESCRIPTION", $B$154, "SALES_ORDER_DATE",Table2529303236[[#This Row],[Date]], "AREA_NAME", "West"), 0)</f>
        <v>0</v>
      </c>
      <c r="AA169" s="20">
        <f>Table2529303236[[#This Row],[Stock Change (t1-t0) (West)]]+Table2529303236[[#This Row],[Sales]]</f>
        <v>67</v>
      </c>
      <c r="AB169" s="18">
        <f>IF(Table2529303236[[#This Row],[Regional Transfer (Real)]]=0, 0, Table2529303236[[#This Row],[Regional Transfer (Real)]]+Table2529303236[[#This Row],[Stock Level  (West)]])</f>
        <v>67</v>
      </c>
    </row>
    <row r="170" spans="2:28" x14ac:dyDescent="0.2">
      <c r="B170" s="4" t="s">
        <v>18</v>
      </c>
      <c r="C170" s="20">
        <f t="shared" si="4"/>
        <v>575</v>
      </c>
      <c r="D170" s="20">
        <f>C171-Table2533[[#This Row],[Stock Level  ]]</f>
        <v>-68</v>
      </c>
      <c r="E170" s="20">
        <f>IFERROR(GETPIVOTDATA("QTY",$B$56,"PRODUCT_DESCRIPTION", $B$154, "SALES_ORDER_DATE",Table2533[[#This Row],[Date]]), 0)</f>
        <v>68</v>
      </c>
      <c r="F170" s="20">
        <f>Table2533[[#This Row],[Stock Change (t1-t0)]]+Table2533[[#This Row],[Sales]]</f>
        <v>0</v>
      </c>
      <c r="G170" s="18">
        <f>IF(Table2533[[#This Row],[Purchase (Real)]]=0, 0, Table2533[[#This Row],[Purchase (Real)]]+C169)</f>
        <v>0</v>
      </c>
      <c r="I170" s="4" t="s">
        <v>18</v>
      </c>
      <c r="J170" s="20">
        <f t="shared" si="5"/>
        <v>84</v>
      </c>
      <c r="K170" s="20">
        <f>J171-Table252934[[#This Row],[Stock Level  (North)]]</f>
        <v>0</v>
      </c>
      <c r="L170" s="20">
        <f>IFERROR(GETPIVOTDATA("QTY",$B$56,"PRODUCT_DESCRIPTION", $B$154, "SALES_ORDER_DATE",Table252934[[#This Row],[Date]], "AREA_NAME", "North"), 0)</f>
        <v>0</v>
      </c>
      <c r="M170" s="20">
        <f>Table252934[[#This Row],[Stock Change (t1-t0) (North)]]+Table252934[[#This Row],[Sales]]</f>
        <v>0</v>
      </c>
      <c r="N170" s="18">
        <f>IF(Table252934[[#This Row],[Regional Transfer (Real)]]=0, 0, Table252934[[#This Row],[Regional Transfer (Real)]]+Table252934[[#This Row],[Stock Level  (North)]])</f>
        <v>0</v>
      </c>
      <c r="P170" s="4" t="s">
        <v>18</v>
      </c>
      <c r="Q170" s="20">
        <f t="shared" si="6"/>
        <v>75</v>
      </c>
      <c r="R170" s="20">
        <f>Q171-Table25293035[[#This Row],[Stock Level  (South)]]</f>
        <v>-26</v>
      </c>
      <c r="S170" s="20">
        <f>IFERROR(GETPIVOTDATA("QTY",$B$56,"PRODUCT_DESCRIPTION", $B$154, "SALES_ORDER_DATE",Table25293035[[#This Row],[Date]], "AREA_NAME", "South"), 0)</f>
        <v>26</v>
      </c>
      <c r="T170" s="20">
        <f>Table25293035[[#This Row],[Stock Change (t1-t0) (South)]]+Table25293035[[#This Row],[Sales]]</f>
        <v>0</v>
      </c>
      <c r="U170" s="18">
        <f>IF(Table25293035[[#This Row],[Regional Transfer (Real)]]=0, 0, Table25293035[[#This Row],[Regional Transfer (Real)]]+Table25293035[[#This Row],[Stock Level  (South)]])</f>
        <v>0</v>
      </c>
      <c r="W170" s="4" t="s">
        <v>18</v>
      </c>
      <c r="X170" s="20">
        <f t="shared" si="7"/>
        <v>67</v>
      </c>
      <c r="Y170" s="20">
        <f>X171-Table2529303236[[#This Row],[Stock Level  (West)]]</f>
        <v>-42</v>
      </c>
      <c r="Z170" s="20">
        <f>IFERROR(GETPIVOTDATA("QTY",$B$56,"PRODUCT_DESCRIPTION", $B$154, "SALES_ORDER_DATE",Table2529303236[[#This Row],[Date]], "AREA_NAME", "West"), 0)</f>
        <v>42</v>
      </c>
      <c r="AA170" s="20">
        <f>Table2529303236[[#This Row],[Stock Change (t1-t0) (West)]]+Table2529303236[[#This Row],[Sales]]</f>
        <v>0</v>
      </c>
      <c r="AB170" s="18">
        <f>IF(Table2529303236[[#This Row],[Regional Transfer (Real)]]=0, 0, Table2529303236[[#This Row],[Regional Transfer (Real)]]+Table2529303236[[#This Row],[Stock Level  (West)]])</f>
        <v>0</v>
      </c>
    </row>
    <row r="171" spans="2:28" x14ac:dyDescent="0.2">
      <c r="B171" s="4" t="s">
        <v>19</v>
      </c>
      <c r="C171" s="20">
        <f t="shared" si="4"/>
        <v>507</v>
      </c>
      <c r="D171" s="20">
        <f>C172-Table2533[[#This Row],[Stock Level  ]]</f>
        <v>-25</v>
      </c>
      <c r="E171" s="20">
        <f>IFERROR(GETPIVOTDATA("QTY",$B$56,"PRODUCT_DESCRIPTION", $B$154, "SALES_ORDER_DATE",Table2533[[#This Row],[Date]]), 0)</f>
        <v>25</v>
      </c>
      <c r="F171" s="20">
        <f>Table2533[[#This Row],[Stock Change (t1-t0)]]+Table2533[[#This Row],[Sales]]</f>
        <v>0</v>
      </c>
      <c r="G171" s="18">
        <f>IF(Table2533[[#This Row],[Purchase (Real)]]=0, 0, Table2533[[#This Row],[Purchase (Real)]]+C170)</f>
        <v>0</v>
      </c>
      <c r="I171" s="4" t="s">
        <v>19</v>
      </c>
      <c r="J171" s="20">
        <f t="shared" si="5"/>
        <v>84</v>
      </c>
      <c r="K171" s="20">
        <f>J172-Table252934[[#This Row],[Stock Level  (North)]]</f>
        <v>-21</v>
      </c>
      <c r="L171" s="20">
        <f>IFERROR(GETPIVOTDATA("QTY",$B$56,"PRODUCT_DESCRIPTION", $B$154, "SALES_ORDER_DATE",Table252934[[#This Row],[Date]], "AREA_NAME", "North"), 0)</f>
        <v>21</v>
      </c>
      <c r="M171" s="20">
        <f>Table252934[[#This Row],[Stock Change (t1-t0) (North)]]+Table252934[[#This Row],[Sales]]</f>
        <v>0</v>
      </c>
      <c r="N171" s="18">
        <f>IF(Table252934[[#This Row],[Regional Transfer (Real)]]=0, 0, Table252934[[#This Row],[Regional Transfer (Real)]]+Table252934[[#This Row],[Stock Level  (North)]])</f>
        <v>0</v>
      </c>
      <c r="P171" s="4" t="s">
        <v>19</v>
      </c>
      <c r="Q171" s="20">
        <f t="shared" si="6"/>
        <v>49</v>
      </c>
      <c r="R171" s="20">
        <f>Q172-Table25293035[[#This Row],[Stock Level  (South)]]</f>
        <v>0</v>
      </c>
      <c r="S171" s="20">
        <f>IFERROR(GETPIVOTDATA("QTY",$B$56,"PRODUCT_DESCRIPTION", $B$154, "SALES_ORDER_DATE",Table25293035[[#This Row],[Date]], "AREA_NAME", "South"), 0)</f>
        <v>0</v>
      </c>
      <c r="T171" s="20">
        <f>Table25293035[[#This Row],[Stock Change (t1-t0) (South)]]+Table25293035[[#This Row],[Sales]]</f>
        <v>0</v>
      </c>
      <c r="U171" s="18">
        <f>IF(Table25293035[[#This Row],[Regional Transfer (Real)]]=0, 0, Table25293035[[#This Row],[Regional Transfer (Real)]]+Table25293035[[#This Row],[Stock Level  (South)]])</f>
        <v>0</v>
      </c>
      <c r="W171" s="4" t="s">
        <v>19</v>
      </c>
      <c r="X171" s="20">
        <f t="shared" si="7"/>
        <v>25</v>
      </c>
      <c r="Y171" s="20">
        <f>X172-Table2529303236[[#This Row],[Stock Level  (West)]]</f>
        <v>-4</v>
      </c>
      <c r="Z171" s="20">
        <f>IFERROR(GETPIVOTDATA("QTY",$B$56,"PRODUCT_DESCRIPTION", $B$154, "SALES_ORDER_DATE",Table2529303236[[#This Row],[Date]], "AREA_NAME", "West"), 0)</f>
        <v>4</v>
      </c>
      <c r="AA171" s="20">
        <f>Table2529303236[[#This Row],[Stock Change (t1-t0) (West)]]+Table2529303236[[#This Row],[Sales]]</f>
        <v>0</v>
      </c>
      <c r="AB171" s="18">
        <f>IF(Table2529303236[[#This Row],[Regional Transfer (Real)]]=0, 0, Table2529303236[[#This Row],[Regional Transfer (Real)]]+Table2529303236[[#This Row],[Stock Level  (West)]])</f>
        <v>0</v>
      </c>
    </row>
    <row r="172" spans="2:28" x14ac:dyDescent="0.2">
      <c r="B172" s="4" t="s">
        <v>20</v>
      </c>
      <c r="C172" s="20">
        <f t="shared" si="4"/>
        <v>482</v>
      </c>
      <c r="D172" s="20">
        <f>C173-Table2533[[#This Row],[Stock Level  ]]</f>
        <v>-21</v>
      </c>
      <c r="E172" s="20">
        <f>IFERROR(GETPIVOTDATA("QTY",$B$56,"PRODUCT_DESCRIPTION", $B$154, "SALES_ORDER_DATE",Table2533[[#This Row],[Date]]), 0)</f>
        <v>21</v>
      </c>
      <c r="F172" s="20">
        <f>Table2533[[#This Row],[Stock Change (t1-t0)]]+Table2533[[#This Row],[Sales]]</f>
        <v>0</v>
      </c>
      <c r="G172" s="18">
        <f>IF(Table2533[[#This Row],[Purchase (Real)]]=0, 0, Table2533[[#This Row],[Purchase (Real)]]+C171)</f>
        <v>0</v>
      </c>
      <c r="I172" s="4" t="s">
        <v>20</v>
      </c>
      <c r="J172" s="20">
        <f t="shared" si="5"/>
        <v>63</v>
      </c>
      <c r="K172" s="20">
        <f>J173-Table252934[[#This Row],[Stock Level  (North)]]</f>
        <v>17</v>
      </c>
      <c r="L172" s="20">
        <f>IFERROR(GETPIVOTDATA("QTY",$B$56,"PRODUCT_DESCRIPTION", $B$154, "SALES_ORDER_DATE",Table252934[[#This Row],[Date]], "AREA_NAME", "North"), 0)</f>
        <v>20</v>
      </c>
      <c r="M172" s="20">
        <f>Table252934[[#This Row],[Stock Change (t1-t0) (North)]]+Table252934[[#This Row],[Sales]]</f>
        <v>37</v>
      </c>
      <c r="N172" s="18">
        <f>IF(Table252934[[#This Row],[Regional Transfer (Real)]]=0, 0, Table252934[[#This Row],[Regional Transfer (Real)]]+Table252934[[#This Row],[Stock Level  (North)]])</f>
        <v>100</v>
      </c>
      <c r="P172" s="4" t="s">
        <v>20</v>
      </c>
      <c r="Q172" s="20">
        <f t="shared" si="6"/>
        <v>49</v>
      </c>
      <c r="R172" s="20">
        <f>Q173-Table25293035[[#This Row],[Stock Level  (South)]]</f>
        <v>51</v>
      </c>
      <c r="S172" s="20">
        <f>IFERROR(GETPIVOTDATA("QTY",$B$56,"PRODUCT_DESCRIPTION", $B$154, "SALES_ORDER_DATE",Table25293035[[#This Row],[Date]], "AREA_NAME", "South"), 0)</f>
        <v>0</v>
      </c>
      <c r="T172" s="20">
        <f>Table25293035[[#This Row],[Stock Change (t1-t0) (South)]]+Table25293035[[#This Row],[Sales]]</f>
        <v>51</v>
      </c>
      <c r="U172" s="18">
        <f>IF(Table25293035[[#This Row],[Regional Transfer (Real)]]=0, 0, Table25293035[[#This Row],[Regional Transfer (Real)]]+Table25293035[[#This Row],[Stock Level  (South)]])</f>
        <v>100</v>
      </c>
      <c r="W172" s="4" t="s">
        <v>20</v>
      </c>
      <c r="X172" s="20">
        <f t="shared" si="7"/>
        <v>21</v>
      </c>
      <c r="Y172" s="20">
        <f>X173-Table2529303236[[#This Row],[Stock Level  (West)]]</f>
        <v>78</v>
      </c>
      <c r="Z172" s="20">
        <f>IFERROR(GETPIVOTDATA("QTY",$B$56,"PRODUCT_DESCRIPTION", $B$154, "SALES_ORDER_DATE",Table2529303236[[#This Row],[Date]], "AREA_NAME", "West"), 0)</f>
        <v>1</v>
      </c>
      <c r="AA172" s="20">
        <f>Table2529303236[[#This Row],[Stock Change (t1-t0) (West)]]+Table2529303236[[#This Row],[Sales]]</f>
        <v>79</v>
      </c>
      <c r="AB172" s="18">
        <f>IF(Table2529303236[[#This Row],[Regional Transfer (Real)]]=0, 0, Table2529303236[[#This Row],[Regional Transfer (Real)]]+Table2529303236[[#This Row],[Stock Level  (West)]])</f>
        <v>100</v>
      </c>
    </row>
    <row r="173" spans="2:28" x14ac:dyDescent="0.2">
      <c r="B173" s="4" t="s">
        <v>21</v>
      </c>
      <c r="C173" s="20">
        <f t="shared" si="4"/>
        <v>461</v>
      </c>
      <c r="D173" s="20">
        <f>C174-Table2533[[#This Row],[Stock Level  ]]</f>
        <v>-38</v>
      </c>
      <c r="E173" s="20">
        <f>IFERROR(GETPIVOTDATA("QTY",$B$56,"PRODUCT_DESCRIPTION", $B$154, "SALES_ORDER_DATE",Table2533[[#This Row],[Date]]), 0)</f>
        <v>38</v>
      </c>
      <c r="F173" s="20">
        <f>Table2533[[#This Row],[Stock Change (t1-t0)]]+Table2533[[#This Row],[Sales]]</f>
        <v>0</v>
      </c>
      <c r="G173" s="18">
        <f>IF(Table2533[[#This Row],[Purchase (Real)]]=0, 0, Table2533[[#This Row],[Purchase (Real)]]+C172)</f>
        <v>0</v>
      </c>
      <c r="I173" s="4" t="s">
        <v>21</v>
      </c>
      <c r="J173" s="20">
        <f t="shared" si="5"/>
        <v>80</v>
      </c>
      <c r="K173" s="20">
        <f>J174-Table252934[[#This Row],[Stock Level  (North)]]</f>
        <v>0</v>
      </c>
      <c r="L173" s="20">
        <f>IFERROR(GETPIVOTDATA("QTY",$B$56,"PRODUCT_DESCRIPTION", $B$154, "SALES_ORDER_DATE",Table252934[[#This Row],[Date]], "AREA_NAME", "North"), 0)</f>
        <v>0</v>
      </c>
      <c r="M173" s="20">
        <f>Table252934[[#This Row],[Stock Change (t1-t0) (North)]]+Table252934[[#This Row],[Sales]]</f>
        <v>0</v>
      </c>
      <c r="N173" s="18">
        <f>IF(Table252934[[#This Row],[Regional Transfer (Real)]]=0, 0, Table252934[[#This Row],[Regional Transfer (Real)]]+Table252934[[#This Row],[Stock Level  (North)]])</f>
        <v>0</v>
      </c>
      <c r="P173" s="4" t="s">
        <v>21</v>
      </c>
      <c r="Q173" s="20">
        <f t="shared" si="6"/>
        <v>100</v>
      </c>
      <c r="R173" s="20">
        <f>Q174-Table25293035[[#This Row],[Stock Level  (South)]]</f>
        <v>0</v>
      </c>
      <c r="S173" s="20">
        <f>IFERROR(GETPIVOTDATA("QTY",$B$56,"PRODUCT_DESCRIPTION", $B$154, "SALES_ORDER_DATE",Table25293035[[#This Row],[Date]], "AREA_NAME", "South"), 0)</f>
        <v>0</v>
      </c>
      <c r="T173" s="20">
        <f>Table25293035[[#This Row],[Stock Change (t1-t0) (South)]]+Table25293035[[#This Row],[Sales]]</f>
        <v>0</v>
      </c>
      <c r="U173" s="18">
        <f>IF(Table25293035[[#This Row],[Regional Transfer (Real)]]=0, 0, Table25293035[[#This Row],[Regional Transfer (Real)]]+Table25293035[[#This Row],[Stock Level  (South)]])</f>
        <v>0</v>
      </c>
      <c r="W173" s="4" t="s">
        <v>21</v>
      </c>
      <c r="X173" s="20">
        <f t="shared" si="7"/>
        <v>99</v>
      </c>
      <c r="Y173" s="20">
        <f>X174-Table2529303236[[#This Row],[Stock Level  (West)]]</f>
        <v>-38</v>
      </c>
      <c r="Z173" s="20">
        <f>IFERROR(GETPIVOTDATA("QTY",$B$56,"PRODUCT_DESCRIPTION", $B$154, "SALES_ORDER_DATE",Table2529303236[[#This Row],[Date]], "AREA_NAME", "West"), 0)</f>
        <v>38</v>
      </c>
      <c r="AA173" s="20">
        <f>Table2529303236[[#This Row],[Stock Change (t1-t0) (West)]]+Table2529303236[[#This Row],[Sales]]</f>
        <v>0</v>
      </c>
      <c r="AB173" s="18">
        <f>IF(Table2529303236[[#This Row],[Regional Transfer (Real)]]=0, 0, Table2529303236[[#This Row],[Regional Transfer (Real)]]+Table2529303236[[#This Row],[Stock Level  (West)]])</f>
        <v>0</v>
      </c>
    </row>
    <row r="174" spans="2:28" x14ac:dyDescent="0.2">
      <c r="B174" s="4" t="s">
        <v>22</v>
      </c>
      <c r="C174" s="20">
        <f t="shared" si="4"/>
        <v>423</v>
      </c>
      <c r="D174" s="20">
        <f>C175-Table2533[[#This Row],[Stock Level  ]]</f>
        <v>-42</v>
      </c>
      <c r="E174" s="20">
        <f>IFERROR(GETPIVOTDATA("QTY",$B$56,"PRODUCT_DESCRIPTION", $B$154, "SALES_ORDER_DATE",Table2533[[#This Row],[Date]]), 0)</f>
        <v>42</v>
      </c>
      <c r="F174" s="20">
        <f>Table2533[[#This Row],[Stock Change (t1-t0)]]+Table2533[[#This Row],[Sales]]</f>
        <v>0</v>
      </c>
      <c r="G174" s="18">
        <f>IF(Table2533[[#This Row],[Purchase (Real)]]=0, 0, Table2533[[#This Row],[Purchase (Real)]]+C173)</f>
        <v>0</v>
      </c>
      <c r="I174" s="4" t="s">
        <v>22</v>
      </c>
      <c r="J174" s="20">
        <f t="shared" si="5"/>
        <v>80</v>
      </c>
      <c r="K174" s="20">
        <f>J175-Table252934[[#This Row],[Stock Level  (North)]]</f>
        <v>0</v>
      </c>
      <c r="L174" s="20">
        <f>IFERROR(GETPIVOTDATA("QTY",$B$56,"PRODUCT_DESCRIPTION", $B$154, "SALES_ORDER_DATE",Table252934[[#This Row],[Date]], "AREA_NAME", "North"), 0)</f>
        <v>0</v>
      </c>
      <c r="M174" s="20">
        <f>Table252934[[#This Row],[Stock Change (t1-t0) (North)]]+Table252934[[#This Row],[Sales]]</f>
        <v>0</v>
      </c>
      <c r="N174" s="18">
        <f>IF(Table252934[[#This Row],[Regional Transfer (Real)]]=0, 0, Table252934[[#This Row],[Regional Transfer (Real)]]+Table252934[[#This Row],[Stock Level  (North)]])</f>
        <v>0</v>
      </c>
      <c r="P174" s="4" t="s">
        <v>22</v>
      </c>
      <c r="Q174" s="20">
        <f t="shared" si="6"/>
        <v>100</v>
      </c>
      <c r="R174" s="20">
        <f>Q175-Table25293035[[#This Row],[Stock Level  (South)]]</f>
        <v>0</v>
      </c>
      <c r="S174" s="20">
        <f>IFERROR(GETPIVOTDATA("QTY",$B$56,"PRODUCT_DESCRIPTION", $B$154, "SALES_ORDER_DATE",Table25293035[[#This Row],[Date]], "AREA_NAME", "South"), 0)</f>
        <v>0</v>
      </c>
      <c r="T174" s="20">
        <f>Table25293035[[#This Row],[Stock Change (t1-t0) (South)]]+Table25293035[[#This Row],[Sales]]</f>
        <v>0</v>
      </c>
      <c r="U174" s="18">
        <f>IF(Table25293035[[#This Row],[Regional Transfer (Real)]]=0, 0, Table25293035[[#This Row],[Regional Transfer (Real)]]+Table25293035[[#This Row],[Stock Level  (South)]])</f>
        <v>0</v>
      </c>
      <c r="W174" s="4" t="s">
        <v>22</v>
      </c>
      <c r="X174" s="20">
        <f t="shared" si="7"/>
        <v>61</v>
      </c>
      <c r="Y174" s="20">
        <f>X175-Table2529303236[[#This Row],[Stock Level  (West)]]</f>
        <v>-42</v>
      </c>
      <c r="Z174" s="20">
        <f>IFERROR(GETPIVOTDATA("QTY",$B$56,"PRODUCT_DESCRIPTION", $B$154, "SALES_ORDER_DATE",Table2529303236[[#This Row],[Date]], "AREA_NAME", "West"), 0)</f>
        <v>42</v>
      </c>
      <c r="AA174" s="20">
        <f>Table2529303236[[#This Row],[Stock Change (t1-t0) (West)]]+Table2529303236[[#This Row],[Sales]]</f>
        <v>0</v>
      </c>
      <c r="AB174" s="18">
        <f>IF(Table2529303236[[#This Row],[Regional Transfer (Real)]]=0, 0, Table2529303236[[#This Row],[Regional Transfer (Real)]]+Table2529303236[[#This Row],[Stock Level  (West)]])</f>
        <v>0</v>
      </c>
    </row>
    <row r="175" spans="2:28" x14ac:dyDescent="0.2">
      <c r="B175" s="4" t="s">
        <v>23</v>
      </c>
      <c r="C175" s="20">
        <f t="shared" si="4"/>
        <v>381</v>
      </c>
      <c r="D175" s="20">
        <f>C176-Table2533[[#This Row],[Stock Level  ]]</f>
        <v>-19</v>
      </c>
      <c r="E175" s="20">
        <f>IFERROR(GETPIVOTDATA("QTY",$B$56,"PRODUCT_DESCRIPTION", $B$154, "SALES_ORDER_DATE",Table2533[[#This Row],[Date]]), 0)</f>
        <v>19</v>
      </c>
      <c r="F175" s="20">
        <f>Table2533[[#This Row],[Stock Change (t1-t0)]]+Table2533[[#This Row],[Sales]]</f>
        <v>0</v>
      </c>
      <c r="G175" s="18">
        <f>IF(Table2533[[#This Row],[Purchase (Real)]]=0, 0, Table2533[[#This Row],[Purchase (Real)]]+C174)</f>
        <v>0</v>
      </c>
      <c r="I175" s="4" t="s">
        <v>23</v>
      </c>
      <c r="J175" s="20">
        <f t="shared" si="5"/>
        <v>80</v>
      </c>
      <c r="K175" s="20">
        <f>J176-Table252934[[#This Row],[Stock Level  (North)]]</f>
        <v>20</v>
      </c>
      <c r="L175" s="20">
        <f>IFERROR(GETPIVOTDATA("QTY",$B$56,"PRODUCT_DESCRIPTION", $B$154, "SALES_ORDER_DATE",Table252934[[#This Row],[Date]], "AREA_NAME", "North"), 0)</f>
        <v>0</v>
      </c>
      <c r="M175" s="20">
        <f>Table252934[[#This Row],[Stock Change (t1-t0) (North)]]+Table252934[[#This Row],[Sales]]</f>
        <v>20</v>
      </c>
      <c r="N175" s="18">
        <f>IF(Table252934[[#This Row],[Regional Transfer (Real)]]=0, 0, Table252934[[#This Row],[Regional Transfer (Real)]]+Table252934[[#This Row],[Stock Level  (North)]])</f>
        <v>100</v>
      </c>
      <c r="P175" s="4" t="s">
        <v>23</v>
      </c>
      <c r="Q175" s="20">
        <f t="shared" si="6"/>
        <v>100</v>
      </c>
      <c r="R175" s="20">
        <f>Q176-Table25293035[[#This Row],[Stock Level  (South)]]</f>
        <v>0</v>
      </c>
      <c r="S175" s="20">
        <f>IFERROR(GETPIVOTDATA("QTY",$B$56,"PRODUCT_DESCRIPTION", $B$154, "SALES_ORDER_DATE",Table25293035[[#This Row],[Date]], "AREA_NAME", "South"), 0)</f>
        <v>0</v>
      </c>
      <c r="T175" s="20">
        <f>Table25293035[[#This Row],[Stock Change (t1-t0) (South)]]+Table25293035[[#This Row],[Sales]]</f>
        <v>0</v>
      </c>
      <c r="U175" s="18">
        <f>IF(Table25293035[[#This Row],[Regional Transfer (Real)]]=0, 0, Table25293035[[#This Row],[Regional Transfer (Real)]]+Table25293035[[#This Row],[Stock Level  (South)]])</f>
        <v>0</v>
      </c>
      <c r="W175" s="4" t="s">
        <v>23</v>
      </c>
      <c r="X175" s="20">
        <f t="shared" si="7"/>
        <v>19</v>
      </c>
      <c r="Y175" s="20">
        <f>X176-Table2529303236[[#This Row],[Stock Level  (West)]]</f>
        <v>62</v>
      </c>
      <c r="Z175" s="20">
        <f>IFERROR(GETPIVOTDATA("QTY",$B$56,"PRODUCT_DESCRIPTION", $B$154, "SALES_ORDER_DATE",Table2529303236[[#This Row],[Date]], "AREA_NAME", "West"), 0)</f>
        <v>19</v>
      </c>
      <c r="AA175" s="20">
        <f>Table2529303236[[#This Row],[Stock Change (t1-t0) (West)]]+Table2529303236[[#This Row],[Sales]]</f>
        <v>81</v>
      </c>
      <c r="AB175" s="18">
        <f>IF(Table2529303236[[#This Row],[Regional Transfer (Real)]]=0, 0, Table2529303236[[#This Row],[Regional Transfer (Real)]]+Table2529303236[[#This Row],[Stock Level  (West)]])</f>
        <v>100</v>
      </c>
    </row>
    <row r="176" spans="2:28" x14ac:dyDescent="0.2">
      <c r="B176" s="4" t="s">
        <v>24</v>
      </c>
      <c r="C176" s="20">
        <f t="shared" si="4"/>
        <v>362</v>
      </c>
      <c r="D176" s="20">
        <f>C177-Table2533[[#This Row],[Stock Level  ]]</f>
        <v>-71</v>
      </c>
      <c r="E176" s="20">
        <f>IFERROR(GETPIVOTDATA("QTY",$B$56,"PRODUCT_DESCRIPTION", $B$154, "SALES_ORDER_DATE",Table2533[[#This Row],[Date]]), 0)</f>
        <v>71</v>
      </c>
      <c r="F176" s="20">
        <f>Table2533[[#This Row],[Stock Change (t1-t0)]]+Table2533[[#This Row],[Sales]]</f>
        <v>0</v>
      </c>
      <c r="G176" s="18">
        <f>IF(Table2533[[#This Row],[Purchase (Real)]]=0, 0, Table2533[[#This Row],[Purchase (Real)]]+C175)</f>
        <v>0</v>
      </c>
      <c r="I176" s="4" t="s">
        <v>24</v>
      </c>
      <c r="J176" s="20">
        <f t="shared" si="5"/>
        <v>100</v>
      </c>
      <c r="K176" s="20">
        <f>J177-Table252934[[#This Row],[Stock Level  (North)]]</f>
        <v>-26</v>
      </c>
      <c r="L176" s="20">
        <f>IFERROR(GETPIVOTDATA("QTY",$B$56,"PRODUCT_DESCRIPTION", $B$154, "SALES_ORDER_DATE",Table252934[[#This Row],[Date]], "AREA_NAME", "North"), 0)</f>
        <v>26</v>
      </c>
      <c r="M176" s="20">
        <f>Table252934[[#This Row],[Stock Change (t1-t0) (North)]]+Table252934[[#This Row],[Sales]]</f>
        <v>0</v>
      </c>
      <c r="N176" s="18">
        <f>IF(Table252934[[#This Row],[Regional Transfer (Real)]]=0, 0, Table252934[[#This Row],[Regional Transfer (Real)]]+Table252934[[#This Row],[Stock Level  (North)]])</f>
        <v>0</v>
      </c>
      <c r="P176" s="4" t="s">
        <v>24</v>
      </c>
      <c r="Q176" s="20">
        <f t="shared" si="6"/>
        <v>100</v>
      </c>
      <c r="R176" s="20">
        <f>Q177-Table25293035[[#This Row],[Stock Level  (South)]]</f>
        <v>0</v>
      </c>
      <c r="S176" s="20">
        <f>IFERROR(GETPIVOTDATA("QTY",$B$56,"PRODUCT_DESCRIPTION", $B$154, "SALES_ORDER_DATE",Table25293035[[#This Row],[Date]], "AREA_NAME", "South"), 0)</f>
        <v>0</v>
      </c>
      <c r="T176" s="20">
        <f>Table25293035[[#This Row],[Stock Change (t1-t0) (South)]]+Table25293035[[#This Row],[Sales]]</f>
        <v>0</v>
      </c>
      <c r="U176" s="18">
        <f>IF(Table25293035[[#This Row],[Regional Transfer (Real)]]=0, 0, Table25293035[[#This Row],[Regional Transfer (Real)]]+Table25293035[[#This Row],[Stock Level  (South)]])</f>
        <v>0</v>
      </c>
      <c r="W176" s="4" t="s">
        <v>24</v>
      </c>
      <c r="X176" s="20">
        <f t="shared" si="7"/>
        <v>81</v>
      </c>
      <c r="Y176" s="20">
        <f>X177-Table2529303236[[#This Row],[Stock Level  (West)]]</f>
        <v>-45</v>
      </c>
      <c r="Z176" s="20">
        <f>IFERROR(GETPIVOTDATA("QTY",$B$56,"PRODUCT_DESCRIPTION", $B$154, "SALES_ORDER_DATE",Table2529303236[[#This Row],[Date]], "AREA_NAME", "West"), 0)</f>
        <v>45</v>
      </c>
      <c r="AA176" s="20">
        <f>Table2529303236[[#This Row],[Stock Change (t1-t0) (West)]]+Table2529303236[[#This Row],[Sales]]</f>
        <v>0</v>
      </c>
      <c r="AB176" s="18">
        <f>IF(Table2529303236[[#This Row],[Regional Transfer (Real)]]=0, 0, Table2529303236[[#This Row],[Regional Transfer (Real)]]+Table2529303236[[#This Row],[Stock Level  (West)]])</f>
        <v>0</v>
      </c>
    </row>
    <row r="177" spans="2:28" x14ac:dyDescent="0.2">
      <c r="B177" s="4" t="s">
        <v>25</v>
      </c>
      <c r="C177" s="20">
        <f t="shared" si="4"/>
        <v>291</v>
      </c>
      <c r="D177" s="20">
        <f>C178-Table2533[[#This Row],[Stock Level  ]]</f>
        <v>-36</v>
      </c>
      <c r="E177" s="20">
        <f>IFERROR(GETPIVOTDATA("QTY",$B$56,"PRODUCT_DESCRIPTION", $B$154, "SALES_ORDER_DATE",Table2533[[#This Row],[Date]]), 0)</f>
        <v>36</v>
      </c>
      <c r="F177" s="20">
        <f>Table2533[[#This Row],[Stock Change (t1-t0)]]+Table2533[[#This Row],[Sales]]</f>
        <v>0</v>
      </c>
      <c r="G177" s="18">
        <f>IF(Table2533[[#This Row],[Purchase (Real)]]=0, 0, Table2533[[#This Row],[Purchase (Real)]]+C176)</f>
        <v>0</v>
      </c>
      <c r="I177" s="4" t="s">
        <v>25</v>
      </c>
      <c r="J177" s="20">
        <f t="shared" si="5"/>
        <v>74</v>
      </c>
      <c r="K177" s="20">
        <f>J178-Table252934[[#This Row],[Stock Level  (North)]]</f>
        <v>0</v>
      </c>
      <c r="L177" s="20">
        <f>IFERROR(GETPIVOTDATA("QTY",$B$56,"PRODUCT_DESCRIPTION", $B$154, "SALES_ORDER_DATE",Table252934[[#This Row],[Date]], "AREA_NAME", "North"), 0)</f>
        <v>0</v>
      </c>
      <c r="M177" s="20">
        <f>Table252934[[#This Row],[Stock Change (t1-t0) (North)]]+Table252934[[#This Row],[Sales]]</f>
        <v>0</v>
      </c>
      <c r="N177" s="18">
        <f>IF(Table252934[[#This Row],[Regional Transfer (Real)]]=0, 0, Table252934[[#This Row],[Regional Transfer (Real)]]+Table252934[[#This Row],[Stock Level  (North)]])</f>
        <v>0</v>
      </c>
      <c r="P177" s="4" t="s">
        <v>25</v>
      </c>
      <c r="Q177" s="20">
        <f t="shared" si="6"/>
        <v>100</v>
      </c>
      <c r="R177" s="20">
        <f>Q178-Table25293035[[#This Row],[Stock Level  (South)]]</f>
        <v>0</v>
      </c>
      <c r="S177" s="20">
        <f>IFERROR(GETPIVOTDATA("QTY",$B$56,"PRODUCT_DESCRIPTION", $B$154, "SALES_ORDER_DATE",Table25293035[[#This Row],[Date]], "AREA_NAME", "South"), 0)</f>
        <v>0</v>
      </c>
      <c r="T177" s="20">
        <f>Table25293035[[#This Row],[Stock Change (t1-t0) (South)]]+Table25293035[[#This Row],[Sales]]</f>
        <v>0</v>
      </c>
      <c r="U177" s="18">
        <f>IF(Table25293035[[#This Row],[Regional Transfer (Real)]]=0, 0, Table25293035[[#This Row],[Regional Transfer (Real)]]+Table25293035[[#This Row],[Stock Level  (South)]])</f>
        <v>0</v>
      </c>
      <c r="W177" s="4" t="s">
        <v>25</v>
      </c>
      <c r="X177" s="20">
        <f t="shared" si="7"/>
        <v>36</v>
      </c>
      <c r="Y177" s="20">
        <f>X178-Table2529303236[[#This Row],[Stock Level  (West)]]</f>
        <v>-36</v>
      </c>
      <c r="Z177" s="20">
        <f>IFERROR(GETPIVOTDATA("QTY",$B$56,"PRODUCT_DESCRIPTION", $B$154, "SALES_ORDER_DATE",Table2529303236[[#This Row],[Date]], "AREA_NAME", "West"), 0)</f>
        <v>36</v>
      </c>
      <c r="AA177" s="20">
        <f>Table2529303236[[#This Row],[Stock Change (t1-t0) (West)]]+Table2529303236[[#This Row],[Sales]]</f>
        <v>0</v>
      </c>
      <c r="AB177" s="18">
        <f>IF(Table2529303236[[#This Row],[Regional Transfer (Real)]]=0, 0, Table2529303236[[#This Row],[Regional Transfer (Real)]]+Table2529303236[[#This Row],[Stock Level  (West)]])</f>
        <v>0</v>
      </c>
    </row>
    <row r="178" spans="2:28" x14ac:dyDescent="0.2">
      <c r="B178" s="4" t="s">
        <v>26</v>
      </c>
      <c r="C178" s="20">
        <f t="shared" si="4"/>
        <v>255</v>
      </c>
      <c r="D178" s="20">
        <f>C179-Table2533[[#This Row],[Stock Level  ]]</f>
        <v>-22</v>
      </c>
      <c r="E178" s="20">
        <f>IFERROR(GETPIVOTDATA("QTY",$B$56,"PRODUCT_DESCRIPTION", $B$154, "SALES_ORDER_DATE",Table2533[[#This Row],[Date]]), 0)</f>
        <v>22</v>
      </c>
      <c r="F178" s="20">
        <f>Table2533[[#This Row],[Stock Change (t1-t0)]]+Table2533[[#This Row],[Sales]]</f>
        <v>0</v>
      </c>
      <c r="G178" s="18">
        <f>IF(Table2533[[#This Row],[Purchase (Real)]]=0, 0, Table2533[[#This Row],[Purchase (Real)]]+C177)</f>
        <v>0</v>
      </c>
      <c r="I178" s="4" t="s">
        <v>26</v>
      </c>
      <c r="J178" s="20">
        <f t="shared" si="5"/>
        <v>74</v>
      </c>
      <c r="K178" s="20">
        <f>J179-Table252934[[#This Row],[Stock Level  (North)]]</f>
        <v>2</v>
      </c>
      <c r="L178" s="20">
        <f>IFERROR(GETPIVOTDATA("QTY",$B$56,"PRODUCT_DESCRIPTION", $B$154, "SALES_ORDER_DATE",Table252934[[#This Row],[Date]], "AREA_NAME", "North"), 0)</f>
        <v>22</v>
      </c>
      <c r="M178" s="20">
        <f>Table252934[[#This Row],[Stock Change (t1-t0) (North)]]+Table252934[[#This Row],[Sales]]</f>
        <v>24</v>
      </c>
      <c r="N178" s="18">
        <f>IF(Table252934[[#This Row],[Regional Transfer (Real)]]=0, 0, Table252934[[#This Row],[Regional Transfer (Real)]]+Table252934[[#This Row],[Stock Level  (North)]])</f>
        <v>98</v>
      </c>
      <c r="P178" s="4" t="s">
        <v>26</v>
      </c>
      <c r="Q178" s="20">
        <f t="shared" si="6"/>
        <v>100</v>
      </c>
      <c r="R178" s="20">
        <f>Q179-Table25293035[[#This Row],[Stock Level  (South)]]</f>
        <v>19</v>
      </c>
      <c r="S178" s="20">
        <f>IFERROR(GETPIVOTDATA("QTY",$B$56,"PRODUCT_DESCRIPTION", $B$154, "SALES_ORDER_DATE",Table25293035[[#This Row],[Date]], "AREA_NAME", "South"), 0)</f>
        <v>0</v>
      </c>
      <c r="T178" s="20">
        <f>Table25293035[[#This Row],[Stock Change (t1-t0) (South)]]+Table25293035[[#This Row],[Sales]]</f>
        <v>19</v>
      </c>
      <c r="U178" s="18">
        <f>IF(Table25293035[[#This Row],[Regional Transfer (Real)]]=0, 0, Table25293035[[#This Row],[Regional Transfer (Real)]]+Table25293035[[#This Row],[Stock Level  (South)]])</f>
        <v>119</v>
      </c>
      <c r="W178" s="4" t="s">
        <v>26</v>
      </c>
      <c r="X178" s="20">
        <f t="shared" si="7"/>
        <v>0</v>
      </c>
      <c r="Y178" s="20">
        <f>X179-Table2529303236[[#This Row],[Stock Level  (West)]]</f>
        <v>38</v>
      </c>
      <c r="Z178" s="20">
        <f>IFERROR(GETPIVOTDATA("QTY",$B$56,"PRODUCT_DESCRIPTION", $B$154, "SALES_ORDER_DATE",Table2529303236[[#This Row],[Date]], "AREA_NAME", "West"), 0)</f>
        <v>0</v>
      </c>
      <c r="AA178" s="20">
        <f>Table2529303236[[#This Row],[Stock Change (t1-t0) (West)]]+Table2529303236[[#This Row],[Sales]]</f>
        <v>38</v>
      </c>
      <c r="AB178" s="18">
        <f>IF(Table2529303236[[#This Row],[Regional Transfer (Real)]]=0, 0, Table2529303236[[#This Row],[Regional Transfer (Real)]]+Table2529303236[[#This Row],[Stock Level  (West)]])</f>
        <v>38</v>
      </c>
    </row>
    <row r="179" spans="2:28" x14ac:dyDescent="0.2">
      <c r="B179" s="4" t="s">
        <v>57</v>
      </c>
      <c r="C179" s="20">
        <f t="shared" si="4"/>
        <v>233</v>
      </c>
      <c r="D179" s="20">
        <f>C180-Table2533[[#This Row],[Stock Level  ]]</f>
        <v>0</v>
      </c>
      <c r="E179" s="20">
        <f>IFERROR(GETPIVOTDATA("QTY",$B$56,"PRODUCT_DESCRIPTION", $B$154, "SALES_ORDER_DATE",Table2533[[#This Row],[Date]]), 0)</f>
        <v>0</v>
      </c>
      <c r="F179" s="20">
        <f>Table2533[[#This Row],[Stock Change (t1-t0)]]+Table2533[[#This Row],[Sales]]</f>
        <v>0</v>
      </c>
      <c r="G179" s="18">
        <f>IF(Table2533[[#This Row],[Purchase (Real)]]=0, 0, Table2533[[#This Row],[Purchase (Real)]]+C178)</f>
        <v>0</v>
      </c>
      <c r="I179" s="4" t="s">
        <v>57</v>
      </c>
      <c r="J179" s="20">
        <f t="shared" si="5"/>
        <v>76</v>
      </c>
      <c r="K179" s="20">
        <f>J180-Table252934[[#This Row],[Stock Level  (North)]]</f>
        <v>0</v>
      </c>
      <c r="L179" s="20">
        <f>IFERROR(GETPIVOTDATA("QTY",$B$56,"PRODUCT_DESCRIPTION", $B$154, "SALES_ORDER_DATE",Table252934[[#This Row],[Date]], "AREA_NAME", "North"), 0)</f>
        <v>0</v>
      </c>
      <c r="M179" s="20">
        <f>Table252934[[#This Row],[Stock Change (t1-t0) (North)]]+Table252934[[#This Row],[Sales]]</f>
        <v>0</v>
      </c>
      <c r="N179" s="18">
        <f>IF(Table252934[[#This Row],[Regional Transfer (Real)]]=0, 0, Table252934[[#This Row],[Regional Transfer (Real)]]+Table252934[[#This Row],[Stock Level  (North)]])</f>
        <v>0</v>
      </c>
      <c r="P179" s="4" t="s">
        <v>57</v>
      </c>
      <c r="Q179" s="20">
        <f t="shared" si="6"/>
        <v>119</v>
      </c>
      <c r="R179" s="20">
        <f>Q180-Table25293035[[#This Row],[Stock Level  (South)]]</f>
        <v>0</v>
      </c>
      <c r="S179" s="20">
        <f>IFERROR(GETPIVOTDATA("QTY",$B$56,"PRODUCT_DESCRIPTION", $B$154, "SALES_ORDER_DATE",Table25293035[[#This Row],[Date]], "AREA_NAME", "South"), 0)</f>
        <v>0</v>
      </c>
      <c r="T179" s="20">
        <f>Table25293035[[#This Row],[Stock Change (t1-t0) (South)]]+Table25293035[[#This Row],[Sales]]</f>
        <v>0</v>
      </c>
      <c r="U179" s="18">
        <f>IF(Table25293035[[#This Row],[Regional Transfer (Real)]]=0, 0, Table25293035[[#This Row],[Regional Transfer (Real)]]+Table25293035[[#This Row],[Stock Level  (South)]])</f>
        <v>0</v>
      </c>
      <c r="W179" s="4" t="s">
        <v>57</v>
      </c>
      <c r="X179" s="20">
        <f t="shared" si="7"/>
        <v>38</v>
      </c>
      <c r="Y179" s="20">
        <f>X180-Table2529303236[[#This Row],[Stock Level  (West)]]</f>
        <v>0</v>
      </c>
      <c r="Z179" s="20">
        <f>IFERROR(GETPIVOTDATA("QTY",$B$56,"PRODUCT_DESCRIPTION", $B$154, "SALES_ORDER_DATE",Table2529303236[[#This Row],[Date]], "AREA_NAME", "West"), 0)</f>
        <v>0</v>
      </c>
      <c r="AA179" s="20">
        <f>Table2529303236[[#This Row],[Stock Change (t1-t0) (West)]]+Table2529303236[[#This Row],[Sales]]</f>
        <v>0</v>
      </c>
      <c r="AB179" s="18">
        <f>IF(Table2529303236[[#This Row],[Regional Transfer (Real)]]=0, 0, Table2529303236[[#This Row],[Regional Transfer (Real)]]+Table2529303236[[#This Row],[Stock Level  (West)]])</f>
        <v>0</v>
      </c>
    </row>
    <row r="180" spans="2:28" x14ac:dyDescent="0.2">
      <c r="B180" s="4" t="s">
        <v>27</v>
      </c>
      <c r="C180" s="20">
        <f t="shared" si="4"/>
        <v>233</v>
      </c>
      <c r="D180" s="20">
        <f>C181-Table2533[[#This Row],[Stock Level  ]]</f>
        <v>347</v>
      </c>
      <c r="E180" s="20">
        <f>IFERROR(GETPIVOTDATA("QTY",$B$56,"PRODUCT_DESCRIPTION", $B$154, "SALES_ORDER_DATE",Table2533[[#This Row],[Date]]), 0)</f>
        <v>20</v>
      </c>
      <c r="F180" s="20">
        <f>Table2533[[#This Row],[Stock Change (t1-t0)]]+Table2533[[#This Row],[Sales]]</f>
        <v>367</v>
      </c>
      <c r="G180" s="18">
        <f>IF(Table2533[[#This Row],[Purchase (Real)]]=0, 0, Table2533[[#This Row],[Purchase (Real)]]+C179)</f>
        <v>600</v>
      </c>
      <c r="I180" s="4" t="s">
        <v>27</v>
      </c>
      <c r="J180" s="20">
        <f t="shared" si="5"/>
        <v>76</v>
      </c>
      <c r="K180" s="20">
        <f>J181-Table252934[[#This Row],[Stock Level  (North)]]</f>
        <v>0</v>
      </c>
      <c r="L180" s="20">
        <f>IFERROR(GETPIVOTDATA("QTY",$B$56,"PRODUCT_DESCRIPTION", $B$154, "SALES_ORDER_DATE",Table252934[[#This Row],[Date]], "AREA_NAME", "North"), 0)</f>
        <v>0</v>
      </c>
      <c r="M180" s="20">
        <f>Table252934[[#This Row],[Stock Change (t1-t0) (North)]]+Table252934[[#This Row],[Sales]]</f>
        <v>0</v>
      </c>
      <c r="N180" s="18">
        <f>IF(Table252934[[#This Row],[Regional Transfer (Real)]]=0, 0, Table252934[[#This Row],[Regional Transfer (Real)]]+Table252934[[#This Row],[Stock Level  (North)]])</f>
        <v>0</v>
      </c>
      <c r="P180" s="4" t="s">
        <v>27</v>
      </c>
      <c r="Q180" s="20">
        <f t="shared" si="6"/>
        <v>119</v>
      </c>
      <c r="R180" s="20">
        <f>Q181-Table25293035[[#This Row],[Stock Level  (South)]]</f>
        <v>0</v>
      </c>
      <c r="S180" s="20">
        <f>IFERROR(GETPIVOTDATA("QTY",$B$56,"PRODUCT_DESCRIPTION", $B$154, "SALES_ORDER_DATE",Table25293035[[#This Row],[Date]], "AREA_NAME", "South"), 0)</f>
        <v>0</v>
      </c>
      <c r="T180" s="20">
        <f>Table25293035[[#This Row],[Stock Change (t1-t0) (South)]]+Table25293035[[#This Row],[Sales]]</f>
        <v>0</v>
      </c>
      <c r="U180" s="18">
        <f>IF(Table25293035[[#This Row],[Regional Transfer (Real)]]=0, 0, Table25293035[[#This Row],[Regional Transfer (Real)]]+Table25293035[[#This Row],[Stock Level  (South)]])</f>
        <v>0</v>
      </c>
      <c r="W180" s="4" t="s">
        <v>27</v>
      </c>
      <c r="X180" s="20">
        <f t="shared" si="7"/>
        <v>38</v>
      </c>
      <c r="Y180" s="20">
        <f>X181-Table2529303236[[#This Row],[Stock Level  (West)]]</f>
        <v>-20</v>
      </c>
      <c r="Z180" s="20">
        <f>IFERROR(GETPIVOTDATA("QTY",$B$56,"PRODUCT_DESCRIPTION", $B$154, "SALES_ORDER_DATE",Table2529303236[[#This Row],[Date]], "AREA_NAME", "West"), 0)</f>
        <v>20</v>
      </c>
      <c r="AA180" s="20">
        <f>Table2529303236[[#This Row],[Stock Change (t1-t0) (West)]]+Table2529303236[[#This Row],[Sales]]</f>
        <v>0</v>
      </c>
      <c r="AB180" s="18">
        <f>IF(Table2529303236[[#This Row],[Regional Transfer (Real)]]=0, 0, Table2529303236[[#This Row],[Regional Transfer (Real)]]+Table2529303236[[#This Row],[Stock Level  (West)]])</f>
        <v>0</v>
      </c>
    </row>
    <row r="181" spans="2:28" x14ac:dyDescent="0.2">
      <c r="B181" s="4" t="s">
        <v>28</v>
      </c>
      <c r="C181" s="20">
        <f t="shared" si="4"/>
        <v>580</v>
      </c>
      <c r="D181" s="20">
        <f>C182-Table2533[[#This Row],[Stock Level  ]]</f>
        <v>0</v>
      </c>
      <c r="E181" s="20">
        <f>IFERROR(GETPIVOTDATA("QTY",$B$56,"PRODUCT_DESCRIPTION", $B$154, "SALES_ORDER_DATE",Table2533[[#This Row],[Date]]), 0)</f>
        <v>0</v>
      </c>
      <c r="F181" s="20">
        <f>Table2533[[#This Row],[Stock Change (t1-t0)]]+Table2533[[#This Row],[Sales]]</f>
        <v>0</v>
      </c>
      <c r="G181" s="18">
        <f>IF(Table2533[[#This Row],[Purchase (Real)]]=0, 0, Table2533[[#This Row],[Purchase (Real)]]+C180)</f>
        <v>0</v>
      </c>
      <c r="I181" s="4" t="s">
        <v>28</v>
      </c>
      <c r="J181" s="20">
        <f t="shared" si="5"/>
        <v>76</v>
      </c>
      <c r="K181" s="20">
        <f>J182-Table252934[[#This Row],[Stock Level  (North)]]</f>
        <v>0</v>
      </c>
      <c r="L181" s="20">
        <f>IFERROR(GETPIVOTDATA("QTY",$B$56,"PRODUCT_DESCRIPTION", $B$154, "SALES_ORDER_DATE",Table252934[[#This Row],[Date]], "AREA_NAME", "North"), 0)</f>
        <v>0</v>
      </c>
      <c r="M181" s="20">
        <f>Table252934[[#This Row],[Stock Change (t1-t0) (North)]]+Table252934[[#This Row],[Sales]]</f>
        <v>0</v>
      </c>
      <c r="N181" s="18">
        <f>IF(Table252934[[#This Row],[Regional Transfer (Real)]]=0, 0, Table252934[[#This Row],[Regional Transfer (Real)]]+Table252934[[#This Row],[Stock Level  (North)]])</f>
        <v>0</v>
      </c>
      <c r="P181" s="4" t="s">
        <v>28</v>
      </c>
      <c r="Q181" s="20">
        <f t="shared" si="6"/>
        <v>119</v>
      </c>
      <c r="R181" s="20">
        <f>Q182-Table25293035[[#This Row],[Stock Level  (South)]]</f>
        <v>0</v>
      </c>
      <c r="S181" s="20">
        <f>IFERROR(GETPIVOTDATA("QTY",$B$56,"PRODUCT_DESCRIPTION", $B$154, "SALES_ORDER_DATE",Table25293035[[#This Row],[Date]], "AREA_NAME", "South"), 0)</f>
        <v>0</v>
      </c>
      <c r="T181" s="20">
        <f>Table25293035[[#This Row],[Stock Change (t1-t0) (South)]]+Table25293035[[#This Row],[Sales]]</f>
        <v>0</v>
      </c>
      <c r="U181" s="18">
        <f>IF(Table25293035[[#This Row],[Regional Transfer (Real)]]=0, 0, Table25293035[[#This Row],[Regional Transfer (Real)]]+Table25293035[[#This Row],[Stock Level  (South)]])</f>
        <v>0</v>
      </c>
      <c r="W181" s="4" t="s">
        <v>28</v>
      </c>
      <c r="X181" s="20">
        <f t="shared" si="7"/>
        <v>18</v>
      </c>
      <c r="Y181" s="20">
        <f>X182-Table2529303236[[#This Row],[Stock Level  (West)]]</f>
        <v>0</v>
      </c>
      <c r="Z181" s="20">
        <f>IFERROR(GETPIVOTDATA("QTY",$B$56,"PRODUCT_DESCRIPTION", $B$154, "SALES_ORDER_DATE",Table2529303236[[#This Row],[Date]], "AREA_NAME", "West"), 0)</f>
        <v>0</v>
      </c>
      <c r="AA181" s="20">
        <f>Table2529303236[[#This Row],[Stock Change (t1-t0) (West)]]+Table2529303236[[#This Row],[Sales]]</f>
        <v>0</v>
      </c>
      <c r="AB181" s="18">
        <f>IF(Table2529303236[[#This Row],[Regional Transfer (Real)]]=0, 0, Table2529303236[[#This Row],[Regional Transfer (Real)]]+Table2529303236[[#This Row],[Stock Level  (West)]])</f>
        <v>0</v>
      </c>
    </row>
    <row r="182" spans="2:28" x14ac:dyDescent="0.2">
      <c r="B182" s="4" t="s">
        <v>29</v>
      </c>
      <c r="C182" s="20">
        <f t="shared" si="4"/>
        <v>580</v>
      </c>
      <c r="D182" s="20">
        <f>C183-Table2533[[#This Row],[Stock Level  ]]</f>
        <v>-18</v>
      </c>
      <c r="E182" s="20">
        <f>IFERROR(GETPIVOTDATA("QTY",$B$56,"PRODUCT_DESCRIPTION", $B$154, "SALES_ORDER_DATE",Table2533[[#This Row],[Date]]), 0)</f>
        <v>18</v>
      </c>
      <c r="F182" s="20">
        <f>Table2533[[#This Row],[Stock Change (t1-t0)]]+Table2533[[#This Row],[Sales]]</f>
        <v>0</v>
      </c>
      <c r="G182" s="18">
        <f>IF(Table2533[[#This Row],[Purchase (Real)]]=0, 0, Table2533[[#This Row],[Purchase (Real)]]+C181)</f>
        <v>0</v>
      </c>
      <c r="I182" s="4" t="s">
        <v>29</v>
      </c>
      <c r="J182" s="20">
        <f t="shared" si="5"/>
        <v>76</v>
      </c>
      <c r="K182" s="20">
        <f>J183-Table252934[[#This Row],[Stock Level  (North)]]</f>
        <v>118</v>
      </c>
      <c r="L182" s="20">
        <f>IFERROR(GETPIVOTDATA("QTY",$B$56,"PRODUCT_DESCRIPTION", $B$154, "SALES_ORDER_DATE",Table252934[[#This Row],[Date]], "AREA_NAME", "North"), 0)</f>
        <v>0</v>
      </c>
      <c r="M182" s="20">
        <f>Table252934[[#This Row],[Stock Change (t1-t0) (North)]]+Table252934[[#This Row],[Sales]]</f>
        <v>118</v>
      </c>
      <c r="N182" s="18">
        <f>IF(Table252934[[#This Row],[Regional Transfer (Real)]]=0, 0, Table252934[[#This Row],[Regional Transfer (Real)]]+Table252934[[#This Row],[Stock Level  (North)]])</f>
        <v>194</v>
      </c>
      <c r="P182" s="4" t="s">
        <v>29</v>
      </c>
      <c r="Q182" s="20">
        <f t="shared" si="6"/>
        <v>119</v>
      </c>
      <c r="R182" s="20">
        <f>Q183-Table25293035[[#This Row],[Stock Level  (South)]]</f>
        <v>77</v>
      </c>
      <c r="S182" s="20">
        <f>IFERROR(GETPIVOTDATA("QTY",$B$56,"PRODUCT_DESCRIPTION", $B$154, "SALES_ORDER_DATE",Table25293035[[#This Row],[Date]], "AREA_NAME", "South"), 0)</f>
        <v>0</v>
      </c>
      <c r="T182" s="20">
        <f>Table25293035[[#This Row],[Stock Change (t1-t0) (South)]]+Table25293035[[#This Row],[Sales]]</f>
        <v>77</v>
      </c>
      <c r="U182" s="18">
        <f>IF(Table25293035[[#This Row],[Regional Transfer (Real)]]=0, 0, Table25293035[[#This Row],[Regional Transfer (Real)]]+Table25293035[[#This Row],[Stock Level  (South)]])</f>
        <v>196</v>
      </c>
      <c r="W182" s="4" t="s">
        <v>29</v>
      </c>
      <c r="X182" s="20">
        <f t="shared" si="7"/>
        <v>18</v>
      </c>
      <c r="Y182" s="20">
        <f>X183-Table2529303236[[#This Row],[Stock Level  (West)]]</f>
        <v>154</v>
      </c>
      <c r="Z182" s="20">
        <f>IFERROR(GETPIVOTDATA("QTY",$B$56,"PRODUCT_DESCRIPTION", $B$154, "SALES_ORDER_DATE",Table2529303236[[#This Row],[Date]], "AREA_NAME", "West"), 0)</f>
        <v>18</v>
      </c>
      <c r="AA182" s="20">
        <f>Table2529303236[[#This Row],[Stock Change (t1-t0) (West)]]+Table2529303236[[#This Row],[Sales]]</f>
        <v>172</v>
      </c>
      <c r="AB182" s="18">
        <f>IF(Table2529303236[[#This Row],[Regional Transfer (Real)]]=0, 0, Table2529303236[[#This Row],[Regional Transfer (Real)]]+Table2529303236[[#This Row],[Stock Level  (West)]])</f>
        <v>190</v>
      </c>
    </row>
    <row r="183" spans="2:28" x14ac:dyDescent="0.2">
      <c r="B183" s="4" t="s">
        <v>30</v>
      </c>
      <c r="C183" s="20">
        <f t="shared" si="4"/>
        <v>562</v>
      </c>
      <c r="D183" s="20">
        <f>C184-Table2533[[#This Row],[Stock Level  ]]</f>
        <v>-49</v>
      </c>
      <c r="E183" s="20">
        <f>IFERROR(GETPIVOTDATA("QTY",$B$56,"PRODUCT_DESCRIPTION", $B$154, "SALES_ORDER_DATE",Table2533[[#This Row],[Date]]), 0)</f>
        <v>49</v>
      </c>
      <c r="F183" s="20">
        <f>Table2533[[#This Row],[Stock Change (t1-t0)]]+Table2533[[#This Row],[Sales]]</f>
        <v>0</v>
      </c>
      <c r="G183" s="18">
        <f>IF(Table2533[[#This Row],[Purchase (Real)]]=0, 0, Table2533[[#This Row],[Purchase (Real)]]+C182)</f>
        <v>0</v>
      </c>
      <c r="I183" s="4" t="s">
        <v>30</v>
      </c>
      <c r="J183" s="20">
        <f t="shared" si="5"/>
        <v>194</v>
      </c>
      <c r="K183" s="20">
        <f>J184-Table252934[[#This Row],[Stock Level  (North)]]</f>
        <v>0</v>
      </c>
      <c r="L183" s="20">
        <f>IFERROR(GETPIVOTDATA("QTY",$B$56,"PRODUCT_DESCRIPTION", $B$154, "SALES_ORDER_DATE",Table252934[[#This Row],[Date]], "AREA_NAME", "North"), 0)</f>
        <v>0</v>
      </c>
      <c r="M183" s="20">
        <f>Table252934[[#This Row],[Stock Change (t1-t0) (North)]]+Table252934[[#This Row],[Sales]]</f>
        <v>0</v>
      </c>
      <c r="N183" s="18">
        <f>IF(Table252934[[#This Row],[Regional Transfer (Real)]]=0, 0, Table252934[[#This Row],[Regional Transfer (Real)]]+Table252934[[#This Row],[Stock Level  (North)]])</f>
        <v>0</v>
      </c>
      <c r="P183" s="4" t="s">
        <v>30</v>
      </c>
      <c r="Q183" s="20">
        <f t="shared" si="6"/>
        <v>196</v>
      </c>
      <c r="R183" s="20">
        <f>Q184-Table25293035[[#This Row],[Stock Level  (South)]]</f>
        <v>-18</v>
      </c>
      <c r="S183" s="20">
        <f>IFERROR(GETPIVOTDATA("QTY",$B$56,"PRODUCT_DESCRIPTION", $B$154, "SALES_ORDER_DATE",Table25293035[[#This Row],[Date]], "AREA_NAME", "South"), 0)</f>
        <v>18</v>
      </c>
      <c r="T183" s="20">
        <f>Table25293035[[#This Row],[Stock Change (t1-t0) (South)]]+Table25293035[[#This Row],[Sales]]</f>
        <v>0</v>
      </c>
      <c r="U183" s="18">
        <f>IF(Table25293035[[#This Row],[Regional Transfer (Real)]]=0, 0, Table25293035[[#This Row],[Regional Transfer (Real)]]+Table25293035[[#This Row],[Stock Level  (South)]])</f>
        <v>0</v>
      </c>
      <c r="W183" s="4" t="s">
        <v>30</v>
      </c>
      <c r="X183" s="20">
        <f t="shared" si="7"/>
        <v>172</v>
      </c>
      <c r="Y183" s="20">
        <f>X184-Table2529303236[[#This Row],[Stock Level  (West)]]</f>
        <v>-31</v>
      </c>
      <c r="Z183" s="20">
        <f>IFERROR(GETPIVOTDATA("QTY",$B$56,"PRODUCT_DESCRIPTION", $B$154, "SALES_ORDER_DATE",Table2529303236[[#This Row],[Date]], "AREA_NAME", "West"), 0)</f>
        <v>31</v>
      </c>
      <c r="AA183" s="20">
        <f>Table2529303236[[#This Row],[Stock Change (t1-t0) (West)]]+Table2529303236[[#This Row],[Sales]]</f>
        <v>0</v>
      </c>
      <c r="AB183" s="18">
        <f>IF(Table2529303236[[#This Row],[Regional Transfer (Real)]]=0, 0, Table2529303236[[#This Row],[Regional Transfer (Real)]]+Table2529303236[[#This Row],[Stock Level  (West)]])</f>
        <v>0</v>
      </c>
    </row>
    <row r="184" spans="2:28" x14ac:dyDescent="0.2">
      <c r="B184" s="4" t="s">
        <v>31</v>
      </c>
      <c r="C184" s="20">
        <f t="shared" si="4"/>
        <v>513</v>
      </c>
      <c r="D184" s="20">
        <f>C185-Table2533[[#This Row],[Stock Level  ]]</f>
        <v>-43</v>
      </c>
      <c r="E184" s="20">
        <f>IFERROR(GETPIVOTDATA("QTY",$B$56,"PRODUCT_DESCRIPTION", $B$154, "SALES_ORDER_DATE",Table2533[[#This Row],[Date]]), 0)</f>
        <v>43</v>
      </c>
      <c r="F184" s="20">
        <f>Table2533[[#This Row],[Stock Change (t1-t0)]]+Table2533[[#This Row],[Sales]]</f>
        <v>0</v>
      </c>
      <c r="G184" s="18">
        <f>IF(Table2533[[#This Row],[Purchase (Real)]]=0, 0, Table2533[[#This Row],[Purchase (Real)]]+C183)</f>
        <v>0</v>
      </c>
      <c r="I184" s="4" t="s">
        <v>31</v>
      </c>
      <c r="J184" s="20">
        <f t="shared" si="5"/>
        <v>194</v>
      </c>
      <c r="K184" s="20">
        <f>J185-Table252934[[#This Row],[Stock Level  (North)]]</f>
        <v>0</v>
      </c>
      <c r="L184" s="20">
        <f>IFERROR(GETPIVOTDATA("QTY",$B$56,"PRODUCT_DESCRIPTION", $B$154, "SALES_ORDER_DATE",Table252934[[#This Row],[Date]], "AREA_NAME", "North"), 0)</f>
        <v>0</v>
      </c>
      <c r="M184" s="20">
        <f>Table252934[[#This Row],[Stock Change (t1-t0) (North)]]+Table252934[[#This Row],[Sales]]</f>
        <v>0</v>
      </c>
      <c r="N184" s="18">
        <f>IF(Table252934[[#This Row],[Regional Transfer (Real)]]=0, 0, Table252934[[#This Row],[Regional Transfer (Real)]]+Table252934[[#This Row],[Stock Level  (North)]])</f>
        <v>0</v>
      </c>
      <c r="P184" s="4" t="s">
        <v>31</v>
      </c>
      <c r="Q184" s="20">
        <f t="shared" si="6"/>
        <v>178</v>
      </c>
      <c r="R184" s="20">
        <f>Q185-Table25293035[[#This Row],[Stock Level  (South)]]</f>
        <v>0</v>
      </c>
      <c r="S184" s="20">
        <f>IFERROR(GETPIVOTDATA("QTY",$B$56,"PRODUCT_DESCRIPTION", $B$154, "SALES_ORDER_DATE",Table25293035[[#This Row],[Date]], "AREA_NAME", "South"), 0)</f>
        <v>0</v>
      </c>
      <c r="T184" s="20">
        <f>Table25293035[[#This Row],[Stock Change (t1-t0) (South)]]+Table25293035[[#This Row],[Sales]]</f>
        <v>0</v>
      </c>
      <c r="U184" s="18">
        <f>IF(Table25293035[[#This Row],[Regional Transfer (Real)]]=0, 0, Table25293035[[#This Row],[Regional Transfer (Real)]]+Table25293035[[#This Row],[Stock Level  (South)]])</f>
        <v>0</v>
      </c>
      <c r="W184" s="4" t="s">
        <v>31</v>
      </c>
      <c r="X184" s="20">
        <f t="shared" si="7"/>
        <v>141</v>
      </c>
      <c r="Y184" s="20">
        <f>X185-Table2529303236[[#This Row],[Stock Level  (West)]]</f>
        <v>-43</v>
      </c>
      <c r="Z184" s="20">
        <f>IFERROR(GETPIVOTDATA("QTY",$B$56,"PRODUCT_DESCRIPTION", $B$154, "SALES_ORDER_DATE",Table2529303236[[#This Row],[Date]], "AREA_NAME", "West"), 0)</f>
        <v>43</v>
      </c>
      <c r="AA184" s="20">
        <f>Table2529303236[[#This Row],[Stock Change (t1-t0) (West)]]+Table2529303236[[#This Row],[Sales]]</f>
        <v>0</v>
      </c>
      <c r="AB184" s="18">
        <f>IF(Table2529303236[[#This Row],[Regional Transfer (Real)]]=0, 0, Table2529303236[[#This Row],[Regional Transfer (Real)]]+Table2529303236[[#This Row],[Stock Level  (West)]])</f>
        <v>0</v>
      </c>
    </row>
    <row r="185" spans="2:28" x14ac:dyDescent="0.2">
      <c r="B185" s="4" t="s">
        <v>32</v>
      </c>
      <c r="C185" s="20">
        <f t="shared" si="4"/>
        <v>470</v>
      </c>
      <c r="D185" s="20">
        <f>C186-Table2533[[#This Row],[Stock Level  ]]</f>
        <v>87</v>
      </c>
      <c r="E185" s="20">
        <f>IFERROR(GETPIVOTDATA("QTY",$B$56,"PRODUCT_DESCRIPTION", $B$154, "SALES_ORDER_DATE",Table2533[[#This Row],[Date]]), 0)</f>
        <v>0</v>
      </c>
      <c r="F185" s="20">
        <f>Table2533[[#This Row],[Stock Change (t1-t0)]]+Table2533[[#This Row],[Sales]]</f>
        <v>87</v>
      </c>
      <c r="G185" s="18">
        <f>IF(Table2533[[#This Row],[Purchase (Real)]]=0, 0, Table2533[[#This Row],[Purchase (Real)]]+C184)</f>
        <v>600</v>
      </c>
      <c r="I185" s="4" t="s">
        <v>32</v>
      </c>
      <c r="J185" s="20">
        <f t="shared" si="5"/>
        <v>194</v>
      </c>
      <c r="K185" s="20">
        <f>J186-Table252934[[#This Row],[Stock Level  (North)]]</f>
        <v>0</v>
      </c>
      <c r="L185" s="20">
        <f>IFERROR(GETPIVOTDATA("QTY",$B$56,"PRODUCT_DESCRIPTION", $B$154, "SALES_ORDER_DATE",Table252934[[#This Row],[Date]], "AREA_NAME", "North"), 0)</f>
        <v>0</v>
      </c>
      <c r="M185" s="20">
        <f>Table252934[[#This Row],[Stock Change (t1-t0) (North)]]+Table252934[[#This Row],[Sales]]</f>
        <v>0</v>
      </c>
      <c r="N185" s="18">
        <f>IF(Table252934[[#This Row],[Regional Transfer (Real)]]=0, 0, Table252934[[#This Row],[Regional Transfer (Real)]]+Table252934[[#This Row],[Stock Level  (North)]])</f>
        <v>0</v>
      </c>
      <c r="P185" s="4" t="s">
        <v>32</v>
      </c>
      <c r="Q185" s="20">
        <f t="shared" si="6"/>
        <v>178</v>
      </c>
      <c r="R185" s="20">
        <f>Q186-Table25293035[[#This Row],[Stock Level  (South)]]</f>
        <v>0</v>
      </c>
      <c r="S185" s="20">
        <f>IFERROR(GETPIVOTDATA("QTY",$B$56,"PRODUCT_DESCRIPTION", $B$154, "SALES_ORDER_DATE",Table25293035[[#This Row],[Date]], "AREA_NAME", "South"), 0)</f>
        <v>0</v>
      </c>
      <c r="T185" s="20">
        <f>Table25293035[[#This Row],[Stock Change (t1-t0) (South)]]+Table25293035[[#This Row],[Sales]]</f>
        <v>0</v>
      </c>
      <c r="U185" s="18">
        <f>IF(Table25293035[[#This Row],[Regional Transfer (Real)]]=0, 0, Table25293035[[#This Row],[Regional Transfer (Real)]]+Table25293035[[#This Row],[Stock Level  (South)]])</f>
        <v>0</v>
      </c>
      <c r="W185" s="4" t="s">
        <v>32</v>
      </c>
      <c r="X185" s="20">
        <f t="shared" si="7"/>
        <v>98</v>
      </c>
      <c r="Y185" s="20">
        <f>X186-Table2529303236[[#This Row],[Stock Level  (West)]]</f>
        <v>0</v>
      </c>
      <c r="Z185" s="20">
        <f>IFERROR(GETPIVOTDATA("QTY",$B$56,"PRODUCT_DESCRIPTION", $B$154, "SALES_ORDER_DATE",Table2529303236[[#This Row],[Date]], "AREA_NAME", "West"), 0)</f>
        <v>0</v>
      </c>
      <c r="AA185" s="20">
        <f>Table2529303236[[#This Row],[Stock Change (t1-t0) (West)]]+Table2529303236[[#This Row],[Sales]]</f>
        <v>0</v>
      </c>
      <c r="AB185" s="18">
        <f>IF(Table2529303236[[#This Row],[Regional Transfer (Real)]]=0, 0, Table2529303236[[#This Row],[Regional Transfer (Real)]]+Table2529303236[[#This Row],[Stock Level  (West)]])</f>
        <v>0</v>
      </c>
    </row>
    <row r="186" spans="2:28" x14ac:dyDescent="0.2">
      <c r="B186" s="4" t="s">
        <v>33</v>
      </c>
      <c r="C186" s="20">
        <f t="shared" si="4"/>
        <v>557</v>
      </c>
      <c r="D186" s="20">
        <f>C187-Table2533[[#This Row],[Stock Level  ]]</f>
        <v>-15</v>
      </c>
      <c r="E186" s="20">
        <f>IFERROR(GETPIVOTDATA("QTY",$B$56,"PRODUCT_DESCRIPTION", $B$154, "SALES_ORDER_DATE",Table2533[[#This Row],[Date]]), 0)</f>
        <v>15</v>
      </c>
      <c r="F186" s="20">
        <f>Table2533[[#This Row],[Stock Change (t1-t0)]]+Table2533[[#This Row],[Sales]]</f>
        <v>0</v>
      </c>
      <c r="G186" s="18">
        <f>IF(Table2533[[#This Row],[Purchase (Real)]]=0, 0, Table2533[[#This Row],[Purchase (Real)]]+C185)</f>
        <v>0</v>
      </c>
      <c r="I186" s="4" t="s">
        <v>33</v>
      </c>
      <c r="J186" s="20">
        <f t="shared" si="5"/>
        <v>194</v>
      </c>
      <c r="K186" s="20">
        <f>J187-Table252934[[#This Row],[Stock Level  (North)]]</f>
        <v>0</v>
      </c>
      <c r="L186" s="20">
        <f>IFERROR(GETPIVOTDATA("QTY",$B$56,"PRODUCT_DESCRIPTION", $B$154, "SALES_ORDER_DATE",Table252934[[#This Row],[Date]], "AREA_NAME", "North"), 0)</f>
        <v>0</v>
      </c>
      <c r="M186" s="20">
        <f>Table252934[[#This Row],[Stock Change (t1-t0) (North)]]+Table252934[[#This Row],[Sales]]</f>
        <v>0</v>
      </c>
      <c r="N186" s="18">
        <f>IF(Table252934[[#This Row],[Regional Transfer (Real)]]=0, 0, Table252934[[#This Row],[Regional Transfer (Real)]]+Table252934[[#This Row],[Stock Level  (North)]])</f>
        <v>0</v>
      </c>
      <c r="P186" s="4" t="s">
        <v>33</v>
      </c>
      <c r="Q186" s="20">
        <f t="shared" si="6"/>
        <v>178</v>
      </c>
      <c r="R186" s="20">
        <f>Q187-Table25293035[[#This Row],[Stock Level  (South)]]</f>
        <v>0</v>
      </c>
      <c r="S186" s="20">
        <f>IFERROR(GETPIVOTDATA("QTY",$B$56,"PRODUCT_DESCRIPTION", $B$154, "SALES_ORDER_DATE",Table25293035[[#This Row],[Date]], "AREA_NAME", "South"), 0)</f>
        <v>0</v>
      </c>
      <c r="T186" s="20">
        <f>Table25293035[[#This Row],[Stock Change (t1-t0) (South)]]+Table25293035[[#This Row],[Sales]]</f>
        <v>0</v>
      </c>
      <c r="U186" s="18">
        <f>IF(Table25293035[[#This Row],[Regional Transfer (Real)]]=0, 0, Table25293035[[#This Row],[Regional Transfer (Real)]]+Table25293035[[#This Row],[Stock Level  (South)]])</f>
        <v>0</v>
      </c>
      <c r="W186" s="4" t="s">
        <v>33</v>
      </c>
      <c r="X186" s="20">
        <f t="shared" si="7"/>
        <v>98</v>
      </c>
      <c r="Y186" s="20">
        <f>X187-Table2529303236[[#This Row],[Stock Level  (West)]]</f>
        <v>-15</v>
      </c>
      <c r="Z186" s="20">
        <f>IFERROR(GETPIVOTDATA("QTY",$B$56,"PRODUCT_DESCRIPTION", $B$154, "SALES_ORDER_DATE",Table2529303236[[#This Row],[Date]], "AREA_NAME", "West"), 0)</f>
        <v>15</v>
      </c>
      <c r="AA186" s="20">
        <f>Table2529303236[[#This Row],[Stock Change (t1-t0) (West)]]+Table2529303236[[#This Row],[Sales]]</f>
        <v>0</v>
      </c>
      <c r="AB186" s="18">
        <f>IF(Table2529303236[[#This Row],[Regional Transfer (Real)]]=0, 0, Table2529303236[[#This Row],[Regional Transfer (Real)]]+Table2529303236[[#This Row],[Stock Level  (West)]])</f>
        <v>0</v>
      </c>
    </row>
    <row r="187" spans="2:28" x14ac:dyDescent="0.2">
      <c r="B187" s="4" t="s">
        <v>34</v>
      </c>
      <c r="C187" s="20">
        <f t="shared" si="4"/>
        <v>542</v>
      </c>
      <c r="D187" s="20">
        <f>C188-Table2533[[#This Row],[Stock Level  ]]</f>
        <v>-38</v>
      </c>
      <c r="E187" s="20">
        <f>IFERROR(GETPIVOTDATA("QTY",$B$56,"PRODUCT_DESCRIPTION", $B$154, "SALES_ORDER_DATE",Table2533[[#This Row],[Date]]), 0)</f>
        <v>38</v>
      </c>
      <c r="F187" s="20">
        <f>Table2533[[#This Row],[Stock Change (t1-t0)]]+Table2533[[#This Row],[Sales]]</f>
        <v>0</v>
      </c>
      <c r="G187" s="18">
        <f>IF(Table2533[[#This Row],[Purchase (Real)]]=0, 0, Table2533[[#This Row],[Purchase (Real)]]+C186)</f>
        <v>0</v>
      </c>
      <c r="I187" s="4" t="s">
        <v>34</v>
      </c>
      <c r="J187" s="20">
        <f t="shared" si="5"/>
        <v>194</v>
      </c>
      <c r="K187" s="20">
        <f>J188-Table252934[[#This Row],[Stock Level  (North)]]</f>
        <v>0</v>
      </c>
      <c r="L187" s="20">
        <f>IFERROR(GETPIVOTDATA("QTY",$B$56,"PRODUCT_DESCRIPTION", $B$154, "SALES_ORDER_DATE",Table252934[[#This Row],[Date]], "AREA_NAME", "North"), 0)</f>
        <v>0</v>
      </c>
      <c r="M187" s="20">
        <f>Table252934[[#This Row],[Stock Change (t1-t0) (North)]]+Table252934[[#This Row],[Sales]]</f>
        <v>0</v>
      </c>
      <c r="N187" s="18">
        <f>IF(Table252934[[#This Row],[Regional Transfer (Real)]]=0, 0, Table252934[[#This Row],[Regional Transfer (Real)]]+Table252934[[#This Row],[Stock Level  (North)]])</f>
        <v>0</v>
      </c>
      <c r="P187" s="4" t="s">
        <v>34</v>
      </c>
      <c r="Q187" s="20">
        <f t="shared" si="6"/>
        <v>178</v>
      </c>
      <c r="R187" s="20">
        <f>Q188-Table25293035[[#This Row],[Stock Level  (South)]]</f>
        <v>-17</v>
      </c>
      <c r="S187" s="20">
        <f>IFERROR(GETPIVOTDATA("QTY",$B$56,"PRODUCT_DESCRIPTION", $B$154, "SALES_ORDER_DATE",Table25293035[[#This Row],[Date]], "AREA_NAME", "South"), 0)</f>
        <v>17</v>
      </c>
      <c r="T187" s="20">
        <f>Table25293035[[#This Row],[Stock Change (t1-t0) (South)]]+Table25293035[[#This Row],[Sales]]</f>
        <v>0</v>
      </c>
      <c r="U187" s="18">
        <f>IF(Table25293035[[#This Row],[Regional Transfer (Real)]]=0, 0, Table25293035[[#This Row],[Regional Transfer (Real)]]+Table25293035[[#This Row],[Stock Level  (South)]])</f>
        <v>0</v>
      </c>
      <c r="W187" s="4" t="s">
        <v>34</v>
      </c>
      <c r="X187" s="20">
        <f t="shared" si="7"/>
        <v>83</v>
      </c>
      <c r="Y187" s="20">
        <f>X188-Table2529303236[[#This Row],[Stock Level  (West)]]</f>
        <v>-21</v>
      </c>
      <c r="Z187" s="20">
        <f>IFERROR(GETPIVOTDATA("QTY",$B$56,"PRODUCT_DESCRIPTION", $B$154, "SALES_ORDER_DATE",Table2529303236[[#This Row],[Date]], "AREA_NAME", "West"), 0)</f>
        <v>21</v>
      </c>
      <c r="AA187" s="20">
        <f>Table2529303236[[#This Row],[Stock Change (t1-t0) (West)]]+Table2529303236[[#This Row],[Sales]]</f>
        <v>0</v>
      </c>
      <c r="AB187" s="18">
        <f>IF(Table2529303236[[#This Row],[Regional Transfer (Real)]]=0, 0, Table2529303236[[#This Row],[Regional Transfer (Real)]]+Table2529303236[[#This Row],[Stock Level  (West)]])</f>
        <v>0</v>
      </c>
    </row>
    <row r="188" spans="2:28" x14ac:dyDescent="0.2">
      <c r="B188" s="4" t="s">
        <v>35</v>
      </c>
      <c r="C188" s="20">
        <f t="shared" si="4"/>
        <v>504</v>
      </c>
      <c r="D188" s="20">
        <f>C189-Table2533[[#This Row],[Stock Level  ]]</f>
        <v>0</v>
      </c>
      <c r="E188" s="20">
        <f>IFERROR(GETPIVOTDATA("QTY",$B$56,"PRODUCT_DESCRIPTION", $B$154, "SALES_ORDER_DATE",Table2533[[#This Row],[Date]]), 0)</f>
        <v>0</v>
      </c>
      <c r="F188" s="20">
        <f>Table2533[[#This Row],[Stock Change (t1-t0)]]+Table2533[[#This Row],[Sales]]</f>
        <v>0</v>
      </c>
      <c r="G188" s="18">
        <f>IF(Table2533[[#This Row],[Purchase (Real)]]=0, 0, Table2533[[#This Row],[Purchase (Real)]]+C187)</f>
        <v>0</v>
      </c>
      <c r="I188" s="4" t="s">
        <v>35</v>
      </c>
      <c r="J188" s="20">
        <f t="shared" si="5"/>
        <v>194</v>
      </c>
      <c r="K188" s="20">
        <f>J189-Table252934[[#This Row],[Stock Level  (North)]]</f>
        <v>3</v>
      </c>
      <c r="L188" s="20">
        <f>IFERROR(GETPIVOTDATA("QTY",$B$56,"PRODUCT_DESCRIPTION", $B$154, "SALES_ORDER_DATE",Table252934[[#This Row],[Date]], "AREA_NAME", "North"), 0)</f>
        <v>0</v>
      </c>
      <c r="M188" s="20">
        <f>Table252934[[#This Row],[Stock Change (t1-t0) (North)]]+Table252934[[#This Row],[Sales]]</f>
        <v>3</v>
      </c>
      <c r="N188" s="18">
        <f>IF(Table252934[[#This Row],[Regional Transfer (Real)]]=0, 0, Table252934[[#This Row],[Regional Transfer (Real)]]+Table252934[[#This Row],[Stock Level  (North)]])</f>
        <v>197</v>
      </c>
      <c r="P188" s="4" t="s">
        <v>35</v>
      </c>
      <c r="Q188" s="20">
        <f t="shared" si="6"/>
        <v>161</v>
      </c>
      <c r="R188" s="20">
        <f>Q189-Table25293035[[#This Row],[Stock Level  (South)]]</f>
        <v>19</v>
      </c>
      <c r="S188" s="20">
        <f>IFERROR(GETPIVOTDATA("QTY",$B$56,"PRODUCT_DESCRIPTION", $B$154, "SALES_ORDER_DATE",Table25293035[[#This Row],[Date]], "AREA_NAME", "South"), 0)</f>
        <v>0</v>
      </c>
      <c r="T188" s="20">
        <f>Table25293035[[#This Row],[Stock Change (t1-t0) (South)]]+Table25293035[[#This Row],[Sales]]</f>
        <v>19</v>
      </c>
      <c r="U188" s="18">
        <f>IF(Table25293035[[#This Row],[Regional Transfer (Real)]]=0, 0, Table25293035[[#This Row],[Regional Transfer (Real)]]+Table25293035[[#This Row],[Stock Level  (South)]])</f>
        <v>180</v>
      </c>
      <c r="W188" s="4" t="s">
        <v>35</v>
      </c>
      <c r="X188" s="20">
        <f t="shared" si="7"/>
        <v>62</v>
      </c>
      <c r="Y188" s="20">
        <f>X189-Table2529303236[[#This Row],[Stock Level  (West)]]</f>
        <v>65</v>
      </c>
      <c r="Z188" s="20">
        <f>IFERROR(GETPIVOTDATA("QTY",$B$56,"PRODUCT_DESCRIPTION", $B$154, "SALES_ORDER_DATE",Table2529303236[[#This Row],[Date]], "AREA_NAME", "West"), 0)</f>
        <v>0</v>
      </c>
      <c r="AA188" s="20">
        <f>Table2529303236[[#This Row],[Stock Change (t1-t0) (West)]]+Table2529303236[[#This Row],[Sales]]</f>
        <v>65</v>
      </c>
      <c r="AB188" s="18">
        <f>IF(Table2529303236[[#This Row],[Regional Transfer (Real)]]=0, 0, Table2529303236[[#This Row],[Regional Transfer (Real)]]+Table2529303236[[#This Row],[Stock Level  (West)]])</f>
        <v>127</v>
      </c>
    </row>
    <row r="189" spans="2:28" x14ac:dyDescent="0.2">
      <c r="B189" s="4" t="s">
        <v>36</v>
      </c>
      <c r="C189" s="20">
        <f t="shared" si="4"/>
        <v>504</v>
      </c>
      <c r="D189" s="20">
        <f>C190-Table2533[[#This Row],[Stock Level  ]]</f>
        <v>96</v>
      </c>
      <c r="E189" s="20">
        <f>IFERROR(GETPIVOTDATA("QTY",$B$56,"PRODUCT_DESCRIPTION", $B$154, "SALES_ORDER_DATE",Table2533[[#This Row],[Date]]), 0)</f>
        <v>0</v>
      </c>
      <c r="F189" s="20">
        <f>Table2533[[#This Row],[Stock Change (t1-t0)]]+Table2533[[#This Row],[Sales]]</f>
        <v>96</v>
      </c>
      <c r="G189" s="18">
        <f>IF(Table2533[[#This Row],[Purchase (Real)]]=0, 0, Table2533[[#This Row],[Purchase (Real)]]+C188)</f>
        <v>600</v>
      </c>
      <c r="I189" s="4" t="s">
        <v>36</v>
      </c>
      <c r="J189" s="20">
        <f t="shared" si="5"/>
        <v>197</v>
      </c>
      <c r="K189" s="20">
        <f>J190-Table252934[[#This Row],[Stock Level  (North)]]</f>
        <v>0</v>
      </c>
      <c r="L189" s="20">
        <f>IFERROR(GETPIVOTDATA("QTY",$B$56,"PRODUCT_DESCRIPTION", $B$154, "SALES_ORDER_DATE",Table252934[[#This Row],[Date]], "AREA_NAME", "North"), 0)</f>
        <v>0</v>
      </c>
      <c r="M189" s="20">
        <f>Table252934[[#This Row],[Stock Change (t1-t0) (North)]]+Table252934[[#This Row],[Sales]]</f>
        <v>0</v>
      </c>
      <c r="N189" s="18">
        <f>IF(Table252934[[#This Row],[Regional Transfer (Real)]]=0, 0, Table252934[[#This Row],[Regional Transfer (Real)]]+Table252934[[#This Row],[Stock Level  (North)]])</f>
        <v>0</v>
      </c>
      <c r="P189" s="4" t="s">
        <v>36</v>
      </c>
      <c r="Q189" s="20">
        <f t="shared" si="6"/>
        <v>180</v>
      </c>
      <c r="R189" s="20">
        <f>Q190-Table25293035[[#This Row],[Stock Level  (South)]]</f>
        <v>0</v>
      </c>
      <c r="S189" s="20">
        <f>IFERROR(GETPIVOTDATA("QTY",$B$56,"PRODUCT_DESCRIPTION", $B$154, "SALES_ORDER_DATE",Table25293035[[#This Row],[Date]], "AREA_NAME", "South"), 0)</f>
        <v>0</v>
      </c>
      <c r="T189" s="20">
        <f>Table25293035[[#This Row],[Stock Change (t1-t0) (South)]]+Table25293035[[#This Row],[Sales]]</f>
        <v>0</v>
      </c>
      <c r="U189" s="18">
        <f>IF(Table25293035[[#This Row],[Regional Transfer (Real)]]=0, 0, Table25293035[[#This Row],[Regional Transfer (Real)]]+Table25293035[[#This Row],[Stock Level  (South)]])</f>
        <v>0</v>
      </c>
      <c r="W189" s="4" t="s">
        <v>36</v>
      </c>
      <c r="X189" s="20">
        <f t="shared" si="7"/>
        <v>127</v>
      </c>
      <c r="Y189" s="20">
        <f>X190-Table2529303236[[#This Row],[Stock Level  (West)]]</f>
        <v>0</v>
      </c>
      <c r="Z189" s="20">
        <f>IFERROR(GETPIVOTDATA("QTY",$B$56,"PRODUCT_DESCRIPTION", $B$154, "SALES_ORDER_DATE",Table2529303236[[#This Row],[Date]], "AREA_NAME", "West"), 0)</f>
        <v>0</v>
      </c>
      <c r="AA189" s="20">
        <f>Table2529303236[[#This Row],[Stock Change (t1-t0) (West)]]+Table2529303236[[#This Row],[Sales]]</f>
        <v>0</v>
      </c>
      <c r="AB189" s="18">
        <f>IF(Table2529303236[[#This Row],[Regional Transfer (Real)]]=0, 0, Table2529303236[[#This Row],[Regional Transfer (Real)]]+Table2529303236[[#This Row],[Stock Level  (West)]])</f>
        <v>0</v>
      </c>
    </row>
    <row r="190" spans="2:28" x14ac:dyDescent="0.2">
      <c r="B190" s="4" t="s">
        <v>58</v>
      </c>
      <c r="C190" s="20">
        <f t="shared" si="4"/>
        <v>600</v>
      </c>
      <c r="D190" s="20">
        <f>C191-Table2533[[#This Row],[Stock Level  ]]</f>
        <v>0</v>
      </c>
      <c r="E190" s="20">
        <f>IFERROR(GETPIVOTDATA("QTY",$B$56,"PRODUCT_DESCRIPTION", $B$154, "SALES_ORDER_DATE",Table2533[[#This Row],[Date]]), 0)</f>
        <v>0</v>
      </c>
      <c r="F190" s="20">
        <f>Table2533[[#This Row],[Stock Change (t1-t0)]]+Table2533[[#This Row],[Sales]]</f>
        <v>0</v>
      </c>
      <c r="G190" s="18">
        <f>IF(Table2533[[#This Row],[Purchase (Real)]]=0, 0, Table2533[[#This Row],[Purchase (Real)]]+C189)</f>
        <v>0</v>
      </c>
      <c r="I190" s="4" t="s">
        <v>58</v>
      </c>
      <c r="J190" s="20">
        <f t="shared" si="5"/>
        <v>197</v>
      </c>
      <c r="K190" s="20">
        <f>J191-Table252934[[#This Row],[Stock Level  (North)]]</f>
        <v>0</v>
      </c>
      <c r="L190" s="20">
        <f>IFERROR(GETPIVOTDATA("QTY",$B$56,"PRODUCT_DESCRIPTION", $B$154, "SALES_ORDER_DATE",Table252934[[#This Row],[Date]], "AREA_NAME", "North"), 0)</f>
        <v>0</v>
      </c>
      <c r="M190" s="20">
        <f>Table252934[[#This Row],[Stock Change (t1-t0) (North)]]+Table252934[[#This Row],[Sales]]</f>
        <v>0</v>
      </c>
      <c r="N190" s="18">
        <f>IF(Table252934[[#This Row],[Regional Transfer (Real)]]=0, 0, Table252934[[#This Row],[Regional Transfer (Real)]]+Table252934[[#This Row],[Stock Level  (North)]])</f>
        <v>0</v>
      </c>
      <c r="P190" s="4" t="s">
        <v>58</v>
      </c>
      <c r="Q190" s="20">
        <f t="shared" si="6"/>
        <v>180</v>
      </c>
      <c r="R190" s="20">
        <f>Q191-Table25293035[[#This Row],[Stock Level  (South)]]</f>
        <v>0</v>
      </c>
      <c r="S190" s="20">
        <f>IFERROR(GETPIVOTDATA("QTY",$B$56,"PRODUCT_DESCRIPTION", $B$154, "SALES_ORDER_DATE",Table25293035[[#This Row],[Date]], "AREA_NAME", "South"), 0)</f>
        <v>0</v>
      </c>
      <c r="T190" s="20">
        <f>Table25293035[[#This Row],[Stock Change (t1-t0) (South)]]+Table25293035[[#This Row],[Sales]]</f>
        <v>0</v>
      </c>
      <c r="U190" s="18">
        <f>IF(Table25293035[[#This Row],[Regional Transfer (Real)]]=0, 0, Table25293035[[#This Row],[Regional Transfer (Real)]]+Table25293035[[#This Row],[Stock Level  (South)]])</f>
        <v>0</v>
      </c>
      <c r="W190" s="4" t="s">
        <v>58</v>
      </c>
      <c r="X190" s="20">
        <f t="shared" si="7"/>
        <v>127</v>
      </c>
      <c r="Y190" s="20">
        <f>X191-Table2529303236[[#This Row],[Stock Level  (West)]]</f>
        <v>0</v>
      </c>
      <c r="Z190" s="20">
        <f>IFERROR(GETPIVOTDATA("QTY",$B$56,"PRODUCT_DESCRIPTION", $B$154, "SALES_ORDER_DATE",Table2529303236[[#This Row],[Date]], "AREA_NAME", "West"), 0)</f>
        <v>0</v>
      </c>
      <c r="AA190" s="20">
        <f>Table2529303236[[#This Row],[Stock Change (t1-t0) (West)]]+Table2529303236[[#This Row],[Sales]]</f>
        <v>0</v>
      </c>
      <c r="AB190" s="18">
        <f>IF(Table2529303236[[#This Row],[Regional Transfer (Real)]]=0, 0, Table2529303236[[#This Row],[Regional Transfer (Real)]]+Table2529303236[[#This Row],[Stock Level  (West)]])</f>
        <v>0</v>
      </c>
    </row>
    <row r="191" spans="2:28" x14ac:dyDescent="0.2">
      <c r="B191" s="4" t="s">
        <v>37</v>
      </c>
      <c r="C191" s="20">
        <f t="shared" si="4"/>
        <v>600</v>
      </c>
      <c r="D191" s="20">
        <f>C192-Table2533[[#This Row],[Stock Level  ]]</f>
        <v>0</v>
      </c>
      <c r="E191" s="20">
        <f>IFERROR(GETPIVOTDATA("QTY",$B$56,"PRODUCT_DESCRIPTION", $B$154, "SALES_ORDER_DATE",Table2533[[#This Row],[Date]]), 0)</f>
        <v>0</v>
      </c>
      <c r="F191" s="20">
        <f>Table2533[[#This Row],[Stock Change (t1-t0)]]+Table2533[[#This Row],[Sales]]</f>
        <v>0</v>
      </c>
      <c r="G191" s="18">
        <f>IF(Table2533[[#This Row],[Purchase (Real)]]=0, 0, Table2533[[#This Row],[Purchase (Real)]]+C190)</f>
        <v>0</v>
      </c>
      <c r="I191" s="4" t="s">
        <v>37</v>
      </c>
      <c r="J191" s="20">
        <f t="shared" si="5"/>
        <v>197</v>
      </c>
      <c r="K191" s="20">
        <f>J192-Table252934[[#This Row],[Stock Level  (North)]]</f>
        <v>0</v>
      </c>
      <c r="L191" s="20">
        <f>IFERROR(GETPIVOTDATA("QTY",$B$56,"PRODUCT_DESCRIPTION", $B$154, "SALES_ORDER_DATE",Table252934[[#This Row],[Date]], "AREA_NAME", "North"), 0)</f>
        <v>0</v>
      </c>
      <c r="M191" s="20">
        <f>Table252934[[#This Row],[Stock Change (t1-t0) (North)]]+Table252934[[#This Row],[Sales]]</f>
        <v>0</v>
      </c>
      <c r="N191" s="18">
        <f>IF(Table252934[[#This Row],[Regional Transfer (Real)]]=0, 0, Table252934[[#This Row],[Regional Transfer (Real)]]+Table252934[[#This Row],[Stock Level  (North)]])</f>
        <v>0</v>
      </c>
      <c r="P191" s="4" t="s">
        <v>37</v>
      </c>
      <c r="Q191" s="20">
        <f t="shared" si="6"/>
        <v>180</v>
      </c>
      <c r="R191" s="20">
        <f>Q192-Table25293035[[#This Row],[Stock Level  (South)]]</f>
        <v>0</v>
      </c>
      <c r="S191" s="20">
        <f>IFERROR(GETPIVOTDATA("QTY",$B$56,"PRODUCT_DESCRIPTION", $B$154, "SALES_ORDER_DATE",Table25293035[[#This Row],[Date]], "AREA_NAME", "South"), 0)</f>
        <v>0</v>
      </c>
      <c r="T191" s="20">
        <f>Table25293035[[#This Row],[Stock Change (t1-t0) (South)]]+Table25293035[[#This Row],[Sales]]</f>
        <v>0</v>
      </c>
      <c r="U191" s="18">
        <f>IF(Table25293035[[#This Row],[Regional Transfer (Real)]]=0, 0, Table25293035[[#This Row],[Regional Transfer (Real)]]+Table25293035[[#This Row],[Stock Level  (South)]])</f>
        <v>0</v>
      </c>
      <c r="W191" s="4" t="s">
        <v>37</v>
      </c>
      <c r="X191" s="20">
        <f t="shared" si="7"/>
        <v>127</v>
      </c>
      <c r="Y191" s="20">
        <f>X192-Table2529303236[[#This Row],[Stock Level  (West)]]</f>
        <v>0</v>
      </c>
      <c r="Z191" s="20">
        <f>IFERROR(GETPIVOTDATA("QTY",$B$56,"PRODUCT_DESCRIPTION", $B$154, "SALES_ORDER_DATE",Table2529303236[[#This Row],[Date]], "AREA_NAME", "West"), 0)</f>
        <v>0</v>
      </c>
      <c r="AA191" s="20">
        <f>Table2529303236[[#This Row],[Stock Change (t1-t0) (West)]]+Table2529303236[[#This Row],[Sales]]</f>
        <v>0</v>
      </c>
      <c r="AB191" s="18">
        <f>IF(Table2529303236[[#This Row],[Regional Transfer (Real)]]=0, 0, Table2529303236[[#This Row],[Regional Transfer (Real)]]+Table2529303236[[#This Row],[Stock Level  (West)]])</f>
        <v>0</v>
      </c>
    </row>
    <row r="192" spans="2:28" x14ac:dyDescent="0.2">
      <c r="B192" s="4" t="s">
        <v>38</v>
      </c>
      <c r="C192" s="20">
        <f t="shared" si="4"/>
        <v>600</v>
      </c>
      <c r="D192" s="20">
        <f>C193-Table2533[[#This Row],[Stock Level  ]]</f>
        <v>0</v>
      </c>
      <c r="E192" s="20">
        <f>IFERROR(GETPIVOTDATA("QTY",$B$56,"PRODUCT_DESCRIPTION", $B$154, "SALES_ORDER_DATE",Table2533[[#This Row],[Date]]), 0)</f>
        <v>0</v>
      </c>
      <c r="F192" s="20">
        <f>Table2533[[#This Row],[Stock Change (t1-t0)]]+Table2533[[#This Row],[Sales]]</f>
        <v>0</v>
      </c>
      <c r="G192" s="18">
        <f>IF(Table2533[[#This Row],[Purchase (Real)]]=0, 0, Table2533[[#This Row],[Purchase (Real)]]+C191)</f>
        <v>0</v>
      </c>
      <c r="I192" s="4" t="s">
        <v>38</v>
      </c>
      <c r="J192" s="20">
        <f t="shared" si="5"/>
        <v>197</v>
      </c>
      <c r="K192" s="20">
        <f>J193-Table252934[[#This Row],[Stock Level  (North)]]</f>
        <v>3</v>
      </c>
      <c r="L192" s="20">
        <f>IFERROR(GETPIVOTDATA("QTY",$B$56,"PRODUCT_DESCRIPTION", $B$154, "SALES_ORDER_DATE",Table252934[[#This Row],[Date]], "AREA_NAME", "North"), 0)</f>
        <v>0</v>
      </c>
      <c r="M192" s="20">
        <f>Table252934[[#This Row],[Stock Change (t1-t0) (North)]]+Table252934[[#This Row],[Sales]]</f>
        <v>3</v>
      </c>
      <c r="N192" s="18">
        <f>IF(Table252934[[#This Row],[Regional Transfer (Real)]]=0, 0, Table252934[[#This Row],[Regional Transfer (Real)]]+Table252934[[#This Row],[Stock Level  (North)]])</f>
        <v>200</v>
      </c>
      <c r="P192" s="4" t="s">
        <v>38</v>
      </c>
      <c r="Q192" s="20">
        <f t="shared" si="6"/>
        <v>180</v>
      </c>
      <c r="R192" s="20">
        <f>Q193-Table25293035[[#This Row],[Stock Level  (South)]]</f>
        <v>20</v>
      </c>
      <c r="S192" s="20">
        <f>IFERROR(GETPIVOTDATA("QTY",$B$56,"PRODUCT_DESCRIPTION", $B$154, "SALES_ORDER_DATE",Table25293035[[#This Row],[Date]], "AREA_NAME", "South"), 0)</f>
        <v>0</v>
      </c>
      <c r="T192" s="20">
        <f>Table25293035[[#This Row],[Stock Change (t1-t0) (South)]]+Table25293035[[#This Row],[Sales]]</f>
        <v>20</v>
      </c>
      <c r="U192" s="18">
        <f>IF(Table25293035[[#This Row],[Regional Transfer (Real)]]=0, 0, Table25293035[[#This Row],[Regional Transfer (Real)]]+Table25293035[[#This Row],[Stock Level  (South)]])</f>
        <v>200</v>
      </c>
      <c r="W192" s="4" t="s">
        <v>38</v>
      </c>
      <c r="X192" s="20">
        <f t="shared" si="7"/>
        <v>127</v>
      </c>
      <c r="Y192" s="20">
        <f>X193-Table2529303236[[#This Row],[Stock Level  (West)]]</f>
        <v>73</v>
      </c>
      <c r="Z192" s="20">
        <f>IFERROR(GETPIVOTDATA("QTY",$B$56,"PRODUCT_DESCRIPTION", $B$154, "SALES_ORDER_DATE",Table2529303236[[#This Row],[Date]], "AREA_NAME", "West"), 0)</f>
        <v>0</v>
      </c>
      <c r="AA192" s="20">
        <f>Table2529303236[[#This Row],[Stock Change (t1-t0) (West)]]+Table2529303236[[#This Row],[Sales]]</f>
        <v>73</v>
      </c>
      <c r="AB192" s="18">
        <f>IF(Table2529303236[[#This Row],[Regional Transfer (Real)]]=0, 0, Table2529303236[[#This Row],[Regional Transfer (Real)]]+Table2529303236[[#This Row],[Stock Level  (West)]])</f>
        <v>200</v>
      </c>
    </row>
    <row r="193" spans="2:28" x14ac:dyDescent="0.2">
      <c r="B193" s="4" t="s">
        <v>39</v>
      </c>
      <c r="C193" s="20">
        <f t="shared" si="4"/>
        <v>600</v>
      </c>
      <c r="D193" s="20">
        <f>C194-Table2533[[#This Row],[Stock Level  ]]</f>
        <v>-40</v>
      </c>
      <c r="E193" s="20">
        <f>IFERROR(GETPIVOTDATA("QTY",$B$56,"PRODUCT_DESCRIPTION", $B$154, "SALES_ORDER_DATE",Table2533[[#This Row],[Date]]), 0)</f>
        <v>40</v>
      </c>
      <c r="F193" s="20">
        <f>Table2533[[#This Row],[Stock Change (t1-t0)]]+Table2533[[#This Row],[Sales]]</f>
        <v>0</v>
      </c>
      <c r="G193" s="18">
        <f>IF(Table2533[[#This Row],[Purchase (Real)]]=0, 0, Table2533[[#This Row],[Purchase (Real)]]+C192)</f>
        <v>0</v>
      </c>
      <c r="I193" s="4" t="s">
        <v>39</v>
      </c>
      <c r="J193" s="20">
        <f t="shared" si="5"/>
        <v>200</v>
      </c>
      <c r="K193" s="20">
        <f>J194-Table252934[[#This Row],[Stock Level  (North)]]</f>
        <v>0</v>
      </c>
      <c r="L193" s="20">
        <f>IFERROR(GETPIVOTDATA("QTY",$B$56,"PRODUCT_DESCRIPTION", $B$154, "SALES_ORDER_DATE",Table252934[[#This Row],[Date]], "AREA_NAME", "North"), 0)</f>
        <v>0</v>
      </c>
      <c r="M193" s="20">
        <f>Table252934[[#This Row],[Stock Change (t1-t0) (North)]]+Table252934[[#This Row],[Sales]]</f>
        <v>0</v>
      </c>
      <c r="N193" s="18">
        <f>IF(Table252934[[#This Row],[Regional Transfer (Real)]]=0, 0, Table252934[[#This Row],[Regional Transfer (Real)]]+Table252934[[#This Row],[Stock Level  (North)]])</f>
        <v>0</v>
      </c>
      <c r="P193" s="4" t="s">
        <v>39</v>
      </c>
      <c r="Q193" s="20">
        <f t="shared" si="6"/>
        <v>200</v>
      </c>
      <c r="R193" s="20">
        <f>Q194-Table25293035[[#This Row],[Stock Level  (South)]]</f>
        <v>0</v>
      </c>
      <c r="S193" s="20">
        <f>IFERROR(GETPIVOTDATA("QTY",$B$56,"PRODUCT_DESCRIPTION", $B$154, "SALES_ORDER_DATE",Table25293035[[#This Row],[Date]], "AREA_NAME", "South"), 0)</f>
        <v>0</v>
      </c>
      <c r="T193" s="20">
        <f>Table25293035[[#This Row],[Stock Change (t1-t0) (South)]]+Table25293035[[#This Row],[Sales]]</f>
        <v>0</v>
      </c>
      <c r="U193" s="18">
        <f>IF(Table25293035[[#This Row],[Regional Transfer (Real)]]=0, 0, Table25293035[[#This Row],[Regional Transfer (Real)]]+Table25293035[[#This Row],[Stock Level  (South)]])</f>
        <v>0</v>
      </c>
      <c r="W193" s="4" t="s">
        <v>39</v>
      </c>
      <c r="X193" s="20">
        <f t="shared" si="7"/>
        <v>200</v>
      </c>
      <c r="Y193" s="20">
        <f>X194-Table2529303236[[#This Row],[Stock Level  (West)]]</f>
        <v>-40</v>
      </c>
      <c r="Z193" s="20">
        <f>IFERROR(GETPIVOTDATA("QTY",$B$56,"PRODUCT_DESCRIPTION", $B$154, "SALES_ORDER_DATE",Table2529303236[[#This Row],[Date]], "AREA_NAME", "West"), 0)</f>
        <v>40</v>
      </c>
      <c r="AA193" s="20">
        <f>Table2529303236[[#This Row],[Stock Change (t1-t0) (West)]]+Table2529303236[[#This Row],[Sales]]</f>
        <v>0</v>
      </c>
      <c r="AB193" s="18">
        <f>IF(Table2529303236[[#This Row],[Regional Transfer (Real)]]=0, 0, Table2529303236[[#This Row],[Regional Transfer (Real)]]+Table2529303236[[#This Row],[Stock Level  (West)]])</f>
        <v>0</v>
      </c>
    </row>
    <row r="194" spans="2:28" x14ac:dyDescent="0.2">
      <c r="B194" s="4" t="s">
        <v>40</v>
      </c>
      <c r="C194" s="20">
        <f t="shared" si="4"/>
        <v>560</v>
      </c>
      <c r="D194" s="20">
        <f>C195-Table2533[[#This Row],[Stock Level  ]]</f>
        <v>0</v>
      </c>
      <c r="E194" s="20">
        <f>IFERROR(GETPIVOTDATA("QTY",$B$56,"PRODUCT_DESCRIPTION", $B$154, "SALES_ORDER_DATE",Table2533[[#This Row],[Date]]), 0)</f>
        <v>0</v>
      </c>
      <c r="F194" s="20">
        <f>Table2533[[#This Row],[Stock Change (t1-t0)]]+Table2533[[#This Row],[Sales]]</f>
        <v>0</v>
      </c>
      <c r="G194" s="18">
        <f>IF(Table2533[[#This Row],[Purchase (Real)]]=0, 0, Table2533[[#This Row],[Purchase (Real)]]+C193)</f>
        <v>0</v>
      </c>
      <c r="I194" s="4" t="s">
        <v>40</v>
      </c>
      <c r="J194" s="20">
        <f t="shared" si="5"/>
        <v>200</v>
      </c>
      <c r="K194" s="20">
        <f>J195-Table252934[[#This Row],[Stock Level  (North)]]</f>
        <v>0</v>
      </c>
      <c r="L194" s="20">
        <f>IFERROR(GETPIVOTDATA("QTY",$B$56,"PRODUCT_DESCRIPTION", $B$154, "SALES_ORDER_DATE",Table252934[[#This Row],[Date]], "AREA_NAME", "North"), 0)</f>
        <v>0</v>
      </c>
      <c r="M194" s="20">
        <f>Table252934[[#This Row],[Stock Change (t1-t0) (North)]]+Table252934[[#This Row],[Sales]]</f>
        <v>0</v>
      </c>
      <c r="N194" s="18">
        <f>IF(Table252934[[#This Row],[Regional Transfer (Real)]]=0, 0, Table252934[[#This Row],[Regional Transfer (Real)]]+Table252934[[#This Row],[Stock Level  (North)]])</f>
        <v>0</v>
      </c>
      <c r="P194" s="4" t="s">
        <v>40</v>
      </c>
      <c r="Q194" s="20">
        <f t="shared" si="6"/>
        <v>200</v>
      </c>
      <c r="R194" s="20">
        <f>Q195-Table25293035[[#This Row],[Stock Level  (South)]]</f>
        <v>0</v>
      </c>
      <c r="S194" s="20">
        <f>IFERROR(GETPIVOTDATA("QTY",$B$56,"PRODUCT_DESCRIPTION", $B$154, "SALES_ORDER_DATE",Table25293035[[#This Row],[Date]], "AREA_NAME", "South"), 0)</f>
        <v>0</v>
      </c>
      <c r="T194" s="20">
        <f>Table25293035[[#This Row],[Stock Change (t1-t0) (South)]]+Table25293035[[#This Row],[Sales]]</f>
        <v>0</v>
      </c>
      <c r="U194" s="18">
        <f>IF(Table25293035[[#This Row],[Regional Transfer (Real)]]=0, 0, Table25293035[[#This Row],[Regional Transfer (Real)]]+Table25293035[[#This Row],[Stock Level  (South)]])</f>
        <v>0</v>
      </c>
      <c r="W194" s="4" t="s">
        <v>40</v>
      </c>
      <c r="X194" s="20">
        <f t="shared" si="7"/>
        <v>160</v>
      </c>
      <c r="Y194" s="20">
        <f>X195-Table2529303236[[#This Row],[Stock Level  (West)]]</f>
        <v>0</v>
      </c>
      <c r="Z194" s="20">
        <f>IFERROR(GETPIVOTDATA("QTY",$B$56,"PRODUCT_DESCRIPTION", $B$154, "SALES_ORDER_DATE",Table2529303236[[#This Row],[Date]], "AREA_NAME", "West"), 0)</f>
        <v>0</v>
      </c>
      <c r="AA194" s="20">
        <f>Table2529303236[[#This Row],[Stock Change (t1-t0) (West)]]+Table2529303236[[#This Row],[Sales]]</f>
        <v>0</v>
      </c>
      <c r="AB194" s="18">
        <f>IF(Table2529303236[[#This Row],[Regional Transfer (Real)]]=0, 0, Table2529303236[[#This Row],[Regional Transfer (Real)]]+Table2529303236[[#This Row],[Stock Level  (West)]])</f>
        <v>0</v>
      </c>
    </row>
    <row r="195" spans="2:28" x14ac:dyDescent="0.2">
      <c r="B195" s="4" t="s">
        <v>41</v>
      </c>
      <c r="C195" s="20">
        <f t="shared" si="4"/>
        <v>560</v>
      </c>
      <c r="D195" s="20">
        <f>C196-Table2533[[#This Row],[Stock Level  ]]</f>
        <v>-24</v>
      </c>
      <c r="E195" s="20">
        <f>IFERROR(GETPIVOTDATA("QTY",$B$56,"PRODUCT_DESCRIPTION", $B$154, "SALES_ORDER_DATE",Table2533[[#This Row],[Date]]), 0)</f>
        <v>24</v>
      </c>
      <c r="F195" s="20">
        <f>Table2533[[#This Row],[Stock Change (t1-t0)]]+Table2533[[#This Row],[Sales]]</f>
        <v>0</v>
      </c>
      <c r="G195" s="18">
        <f>IF(Table2533[[#This Row],[Purchase (Real)]]=0, 0, Table2533[[#This Row],[Purchase (Real)]]+C194)</f>
        <v>0</v>
      </c>
      <c r="I195" s="4" t="s">
        <v>41</v>
      </c>
      <c r="J195" s="20">
        <f t="shared" si="5"/>
        <v>200</v>
      </c>
      <c r="K195" s="20">
        <f>J196-Table252934[[#This Row],[Stock Level  (North)]]</f>
        <v>0</v>
      </c>
      <c r="L195" s="20">
        <f>IFERROR(GETPIVOTDATA("QTY",$B$56,"PRODUCT_DESCRIPTION", $B$154, "SALES_ORDER_DATE",Table252934[[#This Row],[Date]], "AREA_NAME", "North"), 0)</f>
        <v>0</v>
      </c>
      <c r="M195" s="20">
        <f>Table252934[[#This Row],[Stock Change (t1-t0) (North)]]+Table252934[[#This Row],[Sales]]</f>
        <v>0</v>
      </c>
      <c r="N195" s="18">
        <f>IF(Table252934[[#This Row],[Regional Transfer (Real)]]=0, 0, Table252934[[#This Row],[Regional Transfer (Real)]]+Table252934[[#This Row],[Stock Level  (North)]])</f>
        <v>0</v>
      </c>
      <c r="P195" s="4" t="s">
        <v>41</v>
      </c>
      <c r="Q195" s="20">
        <f t="shared" si="6"/>
        <v>200</v>
      </c>
      <c r="R195" s="20">
        <f>Q196-Table25293035[[#This Row],[Stock Level  (South)]]</f>
        <v>0</v>
      </c>
      <c r="S195" s="20">
        <f>IFERROR(GETPIVOTDATA("QTY",$B$56,"PRODUCT_DESCRIPTION", $B$154, "SALES_ORDER_DATE",Table25293035[[#This Row],[Date]], "AREA_NAME", "South"), 0)</f>
        <v>0</v>
      </c>
      <c r="T195" s="20">
        <f>Table25293035[[#This Row],[Stock Change (t1-t0) (South)]]+Table25293035[[#This Row],[Sales]]</f>
        <v>0</v>
      </c>
      <c r="U195" s="18">
        <f>IF(Table25293035[[#This Row],[Regional Transfer (Real)]]=0, 0, Table25293035[[#This Row],[Regional Transfer (Real)]]+Table25293035[[#This Row],[Stock Level  (South)]])</f>
        <v>0</v>
      </c>
      <c r="W195" s="4" t="s">
        <v>41</v>
      </c>
      <c r="X195" s="20">
        <f t="shared" si="7"/>
        <v>160</v>
      </c>
      <c r="Y195" s="20">
        <f>X196-Table2529303236[[#This Row],[Stock Level  (West)]]</f>
        <v>-24</v>
      </c>
      <c r="Z195" s="20">
        <f>IFERROR(GETPIVOTDATA("QTY",$B$56,"PRODUCT_DESCRIPTION", $B$154, "SALES_ORDER_DATE",Table2529303236[[#This Row],[Date]], "AREA_NAME", "West"), 0)</f>
        <v>24</v>
      </c>
      <c r="AA195" s="20">
        <f>Table2529303236[[#This Row],[Stock Change (t1-t0) (West)]]+Table2529303236[[#This Row],[Sales]]</f>
        <v>0</v>
      </c>
      <c r="AB195" s="18">
        <f>IF(Table2529303236[[#This Row],[Regional Transfer (Real)]]=0, 0, Table2529303236[[#This Row],[Regional Transfer (Real)]]+Table2529303236[[#This Row],[Stock Level  (West)]])</f>
        <v>0</v>
      </c>
    </row>
    <row r="196" spans="2:28" x14ac:dyDescent="0.2">
      <c r="B196" s="4" t="s">
        <v>42</v>
      </c>
      <c r="C196" s="20">
        <f t="shared" si="4"/>
        <v>536</v>
      </c>
      <c r="D196" s="20">
        <f>C197-Table2533[[#This Row],[Stock Level  ]]</f>
        <v>-18</v>
      </c>
      <c r="E196" s="20">
        <f>IFERROR(GETPIVOTDATA("QTY",$B$56,"PRODUCT_DESCRIPTION", $B$154, "SALES_ORDER_DATE",Table2533[[#This Row],[Date]]), 0)</f>
        <v>18</v>
      </c>
      <c r="F196" s="20">
        <f>Table2533[[#This Row],[Stock Change (t1-t0)]]+Table2533[[#This Row],[Sales]]</f>
        <v>0</v>
      </c>
      <c r="G196" s="18">
        <f>IF(Table2533[[#This Row],[Purchase (Real)]]=0, 0, Table2533[[#This Row],[Purchase (Real)]]+C195)</f>
        <v>0</v>
      </c>
      <c r="I196" s="4" t="s">
        <v>42</v>
      </c>
      <c r="J196" s="20">
        <f t="shared" si="5"/>
        <v>200</v>
      </c>
      <c r="K196" s="20">
        <f>J197-Table252934[[#This Row],[Stock Level  (North)]]</f>
        <v>0</v>
      </c>
      <c r="L196" s="20">
        <f>IFERROR(GETPIVOTDATA("QTY",$B$56,"PRODUCT_DESCRIPTION", $B$154, "SALES_ORDER_DATE",Table252934[[#This Row],[Date]], "AREA_NAME", "North"), 0)</f>
        <v>0</v>
      </c>
      <c r="M196" s="20">
        <f>Table252934[[#This Row],[Stock Change (t1-t0) (North)]]+Table252934[[#This Row],[Sales]]</f>
        <v>0</v>
      </c>
      <c r="N196" s="18">
        <f>IF(Table252934[[#This Row],[Regional Transfer (Real)]]=0, 0, Table252934[[#This Row],[Regional Transfer (Real)]]+Table252934[[#This Row],[Stock Level  (North)]])</f>
        <v>0</v>
      </c>
      <c r="P196" s="4" t="s">
        <v>42</v>
      </c>
      <c r="Q196" s="20">
        <f t="shared" si="6"/>
        <v>200</v>
      </c>
      <c r="R196" s="20">
        <f>Q197-Table25293035[[#This Row],[Stock Level  (South)]]</f>
        <v>0</v>
      </c>
      <c r="S196" s="20">
        <f>IFERROR(GETPIVOTDATA("QTY",$B$56,"PRODUCT_DESCRIPTION", $B$154, "SALES_ORDER_DATE",Table25293035[[#This Row],[Date]], "AREA_NAME", "South"), 0)</f>
        <v>0</v>
      </c>
      <c r="T196" s="20">
        <f>Table25293035[[#This Row],[Stock Change (t1-t0) (South)]]+Table25293035[[#This Row],[Sales]]</f>
        <v>0</v>
      </c>
      <c r="U196" s="18">
        <f>IF(Table25293035[[#This Row],[Regional Transfer (Real)]]=0, 0, Table25293035[[#This Row],[Regional Transfer (Real)]]+Table25293035[[#This Row],[Stock Level  (South)]])</f>
        <v>0</v>
      </c>
      <c r="W196" s="4" t="s">
        <v>42</v>
      </c>
      <c r="X196" s="20">
        <f t="shared" si="7"/>
        <v>136</v>
      </c>
      <c r="Y196" s="20">
        <f>X197-Table2529303236[[#This Row],[Stock Level  (West)]]</f>
        <v>-18</v>
      </c>
      <c r="Z196" s="20">
        <f>IFERROR(GETPIVOTDATA("QTY",$B$56,"PRODUCT_DESCRIPTION", $B$154, "SALES_ORDER_DATE",Table2529303236[[#This Row],[Date]], "AREA_NAME", "West"), 0)</f>
        <v>18</v>
      </c>
      <c r="AA196" s="20">
        <f>Table2529303236[[#This Row],[Stock Change (t1-t0) (West)]]+Table2529303236[[#This Row],[Sales]]</f>
        <v>0</v>
      </c>
      <c r="AB196" s="18">
        <f>IF(Table2529303236[[#This Row],[Regional Transfer (Real)]]=0, 0, Table2529303236[[#This Row],[Regional Transfer (Real)]]+Table2529303236[[#This Row],[Stock Level  (West)]])</f>
        <v>0</v>
      </c>
    </row>
    <row r="197" spans="2:28" x14ac:dyDescent="0.2">
      <c r="B197" s="4" t="s">
        <v>43</v>
      </c>
      <c r="C197" s="20">
        <f t="shared" si="4"/>
        <v>518</v>
      </c>
      <c r="D197" s="20">
        <f>C198-Table2533[[#This Row],[Stock Level  ]]</f>
        <v>0</v>
      </c>
      <c r="E197" s="20">
        <f>IFERROR(GETPIVOTDATA("QTY",$B$56,"PRODUCT_DESCRIPTION", $B$154, "SALES_ORDER_DATE",Table2533[[#This Row],[Date]]), 0)</f>
        <v>0</v>
      </c>
      <c r="F197" s="20">
        <f>Table2533[[#This Row],[Stock Change (t1-t0)]]+Table2533[[#This Row],[Sales]]</f>
        <v>0</v>
      </c>
      <c r="G197" s="18">
        <f>IF(Table2533[[#This Row],[Purchase (Real)]]=0, 0, Table2533[[#This Row],[Purchase (Real)]]+C196)</f>
        <v>0</v>
      </c>
      <c r="I197" s="4" t="s">
        <v>43</v>
      </c>
      <c r="J197" s="20">
        <f t="shared" si="5"/>
        <v>200</v>
      </c>
      <c r="K197" s="20">
        <f>J198-Table252934[[#This Row],[Stock Level  (North)]]</f>
        <v>0</v>
      </c>
      <c r="L197" s="20">
        <f>IFERROR(GETPIVOTDATA("QTY",$B$56,"PRODUCT_DESCRIPTION", $B$154, "SALES_ORDER_DATE",Table252934[[#This Row],[Date]], "AREA_NAME", "North"), 0)</f>
        <v>0</v>
      </c>
      <c r="M197" s="20">
        <f>Table252934[[#This Row],[Stock Change (t1-t0) (North)]]+Table252934[[#This Row],[Sales]]</f>
        <v>0</v>
      </c>
      <c r="N197" s="18">
        <f>IF(Table252934[[#This Row],[Regional Transfer (Real)]]=0, 0, Table252934[[#This Row],[Regional Transfer (Real)]]+Table252934[[#This Row],[Stock Level  (North)]])</f>
        <v>0</v>
      </c>
      <c r="P197" s="4" t="s">
        <v>43</v>
      </c>
      <c r="Q197" s="20">
        <f t="shared" si="6"/>
        <v>200</v>
      </c>
      <c r="R197" s="20">
        <f>Q198-Table25293035[[#This Row],[Stock Level  (South)]]</f>
        <v>0</v>
      </c>
      <c r="S197" s="20">
        <f>IFERROR(GETPIVOTDATA("QTY",$B$56,"PRODUCT_DESCRIPTION", $B$154, "SALES_ORDER_DATE",Table25293035[[#This Row],[Date]], "AREA_NAME", "South"), 0)</f>
        <v>0</v>
      </c>
      <c r="T197" s="20">
        <f>Table25293035[[#This Row],[Stock Change (t1-t0) (South)]]+Table25293035[[#This Row],[Sales]]</f>
        <v>0</v>
      </c>
      <c r="U197" s="18">
        <f>IF(Table25293035[[#This Row],[Regional Transfer (Real)]]=0, 0, Table25293035[[#This Row],[Regional Transfer (Real)]]+Table25293035[[#This Row],[Stock Level  (South)]])</f>
        <v>0</v>
      </c>
      <c r="W197" s="4" t="s">
        <v>43</v>
      </c>
      <c r="X197" s="20">
        <f t="shared" si="7"/>
        <v>118</v>
      </c>
      <c r="Y197" s="20">
        <f>X198-Table2529303236[[#This Row],[Stock Level  (West)]]</f>
        <v>0</v>
      </c>
      <c r="Z197" s="20">
        <f>IFERROR(GETPIVOTDATA("QTY",$B$56,"PRODUCT_DESCRIPTION", $B$154, "SALES_ORDER_DATE",Table2529303236[[#This Row],[Date]], "AREA_NAME", "West"), 0)</f>
        <v>0</v>
      </c>
      <c r="AA197" s="20">
        <f>Table2529303236[[#This Row],[Stock Change (t1-t0) (West)]]+Table2529303236[[#This Row],[Sales]]</f>
        <v>0</v>
      </c>
      <c r="AB197" s="18">
        <f>IF(Table2529303236[[#This Row],[Regional Transfer (Real)]]=0, 0, Table2529303236[[#This Row],[Regional Transfer (Real)]]+Table2529303236[[#This Row],[Stock Level  (West)]])</f>
        <v>0</v>
      </c>
    </row>
    <row r="198" spans="2:28" x14ac:dyDescent="0.2">
      <c r="B198" s="4" t="s">
        <v>44</v>
      </c>
      <c r="C198" s="20">
        <f t="shared" si="4"/>
        <v>518</v>
      </c>
      <c r="D198" s="20">
        <f>C199-Table2533[[#This Row],[Stock Level  ]]</f>
        <v>58</v>
      </c>
      <c r="E198" s="20">
        <f>IFERROR(GETPIVOTDATA("QTY",$B$56,"PRODUCT_DESCRIPTION", $B$154, "SALES_ORDER_DATE",Table2533[[#This Row],[Date]]), 0)</f>
        <v>24</v>
      </c>
      <c r="F198" s="20">
        <f>Table2533[[#This Row],[Stock Change (t1-t0)]]+Table2533[[#This Row],[Sales]]</f>
        <v>82</v>
      </c>
      <c r="G198" s="18">
        <f>IF(Table2533[[#This Row],[Purchase (Real)]]=0, 0, Table2533[[#This Row],[Purchase (Real)]]+C197)</f>
        <v>600</v>
      </c>
      <c r="I198" s="4" t="s">
        <v>44</v>
      </c>
      <c r="J198" s="20">
        <f t="shared" si="5"/>
        <v>200</v>
      </c>
      <c r="K198" s="20">
        <f>J199-Table252934[[#This Row],[Stock Level  (North)]]</f>
        <v>0</v>
      </c>
      <c r="L198" s="20">
        <f>IFERROR(GETPIVOTDATA("QTY",$B$56,"PRODUCT_DESCRIPTION", $B$154, "SALES_ORDER_DATE",Table252934[[#This Row],[Date]], "AREA_NAME", "North"), 0)</f>
        <v>0</v>
      </c>
      <c r="M198" s="20">
        <f>Table252934[[#This Row],[Stock Change (t1-t0) (North)]]+Table252934[[#This Row],[Sales]]</f>
        <v>0</v>
      </c>
      <c r="N198" s="18">
        <f>IF(Table252934[[#This Row],[Regional Transfer (Real)]]=0, 0, Table252934[[#This Row],[Regional Transfer (Real)]]+Table252934[[#This Row],[Stock Level  (North)]])</f>
        <v>0</v>
      </c>
      <c r="P198" s="4" t="s">
        <v>44</v>
      </c>
      <c r="Q198" s="20">
        <f t="shared" si="6"/>
        <v>200</v>
      </c>
      <c r="R198" s="20">
        <f>Q199-Table25293035[[#This Row],[Stock Level  (South)]]</f>
        <v>0</v>
      </c>
      <c r="S198" s="20">
        <f>IFERROR(GETPIVOTDATA("QTY",$B$56,"PRODUCT_DESCRIPTION", $B$154, "SALES_ORDER_DATE",Table25293035[[#This Row],[Date]], "AREA_NAME", "South"), 0)</f>
        <v>0</v>
      </c>
      <c r="T198" s="20">
        <f>Table25293035[[#This Row],[Stock Change (t1-t0) (South)]]+Table25293035[[#This Row],[Sales]]</f>
        <v>0</v>
      </c>
      <c r="U198" s="18">
        <f>IF(Table25293035[[#This Row],[Regional Transfer (Real)]]=0, 0, Table25293035[[#This Row],[Regional Transfer (Real)]]+Table25293035[[#This Row],[Stock Level  (South)]])</f>
        <v>0</v>
      </c>
      <c r="W198" s="4" t="s">
        <v>44</v>
      </c>
      <c r="X198" s="20">
        <f t="shared" si="7"/>
        <v>118</v>
      </c>
      <c r="Y198" s="20">
        <f>X199-Table2529303236[[#This Row],[Stock Level  (West)]]</f>
        <v>-24</v>
      </c>
      <c r="Z198" s="20">
        <f>IFERROR(GETPIVOTDATA("QTY",$B$56,"PRODUCT_DESCRIPTION", $B$154, "SALES_ORDER_DATE",Table2529303236[[#This Row],[Date]], "AREA_NAME", "West"), 0)</f>
        <v>24</v>
      </c>
      <c r="AA198" s="20">
        <f>Table2529303236[[#This Row],[Stock Change (t1-t0) (West)]]+Table2529303236[[#This Row],[Sales]]</f>
        <v>0</v>
      </c>
      <c r="AB198" s="18">
        <f>IF(Table2529303236[[#This Row],[Regional Transfer (Real)]]=0, 0, Table2529303236[[#This Row],[Regional Transfer (Real)]]+Table2529303236[[#This Row],[Stock Level  (West)]])</f>
        <v>0</v>
      </c>
    </row>
    <row r="199" spans="2:28" x14ac:dyDescent="0.2">
      <c r="B199" s="4" t="s">
        <v>45</v>
      </c>
      <c r="C199" s="20">
        <f t="shared" si="4"/>
        <v>576</v>
      </c>
      <c r="D199" s="20">
        <f>C200-Table2533[[#This Row],[Stock Level  ]]</f>
        <v>0</v>
      </c>
      <c r="E199" s="20">
        <f>IFERROR(GETPIVOTDATA("QTY",$B$56,"PRODUCT_DESCRIPTION", $B$154, "SALES_ORDER_DATE",Table2533[[#This Row],[Date]]), 0)</f>
        <v>0</v>
      </c>
      <c r="F199" s="20">
        <f>Table2533[[#This Row],[Stock Change (t1-t0)]]+Table2533[[#This Row],[Sales]]</f>
        <v>0</v>
      </c>
      <c r="G199" s="18">
        <f>IF(Table2533[[#This Row],[Purchase (Real)]]=0, 0, Table2533[[#This Row],[Purchase (Real)]]+C198)</f>
        <v>0</v>
      </c>
      <c r="I199" s="4" t="s">
        <v>45</v>
      </c>
      <c r="J199" s="20">
        <f t="shared" si="5"/>
        <v>200</v>
      </c>
      <c r="K199" s="20">
        <f>J200-Table252934[[#This Row],[Stock Level  (North)]]</f>
        <v>0</v>
      </c>
      <c r="L199" s="20">
        <f>IFERROR(GETPIVOTDATA("QTY",$B$56,"PRODUCT_DESCRIPTION", $B$154, "SALES_ORDER_DATE",Table252934[[#This Row],[Date]], "AREA_NAME", "North"), 0)</f>
        <v>0</v>
      </c>
      <c r="M199" s="20">
        <f>Table252934[[#This Row],[Stock Change (t1-t0) (North)]]+Table252934[[#This Row],[Sales]]</f>
        <v>0</v>
      </c>
      <c r="N199" s="18">
        <f>IF(Table252934[[#This Row],[Regional Transfer (Real)]]=0, 0, Table252934[[#This Row],[Regional Transfer (Real)]]+Table252934[[#This Row],[Stock Level  (North)]])</f>
        <v>0</v>
      </c>
      <c r="P199" s="4" t="s">
        <v>45</v>
      </c>
      <c r="Q199" s="20">
        <f t="shared" si="6"/>
        <v>200</v>
      </c>
      <c r="R199" s="20">
        <f>Q200-Table25293035[[#This Row],[Stock Level  (South)]]</f>
        <v>0</v>
      </c>
      <c r="S199" s="20">
        <f>IFERROR(GETPIVOTDATA("QTY",$B$56,"PRODUCT_DESCRIPTION", $B$154, "SALES_ORDER_DATE",Table25293035[[#This Row],[Date]], "AREA_NAME", "South"), 0)</f>
        <v>0</v>
      </c>
      <c r="T199" s="20">
        <f>Table25293035[[#This Row],[Stock Change (t1-t0) (South)]]+Table25293035[[#This Row],[Sales]]</f>
        <v>0</v>
      </c>
      <c r="U199" s="18">
        <f>IF(Table25293035[[#This Row],[Regional Transfer (Real)]]=0, 0, Table25293035[[#This Row],[Regional Transfer (Real)]]+Table25293035[[#This Row],[Stock Level  (South)]])</f>
        <v>0</v>
      </c>
      <c r="W199" s="4" t="s">
        <v>45</v>
      </c>
      <c r="X199" s="20">
        <f t="shared" si="7"/>
        <v>94</v>
      </c>
      <c r="Y199" s="20">
        <f>X200-Table2529303236[[#This Row],[Stock Level  (West)]]</f>
        <v>0</v>
      </c>
      <c r="Z199" s="20">
        <f>IFERROR(GETPIVOTDATA("QTY",$B$56,"PRODUCT_DESCRIPTION", $B$154, "SALES_ORDER_DATE",Table2529303236[[#This Row],[Date]], "AREA_NAME", "West"), 0)</f>
        <v>0</v>
      </c>
      <c r="AA199" s="20">
        <f>Table2529303236[[#This Row],[Stock Change (t1-t0) (West)]]+Table2529303236[[#This Row],[Sales]]</f>
        <v>0</v>
      </c>
      <c r="AB199" s="18">
        <f>IF(Table2529303236[[#This Row],[Regional Transfer (Real)]]=0, 0, Table2529303236[[#This Row],[Regional Transfer (Real)]]+Table2529303236[[#This Row],[Stock Level  (West)]])</f>
        <v>0</v>
      </c>
    </row>
    <row r="200" spans="2:28" x14ac:dyDescent="0.2">
      <c r="B200" s="4" t="s">
        <v>46</v>
      </c>
      <c r="C200" s="20">
        <f t="shared" si="4"/>
        <v>576</v>
      </c>
      <c r="D200" s="20">
        <f>C201-Table2533[[#This Row],[Stock Level  ]]</f>
        <v>0</v>
      </c>
      <c r="E200" s="20">
        <f>IFERROR(GETPIVOTDATA("QTY",$B$56,"PRODUCT_DESCRIPTION", $B$154, "SALES_ORDER_DATE",Table2533[[#This Row],[Date]]), 0)</f>
        <v>0</v>
      </c>
      <c r="F200" s="20">
        <f>Table2533[[#This Row],[Stock Change (t1-t0)]]+Table2533[[#This Row],[Sales]]</f>
        <v>0</v>
      </c>
      <c r="G200" s="18">
        <f>IF(Table2533[[#This Row],[Purchase (Real)]]=0, 0, Table2533[[#This Row],[Purchase (Real)]]+C199)</f>
        <v>0</v>
      </c>
      <c r="I200" s="4" t="s">
        <v>46</v>
      </c>
      <c r="J200" s="20">
        <f t="shared" si="5"/>
        <v>200</v>
      </c>
      <c r="K200" s="20">
        <f>J201-Table252934[[#This Row],[Stock Level  (North)]]</f>
        <v>0</v>
      </c>
      <c r="L200" s="20">
        <f>IFERROR(GETPIVOTDATA("QTY",$B$56,"PRODUCT_DESCRIPTION", $B$154, "SALES_ORDER_DATE",Table252934[[#This Row],[Date]], "AREA_NAME", "North"), 0)</f>
        <v>0</v>
      </c>
      <c r="M200" s="20">
        <f>Table252934[[#This Row],[Stock Change (t1-t0) (North)]]+Table252934[[#This Row],[Sales]]</f>
        <v>0</v>
      </c>
      <c r="N200" s="18">
        <f>IF(Table252934[[#This Row],[Regional Transfer (Real)]]=0, 0, Table252934[[#This Row],[Regional Transfer (Real)]]+Table252934[[#This Row],[Stock Level  (North)]])</f>
        <v>0</v>
      </c>
      <c r="P200" s="4" t="s">
        <v>46</v>
      </c>
      <c r="Q200" s="20">
        <f t="shared" si="6"/>
        <v>200</v>
      </c>
      <c r="R200" s="20">
        <f>Q201-Table25293035[[#This Row],[Stock Level  (South)]]</f>
        <v>0</v>
      </c>
      <c r="S200" s="20">
        <f>IFERROR(GETPIVOTDATA("QTY",$B$56,"PRODUCT_DESCRIPTION", $B$154, "SALES_ORDER_DATE",Table25293035[[#This Row],[Date]], "AREA_NAME", "South"), 0)</f>
        <v>0</v>
      </c>
      <c r="T200" s="20">
        <f>Table25293035[[#This Row],[Stock Change (t1-t0) (South)]]+Table25293035[[#This Row],[Sales]]</f>
        <v>0</v>
      </c>
      <c r="U200" s="18">
        <f>IF(Table25293035[[#This Row],[Regional Transfer (Real)]]=0, 0, Table25293035[[#This Row],[Regional Transfer (Real)]]+Table25293035[[#This Row],[Stock Level  (South)]])</f>
        <v>0</v>
      </c>
      <c r="W200" s="4" t="s">
        <v>46</v>
      </c>
      <c r="X200" s="20">
        <f t="shared" si="7"/>
        <v>94</v>
      </c>
      <c r="Y200" s="20">
        <f>X201-Table2529303236[[#This Row],[Stock Level  (West)]]</f>
        <v>0</v>
      </c>
      <c r="Z200" s="20">
        <f>IFERROR(GETPIVOTDATA("QTY",$B$56,"PRODUCT_DESCRIPTION", $B$154, "SALES_ORDER_DATE",Table2529303236[[#This Row],[Date]], "AREA_NAME", "West"), 0)</f>
        <v>0</v>
      </c>
      <c r="AA200" s="20">
        <f>Table2529303236[[#This Row],[Stock Change (t1-t0) (West)]]+Table2529303236[[#This Row],[Sales]]</f>
        <v>0</v>
      </c>
      <c r="AB200" s="18">
        <f>IF(Table2529303236[[#This Row],[Regional Transfer (Real)]]=0, 0, Table2529303236[[#This Row],[Regional Transfer (Real)]]+Table2529303236[[#This Row],[Stock Level  (West)]])</f>
        <v>0</v>
      </c>
    </row>
    <row r="201" spans="2:28" x14ac:dyDescent="0.2">
      <c r="B201" s="4" t="s">
        <v>59</v>
      </c>
      <c r="C201" s="20">
        <f t="shared" si="4"/>
        <v>576</v>
      </c>
      <c r="D201" s="20">
        <v>0</v>
      </c>
      <c r="E201" s="20">
        <f>IFERROR(GETPIVOTDATA("QTY",$B$56,"PRODUCT_DESCRIPTION", $B$154, "SALES_ORDER_DATE",Table2533[[#This Row],[Date]]), 0)</f>
        <v>0</v>
      </c>
      <c r="F201" s="20">
        <f>Table2533[[#This Row],[Stock Change (t1-t0)]]+Table2533[[#This Row],[Sales]]</f>
        <v>0</v>
      </c>
      <c r="G201" s="18">
        <f>IF(Table2533[[#This Row],[Purchase (Real)]]=0, 0, Table2533[[#This Row],[Purchase (Real)]]+C200)</f>
        <v>0</v>
      </c>
      <c r="I201" s="4" t="s">
        <v>59</v>
      </c>
      <c r="J201" s="20">
        <f t="shared" si="5"/>
        <v>200</v>
      </c>
      <c r="K201" s="20">
        <v>0</v>
      </c>
      <c r="L201" s="20">
        <f>IFERROR(GETPIVOTDATA("QTY",$B$56,"PRODUCT_DESCRIPTION", $B$154, "SALES_ORDER_DATE",Table252934[[#This Row],[Date]], "AREA_NAME", "North"), 0)</f>
        <v>0</v>
      </c>
      <c r="M201" s="20">
        <f>Table252934[[#This Row],[Stock Change (t1-t0) (North)]]+Table252934[[#This Row],[Sales]]</f>
        <v>0</v>
      </c>
      <c r="N201" s="18">
        <f>IF(Table252934[[#This Row],[Regional Transfer (Real)]]=0, 0, Table252934[[#This Row],[Regional Transfer (Real)]]+Table252934[[#This Row],[Stock Level  (North)]])</f>
        <v>0</v>
      </c>
      <c r="P201" s="4" t="s">
        <v>59</v>
      </c>
      <c r="Q201" s="20">
        <f t="shared" si="6"/>
        <v>200</v>
      </c>
      <c r="R201" s="20">
        <v>0</v>
      </c>
      <c r="S201" s="20">
        <f>IFERROR(GETPIVOTDATA("QTY",$B$56,"PRODUCT_DESCRIPTION", $B$154, "SALES_ORDER_DATE",Table25293035[[#This Row],[Date]], "AREA_NAME", "South"), 0)</f>
        <v>0</v>
      </c>
      <c r="T201" s="20">
        <f>Table25293035[[#This Row],[Stock Change (t1-t0) (South)]]+Table25293035[[#This Row],[Sales]]</f>
        <v>0</v>
      </c>
      <c r="U201" s="18">
        <f>IF(Table25293035[[#This Row],[Regional Transfer (Real)]]=0, 0, Table25293035[[#This Row],[Regional Transfer (Real)]]+Table25293035[[#This Row],[Stock Level  (South)]])</f>
        <v>0</v>
      </c>
      <c r="W201" s="4" t="s">
        <v>59</v>
      </c>
      <c r="X201" s="20">
        <f t="shared" si="7"/>
        <v>94</v>
      </c>
      <c r="Y201" s="20">
        <v>0</v>
      </c>
      <c r="Z201" s="20">
        <f>IFERROR(GETPIVOTDATA("QTY",$B$56,"PRODUCT_DESCRIPTION", $B$154, "SALES_ORDER_DATE",Table2529303236[[#This Row],[Date]], "AREA_NAME", "West"), 0)</f>
        <v>0</v>
      </c>
      <c r="AA201" s="20">
        <f>Table2529303236[[#This Row],[Stock Change (t1-t0) (West)]]+Table2529303236[[#This Row],[Sales]]</f>
        <v>0</v>
      </c>
      <c r="AB201" s="18">
        <f>IF(Table2529303236[[#This Row],[Regional Transfer (Real)]]=0, 0, Table2529303236[[#This Row],[Regional Transfer (Real)]]+Table2529303236[[#This Row],[Stock Level  (West)]])</f>
        <v>0</v>
      </c>
    </row>
    <row r="202" spans="2:28" x14ac:dyDescent="0.2">
      <c r="B202" s="4" t="s">
        <v>91</v>
      </c>
      <c r="F202" s="11">
        <f>SUBTOTAL(109,Table2533[Purchase (Real)])</f>
        <v>1581</v>
      </c>
      <c r="G202" s="11"/>
      <c r="I202" s="4" t="s">
        <v>91</v>
      </c>
      <c r="M202" cm="1">
        <f t="array" ref="M202">COUNT(IF(Table252934[Regional Transfer (Real)]&lt;&gt;0, Table252934[Regional Transfer (Real)]))</f>
        <v>8</v>
      </c>
      <c r="N202" s="11"/>
      <c r="P202" s="4" t="s">
        <v>91</v>
      </c>
      <c r="T202" cm="1">
        <f t="array" ref="T202">COUNT(IF(T158:T201&lt;&gt;0, Table25293035[Regional Transfer (Real)]))</f>
        <v>7</v>
      </c>
      <c r="U202" s="11"/>
      <c r="W202" s="4" t="s">
        <v>91</v>
      </c>
      <c r="AA202" cm="1">
        <f t="array" ref="AA202">COUNT(IF(AA158:AA201&lt;&gt;0, Table2529303236[Regional Transfer (Real)]))</f>
        <v>10</v>
      </c>
      <c r="AB202" s="11"/>
    </row>
    <row r="204" spans="2:28" x14ac:dyDescent="0.2">
      <c r="B204" s="145" t="s">
        <v>95</v>
      </c>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c r="AA204" s="146"/>
      <c r="AB204" s="146"/>
    </row>
    <row r="205" spans="2:28" x14ac:dyDescent="0.2">
      <c r="B205" s="147" t="s">
        <v>3</v>
      </c>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row>
    <row r="206" spans="2:28" x14ac:dyDescent="0.2">
      <c r="B206" s="2"/>
    </row>
    <row r="207" spans="2:28" x14ac:dyDescent="0.2">
      <c r="B207" s="145" t="s">
        <v>60</v>
      </c>
      <c r="C207" s="146"/>
      <c r="D207" s="146"/>
      <c r="E207" s="146"/>
      <c r="F207" s="146"/>
      <c r="G207" s="146"/>
      <c r="I207" s="145" t="s">
        <v>112</v>
      </c>
      <c r="J207" s="146"/>
      <c r="K207" s="146"/>
      <c r="L207" s="146"/>
      <c r="M207" s="146"/>
      <c r="N207" s="146"/>
      <c r="P207" s="145" t="s">
        <v>115</v>
      </c>
      <c r="Q207" s="146"/>
      <c r="R207" s="146"/>
      <c r="S207" s="146"/>
      <c r="T207" s="146"/>
      <c r="U207" s="146"/>
      <c r="W207" s="145" t="s">
        <v>116</v>
      </c>
      <c r="X207" s="146"/>
      <c r="Y207" s="146"/>
      <c r="Z207" s="146"/>
      <c r="AA207" s="146"/>
      <c r="AB207" s="146"/>
    </row>
    <row r="208" spans="2:28" x14ac:dyDescent="0.2">
      <c r="B208" s="3" t="s">
        <v>61</v>
      </c>
      <c r="C208" s="3" t="s">
        <v>117</v>
      </c>
      <c r="D208" s="3" t="s">
        <v>120</v>
      </c>
      <c r="E208" s="3" t="s">
        <v>51</v>
      </c>
      <c r="F208" s="3" t="s">
        <v>118</v>
      </c>
      <c r="G208" s="3" t="s">
        <v>119</v>
      </c>
      <c r="I208" s="3" t="s">
        <v>61</v>
      </c>
      <c r="J208" s="3" t="s">
        <v>121</v>
      </c>
      <c r="K208" s="3" t="s">
        <v>124</v>
      </c>
      <c r="L208" s="3" t="s">
        <v>51</v>
      </c>
      <c r="M208" s="3" t="s">
        <v>125</v>
      </c>
      <c r="N208" s="3" t="s">
        <v>126</v>
      </c>
      <c r="P208" s="3" t="s">
        <v>61</v>
      </c>
      <c r="Q208" s="3" t="s">
        <v>122</v>
      </c>
      <c r="R208" s="3" t="s">
        <v>127</v>
      </c>
      <c r="S208" s="3" t="s">
        <v>51</v>
      </c>
      <c r="T208" s="3" t="s">
        <v>125</v>
      </c>
      <c r="U208" s="3" t="s">
        <v>126</v>
      </c>
      <c r="W208" s="3" t="s">
        <v>61</v>
      </c>
      <c r="X208" s="3" t="s">
        <v>123</v>
      </c>
      <c r="Y208" s="3" t="s">
        <v>128</v>
      </c>
      <c r="Z208" s="3" t="s">
        <v>51</v>
      </c>
      <c r="AA208" s="3" t="s">
        <v>125</v>
      </c>
      <c r="AB208" s="3" t="s">
        <v>126</v>
      </c>
    </row>
    <row r="209" spans="2:28" x14ac:dyDescent="0.2">
      <c r="B209" s="4" t="s">
        <v>54</v>
      </c>
      <c r="C209" s="20">
        <f t="shared" ref="C209:C252" si="8">GETPIVOTDATA("STOCK_LEVEL", $B$5, "PRODUCT", $B$205, "INVENTORY_DATE", B209 )</f>
        <v>0</v>
      </c>
      <c r="D209" s="20">
        <f>C210-Table253337[[#This Row],[Stock Level  ]]</f>
        <v>600</v>
      </c>
      <c r="E209" s="20">
        <f>IFERROR(GETPIVOTDATA("QTY",$B$56,"PRODUCT_DESCRIPTION", $B$205, "SALES_ORDER_DATE",Table253337[[#This Row],[Date]]), 0)</f>
        <v>0</v>
      </c>
      <c r="F209" s="20">
        <f>Table253337[[#This Row],[Stock Change (t1-t0)]]+Table253337[[#This Row],[Sales]]</f>
        <v>600</v>
      </c>
      <c r="G209" s="18">
        <f>IF(Table253337[[#This Row],[Purchase (Real)]]=0, 0, Table253337[[#This Row],[Purchase (Real)]]+0)</f>
        <v>600</v>
      </c>
      <c r="I209" s="4" t="s">
        <v>54</v>
      </c>
      <c r="J209" s="20">
        <f t="shared" ref="J209:J252" si="9">GETPIVOTDATA("STOCK_LEVEL", $B$5, "PRODUCT", $B$205, "INVENTORY_DATE", I209, "STORAGE_LOCATION_ID", "North" )</f>
        <v>0</v>
      </c>
      <c r="K209" s="20">
        <f>J210-Table25293438[[#This Row],[Stock Level  (North)]]</f>
        <v>0</v>
      </c>
      <c r="L209" s="20">
        <f>IFERROR(GETPIVOTDATA("QTY",$B$56,"PRODUCT_DESCRIPTION", $B$205, "SALES_ORDER_DATE",Table25293438[[#This Row],[Date]], "AREA_NAME", "North"), 0)</f>
        <v>0</v>
      </c>
      <c r="M209" s="20">
        <f>Table25293438[[#This Row],[Stock Change (t1-t0) (North)]]+Table25293438[[#This Row],[Sales]]</f>
        <v>0</v>
      </c>
      <c r="N209" s="18">
        <f>IF(Table25293438[[#This Row],[Regional Transfer (Real)]]=0, 0, Table25293438[[#This Row],[Regional Transfer (Real)]]+Table25293438[[#This Row],[Stock Level  (North)]])</f>
        <v>0</v>
      </c>
      <c r="P209" s="4" t="s">
        <v>54</v>
      </c>
      <c r="Q209" s="20">
        <f>GETPIVOTDATA("STOCK_LEVEL", $B$5, "PRODUCT", $B$205, "INVENTORY_DATE", P209, "STORAGE_LOCATION_ID", "South" )</f>
        <v>0</v>
      </c>
      <c r="R209" s="20">
        <f>Q210-Table2529303539[[#This Row],[Stock Level  (South)]]</f>
        <v>0</v>
      </c>
      <c r="S209" s="20">
        <f>IFERROR(GETPIVOTDATA("QTY",$B$56,"PRODUCT_DESCRIPTION", $B$205, "SALES_ORDER_DATE",Table2529303539[[#This Row],[Date]], "AREA_NAME", "South"), 0)</f>
        <v>0</v>
      </c>
      <c r="T209" s="20">
        <f>Table2529303539[[#This Row],[Stock Change (t1-t0) (South)]]+Table2529303539[[#This Row],[Sales]]</f>
        <v>0</v>
      </c>
      <c r="U209" s="18">
        <f>IF(Table2529303539[[#This Row],[Regional Transfer (Real)]]=0, 0, Table2529303539[[#This Row],[Regional Transfer (Real)]]+Table2529303539[[#This Row],[Stock Level  (South)]])</f>
        <v>0</v>
      </c>
      <c r="W209" s="4" t="s">
        <v>54</v>
      </c>
      <c r="X209" s="20">
        <f>GETPIVOTDATA("STOCK_LEVEL", $B$5, "PRODUCT", $B$205, "INVENTORY_DATE", W209, "STORAGE_LOCATION_ID", "West" )</f>
        <v>0</v>
      </c>
      <c r="Y209" s="20">
        <f>X210-Table252930323640[[#This Row],[Stock Level  (West)]]</f>
        <v>0</v>
      </c>
      <c r="Z209" s="20">
        <f>IFERROR(GETPIVOTDATA("QTY",$B$56,"PRODUCT_DESCRIPTION", $B$205, "SALES_ORDER_DATE",Table252930323640[[#This Row],[Date]], "AREA_NAME", "West"), 0)</f>
        <v>0</v>
      </c>
      <c r="AA209" s="20">
        <f>Table252930323640[[#This Row],[Stock Change (t1-t0) (West)]]+Table252930323640[[#This Row],[Sales]]</f>
        <v>0</v>
      </c>
      <c r="AB209" s="18">
        <f>IF(Table252930323640[[#This Row],[Regional Transfer (Real)]]=0, 0, Table252930323640[[#This Row],[Regional Transfer (Real)]]+Table252930323640[[#This Row],[Stock Level  (West)]])</f>
        <v>0</v>
      </c>
    </row>
    <row r="210" spans="2:28" x14ac:dyDescent="0.2">
      <c r="B210" s="4" t="s">
        <v>55</v>
      </c>
      <c r="C210" s="20">
        <f t="shared" si="8"/>
        <v>600</v>
      </c>
      <c r="D210" s="20">
        <f>C211-Table253337[[#This Row],[Stock Level  ]]</f>
        <v>0</v>
      </c>
      <c r="E210" s="20">
        <f>IFERROR(GETPIVOTDATA("QTY",$B$56,"PRODUCT_DESCRIPTION", $B$205, "SALES_ORDER_DATE",Table253337[[#This Row],[Date]]), 0)</f>
        <v>0</v>
      </c>
      <c r="F210" s="20">
        <f>Table253337[[#This Row],[Stock Change (t1-t0)]]+Table253337[[#This Row],[Sales]]</f>
        <v>0</v>
      </c>
      <c r="G210" s="18">
        <f>IF(Table253337[[#This Row],[Purchase (Real)]]=0, 0, Table253337[[#This Row],[Purchase (Real)]]+C209)</f>
        <v>0</v>
      </c>
      <c r="I210" s="4" t="s">
        <v>55</v>
      </c>
      <c r="J210" s="20">
        <f t="shared" si="9"/>
        <v>0</v>
      </c>
      <c r="K210" s="20">
        <f>J211-Table25293438[[#This Row],[Stock Level  (North)]]</f>
        <v>100</v>
      </c>
      <c r="L210" s="20">
        <f>IFERROR(GETPIVOTDATA("QTY",$B$56,"PRODUCT_DESCRIPTION", $B$205, "SALES_ORDER_DATE",Table25293438[[#This Row],[Date]], "AREA_NAME", "North"), 0)</f>
        <v>0</v>
      </c>
      <c r="M210" s="20">
        <f>Table25293438[[#This Row],[Stock Change (t1-t0) (North)]]+Table25293438[[#This Row],[Sales]]</f>
        <v>100</v>
      </c>
      <c r="N210" s="18">
        <f>IF(Table25293438[[#This Row],[Regional Transfer (Real)]]=0, 0, Table25293438[[#This Row],[Regional Transfer (Real)]]+Table25293438[[#This Row],[Stock Level  (North)]])</f>
        <v>100</v>
      </c>
      <c r="P210" s="4" t="s">
        <v>55</v>
      </c>
      <c r="Q210" s="20">
        <f t="shared" ref="Q210:Q252" si="10">GETPIVOTDATA("STOCK_LEVEL", $B$5, "PRODUCT", $B$205, "INVENTORY_DATE", P210, "STORAGE_LOCATION_ID", "South" )</f>
        <v>0</v>
      </c>
      <c r="R210" s="20">
        <f>Q211-Table2529303539[[#This Row],[Stock Level  (South)]]</f>
        <v>100</v>
      </c>
      <c r="S210" s="20">
        <f>IFERROR(GETPIVOTDATA("QTY",$B$56,"PRODUCT_DESCRIPTION", $B$205, "SALES_ORDER_DATE",Table2529303539[[#This Row],[Date]], "AREA_NAME", "South"), 0)</f>
        <v>0</v>
      </c>
      <c r="T210" s="20">
        <f>Table2529303539[[#This Row],[Stock Change (t1-t0) (South)]]+Table2529303539[[#This Row],[Sales]]</f>
        <v>100</v>
      </c>
      <c r="U210" s="18">
        <f>IF(Table2529303539[[#This Row],[Regional Transfer (Real)]]=0, 0, Table2529303539[[#This Row],[Regional Transfer (Real)]]+Table2529303539[[#This Row],[Stock Level  (South)]])</f>
        <v>100</v>
      </c>
      <c r="W210" s="4" t="s">
        <v>55</v>
      </c>
      <c r="X210" s="20">
        <f t="shared" ref="X210:X252" si="11">GETPIVOTDATA("STOCK_LEVEL", $B$5, "PRODUCT", $B$205, "INVENTORY_DATE", W210, "STORAGE_LOCATION_ID", "West" )</f>
        <v>0</v>
      </c>
      <c r="Y210" s="20">
        <f>X211-Table252930323640[[#This Row],[Stock Level  (West)]]</f>
        <v>100</v>
      </c>
      <c r="Z210" s="20">
        <f>IFERROR(GETPIVOTDATA("QTY",$B$56,"PRODUCT_DESCRIPTION", $B$205, "SALES_ORDER_DATE",Table252930323640[[#This Row],[Date]], "AREA_NAME", "West"), 0)</f>
        <v>0</v>
      </c>
      <c r="AA210" s="20">
        <f>Table252930323640[[#This Row],[Stock Change (t1-t0) (West)]]+Table252930323640[[#This Row],[Sales]]</f>
        <v>100</v>
      </c>
      <c r="AB210" s="18">
        <f>IF(Table252930323640[[#This Row],[Regional Transfer (Real)]]=0, 0, Table252930323640[[#This Row],[Regional Transfer (Real)]]+Table252930323640[[#This Row],[Stock Level  (West)]])</f>
        <v>100</v>
      </c>
    </row>
    <row r="211" spans="2:28" x14ac:dyDescent="0.2">
      <c r="B211" s="4" t="s">
        <v>9</v>
      </c>
      <c r="C211" s="20">
        <f t="shared" si="8"/>
        <v>600</v>
      </c>
      <c r="D211" s="20">
        <f>C212-Table253337[[#This Row],[Stock Level  ]]</f>
        <v>-49</v>
      </c>
      <c r="E211" s="20">
        <f>IFERROR(GETPIVOTDATA("QTY",$B$56,"PRODUCT_DESCRIPTION", $B$205, "SALES_ORDER_DATE",Table253337[[#This Row],[Date]]), 0)</f>
        <v>49</v>
      </c>
      <c r="F211" s="20">
        <f>Table253337[[#This Row],[Stock Change (t1-t0)]]+Table253337[[#This Row],[Sales]]</f>
        <v>0</v>
      </c>
      <c r="G211" s="18">
        <f>IF(Table253337[[#This Row],[Purchase (Real)]]=0, 0, Table253337[[#This Row],[Purchase (Real)]]+C210)</f>
        <v>0</v>
      </c>
      <c r="I211" s="4" t="s">
        <v>9</v>
      </c>
      <c r="J211" s="20">
        <f t="shared" si="9"/>
        <v>100</v>
      </c>
      <c r="K211" s="20">
        <f>J212-Table25293438[[#This Row],[Stock Level  (North)]]</f>
        <v>0</v>
      </c>
      <c r="L211" s="20">
        <f>IFERROR(GETPIVOTDATA("QTY",$B$56,"PRODUCT_DESCRIPTION", $B$205, "SALES_ORDER_DATE",Table25293438[[#This Row],[Date]], "AREA_NAME", "North"), 0)</f>
        <v>0</v>
      </c>
      <c r="M211" s="20">
        <f>Table25293438[[#This Row],[Stock Change (t1-t0) (North)]]+Table25293438[[#This Row],[Sales]]</f>
        <v>0</v>
      </c>
      <c r="N211" s="18">
        <f>IF(Table25293438[[#This Row],[Regional Transfer (Real)]]=0, 0, Table25293438[[#This Row],[Regional Transfer (Real)]]+Table25293438[[#This Row],[Stock Level  (North)]])</f>
        <v>0</v>
      </c>
      <c r="P211" s="4" t="s">
        <v>9</v>
      </c>
      <c r="Q211" s="20">
        <f t="shared" si="10"/>
        <v>100</v>
      </c>
      <c r="R211" s="20">
        <f>Q212-Table2529303539[[#This Row],[Stock Level  (South)]]</f>
        <v>-25</v>
      </c>
      <c r="S211" s="20">
        <f>IFERROR(GETPIVOTDATA("QTY",$B$56,"PRODUCT_DESCRIPTION", $B$205, "SALES_ORDER_DATE",Table2529303539[[#This Row],[Date]], "AREA_NAME", "South"), 0)</f>
        <v>25</v>
      </c>
      <c r="T211" s="20">
        <f>Table2529303539[[#This Row],[Stock Change (t1-t0) (South)]]+Table2529303539[[#This Row],[Sales]]</f>
        <v>0</v>
      </c>
      <c r="U211" s="18">
        <f>IF(Table2529303539[[#This Row],[Regional Transfer (Real)]]=0, 0, Table2529303539[[#This Row],[Regional Transfer (Real)]]+Table2529303539[[#This Row],[Stock Level  (South)]])</f>
        <v>0</v>
      </c>
      <c r="W211" s="4" t="s">
        <v>9</v>
      </c>
      <c r="X211" s="20">
        <f t="shared" si="11"/>
        <v>100</v>
      </c>
      <c r="Y211" s="20">
        <f>X212-Table252930323640[[#This Row],[Stock Level  (West)]]</f>
        <v>-24</v>
      </c>
      <c r="Z211" s="20">
        <f>IFERROR(GETPIVOTDATA("QTY",$B$56,"PRODUCT_DESCRIPTION", $B$205, "SALES_ORDER_DATE",Table252930323640[[#This Row],[Date]], "AREA_NAME", "West"), 0)</f>
        <v>24</v>
      </c>
      <c r="AA211" s="20">
        <f>Table252930323640[[#This Row],[Stock Change (t1-t0) (West)]]+Table252930323640[[#This Row],[Sales]]</f>
        <v>0</v>
      </c>
      <c r="AB211" s="18">
        <f>IF(Table252930323640[[#This Row],[Regional Transfer (Real)]]=0, 0, Table252930323640[[#This Row],[Regional Transfer (Real)]]+Table252930323640[[#This Row],[Stock Level  (West)]])</f>
        <v>0</v>
      </c>
    </row>
    <row r="212" spans="2:28" x14ac:dyDescent="0.2">
      <c r="B212" s="4" t="s">
        <v>10</v>
      </c>
      <c r="C212" s="20">
        <f t="shared" si="8"/>
        <v>551</v>
      </c>
      <c r="D212" s="20">
        <f>C213-Table253337[[#This Row],[Stock Level  ]]</f>
        <v>-56</v>
      </c>
      <c r="E212" s="20">
        <f>IFERROR(GETPIVOTDATA("QTY",$B$56,"PRODUCT_DESCRIPTION", $B$205, "SALES_ORDER_DATE",Table253337[[#This Row],[Date]]), 0)</f>
        <v>56</v>
      </c>
      <c r="F212" s="20">
        <f>Table253337[[#This Row],[Stock Change (t1-t0)]]+Table253337[[#This Row],[Sales]]</f>
        <v>0</v>
      </c>
      <c r="G212" s="18">
        <f>IF(Table253337[[#This Row],[Purchase (Real)]]=0, 0, Table253337[[#This Row],[Purchase (Real)]]+C211)</f>
        <v>0</v>
      </c>
      <c r="I212" s="4" t="s">
        <v>10</v>
      </c>
      <c r="J212" s="20">
        <f t="shared" si="9"/>
        <v>100</v>
      </c>
      <c r="K212" s="20">
        <f>J213-Table25293438[[#This Row],[Stock Level  (North)]]</f>
        <v>0</v>
      </c>
      <c r="L212" s="20">
        <f>IFERROR(GETPIVOTDATA("QTY",$B$56,"PRODUCT_DESCRIPTION", $B$205, "SALES_ORDER_DATE",Table25293438[[#This Row],[Date]], "AREA_NAME", "North"), 0)</f>
        <v>0</v>
      </c>
      <c r="M212" s="20">
        <f>Table25293438[[#This Row],[Stock Change (t1-t0) (North)]]+Table25293438[[#This Row],[Sales]]</f>
        <v>0</v>
      </c>
      <c r="N212" s="18">
        <f>IF(Table25293438[[#This Row],[Regional Transfer (Real)]]=0, 0, Table25293438[[#This Row],[Regional Transfer (Real)]]+Table25293438[[#This Row],[Stock Level  (North)]])</f>
        <v>0</v>
      </c>
      <c r="P212" s="4" t="s">
        <v>10</v>
      </c>
      <c r="Q212" s="20">
        <f t="shared" si="10"/>
        <v>75</v>
      </c>
      <c r="R212" s="20">
        <f>Q213-Table2529303539[[#This Row],[Stock Level  (South)]]</f>
        <v>-29</v>
      </c>
      <c r="S212" s="20">
        <f>IFERROR(GETPIVOTDATA("QTY",$B$56,"PRODUCT_DESCRIPTION", $B$205, "SALES_ORDER_DATE",Table2529303539[[#This Row],[Date]], "AREA_NAME", "South"), 0)</f>
        <v>29</v>
      </c>
      <c r="T212" s="20">
        <f>Table2529303539[[#This Row],[Stock Change (t1-t0) (South)]]+Table2529303539[[#This Row],[Sales]]</f>
        <v>0</v>
      </c>
      <c r="U212" s="18">
        <f>IF(Table2529303539[[#This Row],[Regional Transfer (Real)]]=0, 0, Table2529303539[[#This Row],[Regional Transfer (Real)]]+Table2529303539[[#This Row],[Stock Level  (South)]])</f>
        <v>0</v>
      </c>
      <c r="W212" s="4" t="s">
        <v>10</v>
      </c>
      <c r="X212" s="20">
        <f t="shared" si="11"/>
        <v>76</v>
      </c>
      <c r="Y212" s="20">
        <f>X213-Table252930323640[[#This Row],[Stock Level  (West)]]</f>
        <v>-27</v>
      </c>
      <c r="Z212" s="20">
        <f>IFERROR(GETPIVOTDATA("QTY",$B$56,"PRODUCT_DESCRIPTION", $B$205, "SALES_ORDER_DATE",Table252930323640[[#This Row],[Date]], "AREA_NAME", "West"), 0)</f>
        <v>27</v>
      </c>
      <c r="AA212" s="20">
        <f>Table252930323640[[#This Row],[Stock Change (t1-t0) (West)]]+Table252930323640[[#This Row],[Sales]]</f>
        <v>0</v>
      </c>
      <c r="AB212" s="18">
        <f>IF(Table252930323640[[#This Row],[Regional Transfer (Real)]]=0, 0, Table252930323640[[#This Row],[Regional Transfer (Real)]]+Table252930323640[[#This Row],[Stock Level  (West)]])</f>
        <v>0</v>
      </c>
    </row>
    <row r="213" spans="2:28" x14ac:dyDescent="0.2">
      <c r="B213" s="4" t="s">
        <v>11</v>
      </c>
      <c r="C213" s="20">
        <f t="shared" si="8"/>
        <v>495</v>
      </c>
      <c r="D213" s="20">
        <f>C214-Table253337[[#This Row],[Stock Level  ]]</f>
        <v>0</v>
      </c>
      <c r="E213" s="20">
        <f>IFERROR(GETPIVOTDATA("QTY",$B$56,"PRODUCT_DESCRIPTION", $B$205, "SALES_ORDER_DATE",Table253337[[#This Row],[Date]]), 0)</f>
        <v>0</v>
      </c>
      <c r="F213" s="20">
        <f>Table253337[[#This Row],[Stock Change (t1-t0)]]+Table253337[[#This Row],[Sales]]</f>
        <v>0</v>
      </c>
      <c r="G213" s="18">
        <f>IF(Table253337[[#This Row],[Purchase (Real)]]=0, 0, Table253337[[#This Row],[Purchase (Real)]]+C212)</f>
        <v>0</v>
      </c>
      <c r="I213" s="4" t="s">
        <v>11</v>
      </c>
      <c r="J213" s="20">
        <f t="shared" si="9"/>
        <v>100</v>
      </c>
      <c r="K213" s="20">
        <f>J214-Table25293438[[#This Row],[Stock Level  (North)]]</f>
        <v>0</v>
      </c>
      <c r="L213" s="20">
        <f>IFERROR(GETPIVOTDATA("QTY",$B$56,"PRODUCT_DESCRIPTION", $B$205, "SALES_ORDER_DATE",Table25293438[[#This Row],[Date]], "AREA_NAME", "North"), 0)</f>
        <v>0</v>
      </c>
      <c r="M213" s="20">
        <f>Table25293438[[#This Row],[Stock Change (t1-t0) (North)]]+Table25293438[[#This Row],[Sales]]</f>
        <v>0</v>
      </c>
      <c r="N213" s="18">
        <f>IF(Table25293438[[#This Row],[Regional Transfer (Real)]]=0, 0, Table25293438[[#This Row],[Regional Transfer (Real)]]+Table25293438[[#This Row],[Stock Level  (North)]])</f>
        <v>0</v>
      </c>
      <c r="P213" s="4" t="s">
        <v>11</v>
      </c>
      <c r="Q213" s="20">
        <f t="shared" si="10"/>
        <v>46</v>
      </c>
      <c r="R213" s="20">
        <f>Q214-Table2529303539[[#This Row],[Stock Level  (South)]]</f>
        <v>54</v>
      </c>
      <c r="S213" s="20">
        <f>IFERROR(GETPIVOTDATA("QTY",$B$56,"PRODUCT_DESCRIPTION", $B$205, "SALES_ORDER_DATE",Table2529303539[[#This Row],[Date]], "AREA_NAME", "South"), 0)</f>
        <v>0</v>
      </c>
      <c r="T213" s="20">
        <f>Table2529303539[[#This Row],[Stock Change (t1-t0) (South)]]+Table2529303539[[#This Row],[Sales]]</f>
        <v>54</v>
      </c>
      <c r="U213" s="18">
        <f>IF(Table2529303539[[#This Row],[Regional Transfer (Real)]]=0, 0, Table2529303539[[#This Row],[Regional Transfer (Real)]]+Table2529303539[[#This Row],[Stock Level  (South)]])</f>
        <v>100</v>
      </c>
      <c r="W213" s="4" t="s">
        <v>11</v>
      </c>
      <c r="X213" s="20">
        <f t="shared" si="11"/>
        <v>49</v>
      </c>
      <c r="Y213" s="20">
        <f>X214-Table252930323640[[#This Row],[Stock Level  (West)]]</f>
        <v>51</v>
      </c>
      <c r="Z213" s="20">
        <f>IFERROR(GETPIVOTDATA("QTY",$B$56,"PRODUCT_DESCRIPTION", $B$205, "SALES_ORDER_DATE",Table252930323640[[#This Row],[Date]], "AREA_NAME", "West"), 0)</f>
        <v>0</v>
      </c>
      <c r="AA213" s="20">
        <f>Table252930323640[[#This Row],[Stock Change (t1-t0) (West)]]+Table252930323640[[#This Row],[Sales]]</f>
        <v>51</v>
      </c>
      <c r="AB213" s="18">
        <f>IF(Table252930323640[[#This Row],[Regional Transfer (Real)]]=0, 0, Table252930323640[[#This Row],[Regional Transfer (Real)]]+Table252930323640[[#This Row],[Stock Level  (West)]])</f>
        <v>100</v>
      </c>
    </row>
    <row r="214" spans="2:28" x14ac:dyDescent="0.2">
      <c r="B214" s="4" t="s">
        <v>12</v>
      </c>
      <c r="C214" s="20">
        <f t="shared" si="8"/>
        <v>495</v>
      </c>
      <c r="D214" s="20">
        <f>C215-Table253337[[#This Row],[Stock Level  ]]</f>
        <v>-82</v>
      </c>
      <c r="E214" s="20">
        <f>IFERROR(GETPIVOTDATA("QTY",$B$56,"PRODUCT_DESCRIPTION", $B$205, "SALES_ORDER_DATE",Table253337[[#This Row],[Date]]), 0)</f>
        <v>82</v>
      </c>
      <c r="F214" s="20">
        <f>Table253337[[#This Row],[Stock Change (t1-t0)]]+Table253337[[#This Row],[Sales]]</f>
        <v>0</v>
      </c>
      <c r="G214" s="18">
        <f>IF(Table253337[[#This Row],[Purchase (Real)]]=0, 0, Table253337[[#This Row],[Purchase (Real)]]+C213)</f>
        <v>0</v>
      </c>
      <c r="I214" s="4" t="s">
        <v>12</v>
      </c>
      <c r="J214" s="20">
        <f t="shared" si="9"/>
        <v>100</v>
      </c>
      <c r="K214" s="20">
        <f>J215-Table25293438[[#This Row],[Stock Level  (North)]]</f>
        <v>-26</v>
      </c>
      <c r="L214" s="20">
        <f>IFERROR(GETPIVOTDATA("QTY",$B$56,"PRODUCT_DESCRIPTION", $B$205, "SALES_ORDER_DATE",Table25293438[[#This Row],[Date]], "AREA_NAME", "North"), 0)</f>
        <v>26</v>
      </c>
      <c r="M214" s="20">
        <f>Table25293438[[#This Row],[Stock Change (t1-t0) (North)]]+Table25293438[[#This Row],[Sales]]</f>
        <v>0</v>
      </c>
      <c r="N214" s="18">
        <f>IF(Table25293438[[#This Row],[Regional Transfer (Real)]]=0, 0, Table25293438[[#This Row],[Regional Transfer (Real)]]+Table25293438[[#This Row],[Stock Level  (North)]])</f>
        <v>0</v>
      </c>
      <c r="P214" s="4" t="s">
        <v>12</v>
      </c>
      <c r="Q214" s="20">
        <f t="shared" si="10"/>
        <v>100</v>
      </c>
      <c r="R214" s="20">
        <f>Q215-Table2529303539[[#This Row],[Stock Level  (South)]]</f>
        <v>-30</v>
      </c>
      <c r="S214" s="20">
        <f>IFERROR(GETPIVOTDATA("QTY",$B$56,"PRODUCT_DESCRIPTION", $B$205, "SALES_ORDER_DATE",Table2529303539[[#This Row],[Date]], "AREA_NAME", "South"), 0)</f>
        <v>30</v>
      </c>
      <c r="T214" s="20">
        <f>Table2529303539[[#This Row],[Stock Change (t1-t0) (South)]]+Table2529303539[[#This Row],[Sales]]</f>
        <v>0</v>
      </c>
      <c r="U214" s="18">
        <f>IF(Table2529303539[[#This Row],[Regional Transfer (Real)]]=0, 0, Table2529303539[[#This Row],[Regional Transfer (Real)]]+Table2529303539[[#This Row],[Stock Level  (South)]])</f>
        <v>0</v>
      </c>
      <c r="W214" s="4" t="s">
        <v>12</v>
      </c>
      <c r="X214" s="20">
        <f t="shared" si="11"/>
        <v>100</v>
      </c>
      <c r="Y214" s="20">
        <f>X215-Table252930323640[[#This Row],[Stock Level  (West)]]</f>
        <v>-26</v>
      </c>
      <c r="Z214" s="20">
        <f>IFERROR(GETPIVOTDATA("QTY",$B$56,"PRODUCT_DESCRIPTION", $B$205, "SALES_ORDER_DATE",Table252930323640[[#This Row],[Date]], "AREA_NAME", "West"), 0)</f>
        <v>26</v>
      </c>
      <c r="AA214" s="20">
        <f>Table252930323640[[#This Row],[Stock Change (t1-t0) (West)]]+Table252930323640[[#This Row],[Sales]]</f>
        <v>0</v>
      </c>
      <c r="AB214" s="18">
        <f>IF(Table252930323640[[#This Row],[Regional Transfer (Real)]]=0, 0, Table252930323640[[#This Row],[Regional Transfer (Real)]]+Table252930323640[[#This Row],[Stock Level  (West)]])</f>
        <v>0</v>
      </c>
    </row>
    <row r="215" spans="2:28" x14ac:dyDescent="0.2">
      <c r="B215" s="4" t="s">
        <v>13</v>
      </c>
      <c r="C215" s="20">
        <f t="shared" si="8"/>
        <v>413</v>
      </c>
      <c r="D215" s="20">
        <f>C216-Table253337[[#This Row],[Stock Level  ]]</f>
        <v>-69</v>
      </c>
      <c r="E215" s="20">
        <f>IFERROR(GETPIVOTDATA("QTY",$B$56,"PRODUCT_DESCRIPTION", $B$205, "SALES_ORDER_DATE",Table253337[[#This Row],[Date]]), 0)</f>
        <v>69</v>
      </c>
      <c r="F215" s="20">
        <f>Table253337[[#This Row],[Stock Change (t1-t0)]]+Table253337[[#This Row],[Sales]]</f>
        <v>0</v>
      </c>
      <c r="G215" s="18">
        <f>IF(Table253337[[#This Row],[Purchase (Real)]]=0, 0, Table253337[[#This Row],[Purchase (Real)]]+C214)</f>
        <v>0</v>
      </c>
      <c r="I215" s="4" t="s">
        <v>13</v>
      </c>
      <c r="J215" s="20">
        <f t="shared" si="9"/>
        <v>74</v>
      </c>
      <c r="K215" s="20">
        <f>J216-Table25293438[[#This Row],[Stock Level  (North)]]</f>
        <v>-21</v>
      </c>
      <c r="L215" s="20">
        <f>IFERROR(GETPIVOTDATA("QTY",$B$56,"PRODUCT_DESCRIPTION", $B$205, "SALES_ORDER_DATE",Table25293438[[#This Row],[Date]], "AREA_NAME", "North"), 0)</f>
        <v>21</v>
      </c>
      <c r="M215" s="20">
        <f>Table25293438[[#This Row],[Stock Change (t1-t0) (North)]]+Table25293438[[#This Row],[Sales]]</f>
        <v>0</v>
      </c>
      <c r="N215" s="18">
        <f>IF(Table25293438[[#This Row],[Regional Transfer (Real)]]=0, 0, Table25293438[[#This Row],[Regional Transfer (Real)]]+Table25293438[[#This Row],[Stock Level  (North)]])</f>
        <v>0</v>
      </c>
      <c r="P215" s="4" t="s">
        <v>13</v>
      </c>
      <c r="Q215" s="20">
        <f t="shared" si="10"/>
        <v>70</v>
      </c>
      <c r="R215" s="20">
        <f>Q216-Table2529303539[[#This Row],[Stock Level  (South)]]</f>
        <v>-23</v>
      </c>
      <c r="S215" s="20">
        <f>IFERROR(GETPIVOTDATA("QTY",$B$56,"PRODUCT_DESCRIPTION", $B$205, "SALES_ORDER_DATE",Table2529303539[[#This Row],[Date]], "AREA_NAME", "South"), 0)</f>
        <v>23</v>
      </c>
      <c r="T215" s="20">
        <f>Table2529303539[[#This Row],[Stock Change (t1-t0) (South)]]+Table2529303539[[#This Row],[Sales]]</f>
        <v>0</v>
      </c>
      <c r="U215" s="18">
        <f>IF(Table2529303539[[#This Row],[Regional Transfer (Real)]]=0, 0, Table2529303539[[#This Row],[Regional Transfer (Real)]]+Table2529303539[[#This Row],[Stock Level  (South)]])</f>
        <v>0</v>
      </c>
      <c r="W215" s="4" t="s">
        <v>13</v>
      </c>
      <c r="X215" s="20">
        <f t="shared" si="11"/>
        <v>74</v>
      </c>
      <c r="Y215" s="20">
        <f>X216-Table252930323640[[#This Row],[Stock Level  (West)]]</f>
        <v>-25</v>
      </c>
      <c r="Z215" s="20">
        <f>IFERROR(GETPIVOTDATA("QTY",$B$56,"PRODUCT_DESCRIPTION", $B$205, "SALES_ORDER_DATE",Table252930323640[[#This Row],[Date]], "AREA_NAME", "West"), 0)</f>
        <v>25</v>
      </c>
      <c r="AA215" s="20">
        <f>Table252930323640[[#This Row],[Stock Change (t1-t0) (West)]]+Table252930323640[[#This Row],[Sales]]</f>
        <v>0</v>
      </c>
      <c r="AB215" s="18">
        <f>IF(Table252930323640[[#This Row],[Regional Transfer (Real)]]=0, 0, Table252930323640[[#This Row],[Regional Transfer (Real)]]+Table252930323640[[#This Row],[Stock Level  (West)]])</f>
        <v>0</v>
      </c>
    </row>
    <row r="216" spans="2:28" x14ac:dyDescent="0.2">
      <c r="B216" s="4" t="s">
        <v>14</v>
      </c>
      <c r="C216" s="20">
        <f t="shared" si="8"/>
        <v>344</v>
      </c>
      <c r="D216" s="20">
        <f>C217-Table253337[[#This Row],[Stock Level  ]]</f>
        <v>-49</v>
      </c>
      <c r="E216" s="20">
        <f>IFERROR(GETPIVOTDATA("QTY",$B$56,"PRODUCT_DESCRIPTION", $B$205, "SALES_ORDER_DATE",Table253337[[#This Row],[Date]]), 0)</f>
        <v>49</v>
      </c>
      <c r="F216" s="20">
        <f>Table253337[[#This Row],[Stock Change (t1-t0)]]+Table253337[[#This Row],[Sales]]</f>
        <v>0</v>
      </c>
      <c r="G216" s="18">
        <f>IF(Table253337[[#This Row],[Purchase (Real)]]=0, 0, Table253337[[#This Row],[Purchase (Real)]]+C215)</f>
        <v>0</v>
      </c>
      <c r="I216" s="4" t="s">
        <v>14</v>
      </c>
      <c r="J216" s="20">
        <f t="shared" si="9"/>
        <v>53</v>
      </c>
      <c r="K216" s="20">
        <f>J217-Table25293438[[#This Row],[Stock Level  (North)]]</f>
        <v>47</v>
      </c>
      <c r="L216" s="20">
        <f>IFERROR(GETPIVOTDATA("QTY",$B$56,"PRODUCT_DESCRIPTION", $B$205, "SALES_ORDER_DATE",Table25293438[[#This Row],[Date]], "AREA_NAME", "North"), 0)</f>
        <v>0</v>
      </c>
      <c r="M216" s="20">
        <f>Table25293438[[#This Row],[Stock Change (t1-t0) (North)]]+Table25293438[[#This Row],[Sales]]</f>
        <v>47</v>
      </c>
      <c r="N216" s="18">
        <f>IF(Table25293438[[#This Row],[Regional Transfer (Real)]]=0, 0, Table25293438[[#This Row],[Regional Transfer (Real)]]+Table25293438[[#This Row],[Stock Level  (North)]])</f>
        <v>100</v>
      </c>
      <c r="P216" s="4" t="s">
        <v>14</v>
      </c>
      <c r="Q216" s="20">
        <f t="shared" si="10"/>
        <v>47</v>
      </c>
      <c r="R216" s="20">
        <f>Q217-Table2529303539[[#This Row],[Stock Level  (South)]]</f>
        <v>13</v>
      </c>
      <c r="S216" s="20">
        <f>IFERROR(GETPIVOTDATA("QTY",$B$56,"PRODUCT_DESCRIPTION", $B$205, "SALES_ORDER_DATE",Table2529303539[[#This Row],[Date]], "AREA_NAME", "South"), 0)</f>
        <v>40</v>
      </c>
      <c r="T216" s="20">
        <f>Table2529303539[[#This Row],[Stock Change (t1-t0) (South)]]+Table2529303539[[#This Row],[Sales]]</f>
        <v>53</v>
      </c>
      <c r="U216" s="18">
        <f>IF(Table2529303539[[#This Row],[Regional Transfer (Real)]]=0, 0, Table2529303539[[#This Row],[Regional Transfer (Real)]]+Table2529303539[[#This Row],[Stock Level  (South)]])</f>
        <v>100</v>
      </c>
      <c r="W216" s="4" t="s">
        <v>14</v>
      </c>
      <c r="X216" s="20">
        <f t="shared" si="11"/>
        <v>49</v>
      </c>
      <c r="Y216" s="20">
        <f>X217-Table252930323640[[#This Row],[Stock Level  (West)]]</f>
        <v>42</v>
      </c>
      <c r="Z216" s="20">
        <f>IFERROR(GETPIVOTDATA("QTY",$B$56,"PRODUCT_DESCRIPTION", $B$205, "SALES_ORDER_DATE",Table252930323640[[#This Row],[Date]], "AREA_NAME", "West"), 0)</f>
        <v>9</v>
      </c>
      <c r="AA216" s="20">
        <f>Table252930323640[[#This Row],[Stock Change (t1-t0) (West)]]+Table252930323640[[#This Row],[Sales]]</f>
        <v>51</v>
      </c>
      <c r="AB216" s="18">
        <f>IF(Table252930323640[[#This Row],[Regional Transfer (Real)]]=0, 0, Table252930323640[[#This Row],[Regional Transfer (Real)]]+Table252930323640[[#This Row],[Stock Level  (West)]])</f>
        <v>100</v>
      </c>
    </row>
    <row r="217" spans="2:28" x14ac:dyDescent="0.2">
      <c r="B217" s="4" t="s">
        <v>15</v>
      </c>
      <c r="C217" s="20">
        <f t="shared" si="8"/>
        <v>295</v>
      </c>
      <c r="D217" s="20">
        <f>C218-Table253337[[#This Row],[Stock Level  ]]</f>
        <v>-27</v>
      </c>
      <c r="E217" s="20">
        <f>IFERROR(GETPIVOTDATA("QTY",$B$56,"PRODUCT_DESCRIPTION", $B$205, "SALES_ORDER_DATE",Table253337[[#This Row],[Date]]), 0)</f>
        <v>27</v>
      </c>
      <c r="F217" s="20">
        <f>Table253337[[#This Row],[Stock Change (t1-t0)]]+Table253337[[#This Row],[Sales]]</f>
        <v>0</v>
      </c>
      <c r="G217" s="18">
        <f>IF(Table253337[[#This Row],[Purchase (Real)]]=0, 0, Table253337[[#This Row],[Purchase (Real)]]+C216)</f>
        <v>0</v>
      </c>
      <c r="I217" s="4" t="s">
        <v>15</v>
      </c>
      <c r="J217" s="20">
        <f t="shared" si="9"/>
        <v>100</v>
      </c>
      <c r="K217" s="20">
        <f>J218-Table25293438[[#This Row],[Stock Level  (North)]]</f>
        <v>-27</v>
      </c>
      <c r="L217" s="20">
        <f>IFERROR(GETPIVOTDATA("QTY",$B$56,"PRODUCT_DESCRIPTION", $B$205, "SALES_ORDER_DATE",Table25293438[[#This Row],[Date]], "AREA_NAME", "North"), 0)</f>
        <v>27</v>
      </c>
      <c r="M217" s="20">
        <f>Table25293438[[#This Row],[Stock Change (t1-t0) (North)]]+Table25293438[[#This Row],[Sales]]</f>
        <v>0</v>
      </c>
      <c r="N217" s="18">
        <f>IF(Table25293438[[#This Row],[Regional Transfer (Real)]]=0, 0, Table25293438[[#This Row],[Regional Transfer (Real)]]+Table25293438[[#This Row],[Stock Level  (North)]])</f>
        <v>0</v>
      </c>
      <c r="P217" s="4" t="s">
        <v>15</v>
      </c>
      <c r="Q217" s="20">
        <f t="shared" si="10"/>
        <v>60</v>
      </c>
      <c r="R217" s="20">
        <f>Q218-Table2529303539[[#This Row],[Stock Level  (South)]]</f>
        <v>0</v>
      </c>
      <c r="S217" s="20">
        <f>IFERROR(GETPIVOTDATA("QTY",$B$56,"PRODUCT_DESCRIPTION", $B$205, "SALES_ORDER_DATE",Table2529303539[[#This Row],[Date]], "AREA_NAME", "South"), 0)</f>
        <v>0</v>
      </c>
      <c r="T217" s="20">
        <f>Table2529303539[[#This Row],[Stock Change (t1-t0) (South)]]+Table2529303539[[#This Row],[Sales]]</f>
        <v>0</v>
      </c>
      <c r="U217" s="18">
        <f>IF(Table2529303539[[#This Row],[Regional Transfer (Real)]]=0, 0, Table2529303539[[#This Row],[Regional Transfer (Real)]]+Table2529303539[[#This Row],[Stock Level  (South)]])</f>
        <v>0</v>
      </c>
      <c r="W217" s="4" t="s">
        <v>15</v>
      </c>
      <c r="X217" s="20">
        <f t="shared" si="11"/>
        <v>91</v>
      </c>
      <c r="Y217" s="20">
        <f>X218-Table252930323640[[#This Row],[Stock Level  (West)]]</f>
        <v>0</v>
      </c>
      <c r="Z217" s="20">
        <f>IFERROR(GETPIVOTDATA("QTY",$B$56,"PRODUCT_DESCRIPTION", $B$205, "SALES_ORDER_DATE",Table252930323640[[#This Row],[Date]], "AREA_NAME", "West"), 0)</f>
        <v>0</v>
      </c>
      <c r="AA217" s="20">
        <f>Table252930323640[[#This Row],[Stock Change (t1-t0) (West)]]+Table252930323640[[#This Row],[Sales]]</f>
        <v>0</v>
      </c>
      <c r="AB217" s="18">
        <f>IF(Table252930323640[[#This Row],[Regional Transfer (Real)]]=0, 0, Table252930323640[[#This Row],[Regional Transfer (Real)]]+Table252930323640[[#This Row],[Stock Level  (West)]])</f>
        <v>0</v>
      </c>
    </row>
    <row r="218" spans="2:28" x14ac:dyDescent="0.2">
      <c r="B218" s="4" t="s">
        <v>16</v>
      </c>
      <c r="C218" s="20">
        <f t="shared" si="8"/>
        <v>268</v>
      </c>
      <c r="D218" s="20">
        <f>C219-Table253337[[#This Row],[Stock Level  ]]</f>
        <v>-23</v>
      </c>
      <c r="E218" s="20">
        <f>IFERROR(GETPIVOTDATA("QTY",$B$56,"PRODUCT_DESCRIPTION", $B$205, "SALES_ORDER_DATE",Table253337[[#This Row],[Date]]), 0)</f>
        <v>23</v>
      </c>
      <c r="F218" s="20">
        <f>Table253337[[#This Row],[Stock Change (t1-t0)]]+Table253337[[#This Row],[Sales]]</f>
        <v>0</v>
      </c>
      <c r="G218" s="18">
        <f>IF(Table253337[[#This Row],[Purchase (Real)]]=0, 0, Table253337[[#This Row],[Purchase (Real)]]+C217)</f>
        <v>0</v>
      </c>
      <c r="I218" s="4" t="s">
        <v>16</v>
      </c>
      <c r="J218" s="20">
        <f t="shared" si="9"/>
        <v>73</v>
      </c>
      <c r="K218" s="20">
        <f>J219-Table25293438[[#This Row],[Stock Level  (North)]]</f>
        <v>0</v>
      </c>
      <c r="L218" s="20">
        <f>IFERROR(GETPIVOTDATA("QTY",$B$56,"PRODUCT_DESCRIPTION", $B$205, "SALES_ORDER_DATE",Table25293438[[#This Row],[Date]], "AREA_NAME", "North"), 0)</f>
        <v>0</v>
      </c>
      <c r="M218" s="20">
        <f>Table25293438[[#This Row],[Stock Change (t1-t0) (North)]]+Table25293438[[#This Row],[Sales]]</f>
        <v>0</v>
      </c>
      <c r="N218" s="18">
        <f>IF(Table25293438[[#This Row],[Regional Transfer (Real)]]=0, 0, Table25293438[[#This Row],[Regional Transfer (Real)]]+Table25293438[[#This Row],[Stock Level  (North)]])</f>
        <v>0</v>
      </c>
      <c r="P218" s="4" t="s">
        <v>16</v>
      </c>
      <c r="Q218" s="20">
        <f t="shared" si="10"/>
        <v>60</v>
      </c>
      <c r="R218" s="20">
        <f>Q219-Table2529303539[[#This Row],[Stock Level  (South)]]</f>
        <v>0</v>
      </c>
      <c r="S218" s="20">
        <f>IFERROR(GETPIVOTDATA("QTY",$B$56,"PRODUCT_DESCRIPTION", $B$205, "SALES_ORDER_DATE",Table2529303539[[#This Row],[Date]], "AREA_NAME", "South"), 0)</f>
        <v>0</v>
      </c>
      <c r="T218" s="20">
        <f>Table2529303539[[#This Row],[Stock Change (t1-t0) (South)]]+Table2529303539[[#This Row],[Sales]]</f>
        <v>0</v>
      </c>
      <c r="U218" s="18">
        <f>IF(Table2529303539[[#This Row],[Regional Transfer (Real)]]=0, 0, Table2529303539[[#This Row],[Regional Transfer (Real)]]+Table2529303539[[#This Row],[Stock Level  (South)]])</f>
        <v>0</v>
      </c>
      <c r="W218" s="4" t="s">
        <v>16</v>
      </c>
      <c r="X218" s="20">
        <f t="shared" si="11"/>
        <v>91</v>
      </c>
      <c r="Y218" s="20">
        <f>X219-Table252930323640[[#This Row],[Stock Level  (West)]]</f>
        <v>-23</v>
      </c>
      <c r="Z218" s="20">
        <f>IFERROR(GETPIVOTDATA("QTY",$B$56,"PRODUCT_DESCRIPTION", $B$205, "SALES_ORDER_DATE",Table252930323640[[#This Row],[Date]], "AREA_NAME", "West"), 0)</f>
        <v>23</v>
      </c>
      <c r="AA218" s="20">
        <f>Table252930323640[[#This Row],[Stock Change (t1-t0) (West)]]+Table252930323640[[#This Row],[Sales]]</f>
        <v>0</v>
      </c>
      <c r="AB218" s="18">
        <f>IF(Table252930323640[[#This Row],[Regional Transfer (Real)]]=0, 0, Table252930323640[[#This Row],[Regional Transfer (Real)]]+Table252930323640[[#This Row],[Stock Level  (West)]])</f>
        <v>0</v>
      </c>
    </row>
    <row r="219" spans="2:28" x14ac:dyDescent="0.2">
      <c r="B219" s="4" t="s">
        <v>56</v>
      </c>
      <c r="C219" s="20">
        <f t="shared" si="8"/>
        <v>245</v>
      </c>
      <c r="D219" s="20">
        <f>C220-Table253337[[#This Row],[Stock Level  ]]</f>
        <v>0</v>
      </c>
      <c r="E219" s="20">
        <f>IFERROR(GETPIVOTDATA("QTY",$B$56,"PRODUCT_DESCRIPTION", $B$205, "SALES_ORDER_DATE",Table253337[[#This Row],[Date]]), 0)</f>
        <v>0</v>
      </c>
      <c r="F219" s="20">
        <f>Table253337[[#This Row],[Stock Change (t1-t0)]]+Table253337[[#This Row],[Sales]]</f>
        <v>0</v>
      </c>
      <c r="G219" s="18">
        <f>IF(Table253337[[#This Row],[Purchase (Real)]]=0, 0, Table253337[[#This Row],[Purchase (Real)]]+C218)</f>
        <v>0</v>
      </c>
      <c r="I219" s="4" t="s">
        <v>56</v>
      </c>
      <c r="J219" s="20">
        <f t="shared" si="9"/>
        <v>73</v>
      </c>
      <c r="K219" s="20">
        <f>J220-Table25293438[[#This Row],[Stock Level  (North)]]</f>
        <v>0</v>
      </c>
      <c r="L219" s="20">
        <f>IFERROR(GETPIVOTDATA("QTY",$B$56,"PRODUCT_DESCRIPTION", $B$205, "SALES_ORDER_DATE",Table25293438[[#This Row],[Date]], "AREA_NAME", "North"), 0)</f>
        <v>0</v>
      </c>
      <c r="M219" s="20">
        <f>Table25293438[[#This Row],[Stock Change (t1-t0) (North)]]+Table25293438[[#This Row],[Sales]]</f>
        <v>0</v>
      </c>
      <c r="N219" s="18">
        <f>IF(Table25293438[[#This Row],[Regional Transfer (Real)]]=0, 0, Table25293438[[#This Row],[Regional Transfer (Real)]]+Table25293438[[#This Row],[Stock Level  (North)]])</f>
        <v>0</v>
      </c>
      <c r="P219" s="4" t="s">
        <v>56</v>
      </c>
      <c r="Q219" s="20">
        <f t="shared" si="10"/>
        <v>60</v>
      </c>
      <c r="R219" s="20">
        <f>Q220-Table2529303539[[#This Row],[Stock Level  (South)]]</f>
        <v>0</v>
      </c>
      <c r="S219" s="20">
        <f>IFERROR(GETPIVOTDATA("QTY",$B$56,"PRODUCT_DESCRIPTION", $B$205, "SALES_ORDER_DATE",Table2529303539[[#This Row],[Date]], "AREA_NAME", "South"), 0)</f>
        <v>0</v>
      </c>
      <c r="T219" s="20">
        <f>Table2529303539[[#This Row],[Stock Change (t1-t0) (South)]]+Table2529303539[[#This Row],[Sales]]</f>
        <v>0</v>
      </c>
      <c r="U219" s="18">
        <f>IF(Table2529303539[[#This Row],[Regional Transfer (Real)]]=0, 0, Table2529303539[[#This Row],[Regional Transfer (Real)]]+Table2529303539[[#This Row],[Stock Level  (South)]])</f>
        <v>0</v>
      </c>
      <c r="W219" s="4" t="s">
        <v>56</v>
      </c>
      <c r="X219" s="20">
        <f t="shared" si="11"/>
        <v>68</v>
      </c>
      <c r="Y219" s="20">
        <f>X220-Table252930323640[[#This Row],[Stock Level  (West)]]</f>
        <v>0</v>
      </c>
      <c r="Z219" s="20">
        <f>IFERROR(GETPIVOTDATA("QTY",$B$56,"PRODUCT_DESCRIPTION", $B$205, "SALES_ORDER_DATE",Table252930323640[[#This Row],[Date]], "AREA_NAME", "West"), 0)</f>
        <v>0</v>
      </c>
      <c r="AA219" s="20">
        <f>Table252930323640[[#This Row],[Stock Change (t1-t0) (West)]]+Table252930323640[[#This Row],[Sales]]</f>
        <v>0</v>
      </c>
      <c r="AB219" s="18">
        <f>IF(Table252930323640[[#This Row],[Regional Transfer (Real)]]=0, 0, Table252930323640[[#This Row],[Regional Transfer (Real)]]+Table252930323640[[#This Row],[Stock Level  (West)]])</f>
        <v>0</v>
      </c>
    </row>
    <row r="220" spans="2:28" x14ac:dyDescent="0.2">
      <c r="B220" s="4" t="s">
        <v>17</v>
      </c>
      <c r="C220" s="20">
        <f t="shared" si="8"/>
        <v>245</v>
      </c>
      <c r="D220" s="20">
        <f>C221-Table253337[[#This Row],[Stock Level  ]]</f>
        <v>336</v>
      </c>
      <c r="E220" s="20">
        <f>IFERROR(GETPIVOTDATA("QTY",$B$56,"PRODUCT_DESCRIPTION", $B$205, "SALES_ORDER_DATE",Table253337[[#This Row],[Date]]), 0)</f>
        <v>19</v>
      </c>
      <c r="F220" s="20">
        <f>Table253337[[#This Row],[Stock Change (t1-t0)]]+Table253337[[#This Row],[Sales]]</f>
        <v>355</v>
      </c>
      <c r="G220" s="18">
        <f>IF(Table253337[[#This Row],[Purchase (Real)]]=0, 0, Table253337[[#This Row],[Purchase (Real)]]+C219)</f>
        <v>600</v>
      </c>
      <c r="I220" s="4" t="s">
        <v>17</v>
      </c>
      <c r="J220" s="20">
        <f t="shared" si="9"/>
        <v>73</v>
      </c>
      <c r="K220" s="20">
        <f>J221-Table25293438[[#This Row],[Stock Level  (North)]]</f>
        <v>12</v>
      </c>
      <c r="L220" s="20">
        <f>IFERROR(GETPIVOTDATA("QTY",$B$56,"PRODUCT_DESCRIPTION", $B$205, "SALES_ORDER_DATE",Table25293438[[#This Row],[Date]], "AREA_NAME", "North"), 0)</f>
        <v>0</v>
      </c>
      <c r="M220" s="20">
        <f>Table25293438[[#This Row],[Stock Change (t1-t0) (North)]]+Table25293438[[#This Row],[Sales]]</f>
        <v>12</v>
      </c>
      <c r="N220" s="18">
        <f>IF(Table25293438[[#This Row],[Regional Transfer (Real)]]=0, 0, Table25293438[[#This Row],[Regional Transfer (Real)]]+Table25293438[[#This Row],[Stock Level  (North)]])</f>
        <v>85</v>
      </c>
      <c r="P220" s="4" t="s">
        <v>17</v>
      </c>
      <c r="Q220" s="20">
        <f t="shared" si="10"/>
        <v>60</v>
      </c>
      <c r="R220" s="20">
        <f>Q221-Table2529303539[[#This Row],[Stock Level  (South)]]</f>
        <v>18</v>
      </c>
      <c r="S220" s="20">
        <f>IFERROR(GETPIVOTDATA("QTY",$B$56,"PRODUCT_DESCRIPTION", $B$205, "SALES_ORDER_DATE",Table2529303539[[#This Row],[Date]], "AREA_NAME", "South"), 0)</f>
        <v>0</v>
      </c>
      <c r="T220" s="20">
        <f>Table2529303539[[#This Row],[Stock Change (t1-t0) (South)]]+Table2529303539[[#This Row],[Sales]]</f>
        <v>18</v>
      </c>
      <c r="U220" s="18">
        <f>IF(Table2529303539[[#This Row],[Regional Transfer (Real)]]=0, 0, Table2529303539[[#This Row],[Regional Transfer (Real)]]+Table2529303539[[#This Row],[Stock Level  (South)]])</f>
        <v>78</v>
      </c>
      <c r="W220" s="4" t="s">
        <v>17</v>
      </c>
      <c r="X220" s="20">
        <f t="shared" si="11"/>
        <v>68</v>
      </c>
      <c r="Y220" s="20">
        <f>X221-Table252930323640[[#This Row],[Stock Level  (West)]]</f>
        <v>-5</v>
      </c>
      <c r="Z220" s="20">
        <f>IFERROR(GETPIVOTDATA("QTY",$B$56,"PRODUCT_DESCRIPTION", $B$205, "SALES_ORDER_DATE",Table252930323640[[#This Row],[Date]], "AREA_NAME", "West"), 0)</f>
        <v>19</v>
      </c>
      <c r="AA220" s="20">
        <f>Table252930323640[[#This Row],[Stock Change (t1-t0) (West)]]+Table252930323640[[#This Row],[Sales]]</f>
        <v>14</v>
      </c>
      <c r="AB220" s="18">
        <f>IF(Table252930323640[[#This Row],[Regional Transfer (Real)]]=0, 0, Table252930323640[[#This Row],[Regional Transfer (Real)]]+Table252930323640[[#This Row],[Stock Level  (West)]])</f>
        <v>82</v>
      </c>
    </row>
    <row r="221" spans="2:28" x14ac:dyDescent="0.2">
      <c r="B221" s="4" t="s">
        <v>18</v>
      </c>
      <c r="C221" s="20">
        <f t="shared" si="8"/>
        <v>581</v>
      </c>
      <c r="D221" s="20">
        <f>C222-Table253337[[#This Row],[Stock Level  ]]</f>
        <v>-24</v>
      </c>
      <c r="E221" s="20">
        <f>IFERROR(GETPIVOTDATA("QTY",$B$56,"PRODUCT_DESCRIPTION", $B$205, "SALES_ORDER_DATE",Table253337[[#This Row],[Date]]), 0)</f>
        <v>24</v>
      </c>
      <c r="F221" s="20">
        <f>Table253337[[#This Row],[Stock Change (t1-t0)]]+Table253337[[#This Row],[Sales]]</f>
        <v>0</v>
      </c>
      <c r="G221" s="18">
        <f>IF(Table253337[[#This Row],[Purchase (Real)]]=0, 0, Table253337[[#This Row],[Purchase (Real)]]+C220)</f>
        <v>0</v>
      </c>
      <c r="I221" s="4" t="s">
        <v>18</v>
      </c>
      <c r="J221" s="20">
        <f t="shared" si="9"/>
        <v>85</v>
      </c>
      <c r="K221" s="20">
        <f>J222-Table25293438[[#This Row],[Stock Level  (North)]]</f>
        <v>-24</v>
      </c>
      <c r="L221" s="20">
        <f>IFERROR(GETPIVOTDATA("QTY",$B$56,"PRODUCT_DESCRIPTION", $B$205, "SALES_ORDER_DATE",Table25293438[[#This Row],[Date]], "AREA_NAME", "North"), 0)</f>
        <v>24</v>
      </c>
      <c r="M221" s="20">
        <f>Table25293438[[#This Row],[Stock Change (t1-t0) (North)]]+Table25293438[[#This Row],[Sales]]</f>
        <v>0</v>
      </c>
      <c r="N221" s="18">
        <f>IF(Table25293438[[#This Row],[Regional Transfer (Real)]]=0, 0, Table25293438[[#This Row],[Regional Transfer (Real)]]+Table25293438[[#This Row],[Stock Level  (North)]])</f>
        <v>0</v>
      </c>
      <c r="P221" s="4" t="s">
        <v>18</v>
      </c>
      <c r="Q221" s="20">
        <f t="shared" si="10"/>
        <v>78</v>
      </c>
      <c r="R221" s="20">
        <f>Q222-Table2529303539[[#This Row],[Stock Level  (South)]]</f>
        <v>0</v>
      </c>
      <c r="S221" s="20">
        <f>IFERROR(GETPIVOTDATA("QTY",$B$56,"PRODUCT_DESCRIPTION", $B$205, "SALES_ORDER_DATE",Table2529303539[[#This Row],[Date]], "AREA_NAME", "South"), 0)</f>
        <v>0</v>
      </c>
      <c r="T221" s="20">
        <f>Table2529303539[[#This Row],[Stock Change (t1-t0) (South)]]+Table2529303539[[#This Row],[Sales]]</f>
        <v>0</v>
      </c>
      <c r="U221" s="18">
        <f>IF(Table2529303539[[#This Row],[Regional Transfer (Real)]]=0, 0, Table2529303539[[#This Row],[Regional Transfer (Real)]]+Table2529303539[[#This Row],[Stock Level  (South)]])</f>
        <v>0</v>
      </c>
      <c r="W221" s="4" t="s">
        <v>18</v>
      </c>
      <c r="X221" s="20">
        <f t="shared" si="11"/>
        <v>63</v>
      </c>
      <c r="Y221" s="20">
        <f>X222-Table252930323640[[#This Row],[Stock Level  (West)]]</f>
        <v>0</v>
      </c>
      <c r="Z221" s="20">
        <f>IFERROR(GETPIVOTDATA("QTY",$B$56,"PRODUCT_DESCRIPTION", $B$205, "SALES_ORDER_DATE",Table252930323640[[#This Row],[Date]], "AREA_NAME", "West"), 0)</f>
        <v>0</v>
      </c>
      <c r="AA221" s="20">
        <f>Table252930323640[[#This Row],[Stock Change (t1-t0) (West)]]+Table252930323640[[#This Row],[Sales]]</f>
        <v>0</v>
      </c>
      <c r="AB221" s="18">
        <f>IF(Table252930323640[[#This Row],[Regional Transfer (Real)]]=0, 0, Table252930323640[[#This Row],[Regional Transfer (Real)]]+Table252930323640[[#This Row],[Stock Level  (West)]])</f>
        <v>0</v>
      </c>
    </row>
    <row r="222" spans="2:28" x14ac:dyDescent="0.2">
      <c r="B222" s="4" t="s">
        <v>19</v>
      </c>
      <c r="C222" s="20">
        <f t="shared" si="8"/>
        <v>557</v>
      </c>
      <c r="D222" s="20">
        <f>C223-Table253337[[#This Row],[Stock Level  ]]</f>
        <v>-19</v>
      </c>
      <c r="E222" s="20">
        <f>IFERROR(GETPIVOTDATA("QTY",$B$56,"PRODUCT_DESCRIPTION", $B$205, "SALES_ORDER_DATE",Table253337[[#This Row],[Date]]), 0)</f>
        <v>19</v>
      </c>
      <c r="F222" s="20">
        <f>Table253337[[#This Row],[Stock Change (t1-t0)]]+Table253337[[#This Row],[Sales]]</f>
        <v>0</v>
      </c>
      <c r="G222" s="18">
        <f>IF(Table253337[[#This Row],[Purchase (Real)]]=0, 0, Table253337[[#This Row],[Purchase (Real)]]+C221)</f>
        <v>0</v>
      </c>
      <c r="I222" s="4" t="s">
        <v>19</v>
      </c>
      <c r="J222" s="20">
        <f t="shared" si="9"/>
        <v>61</v>
      </c>
      <c r="K222" s="20">
        <f>J223-Table25293438[[#This Row],[Stock Level  (North)]]</f>
        <v>0</v>
      </c>
      <c r="L222" s="20">
        <f>IFERROR(GETPIVOTDATA("QTY",$B$56,"PRODUCT_DESCRIPTION", $B$205, "SALES_ORDER_DATE",Table25293438[[#This Row],[Date]], "AREA_NAME", "North"), 0)</f>
        <v>0</v>
      </c>
      <c r="M222" s="20">
        <f>Table25293438[[#This Row],[Stock Change (t1-t0) (North)]]+Table25293438[[#This Row],[Sales]]</f>
        <v>0</v>
      </c>
      <c r="N222" s="18">
        <f>IF(Table25293438[[#This Row],[Regional Transfer (Real)]]=0, 0, Table25293438[[#This Row],[Regional Transfer (Real)]]+Table25293438[[#This Row],[Stock Level  (North)]])</f>
        <v>0</v>
      </c>
      <c r="P222" s="4" t="s">
        <v>19</v>
      </c>
      <c r="Q222" s="20">
        <f t="shared" si="10"/>
        <v>78</v>
      </c>
      <c r="R222" s="20">
        <f>Q223-Table2529303539[[#This Row],[Stock Level  (South)]]</f>
        <v>-19</v>
      </c>
      <c r="S222" s="20">
        <f>IFERROR(GETPIVOTDATA("QTY",$B$56,"PRODUCT_DESCRIPTION", $B$205, "SALES_ORDER_DATE",Table2529303539[[#This Row],[Date]], "AREA_NAME", "South"), 0)</f>
        <v>19</v>
      </c>
      <c r="T222" s="20">
        <f>Table2529303539[[#This Row],[Stock Change (t1-t0) (South)]]+Table2529303539[[#This Row],[Sales]]</f>
        <v>0</v>
      </c>
      <c r="U222" s="18">
        <f>IF(Table2529303539[[#This Row],[Regional Transfer (Real)]]=0, 0, Table2529303539[[#This Row],[Regional Transfer (Real)]]+Table2529303539[[#This Row],[Stock Level  (South)]])</f>
        <v>0</v>
      </c>
      <c r="W222" s="4" t="s">
        <v>19</v>
      </c>
      <c r="X222" s="20">
        <f t="shared" si="11"/>
        <v>63</v>
      </c>
      <c r="Y222" s="20">
        <f>X223-Table252930323640[[#This Row],[Stock Level  (West)]]</f>
        <v>0</v>
      </c>
      <c r="Z222" s="20">
        <f>IFERROR(GETPIVOTDATA("QTY",$B$56,"PRODUCT_DESCRIPTION", $B$205, "SALES_ORDER_DATE",Table252930323640[[#This Row],[Date]], "AREA_NAME", "West"), 0)</f>
        <v>0</v>
      </c>
      <c r="AA222" s="20">
        <f>Table252930323640[[#This Row],[Stock Change (t1-t0) (West)]]+Table252930323640[[#This Row],[Sales]]</f>
        <v>0</v>
      </c>
      <c r="AB222" s="18">
        <f>IF(Table252930323640[[#This Row],[Regional Transfer (Real)]]=0, 0, Table252930323640[[#This Row],[Regional Transfer (Real)]]+Table252930323640[[#This Row],[Stock Level  (West)]])</f>
        <v>0</v>
      </c>
    </row>
    <row r="223" spans="2:28" x14ac:dyDescent="0.2">
      <c r="B223" s="4" t="s">
        <v>20</v>
      </c>
      <c r="C223" s="20">
        <f t="shared" si="8"/>
        <v>538</v>
      </c>
      <c r="D223" s="20">
        <f>C224-Table253337[[#This Row],[Stock Level  ]]</f>
        <v>-37</v>
      </c>
      <c r="E223" s="20">
        <f>IFERROR(GETPIVOTDATA("QTY",$B$56,"PRODUCT_DESCRIPTION", $B$205, "SALES_ORDER_DATE",Table253337[[#This Row],[Date]]), 0)</f>
        <v>37</v>
      </c>
      <c r="F223" s="20">
        <f>Table253337[[#This Row],[Stock Change (t1-t0)]]+Table253337[[#This Row],[Sales]]</f>
        <v>0</v>
      </c>
      <c r="G223" s="18">
        <f>IF(Table253337[[#This Row],[Purchase (Real)]]=0, 0, Table253337[[#This Row],[Purchase (Real)]]+C222)</f>
        <v>0</v>
      </c>
      <c r="I223" s="4" t="s">
        <v>20</v>
      </c>
      <c r="J223" s="20">
        <f t="shared" si="9"/>
        <v>61</v>
      </c>
      <c r="K223" s="20">
        <f>J224-Table25293438[[#This Row],[Stock Level  (North)]]</f>
        <v>39</v>
      </c>
      <c r="L223" s="20">
        <f>IFERROR(GETPIVOTDATA("QTY",$B$56,"PRODUCT_DESCRIPTION", $B$205, "SALES_ORDER_DATE",Table25293438[[#This Row],[Date]], "AREA_NAME", "North"), 0)</f>
        <v>0</v>
      </c>
      <c r="M223" s="20">
        <f>Table25293438[[#This Row],[Stock Change (t1-t0) (North)]]+Table25293438[[#This Row],[Sales]]</f>
        <v>39</v>
      </c>
      <c r="N223" s="18">
        <f>IF(Table25293438[[#This Row],[Regional Transfer (Real)]]=0, 0, Table25293438[[#This Row],[Regional Transfer (Real)]]+Table25293438[[#This Row],[Stock Level  (North)]])</f>
        <v>100</v>
      </c>
      <c r="P223" s="4" t="s">
        <v>20</v>
      </c>
      <c r="Q223" s="20">
        <f t="shared" si="10"/>
        <v>59</v>
      </c>
      <c r="R223" s="20">
        <f>Q224-Table2529303539[[#This Row],[Stock Level  (South)]]</f>
        <v>41</v>
      </c>
      <c r="S223" s="20">
        <f>IFERROR(GETPIVOTDATA("QTY",$B$56,"PRODUCT_DESCRIPTION", $B$205, "SALES_ORDER_DATE",Table2529303539[[#This Row],[Date]], "AREA_NAME", "South"), 0)</f>
        <v>0</v>
      </c>
      <c r="T223" s="20">
        <f>Table2529303539[[#This Row],[Stock Change (t1-t0) (South)]]+Table2529303539[[#This Row],[Sales]]</f>
        <v>41</v>
      </c>
      <c r="U223" s="18">
        <f>IF(Table2529303539[[#This Row],[Regional Transfer (Real)]]=0, 0, Table2529303539[[#This Row],[Regional Transfer (Real)]]+Table2529303539[[#This Row],[Stock Level  (South)]])</f>
        <v>100</v>
      </c>
      <c r="W223" s="4" t="s">
        <v>20</v>
      </c>
      <c r="X223" s="20">
        <f t="shared" si="11"/>
        <v>63</v>
      </c>
      <c r="Y223" s="20">
        <f>X224-Table252930323640[[#This Row],[Stock Level  (West)]]</f>
        <v>0</v>
      </c>
      <c r="Z223" s="20">
        <f>IFERROR(GETPIVOTDATA("QTY",$B$56,"PRODUCT_DESCRIPTION", $B$205, "SALES_ORDER_DATE",Table252930323640[[#This Row],[Date]], "AREA_NAME", "West"), 0)</f>
        <v>37</v>
      </c>
      <c r="AA223" s="20">
        <f>Table252930323640[[#This Row],[Stock Change (t1-t0) (West)]]+Table252930323640[[#This Row],[Sales]]</f>
        <v>37</v>
      </c>
      <c r="AB223" s="18">
        <f>IF(Table252930323640[[#This Row],[Regional Transfer (Real)]]=0, 0, Table252930323640[[#This Row],[Regional Transfer (Real)]]+Table252930323640[[#This Row],[Stock Level  (West)]])</f>
        <v>100</v>
      </c>
    </row>
    <row r="224" spans="2:28" x14ac:dyDescent="0.2">
      <c r="B224" s="4" t="s">
        <v>21</v>
      </c>
      <c r="C224" s="20">
        <f t="shared" si="8"/>
        <v>501</v>
      </c>
      <c r="D224" s="20">
        <f>C225-Table253337[[#This Row],[Stock Level  ]]</f>
        <v>0</v>
      </c>
      <c r="E224" s="20">
        <f>IFERROR(GETPIVOTDATA("QTY",$B$56,"PRODUCT_DESCRIPTION", $B$205, "SALES_ORDER_DATE",Table253337[[#This Row],[Date]]), 0)</f>
        <v>0</v>
      </c>
      <c r="F224" s="20">
        <f>Table253337[[#This Row],[Stock Change (t1-t0)]]+Table253337[[#This Row],[Sales]]</f>
        <v>0</v>
      </c>
      <c r="G224" s="18">
        <f>IF(Table253337[[#This Row],[Purchase (Real)]]=0, 0, Table253337[[#This Row],[Purchase (Real)]]+C223)</f>
        <v>0</v>
      </c>
      <c r="I224" s="4" t="s">
        <v>21</v>
      </c>
      <c r="J224" s="20">
        <f t="shared" si="9"/>
        <v>100</v>
      </c>
      <c r="K224" s="20">
        <f>J225-Table25293438[[#This Row],[Stock Level  (North)]]</f>
        <v>0</v>
      </c>
      <c r="L224" s="20">
        <f>IFERROR(GETPIVOTDATA("QTY",$B$56,"PRODUCT_DESCRIPTION", $B$205, "SALES_ORDER_DATE",Table25293438[[#This Row],[Date]], "AREA_NAME", "North"), 0)</f>
        <v>0</v>
      </c>
      <c r="M224" s="20">
        <f>Table25293438[[#This Row],[Stock Change (t1-t0) (North)]]+Table25293438[[#This Row],[Sales]]</f>
        <v>0</v>
      </c>
      <c r="N224" s="18">
        <f>IF(Table25293438[[#This Row],[Regional Transfer (Real)]]=0, 0, Table25293438[[#This Row],[Regional Transfer (Real)]]+Table25293438[[#This Row],[Stock Level  (North)]])</f>
        <v>0</v>
      </c>
      <c r="P224" s="4" t="s">
        <v>21</v>
      </c>
      <c r="Q224" s="20">
        <f t="shared" si="10"/>
        <v>100</v>
      </c>
      <c r="R224" s="20">
        <f>Q225-Table2529303539[[#This Row],[Stock Level  (South)]]</f>
        <v>0</v>
      </c>
      <c r="S224" s="20">
        <f>IFERROR(GETPIVOTDATA("QTY",$B$56,"PRODUCT_DESCRIPTION", $B$205, "SALES_ORDER_DATE",Table2529303539[[#This Row],[Date]], "AREA_NAME", "South"), 0)</f>
        <v>0</v>
      </c>
      <c r="T224" s="20">
        <f>Table2529303539[[#This Row],[Stock Change (t1-t0) (South)]]+Table2529303539[[#This Row],[Sales]]</f>
        <v>0</v>
      </c>
      <c r="U224" s="18">
        <f>IF(Table2529303539[[#This Row],[Regional Transfer (Real)]]=0, 0, Table2529303539[[#This Row],[Regional Transfer (Real)]]+Table2529303539[[#This Row],[Stock Level  (South)]])</f>
        <v>0</v>
      </c>
      <c r="W224" s="4" t="s">
        <v>21</v>
      </c>
      <c r="X224" s="20">
        <f t="shared" si="11"/>
        <v>63</v>
      </c>
      <c r="Y224" s="20">
        <f>X225-Table252930323640[[#This Row],[Stock Level  (West)]]</f>
        <v>0</v>
      </c>
      <c r="Z224" s="20">
        <f>IFERROR(GETPIVOTDATA("QTY",$B$56,"PRODUCT_DESCRIPTION", $B$205, "SALES_ORDER_DATE",Table252930323640[[#This Row],[Date]], "AREA_NAME", "West"), 0)</f>
        <v>0</v>
      </c>
      <c r="AA224" s="20">
        <f>Table252930323640[[#This Row],[Stock Change (t1-t0) (West)]]+Table252930323640[[#This Row],[Sales]]</f>
        <v>0</v>
      </c>
      <c r="AB224" s="18">
        <f>IF(Table252930323640[[#This Row],[Regional Transfer (Real)]]=0, 0, Table252930323640[[#This Row],[Regional Transfer (Real)]]+Table252930323640[[#This Row],[Stock Level  (West)]])</f>
        <v>0</v>
      </c>
    </row>
    <row r="225" spans="2:28" x14ac:dyDescent="0.2">
      <c r="B225" s="4" t="s">
        <v>22</v>
      </c>
      <c r="C225" s="20">
        <f t="shared" si="8"/>
        <v>501</v>
      </c>
      <c r="D225" s="20">
        <f>C226-Table253337[[#This Row],[Stock Level  ]]</f>
        <v>-25</v>
      </c>
      <c r="E225" s="20">
        <f>IFERROR(GETPIVOTDATA("QTY",$B$56,"PRODUCT_DESCRIPTION", $B$205, "SALES_ORDER_DATE",Table253337[[#This Row],[Date]]), 0)</f>
        <v>25</v>
      </c>
      <c r="F225" s="20">
        <f>Table253337[[#This Row],[Stock Change (t1-t0)]]+Table253337[[#This Row],[Sales]]</f>
        <v>0</v>
      </c>
      <c r="G225" s="18">
        <f>IF(Table253337[[#This Row],[Purchase (Real)]]=0, 0, Table253337[[#This Row],[Purchase (Real)]]+C224)</f>
        <v>0</v>
      </c>
      <c r="I225" s="4" t="s">
        <v>22</v>
      </c>
      <c r="J225" s="20">
        <f t="shared" si="9"/>
        <v>100</v>
      </c>
      <c r="K225" s="20">
        <f>J226-Table25293438[[#This Row],[Stock Level  (North)]]</f>
        <v>-25</v>
      </c>
      <c r="L225" s="20">
        <f>IFERROR(GETPIVOTDATA("QTY",$B$56,"PRODUCT_DESCRIPTION", $B$205, "SALES_ORDER_DATE",Table25293438[[#This Row],[Date]], "AREA_NAME", "North"), 0)</f>
        <v>25</v>
      </c>
      <c r="M225" s="20">
        <f>Table25293438[[#This Row],[Stock Change (t1-t0) (North)]]+Table25293438[[#This Row],[Sales]]</f>
        <v>0</v>
      </c>
      <c r="N225" s="18">
        <f>IF(Table25293438[[#This Row],[Regional Transfer (Real)]]=0, 0, Table25293438[[#This Row],[Regional Transfer (Real)]]+Table25293438[[#This Row],[Stock Level  (North)]])</f>
        <v>0</v>
      </c>
      <c r="P225" s="4" t="s">
        <v>22</v>
      </c>
      <c r="Q225" s="20">
        <f t="shared" si="10"/>
        <v>100</v>
      </c>
      <c r="R225" s="20">
        <f>Q226-Table2529303539[[#This Row],[Stock Level  (South)]]</f>
        <v>0</v>
      </c>
      <c r="S225" s="20">
        <f>IFERROR(GETPIVOTDATA("QTY",$B$56,"PRODUCT_DESCRIPTION", $B$205, "SALES_ORDER_DATE",Table2529303539[[#This Row],[Date]], "AREA_NAME", "South"), 0)</f>
        <v>0</v>
      </c>
      <c r="T225" s="20">
        <f>Table2529303539[[#This Row],[Stock Change (t1-t0) (South)]]+Table2529303539[[#This Row],[Sales]]</f>
        <v>0</v>
      </c>
      <c r="U225" s="18">
        <f>IF(Table2529303539[[#This Row],[Regional Transfer (Real)]]=0, 0, Table2529303539[[#This Row],[Regional Transfer (Real)]]+Table2529303539[[#This Row],[Stock Level  (South)]])</f>
        <v>0</v>
      </c>
      <c r="W225" s="4" t="s">
        <v>22</v>
      </c>
      <c r="X225" s="20">
        <f t="shared" si="11"/>
        <v>63</v>
      </c>
      <c r="Y225" s="20">
        <f>X226-Table252930323640[[#This Row],[Stock Level  (West)]]</f>
        <v>0</v>
      </c>
      <c r="Z225" s="20">
        <f>IFERROR(GETPIVOTDATA("QTY",$B$56,"PRODUCT_DESCRIPTION", $B$205, "SALES_ORDER_DATE",Table252930323640[[#This Row],[Date]], "AREA_NAME", "West"), 0)</f>
        <v>0</v>
      </c>
      <c r="AA225" s="20">
        <f>Table252930323640[[#This Row],[Stock Change (t1-t0) (West)]]+Table252930323640[[#This Row],[Sales]]</f>
        <v>0</v>
      </c>
      <c r="AB225" s="18">
        <f>IF(Table252930323640[[#This Row],[Regional Transfer (Real)]]=0, 0, Table252930323640[[#This Row],[Regional Transfer (Real)]]+Table252930323640[[#This Row],[Stock Level  (West)]])</f>
        <v>0</v>
      </c>
    </row>
    <row r="226" spans="2:28" x14ac:dyDescent="0.2">
      <c r="B226" s="4" t="s">
        <v>23</v>
      </c>
      <c r="C226" s="20">
        <f t="shared" si="8"/>
        <v>476</v>
      </c>
      <c r="D226" s="20">
        <f>C227-Table253337[[#This Row],[Stock Level  ]]</f>
        <v>-49</v>
      </c>
      <c r="E226" s="20">
        <f>IFERROR(GETPIVOTDATA("QTY",$B$56,"PRODUCT_DESCRIPTION", $B$205, "SALES_ORDER_DATE",Table253337[[#This Row],[Date]]), 0)</f>
        <v>49</v>
      </c>
      <c r="F226" s="20">
        <f>Table253337[[#This Row],[Stock Change (t1-t0)]]+Table253337[[#This Row],[Sales]]</f>
        <v>0</v>
      </c>
      <c r="G226" s="18">
        <f>IF(Table253337[[#This Row],[Purchase (Real)]]=0, 0, Table253337[[#This Row],[Purchase (Real)]]+C225)</f>
        <v>0</v>
      </c>
      <c r="I226" s="4" t="s">
        <v>23</v>
      </c>
      <c r="J226" s="20">
        <f t="shared" si="9"/>
        <v>75</v>
      </c>
      <c r="K226" s="20">
        <f>J227-Table25293438[[#This Row],[Stock Level  (North)]]</f>
        <v>-2</v>
      </c>
      <c r="L226" s="20">
        <f>IFERROR(GETPIVOTDATA("QTY",$B$56,"PRODUCT_DESCRIPTION", $B$205, "SALES_ORDER_DATE",Table25293438[[#This Row],[Date]], "AREA_NAME", "North"), 0)</f>
        <v>27</v>
      </c>
      <c r="M226" s="20">
        <f>Table25293438[[#This Row],[Stock Change (t1-t0) (North)]]+Table25293438[[#This Row],[Sales]]</f>
        <v>25</v>
      </c>
      <c r="N226" s="18">
        <f>IF(Table25293438[[#This Row],[Regional Transfer (Real)]]=0, 0, Table25293438[[#This Row],[Regional Transfer (Real)]]+Table25293438[[#This Row],[Stock Level  (North)]])</f>
        <v>100</v>
      </c>
      <c r="P226" s="4" t="s">
        <v>23</v>
      </c>
      <c r="Q226" s="20">
        <f t="shared" si="10"/>
        <v>100</v>
      </c>
      <c r="R226" s="20">
        <f>Q227-Table2529303539[[#This Row],[Stock Level  (South)]]</f>
        <v>0</v>
      </c>
      <c r="S226" s="20">
        <f>IFERROR(GETPIVOTDATA("QTY",$B$56,"PRODUCT_DESCRIPTION", $B$205, "SALES_ORDER_DATE",Table2529303539[[#This Row],[Date]], "AREA_NAME", "South"), 0)</f>
        <v>0</v>
      </c>
      <c r="T226" s="20">
        <f>Table2529303539[[#This Row],[Stock Change (t1-t0) (South)]]+Table2529303539[[#This Row],[Sales]]</f>
        <v>0</v>
      </c>
      <c r="U226" s="18">
        <f>IF(Table2529303539[[#This Row],[Regional Transfer (Real)]]=0, 0, Table2529303539[[#This Row],[Regional Transfer (Real)]]+Table2529303539[[#This Row],[Stock Level  (South)]])</f>
        <v>0</v>
      </c>
      <c r="W226" s="4" t="s">
        <v>23</v>
      </c>
      <c r="X226" s="20">
        <f t="shared" si="11"/>
        <v>63</v>
      </c>
      <c r="Y226" s="20">
        <f>X227-Table252930323640[[#This Row],[Stock Level  (West)]]</f>
        <v>15</v>
      </c>
      <c r="Z226" s="20">
        <f>IFERROR(GETPIVOTDATA("QTY",$B$56,"PRODUCT_DESCRIPTION", $B$205, "SALES_ORDER_DATE",Table252930323640[[#This Row],[Date]], "AREA_NAME", "West"), 0)</f>
        <v>22</v>
      </c>
      <c r="AA226" s="20">
        <f>Table252930323640[[#This Row],[Stock Change (t1-t0) (West)]]+Table252930323640[[#This Row],[Sales]]</f>
        <v>37</v>
      </c>
      <c r="AB226" s="18">
        <f>IF(Table252930323640[[#This Row],[Regional Transfer (Real)]]=0, 0, Table252930323640[[#This Row],[Regional Transfer (Real)]]+Table252930323640[[#This Row],[Stock Level  (West)]])</f>
        <v>100</v>
      </c>
    </row>
    <row r="227" spans="2:28" x14ac:dyDescent="0.2">
      <c r="B227" s="4" t="s">
        <v>24</v>
      </c>
      <c r="C227" s="20">
        <f t="shared" si="8"/>
        <v>427</v>
      </c>
      <c r="D227" s="20">
        <f>C228-Table253337[[#This Row],[Stock Level  ]]</f>
        <v>-23</v>
      </c>
      <c r="E227" s="20">
        <f>IFERROR(GETPIVOTDATA("QTY",$B$56,"PRODUCT_DESCRIPTION", $B$205, "SALES_ORDER_DATE",Table253337[[#This Row],[Date]]), 0)</f>
        <v>23</v>
      </c>
      <c r="F227" s="20">
        <f>Table253337[[#This Row],[Stock Change (t1-t0)]]+Table253337[[#This Row],[Sales]]</f>
        <v>0</v>
      </c>
      <c r="G227" s="18">
        <f>IF(Table253337[[#This Row],[Purchase (Real)]]=0, 0, Table253337[[#This Row],[Purchase (Real)]]+C226)</f>
        <v>0</v>
      </c>
      <c r="I227" s="4" t="s">
        <v>24</v>
      </c>
      <c r="J227" s="20">
        <f t="shared" si="9"/>
        <v>73</v>
      </c>
      <c r="K227" s="20">
        <f>J228-Table25293438[[#This Row],[Stock Level  (North)]]</f>
        <v>-23</v>
      </c>
      <c r="L227" s="20">
        <f>IFERROR(GETPIVOTDATA("QTY",$B$56,"PRODUCT_DESCRIPTION", $B$205, "SALES_ORDER_DATE",Table25293438[[#This Row],[Date]], "AREA_NAME", "North"), 0)</f>
        <v>23</v>
      </c>
      <c r="M227" s="20">
        <f>Table25293438[[#This Row],[Stock Change (t1-t0) (North)]]+Table25293438[[#This Row],[Sales]]</f>
        <v>0</v>
      </c>
      <c r="N227" s="18">
        <f>IF(Table25293438[[#This Row],[Regional Transfer (Real)]]=0, 0, Table25293438[[#This Row],[Regional Transfer (Real)]]+Table25293438[[#This Row],[Stock Level  (North)]])</f>
        <v>0</v>
      </c>
      <c r="P227" s="4" t="s">
        <v>24</v>
      </c>
      <c r="Q227" s="20">
        <f t="shared" si="10"/>
        <v>100</v>
      </c>
      <c r="R227" s="20">
        <f>Q228-Table2529303539[[#This Row],[Stock Level  (South)]]</f>
        <v>0</v>
      </c>
      <c r="S227" s="20">
        <f>IFERROR(GETPIVOTDATA("QTY",$B$56,"PRODUCT_DESCRIPTION", $B$205, "SALES_ORDER_DATE",Table2529303539[[#This Row],[Date]], "AREA_NAME", "South"), 0)</f>
        <v>0</v>
      </c>
      <c r="T227" s="20">
        <f>Table2529303539[[#This Row],[Stock Change (t1-t0) (South)]]+Table2529303539[[#This Row],[Sales]]</f>
        <v>0</v>
      </c>
      <c r="U227" s="18">
        <f>IF(Table2529303539[[#This Row],[Regional Transfer (Real)]]=0, 0, Table2529303539[[#This Row],[Regional Transfer (Real)]]+Table2529303539[[#This Row],[Stock Level  (South)]])</f>
        <v>0</v>
      </c>
      <c r="W227" s="4" t="s">
        <v>24</v>
      </c>
      <c r="X227" s="20">
        <f t="shared" si="11"/>
        <v>78</v>
      </c>
      <c r="Y227" s="20">
        <f>X228-Table252930323640[[#This Row],[Stock Level  (West)]]</f>
        <v>0</v>
      </c>
      <c r="Z227" s="20">
        <f>IFERROR(GETPIVOTDATA("QTY",$B$56,"PRODUCT_DESCRIPTION", $B$205, "SALES_ORDER_DATE",Table252930323640[[#This Row],[Date]], "AREA_NAME", "West"), 0)</f>
        <v>0</v>
      </c>
      <c r="AA227" s="20">
        <f>Table252930323640[[#This Row],[Stock Change (t1-t0) (West)]]+Table252930323640[[#This Row],[Sales]]</f>
        <v>0</v>
      </c>
      <c r="AB227" s="18">
        <f>IF(Table252930323640[[#This Row],[Regional Transfer (Real)]]=0, 0, Table252930323640[[#This Row],[Regional Transfer (Real)]]+Table252930323640[[#This Row],[Stock Level  (West)]])</f>
        <v>0</v>
      </c>
    </row>
    <row r="228" spans="2:28" x14ac:dyDescent="0.2">
      <c r="B228" s="4" t="s">
        <v>25</v>
      </c>
      <c r="C228" s="20">
        <f t="shared" si="8"/>
        <v>404</v>
      </c>
      <c r="D228" s="20">
        <f>C229-Table253337[[#This Row],[Stock Level  ]]</f>
        <v>-44</v>
      </c>
      <c r="E228" s="20">
        <f>IFERROR(GETPIVOTDATA("QTY",$B$56,"PRODUCT_DESCRIPTION", $B$205, "SALES_ORDER_DATE",Table253337[[#This Row],[Date]]), 0)</f>
        <v>44</v>
      </c>
      <c r="F228" s="20">
        <f>Table253337[[#This Row],[Stock Change (t1-t0)]]+Table253337[[#This Row],[Sales]]</f>
        <v>0</v>
      </c>
      <c r="G228" s="18">
        <f>IF(Table253337[[#This Row],[Purchase (Real)]]=0, 0, Table253337[[#This Row],[Purchase (Real)]]+C227)</f>
        <v>0</v>
      </c>
      <c r="I228" s="4" t="s">
        <v>25</v>
      </c>
      <c r="J228" s="20">
        <f t="shared" si="9"/>
        <v>50</v>
      </c>
      <c r="K228" s="20">
        <f>J229-Table25293438[[#This Row],[Stock Level  (North)]]</f>
        <v>0</v>
      </c>
      <c r="L228" s="20">
        <f>IFERROR(GETPIVOTDATA("QTY",$B$56,"PRODUCT_DESCRIPTION", $B$205, "SALES_ORDER_DATE",Table25293438[[#This Row],[Date]], "AREA_NAME", "North"), 0)</f>
        <v>0</v>
      </c>
      <c r="M228" s="20">
        <f>Table25293438[[#This Row],[Stock Change (t1-t0) (North)]]+Table25293438[[#This Row],[Sales]]</f>
        <v>0</v>
      </c>
      <c r="N228" s="18">
        <f>IF(Table25293438[[#This Row],[Regional Transfer (Real)]]=0, 0, Table25293438[[#This Row],[Regional Transfer (Real)]]+Table25293438[[#This Row],[Stock Level  (North)]])</f>
        <v>0</v>
      </c>
      <c r="P228" s="4" t="s">
        <v>25</v>
      </c>
      <c r="Q228" s="20">
        <f t="shared" si="10"/>
        <v>100</v>
      </c>
      <c r="R228" s="20">
        <f>Q229-Table2529303539[[#This Row],[Stock Level  (South)]]</f>
        <v>-23</v>
      </c>
      <c r="S228" s="20">
        <f>IFERROR(GETPIVOTDATA("QTY",$B$56,"PRODUCT_DESCRIPTION", $B$205, "SALES_ORDER_DATE",Table2529303539[[#This Row],[Date]], "AREA_NAME", "South"), 0)</f>
        <v>23</v>
      </c>
      <c r="T228" s="20">
        <f>Table2529303539[[#This Row],[Stock Change (t1-t0) (South)]]+Table2529303539[[#This Row],[Sales]]</f>
        <v>0</v>
      </c>
      <c r="U228" s="18">
        <f>IF(Table2529303539[[#This Row],[Regional Transfer (Real)]]=0, 0, Table2529303539[[#This Row],[Regional Transfer (Real)]]+Table2529303539[[#This Row],[Stock Level  (South)]])</f>
        <v>0</v>
      </c>
      <c r="W228" s="4" t="s">
        <v>25</v>
      </c>
      <c r="X228" s="20">
        <f t="shared" si="11"/>
        <v>78</v>
      </c>
      <c r="Y228" s="20">
        <f>X229-Table252930323640[[#This Row],[Stock Level  (West)]]</f>
        <v>-21</v>
      </c>
      <c r="Z228" s="20">
        <f>IFERROR(GETPIVOTDATA("QTY",$B$56,"PRODUCT_DESCRIPTION", $B$205, "SALES_ORDER_DATE",Table252930323640[[#This Row],[Date]], "AREA_NAME", "West"), 0)</f>
        <v>21</v>
      </c>
      <c r="AA228" s="20">
        <f>Table252930323640[[#This Row],[Stock Change (t1-t0) (West)]]+Table252930323640[[#This Row],[Sales]]</f>
        <v>0</v>
      </c>
      <c r="AB228" s="18">
        <f>IF(Table252930323640[[#This Row],[Regional Transfer (Real)]]=0, 0, Table252930323640[[#This Row],[Regional Transfer (Real)]]+Table252930323640[[#This Row],[Stock Level  (West)]])</f>
        <v>0</v>
      </c>
    </row>
    <row r="229" spans="2:28" x14ac:dyDescent="0.2">
      <c r="B229" s="4" t="s">
        <v>26</v>
      </c>
      <c r="C229" s="20">
        <f t="shared" si="8"/>
        <v>360</v>
      </c>
      <c r="D229" s="20">
        <f>C230-Table253337[[#This Row],[Stock Level  ]]</f>
        <v>-24</v>
      </c>
      <c r="E229" s="20">
        <f>IFERROR(GETPIVOTDATA("QTY",$B$56,"PRODUCT_DESCRIPTION", $B$205, "SALES_ORDER_DATE",Table253337[[#This Row],[Date]]), 0)</f>
        <v>24</v>
      </c>
      <c r="F229" s="20">
        <f>Table253337[[#This Row],[Stock Change (t1-t0)]]+Table253337[[#This Row],[Sales]]</f>
        <v>0</v>
      </c>
      <c r="G229" s="18">
        <f>IF(Table253337[[#This Row],[Purchase (Real)]]=0, 0, Table253337[[#This Row],[Purchase (Real)]]+C228)</f>
        <v>0</v>
      </c>
      <c r="I229" s="4" t="s">
        <v>26</v>
      </c>
      <c r="J229" s="20">
        <f t="shared" si="9"/>
        <v>50</v>
      </c>
      <c r="K229" s="20">
        <f>J230-Table25293438[[#This Row],[Stock Level  (North)]]</f>
        <v>40</v>
      </c>
      <c r="L229" s="20">
        <f>IFERROR(GETPIVOTDATA("QTY",$B$56,"PRODUCT_DESCRIPTION", $B$205, "SALES_ORDER_DATE",Table25293438[[#This Row],[Date]], "AREA_NAME", "North"), 0)</f>
        <v>24</v>
      </c>
      <c r="M229" s="20">
        <f>Table25293438[[#This Row],[Stock Change (t1-t0) (North)]]+Table25293438[[#This Row],[Sales]]</f>
        <v>64</v>
      </c>
      <c r="N229" s="18">
        <f>IF(Table25293438[[#This Row],[Regional Transfer (Real)]]=0, 0, Table25293438[[#This Row],[Regional Transfer (Real)]]+Table25293438[[#This Row],[Stock Level  (North)]])</f>
        <v>114</v>
      </c>
      <c r="P229" s="4" t="s">
        <v>26</v>
      </c>
      <c r="Q229" s="20">
        <f t="shared" si="10"/>
        <v>77</v>
      </c>
      <c r="R229" s="20">
        <f>Q230-Table2529303539[[#This Row],[Stock Level  (South)]]</f>
        <v>52</v>
      </c>
      <c r="S229" s="20">
        <f>IFERROR(GETPIVOTDATA("QTY",$B$56,"PRODUCT_DESCRIPTION", $B$205, "SALES_ORDER_DATE",Table2529303539[[#This Row],[Date]], "AREA_NAME", "South"), 0)</f>
        <v>0</v>
      </c>
      <c r="T229" s="20">
        <f>Table2529303539[[#This Row],[Stock Change (t1-t0) (South)]]+Table2529303539[[#This Row],[Sales]]</f>
        <v>52</v>
      </c>
      <c r="U229" s="18">
        <f>IF(Table2529303539[[#This Row],[Regional Transfer (Real)]]=0, 0, Table2529303539[[#This Row],[Regional Transfer (Real)]]+Table2529303539[[#This Row],[Stock Level  (South)]])</f>
        <v>129</v>
      </c>
      <c r="W229" s="4" t="s">
        <v>26</v>
      </c>
      <c r="X229" s="20">
        <f t="shared" si="11"/>
        <v>57</v>
      </c>
      <c r="Y229" s="20">
        <f>X230-Table252930323640[[#This Row],[Stock Level  (West)]]</f>
        <v>60</v>
      </c>
      <c r="Z229" s="20">
        <f>IFERROR(GETPIVOTDATA("QTY",$B$56,"PRODUCT_DESCRIPTION", $B$205, "SALES_ORDER_DATE",Table252930323640[[#This Row],[Date]], "AREA_NAME", "West"), 0)</f>
        <v>0</v>
      </c>
      <c r="AA229" s="20">
        <f>Table252930323640[[#This Row],[Stock Change (t1-t0) (West)]]+Table252930323640[[#This Row],[Sales]]</f>
        <v>60</v>
      </c>
      <c r="AB229" s="18">
        <f>IF(Table252930323640[[#This Row],[Regional Transfer (Real)]]=0, 0, Table252930323640[[#This Row],[Regional Transfer (Real)]]+Table252930323640[[#This Row],[Stock Level  (West)]])</f>
        <v>117</v>
      </c>
    </row>
    <row r="230" spans="2:28" x14ac:dyDescent="0.2">
      <c r="B230" s="4" t="s">
        <v>57</v>
      </c>
      <c r="C230" s="20">
        <f t="shared" si="8"/>
        <v>336</v>
      </c>
      <c r="D230" s="20">
        <f>C231-Table253337[[#This Row],[Stock Level  ]]</f>
        <v>0</v>
      </c>
      <c r="E230" s="20">
        <f>IFERROR(GETPIVOTDATA("QTY",$B$56,"PRODUCT_DESCRIPTION", $B$205, "SALES_ORDER_DATE",Table253337[[#This Row],[Date]]), 0)</f>
        <v>0</v>
      </c>
      <c r="F230" s="20">
        <f>Table253337[[#This Row],[Stock Change (t1-t0)]]+Table253337[[#This Row],[Sales]]</f>
        <v>0</v>
      </c>
      <c r="G230" s="18">
        <f>IF(Table253337[[#This Row],[Purchase (Real)]]=0, 0, Table253337[[#This Row],[Purchase (Real)]]+C229)</f>
        <v>0</v>
      </c>
      <c r="I230" s="4" t="s">
        <v>57</v>
      </c>
      <c r="J230" s="20">
        <f t="shared" si="9"/>
        <v>90</v>
      </c>
      <c r="K230" s="20">
        <f>J231-Table25293438[[#This Row],[Stock Level  (North)]]</f>
        <v>0</v>
      </c>
      <c r="L230" s="20">
        <f>IFERROR(GETPIVOTDATA("QTY",$B$56,"PRODUCT_DESCRIPTION", $B$205, "SALES_ORDER_DATE",Table25293438[[#This Row],[Date]], "AREA_NAME", "North"), 0)</f>
        <v>0</v>
      </c>
      <c r="M230" s="20">
        <f>Table25293438[[#This Row],[Stock Change (t1-t0) (North)]]+Table25293438[[#This Row],[Sales]]</f>
        <v>0</v>
      </c>
      <c r="N230" s="18">
        <f>IF(Table25293438[[#This Row],[Regional Transfer (Real)]]=0, 0, Table25293438[[#This Row],[Regional Transfer (Real)]]+Table25293438[[#This Row],[Stock Level  (North)]])</f>
        <v>0</v>
      </c>
      <c r="P230" s="4" t="s">
        <v>57</v>
      </c>
      <c r="Q230" s="20">
        <f t="shared" si="10"/>
        <v>129</v>
      </c>
      <c r="R230" s="20">
        <f>Q231-Table2529303539[[#This Row],[Stock Level  (South)]]</f>
        <v>0</v>
      </c>
      <c r="S230" s="20">
        <f>IFERROR(GETPIVOTDATA("QTY",$B$56,"PRODUCT_DESCRIPTION", $B$205, "SALES_ORDER_DATE",Table2529303539[[#This Row],[Date]], "AREA_NAME", "South"), 0)</f>
        <v>0</v>
      </c>
      <c r="T230" s="20">
        <f>Table2529303539[[#This Row],[Stock Change (t1-t0) (South)]]+Table2529303539[[#This Row],[Sales]]</f>
        <v>0</v>
      </c>
      <c r="U230" s="18">
        <f>IF(Table2529303539[[#This Row],[Regional Transfer (Real)]]=0, 0, Table2529303539[[#This Row],[Regional Transfer (Real)]]+Table2529303539[[#This Row],[Stock Level  (South)]])</f>
        <v>0</v>
      </c>
      <c r="W230" s="4" t="s">
        <v>57</v>
      </c>
      <c r="X230" s="20">
        <f t="shared" si="11"/>
        <v>117</v>
      </c>
      <c r="Y230" s="20">
        <f>X231-Table252930323640[[#This Row],[Stock Level  (West)]]</f>
        <v>0</v>
      </c>
      <c r="Z230" s="20">
        <f>IFERROR(GETPIVOTDATA("QTY",$B$56,"PRODUCT_DESCRIPTION", $B$205, "SALES_ORDER_DATE",Table252930323640[[#This Row],[Date]], "AREA_NAME", "West"), 0)</f>
        <v>0</v>
      </c>
      <c r="AA230" s="20">
        <f>Table252930323640[[#This Row],[Stock Change (t1-t0) (West)]]+Table252930323640[[#This Row],[Sales]]</f>
        <v>0</v>
      </c>
      <c r="AB230" s="18">
        <f>IF(Table252930323640[[#This Row],[Regional Transfer (Real)]]=0, 0, Table252930323640[[#This Row],[Regional Transfer (Real)]]+Table252930323640[[#This Row],[Stock Level  (West)]])</f>
        <v>0</v>
      </c>
    </row>
    <row r="231" spans="2:28" x14ac:dyDescent="0.2">
      <c r="B231" s="4" t="s">
        <v>27</v>
      </c>
      <c r="C231" s="20">
        <f t="shared" si="8"/>
        <v>336</v>
      </c>
      <c r="D231" s="20">
        <f>C232-Table253337[[#This Row],[Stock Level  ]]</f>
        <v>236</v>
      </c>
      <c r="E231" s="20">
        <f>IFERROR(GETPIVOTDATA("QTY",$B$56,"PRODUCT_DESCRIPTION", $B$205, "SALES_ORDER_DATE",Table253337[[#This Row],[Date]]), 0)</f>
        <v>28</v>
      </c>
      <c r="F231" s="20">
        <f>Table253337[[#This Row],[Stock Change (t1-t0)]]+Table253337[[#This Row],[Sales]]</f>
        <v>264</v>
      </c>
      <c r="G231" s="18">
        <f>IF(Table253337[[#This Row],[Purchase (Real)]]=0, 0, Table253337[[#This Row],[Purchase (Real)]]+C230)</f>
        <v>600</v>
      </c>
      <c r="I231" s="4" t="s">
        <v>27</v>
      </c>
      <c r="J231" s="20">
        <f t="shared" si="9"/>
        <v>90</v>
      </c>
      <c r="K231" s="20">
        <f>J232-Table25293438[[#This Row],[Stock Level  (North)]]</f>
        <v>0</v>
      </c>
      <c r="L231" s="20">
        <f>IFERROR(GETPIVOTDATA("QTY",$B$56,"PRODUCT_DESCRIPTION", $B$205, "SALES_ORDER_DATE",Table25293438[[#This Row],[Date]], "AREA_NAME", "North"), 0)</f>
        <v>0</v>
      </c>
      <c r="M231" s="20">
        <f>Table25293438[[#This Row],[Stock Change (t1-t0) (North)]]+Table25293438[[#This Row],[Sales]]</f>
        <v>0</v>
      </c>
      <c r="N231" s="18">
        <f>IF(Table25293438[[#This Row],[Regional Transfer (Real)]]=0, 0, Table25293438[[#This Row],[Regional Transfer (Real)]]+Table25293438[[#This Row],[Stock Level  (North)]])</f>
        <v>0</v>
      </c>
      <c r="P231" s="4" t="s">
        <v>27</v>
      </c>
      <c r="Q231" s="20">
        <f t="shared" si="10"/>
        <v>129</v>
      </c>
      <c r="R231" s="20">
        <f>Q232-Table2529303539[[#This Row],[Stock Level  (South)]]</f>
        <v>-28</v>
      </c>
      <c r="S231" s="20">
        <f>IFERROR(GETPIVOTDATA("QTY",$B$56,"PRODUCT_DESCRIPTION", $B$205, "SALES_ORDER_DATE",Table2529303539[[#This Row],[Date]], "AREA_NAME", "South"), 0)</f>
        <v>28</v>
      </c>
      <c r="T231" s="20">
        <f>Table2529303539[[#This Row],[Stock Change (t1-t0) (South)]]+Table2529303539[[#This Row],[Sales]]</f>
        <v>0</v>
      </c>
      <c r="U231" s="18">
        <f>IF(Table2529303539[[#This Row],[Regional Transfer (Real)]]=0, 0, Table2529303539[[#This Row],[Regional Transfer (Real)]]+Table2529303539[[#This Row],[Stock Level  (South)]])</f>
        <v>0</v>
      </c>
      <c r="W231" s="4" t="s">
        <v>27</v>
      </c>
      <c r="X231" s="20">
        <f t="shared" si="11"/>
        <v>117</v>
      </c>
      <c r="Y231" s="20">
        <f>X232-Table252930323640[[#This Row],[Stock Level  (West)]]</f>
        <v>0</v>
      </c>
      <c r="Z231" s="20">
        <f>IFERROR(GETPIVOTDATA("QTY",$B$56,"PRODUCT_DESCRIPTION", $B$205, "SALES_ORDER_DATE",Table252930323640[[#This Row],[Date]], "AREA_NAME", "West"), 0)</f>
        <v>0</v>
      </c>
      <c r="AA231" s="20">
        <f>Table252930323640[[#This Row],[Stock Change (t1-t0) (West)]]+Table252930323640[[#This Row],[Sales]]</f>
        <v>0</v>
      </c>
      <c r="AB231" s="18">
        <f>IF(Table252930323640[[#This Row],[Regional Transfer (Real)]]=0, 0, Table252930323640[[#This Row],[Regional Transfer (Real)]]+Table252930323640[[#This Row],[Stock Level  (West)]])</f>
        <v>0</v>
      </c>
    </row>
    <row r="232" spans="2:28" x14ac:dyDescent="0.2">
      <c r="B232" s="4" t="s">
        <v>28</v>
      </c>
      <c r="C232" s="20">
        <f t="shared" si="8"/>
        <v>572</v>
      </c>
      <c r="D232" s="20">
        <f>C233-Table253337[[#This Row],[Stock Level  ]]</f>
        <v>0</v>
      </c>
      <c r="E232" s="20">
        <f>IFERROR(GETPIVOTDATA("QTY",$B$56,"PRODUCT_DESCRIPTION", $B$205, "SALES_ORDER_DATE",Table253337[[#This Row],[Date]]), 0)</f>
        <v>0</v>
      </c>
      <c r="F232" s="20">
        <f>Table253337[[#This Row],[Stock Change (t1-t0)]]+Table253337[[#This Row],[Sales]]</f>
        <v>0</v>
      </c>
      <c r="G232" s="18">
        <f>IF(Table253337[[#This Row],[Purchase (Real)]]=0, 0, Table253337[[#This Row],[Purchase (Real)]]+C231)</f>
        <v>0</v>
      </c>
      <c r="I232" s="4" t="s">
        <v>28</v>
      </c>
      <c r="J232" s="20">
        <f t="shared" si="9"/>
        <v>90</v>
      </c>
      <c r="K232" s="20">
        <f>J233-Table25293438[[#This Row],[Stock Level  (North)]]</f>
        <v>0</v>
      </c>
      <c r="L232" s="20">
        <f>IFERROR(GETPIVOTDATA("QTY",$B$56,"PRODUCT_DESCRIPTION", $B$205, "SALES_ORDER_DATE",Table25293438[[#This Row],[Date]], "AREA_NAME", "North"), 0)</f>
        <v>0</v>
      </c>
      <c r="M232" s="20">
        <f>Table25293438[[#This Row],[Stock Change (t1-t0) (North)]]+Table25293438[[#This Row],[Sales]]</f>
        <v>0</v>
      </c>
      <c r="N232" s="18">
        <f>IF(Table25293438[[#This Row],[Regional Transfer (Real)]]=0, 0, Table25293438[[#This Row],[Regional Transfer (Real)]]+Table25293438[[#This Row],[Stock Level  (North)]])</f>
        <v>0</v>
      </c>
      <c r="P232" s="4" t="s">
        <v>28</v>
      </c>
      <c r="Q232" s="20">
        <f t="shared" si="10"/>
        <v>101</v>
      </c>
      <c r="R232" s="20">
        <f>Q233-Table2529303539[[#This Row],[Stock Level  (South)]]</f>
        <v>0</v>
      </c>
      <c r="S232" s="20">
        <f>IFERROR(GETPIVOTDATA("QTY",$B$56,"PRODUCT_DESCRIPTION", $B$205, "SALES_ORDER_DATE",Table2529303539[[#This Row],[Date]], "AREA_NAME", "South"), 0)</f>
        <v>0</v>
      </c>
      <c r="T232" s="20">
        <f>Table2529303539[[#This Row],[Stock Change (t1-t0) (South)]]+Table2529303539[[#This Row],[Sales]]</f>
        <v>0</v>
      </c>
      <c r="U232" s="18">
        <f>IF(Table2529303539[[#This Row],[Regional Transfer (Real)]]=0, 0, Table2529303539[[#This Row],[Regional Transfer (Real)]]+Table2529303539[[#This Row],[Stock Level  (South)]])</f>
        <v>0</v>
      </c>
      <c r="W232" s="4" t="s">
        <v>28</v>
      </c>
      <c r="X232" s="20">
        <f t="shared" si="11"/>
        <v>117</v>
      </c>
      <c r="Y232" s="20">
        <f>X233-Table252930323640[[#This Row],[Stock Level  (West)]]</f>
        <v>0</v>
      </c>
      <c r="Z232" s="20">
        <f>IFERROR(GETPIVOTDATA("QTY",$B$56,"PRODUCT_DESCRIPTION", $B$205, "SALES_ORDER_DATE",Table252930323640[[#This Row],[Date]], "AREA_NAME", "West"), 0)</f>
        <v>0</v>
      </c>
      <c r="AA232" s="20">
        <f>Table252930323640[[#This Row],[Stock Change (t1-t0) (West)]]+Table252930323640[[#This Row],[Sales]]</f>
        <v>0</v>
      </c>
      <c r="AB232" s="18">
        <f>IF(Table252930323640[[#This Row],[Regional Transfer (Real)]]=0, 0, Table252930323640[[#This Row],[Regional Transfer (Real)]]+Table252930323640[[#This Row],[Stock Level  (West)]])</f>
        <v>0</v>
      </c>
    </row>
    <row r="233" spans="2:28" x14ac:dyDescent="0.2">
      <c r="B233" s="4" t="s">
        <v>29</v>
      </c>
      <c r="C233" s="20">
        <f t="shared" si="8"/>
        <v>572</v>
      </c>
      <c r="D233" s="20">
        <f>C234-Table253337[[#This Row],[Stock Level  ]]</f>
        <v>-22</v>
      </c>
      <c r="E233" s="20">
        <f>IFERROR(GETPIVOTDATA("QTY",$B$56,"PRODUCT_DESCRIPTION", $B$205, "SALES_ORDER_DATE",Table253337[[#This Row],[Date]]), 0)</f>
        <v>22</v>
      </c>
      <c r="F233" s="20">
        <f>Table253337[[#This Row],[Stock Change (t1-t0)]]+Table253337[[#This Row],[Sales]]</f>
        <v>0</v>
      </c>
      <c r="G233" s="18">
        <f>IF(Table253337[[#This Row],[Purchase (Real)]]=0, 0, Table253337[[#This Row],[Purchase (Real)]]+C232)</f>
        <v>0</v>
      </c>
      <c r="I233" s="4" t="s">
        <v>29</v>
      </c>
      <c r="J233" s="20">
        <f t="shared" si="9"/>
        <v>90</v>
      </c>
      <c r="K233" s="20">
        <f>J234-Table25293438[[#This Row],[Stock Level  (North)]]</f>
        <v>100</v>
      </c>
      <c r="L233" s="20">
        <f>IFERROR(GETPIVOTDATA("QTY",$B$56,"PRODUCT_DESCRIPTION", $B$205, "SALES_ORDER_DATE",Table25293438[[#This Row],[Date]], "AREA_NAME", "North"), 0)</f>
        <v>0</v>
      </c>
      <c r="M233" s="20">
        <f>Table25293438[[#This Row],[Stock Change (t1-t0) (North)]]+Table25293438[[#This Row],[Sales]]</f>
        <v>100</v>
      </c>
      <c r="N233" s="18">
        <f>IF(Table25293438[[#This Row],[Regional Transfer (Real)]]=0, 0, Table25293438[[#This Row],[Regional Transfer (Real)]]+Table25293438[[#This Row],[Stock Level  (North)]])</f>
        <v>190</v>
      </c>
      <c r="P233" s="4" t="s">
        <v>29</v>
      </c>
      <c r="Q233" s="20">
        <f t="shared" si="10"/>
        <v>101</v>
      </c>
      <c r="R233" s="20">
        <f>Q234-Table2529303539[[#This Row],[Stock Level  (South)]]</f>
        <v>67</v>
      </c>
      <c r="S233" s="20">
        <f>IFERROR(GETPIVOTDATA("QTY",$B$56,"PRODUCT_DESCRIPTION", $B$205, "SALES_ORDER_DATE",Table2529303539[[#This Row],[Date]], "AREA_NAME", "South"), 0)</f>
        <v>22</v>
      </c>
      <c r="T233" s="20">
        <f>Table2529303539[[#This Row],[Stock Change (t1-t0) (South)]]+Table2529303539[[#This Row],[Sales]]</f>
        <v>89</v>
      </c>
      <c r="U233" s="18">
        <f>IF(Table2529303539[[#This Row],[Regional Transfer (Real)]]=0, 0, Table2529303539[[#This Row],[Regional Transfer (Real)]]+Table2529303539[[#This Row],[Stock Level  (South)]])</f>
        <v>190</v>
      </c>
      <c r="W233" s="4" t="s">
        <v>29</v>
      </c>
      <c r="X233" s="20">
        <f t="shared" si="11"/>
        <v>117</v>
      </c>
      <c r="Y233" s="20">
        <f>X234-Table252930323640[[#This Row],[Stock Level  (West)]]</f>
        <v>75</v>
      </c>
      <c r="Z233" s="20">
        <f>IFERROR(GETPIVOTDATA("QTY",$B$56,"PRODUCT_DESCRIPTION", $B$205, "SALES_ORDER_DATE",Table252930323640[[#This Row],[Date]], "AREA_NAME", "West"), 0)</f>
        <v>0</v>
      </c>
      <c r="AA233" s="20">
        <f>Table252930323640[[#This Row],[Stock Change (t1-t0) (West)]]+Table252930323640[[#This Row],[Sales]]</f>
        <v>75</v>
      </c>
      <c r="AB233" s="18">
        <f>IF(Table252930323640[[#This Row],[Regional Transfer (Real)]]=0, 0, Table252930323640[[#This Row],[Regional Transfer (Real)]]+Table252930323640[[#This Row],[Stock Level  (West)]])</f>
        <v>192</v>
      </c>
    </row>
    <row r="234" spans="2:28" x14ac:dyDescent="0.2">
      <c r="B234" s="4" t="s">
        <v>30</v>
      </c>
      <c r="C234" s="20">
        <f t="shared" si="8"/>
        <v>550</v>
      </c>
      <c r="D234" s="20">
        <f>C235-Table253337[[#This Row],[Stock Level  ]]</f>
        <v>0</v>
      </c>
      <c r="E234" s="20">
        <f>IFERROR(GETPIVOTDATA("QTY",$B$56,"PRODUCT_DESCRIPTION", $B$205, "SALES_ORDER_DATE",Table253337[[#This Row],[Date]]), 0)</f>
        <v>0</v>
      </c>
      <c r="F234" s="20">
        <f>Table253337[[#This Row],[Stock Change (t1-t0)]]+Table253337[[#This Row],[Sales]]</f>
        <v>0</v>
      </c>
      <c r="G234" s="18">
        <f>IF(Table253337[[#This Row],[Purchase (Real)]]=0, 0, Table253337[[#This Row],[Purchase (Real)]]+C233)</f>
        <v>0</v>
      </c>
      <c r="I234" s="4" t="s">
        <v>30</v>
      </c>
      <c r="J234" s="20">
        <f t="shared" si="9"/>
        <v>190</v>
      </c>
      <c r="K234" s="20">
        <f>J235-Table25293438[[#This Row],[Stock Level  (North)]]</f>
        <v>0</v>
      </c>
      <c r="L234" s="20">
        <f>IFERROR(GETPIVOTDATA("QTY",$B$56,"PRODUCT_DESCRIPTION", $B$205, "SALES_ORDER_DATE",Table25293438[[#This Row],[Date]], "AREA_NAME", "North"), 0)</f>
        <v>0</v>
      </c>
      <c r="M234" s="20">
        <f>Table25293438[[#This Row],[Stock Change (t1-t0) (North)]]+Table25293438[[#This Row],[Sales]]</f>
        <v>0</v>
      </c>
      <c r="N234" s="18">
        <f>IF(Table25293438[[#This Row],[Regional Transfer (Real)]]=0, 0, Table25293438[[#This Row],[Regional Transfer (Real)]]+Table25293438[[#This Row],[Stock Level  (North)]])</f>
        <v>0</v>
      </c>
      <c r="P234" s="4" t="s">
        <v>30</v>
      </c>
      <c r="Q234" s="20">
        <f t="shared" si="10"/>
        <v>168</v>
      </c>
      <c r="R234" s="20">
        <f>Q235-Table2529303539[[#This Row],[Stock Level  (South)]]</f>
        <v>0</v>
      </c>
      <c r="S234" s="20">
        <f>IFERROR(GETPIVOTDATA("QTY",$B$56,"PRODUCT_DESCRIPTION", $B$205, "SALES_ORDER_DATE",Table2529303539[[#This Row],[Date]], "AREA_NAME", "South"), 0)</f>
        <v>0</v>
      </c>
      <c r="T234" s="20">
        <f>Table2529303539[[#This Row],[Stock Change (t1-t0) (South)]]+Table2529303539[[#This Row],[Sales]]</f>
        <v>0</v>
      </c>
      <c r="U234" s="18">
        <f>IF(Table2529303539[[#This Row],[Regional Transfer (Real)]]=0, 0, Table2529303539[[#This Row],[Regional Transfer (Real)]]+Table2529303539[[#This Row],[Stock Level  (South)]])</f>
        <v>0</v>
      </c>
      <c r="W234" s="4" t="s">
        <v>30</v>
      </c>
      <c r="X234" s="20">
        <f t="shared" si="11"/>
        <v>192</v>
      </c>
      <c r="Y234" s="20">
        <f>X235-Table252930323640[[#This Row],[Stock Level  (West)]]</f>
        <v>0</v>
      </c>
      <c r="Z234" s="20">
        <f>IFERROR(GETPIVOTDATA("QTY",$B$56,"PRODUCT_DESCRIPTION", $B$205, "SALES_ORDER_DATE",Table252930323640[[#This Row],[Date]], "AREA_NAME", "West"), 0)</f>
        <v>0</v>
      </c>
      <c r="AA234" s="20">
        <f>Table252930323640[[#This Row],[Stock Change (t1-t0) (West)]]+Table252930323640[[#This Row],[Sales]]</f>
        <v>0</v>
      </c>
      <c r="AB234" s="18">
        <f>IF(Table252930323640[[#This Row],[Regional Transfer (Real)]]=0, 0, Table252930323640[[#This Row],[Regional Transfer (Real)]]+Table252930323640[[#This Row],[Stock Level  (West)]])</f>
        <v>0</v>
      </c>
    </row>
    <row r="235" spans="2:28" x14ac:dyDescent="0.2">
      <c r="B235" s="4" t="s">
        <v>31</v>
      </c>
      <c r="C235" s="20">
        <f t="shared" si="8"/>
        <v>550</v>
      </c>
      <c r="D235" s="20">
        <f>C236-Table253337[[#This Row],[Stock Level  ]]</f>
        <v>0</v>
      </c>
      <c r="E235" s="20">
        <f>IFERROR(GETPIVOTDATA("QTY",$B$56,"PRODUCT_DESCRIPTION", $B$205, "SALES_ORDER_DATE",Table253337[[#This Row],[Date]]), 0)</f>
        <v>0</v>
      </c>
      <c r="F235" s="20">
        <f>Table253337[[#This Row],[Stock Change (t1-t0)]]+Table253337[[#This Row],[Sales]]</f>
        <v>0</v>
      </c>
      <c r="G235" s="18">
        <f>IF(Table253337[[#This Row],[Purchase (Real)]]=0, 0, Table253337[[#This Row],[Purchase (Real)]]+C234)</f>
        <v>0</v>
      </c>
      <c r="I235" s="4" t="s">
        <v>31</v>
      </c>
      <c r="J235" s="20">
        <f t="shared" si="9"/>
        <v>190</v>
      </c>
      <c r="K235" s="20">
        <f>J236-Table25293438[[#This Row],[Stock Level  (North)]]</f>
        <v>0</v>
      </c>
      <c r="L235" s="20">
        <f>IFERROR(GETPIVOTDATA("QTY",$B$56,"PRODUCT_DESCRIPTION", $B$205, "SALES_ORDER_DATE",Table25293438[[#This Row],[Date]], "AREA_NAME", "North"), 0)</f>
        <v>0</v>
      </c>
      <c r="M235" s="20">
        <f>Table25293438[[#This Row],[Stock Change (t1-t0) (North)]]+Table25293438[[#This Row],[Sales]]</f>
        <v>0</v>
      </c>
      <c r="N235" s="18">
        <f>IF(Table25293438[[#This Row],[Regional Transfer (Real)]]=0, 0, Table25293438[[#This Row],[Regional Transfer (Real)]]+Table25293438[[#This Row],[Stock Level  (North)]])</f>
        <v>0</v>
      </c>
      <c r="P235" s="4" t="s">
        <v>31</v>
      </c>
      <c r="Q235" s="20">
        <f t="shared" si="10"/>
        <v>168</v>
      </c>
      <c r="R235" s="20">
        <f>Q236-Table2529303539[[#This Row],[Stock Level  (South)]]</f>
        <v>0</v>
      </c>
      <c r="S235" s="20">
        <f>IFERROR(GETPIVOTDATA("QTY",$B$56,"PRODUCT_DESCRIPTION", $B$205, "SALES_ORDER_DATE",Table2529303539[[#This Row],[Date]], "AREA_NAME", "South"), 0)</f>
        <v>0</v>
      </c>
      <c r="T235" s="20">
        <f>Table2529303539[[#This Row],[Stock Change (t1-t0) (South)]]+Table2529303539[[#This Row],[Sales]]</f>
        <v>0</v>
      </c>
      <c r="U235" s="18">
        <f>IF(Table2529303539[[#This Row],[Regional Transfer (Real)]]=0, 0, Table2529303539[[#This Row],[Regional Transfer (Real)]]+Table2529303539[[#This Row],[Stock Level  (South)]])</f>
        <v>0</v>
      </c>
      <c r="W235" s="4" t="s">
        <v>31</v>
      </c>
      <c r="X235" s="20">
        <f t="shared" si="11"/>
        <v>192</v>
      </c>
      <c r="Y235" s="20">
        <f>X236-Table252930323640[[#This Row],[Stock Level  (West)]]</f>
        <v>0</v>
      </c>
      <c r="Z235" s="20">
        <f>IFERROR(GETPIVOTDATA("QTY",$B$56,"PRODUCT_DESCRIPTION", $B$205, "SALES_ORDER_DATE",Table252930323640[[#This Row],[Date]], "AREA_NAME", "West"), 0)</f>
        <v>0</v>
      </c>
      <c r="AA235" s="20">
        <f>Table252930323640[[#This Row],[Stock Change (t1-t0) (West)]]+Table252930323640[[#This Row],[Sales]]</f>
        <v>0</v>
      </c>
      <c r="AB235" s="18">
        <f>IF(Table252930323640[[#This Row],[Regional Transfer (Real)]]=0, 0, Table252930323640[[#This Row],[Regional Transfer (Real)]]+Table252930323640[[#This Row],[Stock Level  (West)]])</f>
        <v>0</v>
      </c>
    </row>
    <row r="236" spans="2:28" x14ac:dyDescent="0.2">
      <c r="B236" s="4" t="s">
        <v>32</v>
      </c>
      <c r="C236" s="20">
        <f t="shared" si="8"/>
        <v>550</v>
      </c>
      <c r="D236" s="20">
        <f>C237-Table253337[[#This Row],[Stock Level  ]]</f>
        <v>28</v>
      </c>
      <c r="E236" s="20">
        <f>IFERROR(GETPIVOTDATA("QTY",$B$56,"PRODUCT_DESCRIPTION", $B$205, "SALES_ORDER_DATE",Table253337[[#This Row],[Date]]), 0)</f>
        <v>22</v>
      </c>
      <c r="F236" s="20">
        <f>Table253337[[#This Row],[Stock Change (t1-t0)]]+Table253337[[#This Row],[Sales]]</f>
        <v>50</v>
      </c>
      <c r="G236" s="18">
        <f>IF(Table253337[[#This Row],[Purchase (Real)]]=0, 0, Table253337[[#This Row],[Purchase (Real)]]+C235)</f>
        <v>600</v>
      </c>
      <c r="I236" s="4" t="s">
        <v>32</v>
      </c>
      <c r="J236" s="20">
        <f t="shared" si="9"/>
        <v>190</v>
      </c>
      <c r="K236" s="20">
        <f>J237-Table25293438[[#This Row],[Stock Level  (North)]]</f>
        <v>-22</v>
      </c>
      <c r="L236" s="20">
        <f>IFERROR(GETPIVOTDATA("QTY",$B$56,"PRODUCT_DESCRIPTION", $B$205, "SALES_ORDER_DATE",Table25293438[[#This Row],[Date]], "AREA_NAME", "North"), 0)</f>
        <v>22</v>
      </c>
      <c r="M236" s="20">
        <f>Table25293438[[#This Row],[Stock Change (t1-t0) (North)]]+Table25293438[[#This Row],[Sales]]</f>
        <v>0</v>
      </c>
      <c r="N236" s="18">
        <f>IF(Table25293438[[#This Row],[Regional Transfer (Real)]]=0, 0, Table25293438[[#This Row],[Regional Transfer (Real)]]+Table25293438[[#This Row],[Stock Level  (North)]])</f>
        <v>0</v>
      </c>
      <c r="P236" s="4" t="s">
        <v>32</v>
      </c>
      <c r="Q236" s="20">
        <f t="shared" si="10"/>
        <v>168</v>
      </c>
      <c r="R236" s="20">
        <f>Q237-Table2529303539[[#This Row],[Stock Level  (South)]]</f>
        <v>0</v>
      </c>
      <c r="S236" s="20">
        <f>IFERROR(GETPIVOTDATA("QTY",$B$56,"PRODUCT_DESCRIPTION", $B$205, "SALES_ORDER_DATE",Table2529303539[[#This Row],[Date]], "AREA_NAME", "South"), 0)</f>
        <v>0</v>
      </c>
      <c r="T236" s="20">
        <f>Table2529303539[[#This Row],[Stock Change (t1-t0) (South)]]+Table2529303539[[#This Row],[Sales]]</f>
        <v>0</v>
      </c>
      <c r="U236" s="18">
        <f>IF(Table2529303539[[#This Row],[Regional Transfer (Real)]]=0, 0, Table2529303539[[#This Row],[Regional Transfer (Real)]]+Table2529303539[[#This Row],[Stock Level  (South)]])</f>
        <v>0</v>
      </c>
      <c r="W236" s="4" t="s">
        <v>32</v>
      </c>
      <c r="X236" s="20">
        <f t="shared" si="11"/>
        <v>192</v>
      </c>
      <c r="Y236" s="20">
        <f>X237-Table252930323640[[#This Row],[Stock Level  (West)]]</f>
        <v>0</v>
      </c>
      <c r="Z236" s="20">
        <f>IFERROR(GETPIVOTDATA("QTY",$B$56,"PRODUCT_DESCRIPTION", $B$205, "SALES_ORDER_DATE",Table252930323640[[#This Row],[Date]], "AREA_NAME", "West"), 0)</f>
        <v>0</v>
      </c>
      <c r="AA236" s="20">
        <f>Table252930323640[[#This Row],[Stock Change (t1-t0) (West)]]+Table252930323640[[#This Row],[Sales]]</f>
        <v>0</v>
      </c>
      <c r="AB236" s="18">
        <f>IF(Table252930323640[[#This Row],[Regional Transfer (Real)]]=0, 0, Table252930323640[[#This Row],[Regional Transfer (Real)]]+Table252930323640[[#This Row],[Stock Level  (West)]])</f>
        <v>0</v>
      </c>
    </row>
    <row r="237" spans="2:28" x14ac:dyDescent="0.2">
      <c r="B237" s="4" t="s">
        <v>33</v>
      </c>
      <c r="C237" s="20">
        <f t="shared" si="8"/>
        <v>578</v>
      </c>
      <c r="D237" s="20">
        <f>C238-Table253337[[#This Row],[Stock Level  ]]</f>
        <v>-49</v>
      </c>
      <c r="E237" s="20">
        <f>IFERROR(GETPIVOTDATA("QTY",$B$56,"PRODUCT_DESCRIPTION", $B$205, "SALES_ORDER_DATE",Table253337[[#This Row],[Date]]), 0)</f>
        <v>49</v>
      </c>
      <c r="F237" s="20">
        <f>Table253337[[#This Row],[Stock Change (t1-t0)]]+Table253337[[#This Row],[Sales]]</f>
        <v>0</v>
      </c>
      <c r="G237" s="18">
        <f>IF(Table253337[[#This Row],[Purchase (Real)]]=0, 0, Table253337[[#This Row],[Purchase (Real)]]+C236)</f>
        <v>0</v>
      </c>
      <c r="I237" s="4" t="s">
        <v>33</v>
      </c>
      <c r="J237" s="20">
        <f t="shared" si="9"/>
        <v>168</v>
      </c>
      <c r="K237" s="20">
        <f>J238-Table25293438[[#This Row],[Stock Level  (North)]]</f>
        <v>-49</v>
      </c>
      <c r="L237" s="20">
        <f>IFERROR(GETPIVOTDATA("QTY",$B$56,"PRODUCT_DESCRIPTION", $B$205, "SALES_ORDER_DATE",Table25293438[[#This Row],[Date]], "AREA_NAME", "North"), 0)</f>
        <v>49</v>
      </c>
      <c r="M237" s="20">
        <f>Table25293438[[#This Row],[Stock Change (t1-t0) (North)]]+Table25293438[[#This Row],[Sales]]</f>
        <v>0</v>
      </c>
      <c r="N237" s="18">
        <f>IF(Table25293438[[#This Row],[Regional Transfer (Real)]]=0, 0, Table25293438[[#This Row],[Regional Transfer (Real)]]+Table25293438[[#This Row],[Stock Level  (North)]])</f>
        <v>0</v>
      </c>
      <c r="P237" s="4" t="s">
        <v>33</v>
      </c>
      <c r="Q237" s="20">
        <f t="shared" si="10"/>
        <v>168</v>
      </c>
      <c r="R237" s="20">
        <f>Q238-Table2529303539[[#This Row],[Stock Level  (South)]]</f>
        <v>0</v>
      </c>
      <c r="S237" s="20">
        <f>IFERROR(GETPIVOTDATA("QTY",$B$56,"PRODUCT_DESCRIPTION", $B$205, "SALES_ORDER_DATE",Table2529303539[[#This Row],[Date]], "AREA_NAME", "South"), 0)</f>
        <v>0</v>
      </c>
      <c r="T237" s="20">
        <f>Table2529303539[[#This Row],[Stock Change (t1-t0) (South)]]+Table2529303539[[#This Row],[Sales]]</f>
        <v>0</v>
      </c>
      <c r="U237" s="18">
        <f>IF(Table2529303539[[#This Row],[Regional Transfer (Real)]]=0, 0, Table2529303539[[#This Row],[Regional Transfer (Real)]]+Table2529303539[[#This Row],[Stock Level  (South)]])</f>
        <v>0</v>
      </c>
      <c r="W237" s="4" t="s">
        <v>33</v>
      </c>
      <c r="X237" s="20">
        <f t="shared" si="11"/>
        <v>192</v>
      </c>
      <c r="Y237" s="20">
        <f>X238-Table252930323640[[#This Row],[Stock Level  (West)]]</f>
        <v>0</v>
      </c>
      <c r="Z237" s="20">
        <f>IFERROR(GETPIVOTDATA("QTY",$B$56,"PRODUCT_DESCRIPTION", $B$205, "SALES_ORDER_DATE",Table252930323640[[#This Row],[Date]], "AREA_NAME", "West"), 0)</f>
        <v>0</v>
      </c>
      <c r="AA237" s="20">
        <f>Table252930323640[[#This Row],[Stock Change (t1-t0) (West)]]+Table252930323640[[#This Row],[Sales]]</f>
        <v>0</v>
      </c>
      <c r="AB237" s="18">
        <f>IF(Table252930323640[[#This Row],[Regional Transfer (Real)]]=0, 0, Table252930323640[[#This Row],[Regional Transfer (Real)]]+Table252930323640[[#This Row],[Stock Level  (West)]])</f>
        <v>0</v>
      </c>
    </row>
    <row r="238" spans="2:28" x14ac:dyDescent="0.2">
      <c r="B238" s="4" t="s">
        <v>34</v>
      </c>
      <c r="C238" s="20">
        <f t="shared" si="8"/>
        <v>529</v>
      </c>
      <c r="D238" s="20">
        <f>C239-Table253337[[#This Row],[Stock Level  ]]</f>
        <v>0</v>
      </c>
      <c r="E238" s="20">
        <f>IFERROR(GETPIVOTDATA("QTY",$B$56,"PRODUCT_DESCRIPTION", $B$205, "SALES_ORDER_DATE",Table253337[[#This Row],[Date]]), 0)</f>
        <v>0</v>
      </c>
      <c r="F238" s="20">
        <f>Table253337[[#This Row],[Stock Change (t1-t0)]]+Table253337[[#This Row],[Sales]]</f>
        <v>0</v>
      </c>
      <c r="G238" s="18">
        <f>IF(Table253337[[#This Row],[Purchase (Real)]]=0, 0, Table253337[[#This Row],[Purchase (Real)]]+C237)</f>
        <v>0</v>
      </c>
      <c r="I238" s="4" t="s">
        <v>34</v>
      </c>
      <c r="J238" s="20">
        <f t="shared" si="9"/>
        <v>119</v>
      </c>
      <c r="K238" s="20">
        <f>J239-Table25293438[[#This Row],[Stock Level  (North)]]</f>
        <v>0</v>
      </c>
      <c r="L238" s="20">
        <f>IFERROR(GETPIVOTDATA("QTY",$B$56,"PRODUCT_DESCRIPTION", $B$205, "SALES_ORDER_DATE",Table25293438[[#This Row],[Date]], "AREA_NAME", "North"), 0)</f>
        <v>0</v>
      </c>
      <c r="M238" s="20">
        <f>Table25293438[[#This Row],[Stock Change (t1-t0) (North)]]+Table25293438[[#This Row],[Sales]]</f>
        <v>0</v>
      </c>
      <c r="N238" s="18">
        <f>IF(Table25293438[[#This Row],[Regional Transfer (Real)]]=0, 0, Table25293438[[#This Row],[Regional Transfer (Real)]]+Table25293438[[#This Row],[Stock Level  (North)]])</f>
        <v>0</v>
      </c>
      <c r="P238" s="4" t="s">
        <v>34</v>
      </c>
      <c r="Q238" s="20">
        <f t="shared" si="10"/>
        <v>168</v>
      </c>
      <c r="R238" s="20">
        <f>Q239-Table2529303539[[#This Row],[Stock Level  (South)]]</f>
        <v>0</v>
      </c>
      <c r="S238" s="20">
        <f>IFERROR(GETPIVOTDATA("QTY",$B$56,"PRODUCT_DESCRIPTION", $B$205, "SALES_ORDER_DATE",Table2529303539[[#This Row],[Date]], "AREA_NAME", "South"), 0)</f>
        <v>0</v>
      </c>
      <c r="T238" s="20">
        <f>Table2529303539[[#This Row],[Stock Change (t1-t0) (South)]]+Table2529303539[[#This Row],[Sales]]</f>
        <v>0</v>
      </c>
      <c r="U238" s="18">
        <f>IF(Table2529303539[[#This Row],[Regional Transfer (Real)]]=0, 0, Table2529303539[[#This Row],[Regional Transfer (Real)]]+Table2529303539[[#This Row],[Stock Level  (South)]])</f>
        <v>0</v>
      </c>
      <c r="W238" s="4" t="s">
        <v>34</v>
      </c>
      <c r="X238" s="20">
        <f t="shared" si="11"/>
        <v>192</v>
      </c>
      <c r="Y238" s="20">
        <f>X239-Table252930323640[[#This Row],[Stock Level  (West)]]</f>
        <v>0</v>
      </c>
      <c r="Z238" s="20">
        <f>IFERROR(GETPIVOTDATA("QTY",$B$56,"PRODUCT_DESCRIPTION", $B$205, "SALES_ORDER_DATE",Table252930323640[[#This Row],[Date]], "AREA_NAME", "West"), 0)</f>
        <v>0</v>
      </c>
      <c r="AA238" s="20">
        <f>Table252930323640[[#This Row],[Stock Change (t1-t0) (West)]]+Table252930323640[[#This Row],[Sales]]</f>
        <v>0</v>
      </c>
      <c r="AB238" s="18">
        <f>IF(Table252930323640[[#This Row],[Regional Transfer (Real)]]=0, 0, Table252930323640[[#This Row],[Regional Transfer (Real)]]+Table252930323640[[#This Row],[Stock Level  (West)]])</f>
        <v>0</v>
      </c>
    </row>
    <row r="239" spans="2:28" x14ac:dyDescent="0.2">
      <c r="B239" s="4" t="s">
        <v>35</v>
      </c>
      <c r="C239" s="20">
        <f t="shared" si="8"/>
        <v>529</v>
      </c>
      <c r="D239" s="20">
        <f>C240-Table253337[[#This Row],[Stock Level  ]]</f>
        <v>0</v>
      </c>
      <c r="E239" s="20">
        <f>IFERROR(GETPIVOTDATA("QTY",$B$56,"PRODUCT_DESCRIPTION", $B$205, "SALES_ORDER_DATE",Table253337[[#This Row],[Date]]), 0)</f>
        <v>0</v>
      </c>
      <c r="F239" s="20">
        <f>Table253337[[#This Row],[Stock Change (t1-t0)]]+Table253337[[#This Row],[Sales]]</f>
        <v>0</v>
      </c>
      <c r="G239" s="18">
        <f>IF(Table253337[[#This Row],[Purchase (Real)]]=0, 0, Table253337[[#This Row],[Purchase (Real)]]+C238)</f>
        <v>0</v>
      </c>
      <c r="I239" s="4" t="s">
        <v>35</v>
      </c>
      <c r="J239" s="20">
        <f t="shared" si="9"/>
        <v>119</v>
      </c>
      <c r="K239" s="20">
        <f>J240-Table25293438[[#This Row],[Stock Level  (North)]]</f>
        <v>34</v>
      </c>
      <c r="L239" s="20">
        <f>IFERROR(GETPIVOTDATA("QTY",$B$56,"PRODUCT_DESCRIPTION", $B$205, "SALES_ORDER_DATE",Table25293438[[#This Row],[Date]], "AREA_NAME", "North"), 0)</f>
        <v>0</v>
      </c>
      <c r="M239" s="20">
        <f>Table25293438[[#This Row],[Stock Change (t1-t0) (North)]]+Table25293438[[#This Row],[Sales]]</f>
        <v>34</v>
      </c>
      <c r="N239" s="18">
        <f>IF(Table25293438[[#This Row],[Regional Transfer (Real)]]=0, 0, Table25293438[[#This Row],[Regional Transfer (Real)]]+Table25293438[[#This Row],[Stock Level  (North)]])</f>
        <v>153</v>
      </c>
      <c r="P239" s="4" t="s">
        <v>35</v>
      </c>
      <c r="Q239" s="20">
        <f t="shared" si="10"/>
        <v>168</v>
      </c>
      <c r="R239" s="20">
        <f>Q240-Table2529303539[[#This Row],[Stock Level  (South)]]</f>
        <v>13</v>
      </c>
      <c r="S239" s="20">
        <f>IFERROR(GETPIVOTDATA("QTY",$B$56,"PRODUCT_DESCRIPTION", $B$205, "SALES_ORDER_DATE",Table2529303539[[#This Row],[Date]], "AREA_NAME", "South"), 0)</f>
        <v>0</v>
      </c>
      <c r="T239" s="20">
        <f>Table2529303539[[#This Row],[Stock Change (t1-t0) (South)]]+Table2529303539[[#This Row],[Sales]]</f>
        <v>13</v>
      </c>
      <c r="U239" s="18">
        <f>IF(Table2529303539[[#This Row],[Regional Transfer (Real)]]=0, 0, Table2529303539[[#This Row],[Regional Transfer (Real)]]+Table2529303539[[#This Row],[Stock Level  (South)]])</f>
        <v>181</v>
      </c>
      <c r="W239" s="4" t="s">
        <v>35</v>
      </c>
      <c r="X239" s="20">
        <f t="shared" si="11"/>
        <v>192</v>
      </c>
      <c r="Y239" s="20">
        <f>X240-Table252930323640[[#This Row],[Stock Level  (West)]]</f>
        <v>3</v>
      </c>
      <c r="Z239" s="20">
        <f>IFERROR(GETPIVOTDATA("QTY",$B$56,"PRODUCT_DESCRIPTION", $B$205, "SALES_ORDER_DATE",Table252930323640[[#This Row],[Date]], "AREA_NAME", "West"), 0)</f>
        <v>0</v>
      </c>
      <c r="AA239" s="20">
        <f>Table252930323640[[#This Row],[Stock Change (t1-t0) (West)]]+Table252930323640[[#This Row],[Sales]]</f>
        <v>3</v>
      </c>
      <c r="AB239" s="18">
        <f>IF(Table252930323640[[#This Row],[Regional Transfer (Real)]]=0, 0, Table252930323640[[#This Row],[Regional Transfer (Real)]]+Table252930323640[[#This Row],[Stock Level  (West)]])</f>
        <v>195</v>
      </c>
    </row>
    <row r="240" spans="2:28" x14ac:dyDescent="0.2">
      <c r="B240" s="4" t="s">
        <v>36</v>
      </c>
      <c r="C240" s="20">
        <f t="shared" si="8"/>
        <v>529</v>
      </c>
      <c r="D240" s="20">
        <f>C241-Table253337[[#This Row],[Stock Level  ]]</f>
        <v>50</v>
      </c>
      <c r="E240" s="20">
        <f>IFERROR(GETPIVOTDATA("QTY",$B$56,"PRODUCT_DESCRIPTION", $B$205, "SALES_ORDER_DATE",Table253337[[#This Row],[Date]]), 0)</f>
        <v>21</v>
      </c>
      <c r="F240" s="20">
        <f>Table253337[[#This Row],[Stock Change (t1-t0)]]+Table253337[[#This Row],[Sales]]</f>
        <v>71</v>
      </c>
      <c r="G240" s="18">
        <f>IF(Table253337[[#This Row],[Purchase (Real)]]=0, 0, Table253337[[#This Row],[Purchase (Real)]]+C239)</f>
        <v>600</v>
      </c>
      <c r="I240" s="4" t="s">
        <v>36</v>
      </c>
      <c r="J240" s="20">
        <f t="shared" si="9"/>
        <v>153</v>
      </c>
      <c r="K240" s="20">
        <f>J241-Table25293438[[#This Row],[Stock Level  (North)]]</f>
        <v>-21</v>
      </c>
      <c r="L240" s="20">
        <f>IFERROR(GETPIVOTDATA("QTY",$B$56,"PRODUCT_DESCRIPTION", $B$205, "SALES_ORDER_DATE",Table25293438[[#This Row],[Date]], "AREA_NAME", "North"), 0)</f>
        <v>21</v>
      </c>
      <c r="M240" s="20">
        <f>Table25293438[[#This Row],[Stock Change (t1-t0) (North)]]+Table25293438[[#This Row],[Sales]]</f>
        <v>0</v>
      </c>
      <c r="N240" s="18">
        <f>IF(Table25293438[[#This Row],[Regional Transfer (Real)]]=0, 0, Table25293438[[#This Row],[Regional Transfer (Real)]]+Table25293438[[#This Row],[Stock Level  (North)]])</f>
        <v>0</v>
      </c>
      <c r="P240" s="4" t="s">
        <v>36</v>
      </c>
      <c r="Q240" s="20">
        <f t="shared" si="10"/>
        <v>181</v>
      </c>
      <c r="R240" s="20">
        <f>Q241-Table2529303539[[#This Row],[Stock Level  (South)]]</f>
        <v>0</v>
      </c>
      <c r="S240" s="20">
        <f>IFERROR(GETPIVOTDATA("QTY",$B$56,"PRODUCT_DESCRIPTION", $B$205, "SALES_ORDER_DATE",Table2529303539[[#This Row],[Date]], "AREA_NAME", "South"), 0)</f>
        <v>0</v>
      </c>
      <c r="T240" s="20">
        <f>Table2529303539[[#This Row],[Stock Change (t1-t0) (South)]]+Table2529303539[[#This Row],[Sales]]</f>
        <v>0</v>
      </c>
      <c r="U240" s="18">
        <f>IF(Table2529303539[[#This Row],[Regional Transfer (Real)]]=0, 0, Table2529303539[[#This Row],[Regional Transfer (Real)]]+Table2529303539[[#This Row],[Stock Level  (South)]])</f>
        <v>0</v>
      </c>
      <c r="W240" s="4" t="s">
        <v>36</v>
      </c>
      <c r="X240" s="20">
        <f t="shared" si="11"/>
        <v>195</v>
      </c>
      <c r="Y240" s="20">
        <f>X241-Table252930323640[[#This Row],[Stock Level  (West)]]</f>
        <v>0</v>
      </c>
      <c r="Z240" s="20">
        <f>IFERROR(GETPIVOTDATA("QTY",$B$56,"PRODUCT_DESCRIPTION", $B$205, "SALES_ORDER_DATE",Table252930323640[[#This Row],[Date]], "AREA_NAME", "West"), 0)</f>
        <v>0</v>
      </c>
      <c r="AA240" s="20">
        <f>Table252930323640[[#This Row],[Stock Change (t1-t0) (West)]]+Table252930323640[[#This Row],[Sales]]</f>
        <v>0</v>
      </c>
      <c r="AB240" s="18">
        <f>IF(Table252930323640[[#This Row],[Regional Transfer (Real)]]=0, 0, Table252930323640[[#This Row],[Regional Transfer (Real)]]+Table252930323640[[#This Row],[Stock Level  (West)]])</f>
        <v>0</v>
      </c>
    </row>
    <row r="241" spans="2:28" x14ac:dyDescent="0.2">
      <c r="B241" s="4" t="s">
        <v>58</v>
      </c>
      <c r="C241" s="20">
        <f t="shared" si="8"/>
        <v>579</v>
      </c>
      <c r="D241" s="20">
        <f>C242-Table253337[[#This Row],[Stock Level  ]]</f>
        <v>0</v>
      </c>
      <c r="E241" s="20">
        <f>IFERROR(GETPIVOTDATA("QTY",$B$56,"PRODUCT_DESCRIPTION", $B$205, "SALES_ORDER_DATE",Table253337[[#This Row],[Date]]), 0)</f>
        <v>0</v>
      </c>
      <c r="F241" s="20">
        <f>Table253337[[#This Row],[Stock Change (t1-t0)]]+Table253337[[#This Row],[Sales]]</f>
        <v>0</v>
      </c>
      <c r="G241" s="18">
        <f>IF(Table253337[[#This Row],[Purchase (Real)]]=0, 0, Table253337[[#This Row],[Purchase (Real)]]+C240)</f>
        <v>0</v>
      </c>
      <c r="I241" s="4" t="s">
        <v>58</v>
      </c>
      <c r="J241" s="20">
        <f t="shared" si="9"/>
        <v>132</v>
      </c>
      <c r="K241" s="20">
        <f>J242-Table25293438[[#This Row],[Stock Level  (North)]]</f>
        <v>0</v>
      </c>
      <c r="L241" s="20">
        <f>IFERROR(GETPIVOTDATA("QTY",$B$56,"PRODUCT_DESCRIPTION", $B$205, "SALES_ORDER_DATE",Table25293438[[#This Row],[Date]], "AREA_NAME", "North"), 0)</f>
        <v>0</v>
      </c>
      <c r="M241" s="20">
        <f>Table25293438[[#This Row],[Stock Change (t1-t0) (North)]]+Table25293438[[#This Row],[Sales]]</f>
        <v>0</v>
      </c>
      <c r="N241" s="18">
        <f>IF(Table25293438[[#This Row],[Regional Transfer (Real)]]=0, 0, Table25293438[[#This Row],[Regional Transfer (Real)]]+Table25293438[[#This Row],[Stock Level  (North)]])</f>
        <v>0</v>
      </c>
      <c r="P241" s="4" t="s">
        <v>58</v>
      </c>
      <c r="Q241" s="20">
        <f t="shared" si="10"/>
        <v>181</v>
      </c>
      <c r="R241" s="20">
        <f>Q242-Table2529303539[[#This Row],[Stock Level  (South)]]</f>
        <v>0</v>
      </c>
      <c r="S241" s="20">
        <f>IFERROR(GETPIVOTDATA("QTY",$B$56,"PRODUCT_DESCRIPTION", $B$205, "SALES_ORDER_DATE",Table2529303539[[#This Row],[Date]], "AREA_NAME", "South"), 0)</f>
        <v>0</v>
      </c>
      <c r="T241" s="20">
        <f>Table2529303539[[#This Row],[Stock Change (t1-t0) (South)]]+Table2529303539[[#This Row],[Sales]]</f>
        <v>0</v>
      </c>
      <c r="U241" s="18">
        <f>IF(Table2529303539[[#This Row],[Regional Transfer (Real)]]=0, 0, Table2529303539[[#This Row],[Regional Transfer (Real)]]+Table2529303539[[#This Row],[Stock Level  (South)]])</f>
        <v>0</v>
      </c>
      <c r="W241" s="4" t="s">
        <v>58</v>
      </c>
      <c r="X241" s="20">
        <f t="shared" si="11"/>
        <v>195</v>
      </c>
      <c r="Y241" s="20">
        <f>X242-Table252930323640[[#This Row],[Stock Level  (West)]]</f>
        <v>0</v>
      </c>
      <c r="Z241" s="20">
        <f>IFERROR(GETPIVOTDATA("QTY",$B$56,"PRODUCT_DESCRIPTION", $B$205, "SALES_ORDER_DATE",Table252930323640[[#This Row],[Date]], "AREA_NAME", "West"), 0)</f>
        <v>0</v>
      </c>
      <c r="AA241" s="20">
        <f>Table252930323640[[#This Row],[Stock Change (t1-t0) (West)]]+Table252930323640[[#This Row],[Sales]]</f>
        <v>0</v>
      </c>
      <c r="AB241" s="18">
        <f>IF(Table252930323640[[#This Row],[Regional Transfer (Real)]]=0, 0, Table252930323640[[#This Row],[Regional Transfer (Real)]]+Table252930323640[[#This Row],[Stock Level  (West)]])</f>
        <v>0</v>
      </c>
    </row>
    <row r="242" spans="2:28" x14ac:dyDescent="0.2">
      <c r="B242" s="4" t="s">
        <v>37</v>
      </c>
      <c r="C242" s="20">
        <f t="shared" si="8"/>
        <v>579</v>
      </c>
      <c r="D242" s="20">
        <f>C243-Table253337[[#This Row],[Stock Level  ]]</f>
        <v>0</v>
      </c>
      <c r="E242" s="20">
        <f>IFERROR(GETPIVOTDATA("QTY",$B$56,"PRODUCT_DESCRIPTION", $B$205, "SALES_ORDER_DATE",Table253337[[#This Row],[Date]]), 0)</f>
        <v>0</v>
      </c>
      <c r="F242" s="20">
        <f>Table253337[[#This Row],[Stock Change (t1-t0)]]+Table253337[[#This Row],[Sales]]</f>
        <v>0</v>
      </c>
      <c r="G242" s="18">
        <f>IF(Table253337[[#This Row],[Purchase (Real)]]=0, 0, Table253337[[#This Row],[Purchase (Real)]]+C241)</f>
        <v>0</v>
      </c>
      <c r="I242" s="4" t="s">
        <v>37</v>
      </c>
      <c r="J242" s="20">
        <f t="shared" si="9"/>
        <v>132</v>
      </c>
      <c r="K242" s="20">
        <f>J243-Table25293438[[#This Row],[Stock Level  (North)]]</f>
        <v>0</v>
      </c>
      <c r="L242" s="20">
        <f>IFERROR(GETPIVOTDATA("QTY",$B$56,"PRODUCT_DESCRIPTION", $B$205, "SALES_ORDER_DATE",Table25293438[[#This Row],[Date]], "AREA_NAME", "North"), 0)</f>
        <v>0</v>
      </c>
      <c r="M242" s="20">
        <f>Table25293438[[#This Row],[Stock Change (t1-t0) (North)]]+Table25293438[[#This Row],[Sales]]</f>
        <v>0</v>
      </c>
      <c r="N242" s="18">
        <f>IF(Table25293438[[#This Row],[Regional Transfer (Real)]]=0, 0, Table25293438[[#This Row],[Regional Transfer (Real)]]+Table25293438[[#This Row],[Stock Level  (North)]])</f>
        <v>0</v>
      </c>
      <c r="P242" s="4" t="s">
        <v>37</v>
      </c>
      <c r="Q242" s="20">
        <f t="shared" si="10"/>
        <v>181</v>
      </c>
      <c r="R242" s="20">
        <f>Q243-Table2529303539[[#This Row],[Stock Level  (South)]]</f>
        <v>0</v>
      </c>
      <c r="S242" s="20">
        <f>IFERROR(GETPIVOTDATA("QTY",$B$56,"PRODUCT_DESCRIPTION", $B$205, "SALES_ORDER_DATE",Table2529303539[[#This Row],[Date]], "AREA_NAME", "South"), 0)</f>
        <v>0</v>
      </c>
      <c r="T242" s="20">
        <f>Table2529303539[[#This Row],[Stock Change (t1-t0) (South)]]+Table2529303539[[#This Row],[Sales]]</f>
        <v>0</v>
      </c>
      <c r="U242" s="18">
        <f>IF(Table2529303539[[#This Row],[Regional Transfer (Real)]]=0, 0, Table2529303539[[#This Row],[Regional Transfer (Real)]]+Table2529303539[[#This Row],[Stock Level  (South)]])</f>
        <v>0</v>
      </c>
      <c r="W242" s="4" t="s">
        <v>37</v>
      </c>
      <c r="X242" s="20">
        <f t="shared" si="11"/>
        <v>195</v>
      </c>
      <c r="Y242" s="20">
        <f>X243-Table252930323640[[#This Row],[Stock Level  (West)]]</f>
        <v>0</v>
      </c>
      <c r="Z242" s="20">
        <f>IFERROR(GETPIVOTDATA("QTY",$B$56,"PRODUCT_DESCRIPTION", $B$205, "SALES_ORDER_DATE",Table252930323640[[#This Row],[Date]], "AREA_NAME", "West"), 0)</f>
        <v>0</v>
      </c>
      <c r="AA242" s="20">
        <f>Table252930323640[[#This Row],[Stock Change (t1-t0) (West)]]+Table252930323640[[#This Row],[Sales]]</f>
        <v>0</v>
      </c>
      <c r="AB242" s="18">
        <f>IF(Table252930323640[[#This Row],[Regional Transfer (Real)]]=0, 0, Table252930323640[[#This Row],[Regional Transfer (Real)]]+Table252930323640[[#This Row],[Stock Level  (West)]])</f>
        <v>0</v>
      </c>
    </row>
    <row r="243" spans="2:28" x14ac:dyDescent="0.2">
      <c r="B243" s="4" t="s">
        <v>38</v>
      </c>
      <c r="C243" s="20">
        <f t="shared" si="8"/>
        <v>579</v>
      </c>
      <c r="D243" s="20">
        <f>C244-Table253337[[#This Row],[Stock Level  ]]</f>
        <v>0</v>
      </c>
      <c r="E243" s="20">
        <f>IFERROR(GETPIVOTDATA("QTY",$B$56,"PRODUCT_DESCRIPTION", $B$205, "SALES_ORDER_DATE",Table253337[[#This Row],[Date]]), 0)</f>
        <v>0</v>
      </c>
      <c r="F243" s="20">
        <f>Table253337[[#This Row],[Stock Change (t1-t0)]]+Table253337[[#This Row],[Sales]]</f>
        <v>0</v>
      </c>
      <c r="G243" s="18">
        <f>IF(Table253337[[#This Row],[Purchase (Real)]]=0, 0, Table253337[[#This Row],[Purchase (Real)]]+C242)</f>
        <v>0</v>
      </c>
      <c r="I243" s="4" t="s">
        <v>38</v>
      </c>
      <c r="J243" s="20">
        <f t="shared" si="9"/>
        <v>132</v>
      </c>
      <c r="K243" s="20">
        <f>J244-Table25293438[[#This Row],[Stock Level  (North)]]</f>
        <v>53</v>
      </c>
      <c r="L243" s="20">
        <f>IFERROR(GETPIVOTDATA("QTY",$B$56,"PRODUCT_DESCRIPTION", $B$205, "SALES_ORDER_DATE",Table25293438[[#This Row],[Date]], "AREA_NAME", "North"), 0)</f>
        <v>0</v>
      </c>
      <c r="M243" s="20">
        <f>Table25293438[[#This Row],[Stock Change (t1-t0) (North)]]+Table25293438[[#This Row],[Sales]]</f>
        <v>53</v>
      </c>
      <c r="N243" s="18">
        <f>IF(Table25293438[[#This Row],[Regional Transfer (Real)]]=0, 0, Table25293438[[#This Row],[Regional Transfer (Real)]]+Table25293438[[#This Row],[Stock Level  (North)]])</f>
        <v>185</v>
      </c>
      <c r="P243" s="4" t="s">
        <v>38</v>
      </c>
      <c r="Q243" s="20">
        <f t="shared" si="10"/>
        <v>181</v>
      </c>
      <c r="R243" s="20">
        <f>Q244-Table2529303539[[#This Row],[Stock Level  (South)]]</f>
        <v>15</v>
      </c>
      <c r="S243" s="20">
        <f>IFERROR(GETPIVOTDATA("QTY",$B$56,"PRODUCT_DESCRIPTION", $B$205, "SALES_ORDER_DATE",Table2529303539[[#This Row],[Date]], "AREA_NAME", "South"), 0)</f>
        <v>0</v>
      </c>
      <c r="T243" s="20">
        <f>Table2529303539[[#This Row],[Stock Change (t1-t0) (South)]]+Table2529303539[[#This Row],[Sales]]</f>
        <v>15</v>
      </c>
      <c r="U243" s="18">
        <f>IF(Table2529303539[[#This Row],[Regional Transfer (Real)]]=0, 0, Table2529303539[[#This Row],[Regional Transfer (Real)]]+Table2529303539[[#This Row],[Stock Level  (South)]])</f>
        <v>196</v>
      </c>
      <c r="W243" s="4" t="s">
        <v>38</v>
      </c>
      <c r="X243" s="20">
        <f t="shared" si="11"/>
        <v>195</v>
      </c>
      <c r="Y243" s="20">
        <f>X244-Table252930323640[[#This Row],[Stock Level  (West)]]</f>
        <v>3</v>
      </c>
      <c r="Z243" s="20">
        <f>IFERROR(GETPIVOTDATA("QTY",$B$56,"PRODUCT_DESCRIPTION", $B$205, "SALES_ORDER_DATE",Table252930323640[[#This Row],[Date]], "AREA_NAME", "West"), 0)</f>
        <v>0</v>
      </c>
      <c r="AA243" s="20">
        <f>Table252930323640[[#This Row],[Stock Change (t1-t0) (West)]]+Table252930323640[[#This Row],[Sales]]</f>
        <v>3</v>
      </c>
      <c r="AB243" s="18">
        <f>IF(Table252930323640[[#This Row],[Regional Transfer (Real)]]=0, 0, Table252930323640[[#This Row],[Regional Transfer (Real)]]+Table252930323640[[#This Row],[Stock Level  (West)]])</f>
        <v>198</v>
      </c>
    </row>
    <row r="244" spans="2:28" x14ac:dyDescent="0.2">
      <c r="B244" s="4" t="s">
        <v>39</v>
      </c>
      <c r="C244" s="20">
        <f t="shared" si="8"/>
        <v>579</v>
      </c>
      <c r="D244" s="20">
        <f>C245-Table253337[[#This Row],[Stock Level  ]]</f>
        <v>0</v>
      </c>
      <c r="E244" s="20">
        <f>IFERROR(GETPIVOTDATA("QTY",$B$56,"PRODUCT_DESCRIPTION", $B$205, "SALES_ORDER_DATE",Table253337[[#This Row],[Date]]), 0)</f>
        <v>0</v>
      </c>
      <c r="F244" s="20">
        <f>Table253337[[#This Row],[Stock Change (t1-t0)]]+Table253337[[#This Row],[Sales]]</f>
        <v>0</v>
      </c>
      <c r="G244" s="18">
        <f>IF(Table253337[[#This Row],[Purchase (Real)]]=0, 0, Table253337[[#This Row],[Purchase (Real)]]+C243)</f>
        <v>0</v>
      </c>
      <c r="I244" s="4" t="s">
        <v>39</v>
      </c>
      <c r="J244" s="20">
        <f t="shared" si="9"/>
        <v>185</v>
      </c>
      <c r="K244" s="20">
        <f>J245-Table25293438[[#This Row],[Stock Level  (North)]]</f>
        <v>0</v>
      </c>
      <c r="L244" s="20">
        <f>IFERROR(GETPIVOTDATA("QTY",$B$56,"PRODUCT_DESCRIPTION", $B$205, "SALES_ORDER_DATE",Table25293438[[#This Row],[Date]], "AREA_NAME", "North"), 0)</f>
        <v>0</v>
      </c>
      <c r="M244" s="20">
        <f>Table25293438[[#This Row],[Stock Change (t1-t0) (North)]]+Table25293438[[#This Row],[Sales]]</f>
        <v>0</v>
      </c>
      <c r="N244" s="18">
        <f>IF(Table25293438[[#This Row],[Regional Transfer (Real)]]=0, 0, Table25293438[[#This Row],[Regional Transfer (Real)]]+Table25293438[[#This Row],[Stock Level  (North)]])</f>
        <v>0</v>
      </c>
      <c r="P244" s="4" t="s">
        <v>39</v>
      </c>
      <c r="Q244" s="20">
        <f t="shared" si="10"/>
        <v>196</v>
      </c>
      <c r="R244" s="20">
        <f>Q245-Table2529303539[[#This Row],[Stock Level  (South)]]</f>
        <v>0</v>
      </c>
      <c r="S244" s="20">
        <f>IFERROR(GETPIVOTDATA("QTY",$B$56,"PRODUCT_DESCRIPTION", $B$205, "SALES_ORDER_DATE",Table2529303539[[#This Row],[Date]], "AREA_NAME", "South"), 0)</f>
        <v>0</v>
      </c>
      <c r="T244" s="20">
        <f>Table2529303539[[#This Row],[Stock Change (t1-t0) (South)]]+Table2529303539[[#This Row],[Sales]]</f>
        <v>0</v>
      </c>
      <c r="U244" s="18">
        <f>IF(Table2529303539[[#This Row],[Regional Transfer (Real)]]=0, 0, Table2529303539[[#This Row],[Regional Transfer (Real)]]+Table2529303539[[#This Row],[Stock Level  (South)]])</f>
        <v>0</v>
      </c>
      <c r="W244" s="4" t="s">
        <v>39</v>
      </c>
      <c r="X244" s="20">
        <f t="shared" si="11"/>
        <v>198</v>
      </c>
      <c r="Y244" s="20">
        <f>X245-Table252930323640[[#This Row],[Stock Level  (West)]]</f>
        <v>0</v>
      </c>
      <c r="Z244" s="20">
        <f>IFERROR(GETPIVOTDATA("QTY",$B$56,"PRODUCT_DESCRIPTION", $B$205, "SALES_ORDER_DATE",Table252930323640[[#This Row],[Date]], "AREA_NAME", "West"), 0)</f>
        <v>0</v>
      </c>
      <c r="AA244" s="20">
        <f>Table252930323640[[#This Row],[Stock Change (t1-t0) (West)]]+Table252930323640[[#This Row],[Sales]]</f>
        <v>0</v>
      </c>
      <c r="AB244" s="18">
        <f>IF(Table252930323640[[#This Row],[Regional Transfer (Real)]]=0, 0, Table252930323640[[#This Row],[Regional Transfer (Real)]]+Table252930323640[[#This Row],[Stock Level  (West)]])</f>
        <v>0</v>
      </c>
    </row>
    <row r="245" spans="2:28" x14ac:dyDescent="0.2">
      <c r="B245" s="4" t="s">
        <v>40</v>
      </c>
      <c r="C245" s="20">
        <f t="shared" si="8"/>
        <v>579</v>
      </c>
      <c r="D245" s="20">
        <f>C246-Table253337[[#This Row],[Stock Level  ]]</f>
        <v>0</v>
      </c>
      <c r="E245" s="20">
        <f>IFERROR(GETPIVOTDATA("QTY",$B$56,"PRODUCT_DESCRIPTION", $B$205, "SALES_ORDER_DATE",Table253337[[#This Row],[Date]]), 0)</f>
        <v>0</v>
      </c>
      <c r="F245" s="20">
        <f>Table253337[[#This Row],[Stock Change (t1-t0)]]+Table253337[[#This Row],[Sales]]</f>
        <v>0</v>
      </c>
      <c r="G245" s="18">
        <f>IF(Table253337[[#This Row],[Purchase (Real)]]=0, 0, Table253337[[#This Row],[Purchase (Real)]]+C244)</f>
        <v>0</v>
      </c>
      <c r="I245" s="4" t="s">
        <v>40</v>
      </c>
      <c r="J245" s="20">
        <f t="shared" si="9"/>
        <v>185</v>
      </c>
      <c r="K245" s="20">
        <f>J246-Table25293438[[#This Row],[Stock Level  (North)]]</f>
        <v>0</v>
      </c>
      <c r="L245" s="20">
        <f>IFERROR(GETPIVOTDATA("QTY",$B$56,"PRODUCT_DESCRIPTION", $B$205, "SALES_ORDER_DATE",Table25293438[[#This Row],[Date]], "AREA_NAME", "North"), 0)</f>
        <v>0</v>
      </c>
      <c r="M245" s="20">
        <f>Table25293438[[#This Row],[Stock Change (t1-t0) (North)]]+Table25293438[[#This Row],[Sales]]</f>
        <v>0</v>
      </c>
      <c r="N245" s="18">
        <f>IF(Table25293438[[#This Row],[Regional Transfer (Real)]]=0, 0, Table25293438[[#This Row],[Regional Transfer (Real)]]+Table25293438[[#This Row],[Stock Level  (North)]])</f>
        <v>0</v>
      </c>
      <c r="P245" s="4" t="s">
        <v>40</v>
      </c>
      <c r="Q245" s="20">
        <f t="shared" si="10"/>
        <v>196</v>
      </c>
      <c r="R245" s="20">
        <f>Q246-Table2529303539[[#This Row],[Stock Level  (South)]]</f>
        <v>0</v>
      </c>
      <c r="S245" s="20">
        <f>IFERROR(GETPIVOTDATA("QTY",$B$56,"PRODUCT_DESCRIPTION", $B$205, "SALES_ORDER_DATE",Table2529303539[[#This Row],[Date]], "AREA_NAME", "South"), 0)</f>
        <v>0</v>
      </c>
      <c r="T245" s="20">
        <f>Table2529303539[[#This Row],[Stock Change (t1-t0) (South)]]+Table2529303539[[#This Row],[Sales]]</f>
        <v>0</v>
      </c>
      <c r="U245" s="18">
        <f>IF(Table2529303539[[#This Row],[Regional Transfer (Real)]]=0, 0, Table2529303539[[#This Row],[Regional Transfer (Real)]]+Table2529303539[[#This Row],[Stock Level  (South)]])</f>
        <v>0</v>
      </c>
      <c r="W245" s="4" t="s">
        <v>40</v>
      </c>
      <c r="X245" s="20">
        <f t="shared" si="11"/>
        <v>198</v>
      </c>
      <c r="Y245" s="20">
        <f>X246-Table252930323640[[#This Row],[Stock Level  (West)]]</f>
        <v>0</v>
      </c>
      <c r="Z245" s="20">
        <f>IFERROR(GETPIVOTDATA("QTY",$B$56,"PRODUCT_DESCRIPTION", $B$205, "SALES_ORDER_DATE",Table252930323640[[#This Row],[Date]], "AREA_NAME", "West"), 0)</f>
        <v>0</v>
      </c>
      <c r="AA245" s="20">
        <f>Table252930323640[[#This Row],[Stock Change (t1-t0) (West)]]+Table252930323640[[#This Row],[Sales]]</f>
        <v>0</v>
      </c>
      <c r="AB245" s="18">
        <f>IF(Table252930323640[[#This Row],[Regional Transfer (Real)]]=0, 0, Table252930323640[[#This Row],[Regional Transfer (Real)]]+Table252930323640[[#This Row],[Stock Level  (West)]])</f>
        <v>0</v>
      </c>
    </row>
    <row r="246" spans="2:28" x14ac:dyDescent="0.2">
      <c r="B246" s="4" t="s">
        <v>41</v>
      </c>
      <c r="C246" s="20">
        <f t="shared" si="8"/>
        <v>579</v>
      </c>
      <c r="D246" s="20">
        <f>C247-Table253337[[#This Row],[Stock Level  ]]</f>
        <v>0</v>
      </c>
      <c r="E246" s="20">
        <f>IFERROR(GETPIVOTDATA("QTY",$B$56,"PRODUCT_DESCRIPTION", $B$205, "SALES_ORDER_DATE",Table253337[[#This Row],[Date]]), 0)</f>
        <v>0</v>
      </c>
      <c r="F246" s="20">
        <f>Table253337[[#This Row],[Stock Change (t1-t0)]]+Table253337[[#This Row],[Sales]]</f>
        <v>0</v>
      </c>
      <c r="G246" s="18">
        <f>IF(Table253337[[#This Row],[Purchase (Real)]]=0, 0, Table253337[[#This Row],[Purchase (Real)]]+C245)</f>
        <v>0</v>
      </c>
      <c r="I246" s="4" t="s">
        <v>41</v>
      </c>
      <c r="J246" s="20">
        <f t="shared" si="9"/>
        <v>185</v>
      </c>
      <c r="K246" s="20">
        <f>J247-Table25293438[[#This Row],[Stock Level  (North)]]</f>
        <v>0</v>
      </c>
      <c r="L246" s="20">
        <f>IFERROR(GETPIVOTDATA("QTY",$B$56,"PRODUCT_DESCRIPTION", $B$205, "SALES_ORDER_DATE",Table25293438[[#This Row],[Date]], "AREA_NAME", "North"), 0)</f>
        <v>0</v>
      </c>
      <c r="M246" s="20">
        <f>Table25293438[[#This Row],[Stock Change (t1-t0) (North)]]+Table25293438[[#This Row],[Sales]]</f>
        <v>0</v>
      </c>
      <c r="N246" s="18">
        <f>IF(Table25293438[[#This Row],[Regional Transfer (Real)]]=0, 0, Table25293438[[#This Row],[Regional Transfer (Real)]]+Table25293438[[#This Row],[Stock Level  (North)]])</f>
        <v>0</v>
      </c>
      <c r="P246" s="4" t="s">
        <v>41</v>
      </c>
      <c r="Q246" s="20">
        <f t="shared" si="10"/>
        <v>196</v>
      </c>
      <c r="R246" s="20">
        <f>Q247-Table2529303539[[#This Row],[Stock Level  (South)]]</f>
        <v>0</v>
      </c>
      <c r="S246" s="20">
        <f>IFERROR(GETPIVOTDATA("QTY",$B$56,"PRODUCT_DESCRIPTION", $B$205, "SALES_ORDER_DATE",Table2529303539[[#This Row],[Date]], "AREA_NAME", "South"), 0)</f>
        <v>0</v>
      </c>
      <c r="T246" s="20">
        <f>Table2529303539[[#This Row],[Stock Change (t1-t0) (South)]]+Table2529303539[[#This Row],[Sales]]</f>
        <v>0</v>
      </c>
      <c r="U246" s="18">
        <f>IF(Table2529303539[[#This Row],[Regional Transfer (Real)]]=0, 0, Table2529303539[[#This Row],[Regional Transfer (Real)]]+Table2529303539[[#This Row],[Stock Level  (South)]])</f>
        <v>0</v>
      </c>
      <c r="W246" s="4" t="s">
        <v>41</v>
      </c>
      <c r="X246" s="20">
        <f t="shared" si="11"/>
        <v>198</v>
      </c>
      <c r="Y246" s="20">
        <f>X247-Table252930323640[[#This Row],[Stock Level  (West)]]</f>
        <v>0</v>
      </c>
      <c r="Z246" s="20">
        <f>IFERROR(GETPIVOTDATA("QTY",$B$56,"PRODUCT_DESCRIPTION", $B$205, "SALES_ORDER_DATE",Table252930323640[[#This Row],[Date]], "AREA_NAME", "West"), 0)</f>
        <v>0</v>
      </c>
      <c r="AA246" s="20">
        <f>Table252930323640[[#This Row],[Stock Change (t1-t0) (West)]]+Table252930323640[[#This Row],[Sales]]</f>
        <v>0</v>
      </c>
      <c r="AB246" s="18">
        <f>IF(Table252930323640[[#This Row],[Regional Transfer (Real)]]=0, 0, Table252930323640[[#This Row],[Regional Transfer (Real)]]+Table252930323640[[#This Row],[Stock Level  (West)]])</f>
        <v>0</v>
      </c>
    </row>
    <row r="247" spans="2:28" x14ac:dyDescent="0.2">
      <c r="B247" s="4" t="s">
        <v>42</v>
      </c>
      <c r="C247" s="20">
        <f t="shared" si="8"/>
        <v>579</v>
      </c>
      <c r="D247" s="20">
        <f>C248-Table253337[[#This Row],[Stock Level  ]]</f>
        <v>0</v>
      </c>
      <c r="E247" s="20">
        <f>IFERROR(GETPIVOTDATA("QTY",$B$56,"PRODUCT_DESCRIPTION", $B$205, "SALES_ORDER_DATE",Table253337[[#This Row],[Date]]), 0)</f>
        <v>0</v>
      </c>
      <c r="F247" s="20">
        <f>Table253337[[#This Row],[Stock Change (t1-t0)]]+Table253337[[#This Row],[Sales]]</f>
        <v>0</v>
      </c>
      <c r="G247" s="18">
        <f>IF(Table253337[[#This Row],[Purchase (Real)]]=0, 0, Table253337[[#This Row],[Purchase (Real)]]+C246)</f>
        <v>0</v>
      </c>
      <c r="I247" s="4" t="s">
        <v>42</v>
      </c>
      <c r="J247" s="20">
        <f t="shared" si="9"/>
        <v>185</v>
      </c>
      <c r="K247" s="20">
        <f>J248-Table25293438[[#This Row],[Stock Level  (North)]]</f>
        <v>0</v>
      </c>
      <c r="L247" s="20">
        <f>IFERROR(GETPIVOTDATA("QTY",$B$56,"PRODUCT_DESCRIPTION", $B$205, "SALES_ORDER_DATE",Table25293438[[#This Row],[Date]], "AREA_NAME", "North"), 0)</f>
        <v>0</v>
      </c>
      <c r="M247" s="20">
        <f>Table25293438[[#This Row],[Stock Change (t1-t0) (North)]]+Table25293438[[#This Row],[Sales]]</f>
        <v>0</v>
      </c>
      <c r="N247" s="18">
        <f>IF(Table25293438[[#This Row],[Regional Transfer (Real)]]=0, 0, Table25293438[[#This Row],[Regional Transfer (Real)]]+Table25293438[[#This Row],[Stock Level  (North)]])</f>
        <v>0</v>
      </c>
      <c r="P247" s="4" t="s">
        <v>42</v>
      </c>
      <c r="Q247" s="20">
        <f t="shared" si="10"/>
        <v>196</v>
      </c>
      <c r="R247" s="20">
        <f>Q248-Table2529303539[[#This Row],[Stock Level  (South)]]</f>
        <v>0</v>
      </c>
      <c r="S247" s="20">
        <f>IFERROR(GETPIVOTDATA("QTY",$B$56,"PRODUCT_DESCRIPTION", $B$205, "SALES_ORDER_DATE",Table2529303539[[#This Row],[Date]], "AREA_NAME", "South"), 0)</f>
        <v>0</v>
      </c>
      <c r="T247" s="20">
        <f>Table2529303539[[#This Row],[Stock Change (t1-t0) (South)]]+Table2529303539[[#This Row],[Sales]]</f>
        <v>0</v>
      </c>
      <c r="U247" s="18">
        <f>IF(Table2529303539[[#This Row],[Regional Transfer (Real)]]=0, 0, Table2529303539[[#This Row],[Regional Transfer (Real)]]+Table2529303539[[#This Row],[Stock Level  (South)]])</f>
        <v>0</v>
      </c>
      <c r="W247" s="4" t="s">
        <v>42</v>
      </c>
      <c r="X247" s="20">
        <f t="shared" si="11"/>
        <v>198</v>
      </c>
      <c r="Y247" s="20">
        <f>X248-Table252930323640[[#This Row],[Stock Level  (West)]]</f>
        <v>0</v>
      </c>
      <c r="Z247" s="20">
        <f>IFERROR(GETPIVOTDATA("QTY",$B$56,"PRODUCT_DESCRIPTION", $B$205, "SALES_ORDER_DATE",Table252930323640[[#This Row],[Date]], "AREA_NAME", "West"), 0)</f>
        <v>0</v>
      </c>
      <c r="AA247" s="20">
        <f>Table252930323640[[#This Row],[Stock Change (t1-t0) (West)]]+Table252930323640[[#This Row],[Sales]]</f>
        <v>0</v>
      </c>
      <c r="AB247" s="18">
        <f>IF(Table252930323640[[#This Row],[Regional Transfer (Real)]]=0, 0, Table252930323640[[#This Row],[Regional Transfer (Real)]]+Table252930323640[[#This Row],[Stock Level  (West)]])</f>
        <v>0</v>
      </c>
    </row>
    <row r="248" spans="2:28" x14ac:dyDescent="0.2">
      <c r="B248" s="4" t="s">
        <v>43</v>
      </c>
      <c r="C248" s="20">
        <f t="shared" si="8"/>
        <v>579</v>
      </c>
      <c r="D248" s="20">
        <f>C249-Table253337[[#This Row],[Stock Level  ]]</f>
        <v>-52</v>
      </c>
      <c r="E248" s="20">
        <f>IFERROR(GETPIVOTDATA("QTY",$B$56,"PRODUCT_DESCRIPTION", $B$205, "SALES_ORDER_DATE",Table253337[[#This Row],[Date]]), 0)</f>
        <v>52</v>
      </c>
      <c r="F248" s="20">
        <f>Table253337[[#This Row],[Stock Change (t1-t0)]]+Table253337[[#This Row],[Sales]]</f>
        <v>0</v>
      </c>
      <c r="G248" s="18">
        <f>IF(Table253337[[#This Row],[Purchase (Real)]]=0, 0, Table253337[[#This Row],[Purchase (Real)]]+C247)</f>
        <v>0</v>
      </c>
      <c r="I248" s="4" t="s">
        <v>43</v>
      </c>
      <c r="J248" s="20">
        <f t="shared" si="9"/>
        <v>185</v>
      </c>
      <c r="K248" s="20">
        <f>J249-Table25293438[[#This Row],[Stock Level  (North)]]</f>
        <v>-24</v>
      </c>
      <c r="L248" s="20">
        <f>IFERROR(GETPIVOTDATA("QTY",$B$56,"PRODUCT_DESCRIPTION", $B$205, "SALES_ORDER_DATE",Table25293438[[#This Row],[Date]], "AREA_NAME", "North"), 0)</f>
        <v>24</v>
      </c>
      <c r="M248" s="20">
        <f>Table25293438[[#This Row],[Stock Change (t1-t0) (North)]]+Table25293438[[#This Row],[Sales]]</f>
        <v>0</v>
      </c>
      <c r="N248" s="18">
        <f>IF(Table25293438[[#This Row],[Regional Transfer (Real)]]=0, 0, Table25293438[[#This Row],[Regional Transfer (Real)]]+Table25293438[[#This Row],[Stock Level  (North)]])</f>
        <v>0</v>
      </c>
      <c r="P248" s="4" t="s">
        <v>43</v>
      </c>
      <c r="Q248" s="20">
        <f t="shared" si="10"/>
        <v>196</v>
      </c>
      <c r="R248" s="20">
        <f>Q249-Table2529303539[[#This Row],[Stock Level  (South)]]</f>
        <v>-28</v>
      </c>
      <c r="S248" s="20">
        <f>IFERROR(GETPIVOTDATA("QTY",$B$56,"PRODUCT_DESCRIPTION", $B$205, "SALES_ORDER_DATE",Table2529303539[[#This Row],[Date]], "AREA_NAME", "South"), 0)</f>
        <v>28</v>
      </c>
      <c r="T248" s="20">
        <f>Table2529303539[[#This Row],[Stock Change (t1-t0) (South)]]+Table2529303539[[#This Row],[Sales]]</f>
        <v>0</v>
      </c>
      <c r="U248" s="18">
        <f>IF(Table2529303539[[#This Row],[Regional Transfer (Real)]]=0, 0, Table2529303539[[#This Row],[Regional Transfer (Real)]]+Table2529303539[[#This Row],[Stock Level  (South)]])</f>
        <v>0</v>
      </c>
      <c r="W248" s="4" t="s">
        <v>43</v>
      </c>
      <c r="X248" s="20">
        <f t="shared" si="11"/>
        <v>198</v>
      </c>
      <c r="Y248" s="20">
        <f>X249-Table252930323640[[#This Row],[Stock Level  (West)]]</f>
        <v>0</v>
      </c>
      <c r="Z248" s="20">
        <f>IFERROR(GETPIVOTDATA("QTY",$B$56,"PRODUCT_DESCRIPTION", $B$205, "SALES_ORDER_DATE",Table252930323640[[#This Row],[Date]], "AREA_NAME", "West"), 0)</f>
        <v>0</v>
      </c>
      <c r="AA248" s="20">
        <f>Table252930323640[[#This Row],[Stock Change (t1-t0) (West)]]+Table252930323640[[#This Row],[Sales]]</f>
        <v>0</v>
      </c>
      <c r="AB248" s="18">
        <f>IF(Table252930323640[[#This Row],[Regional Transfer (Real)]]=0, 0, Table252930323640[[#This Row],[Regional Transfer (Real)]]+Table252930323640[[#This Row],[Stock Level  (West)]])</f>
        <v>0</v>
      </c>
    </row>
    <row r="249" spans="2:28" x14ac:dyDescent="0.2">
      <c r="B249" s="4" t="s">
        <v>44</v>
      </c>
      <c r="C249" s="20">
        <f t="shared" si="8"/>
        <v>527</v>
      </c>
      <c r="D249" s="20">
        <f>C250-Table253337[[#This Row],[Stock Level  ]]</f>
        <v>50</v>
      </c>
      <c r="E249" s="20">
        <f>IFERROR(GETPIVOTDATA("QTY",$B$56,"PRODUCT_DESCRIPTION", $B$205, "SALES_ORDER_DATE",Table253337[[#This Row],[Date]]), 0)</f>
        <v>23</v>
      </c>
      <c r="F249" s="20">
        <f>Table253337[[#This Row],[Stock Change (t1-t0)]]+Table253337[[#This Row],[Sales]]</f>
        <v>73</v>
      </c>
      <c r="G249" s="18">
        <f>IF(Table253337[[#This Row],[Purchase (Real)]]=0, 0, Table253337[[#This Row],[Purchase (Real)]]+C248)</f>
        <v>652</v>
      </c>
      <c r="I249" s="4" t="s">
        <v>44</v>
      </c>
      <c r="J249" s="20">
        <f t="shared" si="9"/>
        <v>161</v>
      </c>
      <c r="K249" s="20">
        <f>J250-Table25293438[[#This Row],[Stock Level  (North)]]</f>
        <v>0</v>
      </c>
      <c r="L249" s="20">
        <f>IFERROR(GETPIVOTDATA("QTY",$B$56,"PRODUCT_DESCRIPTION", $B$205, "SALES_ORDER_DATE",Table25293438[[#This Row],[Date]], "AREA_NAME", "North"), 0)</f>
        <v>0</v>
      </c>
      <c r="M249" s="20">
        <f>Table25293438[[#This Row],[Stock Change (t1-t0) (North)]]+Table25293438[[#This Row],[Sales]]</f>
        <v>0</v>
      </c>
      <c r="N249" s="18">
        <f>IF(Table25293438[[#This Row],[Regional Transfer (Real)]]=0, 0, Table25293438[[#This Row],[Regional Transfer (Real)]]+Table25293438[[#This Row],[Stock Level  (North)]])</f>
        <v>0</v>
      </c>
      <c r="P249" s="4" t="s">
        <v>44</v>
      </c>
      <c r="Q249" s="20">
        <f t="shared" si="10"/>
        <v>168</v>
      </c>
      <c r="R249" s="20">
        <f>Q250-Table2529303539[[#This Row],[Stock Level  (South)]]</f>
        <v>-23</v>
      </c>
      <c r="S249" s="20">
        <f>IFERROR(GETPIVOTDATA("QTY",$B$56,"PRODUCT_DESCRIPTION", $B$205, "SALES_ORDER_DATE",Table2529303539[[#This Row],[Date]], "AREA_NAME", "South"), 0)</f>
        <v>23</v>
      </c>
      <c r="T249" s="20">
        <f>Table2529303539[[#This Row],[Stock Change (t1-t0) (South)]]+Table2529303539[[#This Row],[Sales]]</f>
        <v>0</v>
      </c>
      <c r="U249" s="18">
        <f>IF(Table2529303539[[#This Row],[Regional Transfer (Real)]]=0, 0, Table2529303539[[#This Row],[Regional Transfer (Real)]]+Table2529303539[[#This Row],[Stock Level  (South)]])</f>
        <v>0</v>
      </c>
      <c r="W249" s="4" t="s">
        <v>44</v>
      </c>
      <c r="X249" s="20">
        <f t="shared" si="11"/>
        <v>198</v>
      </c>
      <c r="Y249" s="20">
        <f>X250-Table252930323640[[#This Row],[Stock Level  (West)]]</f>
        <v>0</v>
      </c>
      <c r="Z249" s="20">
        <f>IFERROR(GETPIVOTDATA("QTY",$B$56,"PRODUCT_DESCRIPTION", $B$205, "SALES_ORDER_DATE",Table252930323640[[#This Row],[Date]], "AREA_NAME", "West"), 0)</f>
        <v>0</v>
      </c>
      <c r="AA249" s="20">
        <f>Table252930323640[[#This Row],[Stock Change (t1-t0) (West)]]+Table252930323640[[#This Row],[Sales]]</f>
        <v>0</v>
      </c>
      <c r="AB249" s="18">
        <f>IF(Table252930323640[[#This Row],[Regional Transfer (Real)]]=0, 0, Table252930323640[[#This Row],[Regional Transfer (Real)]]+Table252930323640[[#This Row],[Stock Level  (West)]])</f>
        <v>0</v>
      </c>
    </row>
    <row r="250" spans="2:28" x14ac:dyDescent="0.2">
      <c r="B250" s="4" t="s">
        <v>45</v>
      </c>
      <c r="C250" s="20">
        <f t="shared" si="8"/>
        <v>577</v>
      </c>
      <c r="D250" s="20">
        <f>C251-Table253337[[#This Row],[Stock Level  ]]</f>
        <v>0</v>
      </c>
      <c r="E250" s="20">
        <f>IFERROR(GETPIVOTDATA("QTY",$B$56,"PRODUCT_DESCRIPTION", $B$205, "SALES_ORDER_DATE",Table253337[[#This Row],[Date]]), 0)</f>
        <v>0</v>
      </c>
      <c r="F250" s="20">
        <f>Table253337[[#This Row],[Stock Change (t1-t0)]]+Table253337[[#This Row],[Sales]]</f>
        <v>0</v>
      </c>
      <c r="G250" s="18">
        <f>IF(Table253337[[#This Row],[Purchase (Real)]]=0, 0, Table253337[[#This Row],[Purchase (Real)]]+C249)</f>
        <v>0</v>
      </c>
      <c r="I250" s="4" t="s">
        <v>45</v>
      </c>
      <c r="J250" s="20">
        <f t="shared" si="9"/>
        <v>161</v>
      </c>
      <c r="K250" s="20">
        <f>J251-Table25293438[[#This Row],[Stock Level  (North)]]</f>
        <v>0</v>
      </c>
      <c r="L250" s="20">
        <f>IFERROR(GETPIVOTDATA("QTY",$B$56,"PRODUCT_DESCRIPTION", $B$205, "SALES_ORDER_DATE",Table25293438[[#This Row],[Date]], "AREA_NAME", "North"), 0)</f>
        <v>0</v>
      </c>
      <c r="M250" s="20">
        <f>Table25293438[[#This Row],[Stock Change (t1-t0) (North)]]+Table25293438[[#This Row],[Sales]]</f>
        <v>0</v>
      </c>
      <c r="N250" s="18">
        <f>IF(Table25293438[[#This Row],[Regional Transfer (Real)]]=0, 0, Table25293438[[#This Row],[Regional Transfer (Real)]]+Table25293438[[#This Row],[Stock Level  (North)]])</f>
        <v>0</v>
      </c>
      <c r="P250" s="4" t="s">
        <v>45</v>
      </c>
      <c r="Q250" s="20">
        <f t="shared" si="10"/>
        <v>145</v>
      </c>
      <c r="R250" s="20">
        <f>Q251-Table2529303539[[#This Row],[Stock Level  (South)]]</f>
        <v>0</v>
      </c>
      <c r="S250" s="20">
        <f>IFERROR(GETPIVOTDATA("QTY",$B$56,"PRODUCT_DESCRIPTION", $B$205, "SALES_ORDER_DATE",Table2529303539[[#This Row],[Date]], "AREA_NAME", "South"), 0)</f>
        <v>0</v>
      </c>
      <c r="T250" s="20">
        <f>Table2529303539[[#This Row],[Stock Change (t1-t0) (South)]]+Table2529303539[[#This Row],[Sales]]</f>
        <v>0</v>
      </c>
      <c r="U250" s="18">
        <f>IF(Table2529303539[[#This Row],[Regional Transfer (Real)]]=0, 0, Table2529303539[[#This Row],[Regional Transfer (Real)]]+Table2529303539[[#This Row],[Stock Level  (South)]])</f>
        <v>0</v>
      </c>
      <c r="W250" s="4" t="s">
        <v>45</v>
      </c>
      <c r="X250" s="20">
        <f t="shared" si="11"/>
        <v>198</v>
      </c>
      <c r="Y250" s="20">
        <f>X251-Table252930323640[[#This Row],[Stock Level  (West)]]</f>
        <v>0</v>
      </c>
      <c r="Z250" s="20">
        <f>IFERROR(GETPIVOTDATA("QTY",$B$56,"PRODUCT_DESCRIPTION", $B$205, "SALES_ORDER_DATE",Table252930323640[[#This Row],[Date]], "AREA_NAME", "West"), 0)</f>
        <v>0</v>
      </c>
      <c r="AA250" s="20">
        <f>Table252930323640[[#This Row],[Stock Change (t1-t0) (West)]]+Table252930323640[[#This Row],[Sales]]</f>
        <v>0</v>
      </c>
      <c r="AB250" s="18">
        <f>IF(Table252930323640[[#This Row],[Regional Transfer (Real)]]=0, 0, Table252930323640[[#This Row],[Regional Transfer (Real)]]+Table252930323640[[#This Row],[Stock Level  (West)]])</f>
        <v>0</v>
      </c>
    </row>
    <row r="251" spans="2:28" x14ac:dyDescent="0.2">
      <c r="B251" s="4" t="s">
        <v>46</v>
      </c>
      <c r="C251" s="20">
        <f t="shared" si="8"/>
        <v>577</v>
      </c>
      <c r="D251" s="20">
        <f>C252-Table253337[[#This Row],[Stock Level  ]]</f>
        <v>0</v>
      </c>
      <c r="E251" s="20">
        <f>IFERROR(GETPIVOTDATA("QTY",$B$56,"PRODUCT_DESCRIPTION", $B$205, "SALES_ORDER_DATE",Table253337[[#This Row],[Date]]), 0)</f>
        <v>0</v>
      </c>
      <c r="F251" s="20">
        <f>Table253337[[#This Row],[Stock Change (t1-t0)]]+Table253337[[#This Row],[Sales]]</f>
        <v>0</v>
      </c>
      <c r="G251" s="18">
        <f>IF(Table253337[[#This Row],[Purchase (Real)]]=0, 0, Table253337[[#This Row],[Purchase (Real)]]+C250)</f>
        <v>0</v>
      </c>
      <c r="I251" s="4" t="s">
        <v>46</v>
      </c>
      <c r="J251" s="20">
        <f t="shared" si="9"/>
        <v>161</v>
      </c>
      <c r="K251" s="20">
        <f>J252-Table25293438[[#This Row],[Stock Level  (North)]]</f>
        <v>0</v>
      </c>
      <c r="L251" s="20">
        <f>IFERROR(GETPIVOTDATA("QTY",$B$56,"PRODUCT_DESCRIPTION", $B$205, "SALES_ORDER_DATE",Table25293438[[#This Row],[Date]], "AREA_NAME", "North"), 0)</f>
        <v>0</v>
      </c>
      <c r="M251" s="20">
        <f>Table25293438[[#This Row],[Stock Change (t1-t0) (North)]]+Table25293438[[#This Row],[Sales]]</f>
        <v>0</v>
      </c>
      <c r="N251" s="18">
        <f>IF(Table25293438[[#This Row],[Regional Transfer (Real)]]=0, 0, Table25293438[[#This Row],[Regional Transfer (Real)]]+Table25293438[[#This Row],[Stock Level  (North)]])</f>
        <v>0</v>
      </c>
      <c r="P251" s="4" t="s">
        <v>46</v>
      </c>
      <c r="Q251" s="20">
        <f t="shared" si="10"/>
        <v>145</v>
      </c>
      <c r="R251" s="20">
        <f>Q252-Table2529303539[[#This Row],[Stock Level  (South)]]</f>
        <v>0</v>
      </c>
      <c r="S251" s="20">
        <f>IFERROR(GETPIVOTDATA("QTY",$B$56,"PRODUCT_DESCRIPTION", $B$205, "SALES_ORDER_DATE",Table2529303539[[#This Row],[Date]], "AREA_NAME", "South"), 0)</f>
        <v>0</v>
      </c>
      <c r="T251" s="20">
        <f>Table2529303539[[#This Row],[Stock Change (t1-t0) (South)]]+Table2529303539[[#This Row],[Sales]]</f>
        <v>0</v>
      </c>
      <c r="U251" s="18">
        <f>IF(Table2529303539[[#This Row],[Regional Transfer (Real)]]=0, 0, Table2529303539[[#This Row],[Regional Transfer (Real)]]+Table2529303539[[#This Row],[Stock Level  (South)]])</f>
        <v>0</v>
      </c>
      <c r="W251" s="4" t="s">
        <v>46</v>
      </c>
      <c r="X251" s="20">
        <f t="shared" si="11"/>
        <v>198</v>
      </c>
      <c r="Y251" s="20">
        <f>X252-Table252930323640[[#This Row],[Stock Level  (West)]]</f>
        <v>0</v>
      </c>
      <c r="Z251" s="20">
        <f>IFERROR(GETPIVOTDATA("QTY",$B$56,"PRODUCT_DESCRIPTION", $B$205, "SALES_ORDER_DATE",Table252930323640[[#This Row],[Date]], "AREA_NAME", "West"), 0)</f>
        <v>0</v>
      </c>
      <c r="AA251" s="20">
        <f>Table252930323640[[#This Row],[Stock Change (t1-t0) (West)]]+Table252930323640[[#This Row],[Sales]]</f>
        <v>0</v>
      </c>
      <c r="AB251" s="18">
        <f>IF(Table252930323640[[#This Row],[Regional Transfer (Real)]]=0, 0, Table252930323640[[#This Row],[Regional Transfer (Real)]]+Table252930323640[[#This Row],[Stock Level  (West)]])</f>
        <v>0</v>
      </c>
    </row>
    <row r="252" spans="2:28" x14ac:dyDescent="0.2">
      <c r="B252" s="4" t="s">
        <v>59</v>
      </c>
      <c r="C252" s="20">
        <f t="shared" si="8"/>
        <v>577</v>
      </c>
      <c r="D252" s="20">
        <v>0</v>
      </c>
      <c r="E252" s="20">
        <f>IFERROR(GETPIVOTDATA("QTY",$B$56,"PRODUCT_DESCRIPTION", $B$205, "SALES_ORDER_DATE",Table253337[[#This Row],[Date]]), 0)</f>
        <v>0</v>
      </c>
      <c r="F252" s="20">
        <f>Table253337[[#This Row],[Stock Change (t1-t0)]]+Table253337[[#This Row],[Sales]]</f>
        <v>0</v>
      </c>
      <c r="G252" s="18">
        <f>IF(Table253337[[#This Row],[Purchase (Real)]]=0, 0, Table253337[[#This Row],[Purchase (Real)]]+C251)</f>
        <v>0</v>
      </c>
      <c r="I252" s="4" t="s">
        <v>59</v>
      </c>
      <c r="J252" s="20">
        <f t="shared" si="9"/>
        <v>161</v>
      </c>
      <c r="K252" s="20">
        <v>0</v>
      </c>
      <c r="L252" s="20">
        <f>IFERROR(GETPIVOTDATA("QTY",$B$56,"PRODUCT_DESCRIPTION", $B$205, "SALES_ORDER_DATE",Table25293438[[#This Row],[Date]], "AREA_NAME", "North"), 0)</f>
        <v>0</v>
      </c>
      <c r="M252" s="20">
        <f>Table25293438[[#This Row],[Stock Change (t1-t0) (North)]]+Table25293438[[#This Row],[Sales]]</f>
        <v>0</v>
      </c>
      <c r="N252" s="18">
        <f>IF(Table25293438[[#This Row],[Regional Transfer (Real)]]=0, 0, Table25293438[[#This Row],[Regional Transfer (Real)]]+Table25293438[[#This Row],[Stock Level  (North)]])</f>
        <v>0</v>
      </c>
      <c r="P252" s="4" t="s">
        <v>59</v>
      </c>
      <c r="Q252" s="20">
        <f t="shared" si="10"/>
        <v>145</v>
      </c>
      <c r="R252" s="20">
        <v>0</v>
      </c>
      <c r="S252" s="20">
        <f>IFERROR(GETPIVOTDATA("QTY",$B$56,"PRODUCT_DESCRIPTION", $B$205, "SALES_ORDER_DATE",Table2529303539[[#This Row],[Date]], "AREA_NAME", "South"), 0)</f>
        <v>0</v>
      </c>
      <c r="T252" s="20">
        <f>Table2529303539[[#This Row],[Stock Change (t1-t0) (South)]]+Table2529303539[[#This Row],[Sales]]</f>
        <v>0</v>
      </c>
      <c r="U252" s="18">
        <f>IF(Table2529303539[[#This Row],[Regional Transfer (Real)]]=0, 0, Table2529303539[[#This Row],[Regional Transfer (Real)]]+Table2529303539[[#This Row],[Stock Level  (South)]])</f>
        <v>0</v>
      </c>
      <c r="W252" s="4" t="s">
        <v>59</v>
      </c>
      <c r="X252" s="20">
        <f t="shared" si="11"/>
        <v>198</v>
      </c>
      <c r="Y252" s="20">
        <v>0</v>
      </c>
      <c r="Z252" s="20">
        <f>IFERROR(GETPIVOTDATA("QTY",$B$56,"PRODUCT_DESCRIPTION", $B$205, "SALES_ORDER_DATE",Table252930323640[[#This Row],[Date]], "AREA_NAME", "West"), 0)</f>
        <v>0</v>
      </c>
      <c r="AA252" s="20">
        <f>Table252930323640[[#This Row],[Stock Change (t1-t0) (West)]]+Table252930323640[[#This Row],[Sales]]</f>
        <v>0</v>
      </c>
      <c r="AB252" s="18">
        <f>IF(Table252930323640[[#This Row],[Regional Transfer (Real)]]=0, 0, Table252930323640[[#This Row],[Regional Transfer (Real)]]+Table252930323640[[#This Row],[Stock Level  (West)]])</f>
        <v>0</v>
      </c>
    </row>
    <row r="253" spans="2:28" x14ac:dyDescent="0.2">
      <c r="B253" s="4" t="s">
        <v>91</v>
      </c>
      <c r="F253" s="11">
        <f>SUBTOTAL(109,Table253337[Purchase (Real)])</f>
        <v>1413</v>
      </c>
      <c r="G253" s="11"/>
      <c r="I253" s="4" t="s">
        <v>91</v>
      </c>
      <c r="M253" cm="1">
        <f t="array" ref="M253">COUNT(IF(Table25293438[Regional Transfer (Real)]&lt;&gt;0, Table25293438[Regional Transfer (Real)]))</f>
        <v>9</v>
      </c>
      <c r="N253" s="11"/>
      <c r="P253" s="4" t="s">
        <v>91</v>
      </c>
      <c r="T253" cm="1">
        <f t="array" ref="T253">COUNT(IF(T209:T252&lt;&gt;0, Table2529303539[Regional Transfer (Real)]))</f>
        <v>9</v>
      </c>
      <c r="U253" s="11"/>
      <c r="W253" s="4" t="s">
        <v>91</v>
      </c>
      <c r="AA253" cm="1">
        <f t="array" ref="AA253">COUNT(IF(AA209:AA252&lt;&gt;0, Table252930323640[Regional Transfer (Real)]))</f>
        <v>10</v>
      </c>
      <c r="AB253" s="11"/>
    </row>
    <row r="255" spans="2:28" x14ac:dyDescent="0.2">
      <c r="B255" s="145" t="s">
        <v>95</v>
      </c>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c r="AA255" s="146"/>
      <c r="AB255" s="146"/>
    </row>
    <row r="256" spans="2:28" x14ac:dyDescent="0.2">
      <c r="B256" s="147" t="s">
        <v>4</v>
      </c>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row>
    <row r="257" spans="2:28" x14ac:dyDescent="0.2">
      <c r="B257" s="2"/>
    </row>
    <row r="258" spans="2:28" x14ac:dyDescent="0.2">
      <c r="B258" s="145" t="s">
        <v>60</v>
      </c>
      <c r="C258" s="146"/>
      <c r="D258" s="146"/>
      <c r="E258" s="146"/>
      <c r="F258" s="146"/>
      <c r="G258" s="146"/>
      <c r="I258" s="145" t="s">
        <v>112</v>
      </c>
      <c r="J258" s="146"/>
      <c r="K258" s="146"/>
      <c r="L258" s="146"/>
      <c r="M258" s="146"/>
      <c r="N258" s="146"/>
      <c r="P258" s="145" t="s">
        <v>115</v>
      </c>
      <c r="Q258" s="146"/>
      <c r="R258" s="146"/>
      <c r="S258" s="146"/>
      <c r="T258" s="146"/>
      <c r="U258" s="146"/>
      <c r="W258" s="145" t="s">
        <v>116</v>
      </c>
      <c r="X258" s="146"/>
      <c r="Y258" s="146"/>
      <c r="Z258" s="146"/>
      <c r="AA258" s="146"/>
      <c r="AB258" s="146"/>
    </row>
    <row r="259" spans="2:28" x14ac:dyDescent="0.2">
      <c r="B259" s="3" t="s">
        <v>61</v>
      </c>
      <c r="C259" s="3" t="s">
        <v>117</v>
      </c>
      <c r="D259" s="3" t="s">
        <v>120</v>
      </c>
      <c r="E259" s="3" t="s">
        <v>51</v>
      </c>
      <c r="F259" s="3" t="s">
        <v>118</v>
      </c>
      <c r="G259" s="3" t="s">
        <v>119</v>
      </c>
      <c r="I259" s="3" t="s">
        <v>61</v>
      </c>
      <c r="J259" s="3" t="s">
        <v>121</v>
      </c>
      <c r="K259" s="3" t="s">
        <v>124</v>
      </c>
      <c r="L259" s="3" t="s">
        <v>51</v>
      </c>
      <c r="M259" s="3" t="s">
        <v>125</v>
      </c>
      <c r="N259" s="3" t="s">
        <v>126</v>
      </c>
      <c r="P259" s="3" t="s">
        <v>61</v>
      </c>
      <c r="Q259" s="3" t="s">
        <v>122</v>
      </c>
      <c r="R259" s="3" t="s">
        <v>127</v>
      </c>
      <c r="S259" s="3" t="s">
        <v>51</v>
      </c>
      <c r="T259" s="3" t="s">
        <v>125</v>
      </c>
      <c r="U259" s="3" t="s">
        <v>126</v>
      </c>
      <c r="W259" s="3" t="s">
        <v>61</v>
      </c>
      <c r="X259" s="3" t="s">
        <v>123</v>
      </c>
      <c r="Y259" s="3" t="s">
        <v>128</v>
      </c>
      <c r="Z259" s="3" t="s">
        <v>51</v>
      </c>
      <c r="AA259" s="3" t="s">
        <v>125</v>
      </c>
      <c r="AB259" s="3" t="s">
        <v>126</v>
      </c>
    </row>
    <row r="260" spans="2:28" x14ac:dyDescent="0.2">
      <c r="B260" s="4" t="s">
        <v>54</v>
      </c>
      <c r="C260" s="20">
        <f>GETPIVOTDATA("STOCK_LEVEL", $B$5, "PRODUCT", $B$256, "INVENTORY_DATE", B260 )</f>
        <v>0</v>
      </c>
      <c r="D260" s="20">
        <f>C261-Table253345[[#This Row],[Stock Level  ]]</f>
        <v>600</v>
      </c>
      <c r="E260" s="20">
        <f>IFERROR(GETPIVOTDATA("QTY",$B$56,"PRODUCT_DESCRIPTION", $B$256, "SALES_ORDER_DATE",Table253345[[#This Row],[Date]]), 0)</f>
        <v>0</v>
      </c>
      <c r="F260" s="20">
        <f>Table253345[[#This Row],[Stock Change (t1-t0)]]+Table253345[[#This Row],[Sales]]</f>
        <v>600</v>
      </c>
      <c r="G260" s="18">
        <f>IF(Table253345[[#This Row],[Purchase (Real)]]=0, 0, Table253345[[#This Row],[Purchase (Real)]]+0)</f>
        <v>600</v>
      </c>
      <c r="I260" s="4" t="s">
        <v>54</v>
      </c>
      <c r="J260" s="20">
        <f>GETPIVOTDATA("STOCK_LEVEL", $B$5, "PRODUCT", $B$256, "INVENTORY_DATE", I260, "STORAGE_LOCATION_ID", "North" )</f>
        <v>0</v>
      </c>
      <c r="K260" s="20">
        <f>J261-Table25293446[[#This Row],[Stock Level  (North)]]</f>
        <v>0</v>
      </c>
      <c r="L260" s="20">
        <f>IFERROR(GETPIVOTDATA("QTY",$B$56,"PRODUCT_DESCRIPTION", $B$256, "SALES_ORDER_DATE",Table25293446[[#This Row],[Date]], "AREA_NAME", "North"), 0)</f>
        <v>0</v>
      </c>
      <c r="M260" s="20">
        <f>Table25293446[[#This Row],[Stock Change (t1-t0) (North)]]+Table25293446[[#This Row],[Sales]]</f>
        <v>0</v>
      </c>
      <c r="N260" s="18">
        <f>IF(Table25293446[[#This Row],[Regional Transfer (Real)]]=0, 0, Table25293446[[#This Row],[Regional Transfer (Real)]]+Table25293446[[#This Row],[Stock Level  (North)]])</f>
        <v>0</v>
      </c>
      <c r="P260" s="4" t="s">
        <v>54</v>
      </c>
      <c r="Q260" s="20">
        <f>GETPIVOTDATA("STOCK_LEVEL", $B$5, "PRODUCT", $B$256, "INVENTORY_DATE", P260, "STORAGE_LOCATION_ID", "South" )</f>
        <v>0</v>
      </c>
      <c r="R260" s="20">
        <f>Q261-Table2529303547[[#This Row],[Stock Level  (South)]]</f>
        <v>0</v>
      </c>
      <c r="S260" s="20">
        <f>IFERROR(GETPIVOTDATA("QTY",$B$56,"PRODUCT_DESCRIPTION", $B$256, "SALES_ORDER_DATE",Table2529303547[[#This Row],[Date]], "AREA_NAME", "South"), 0)</f>
        <v>0</v>
      </c>
      <c r="T260" s="20">
        <f>Table2529303547[[#This Row],[Stock Change (t1-t0) (South)]]+Table2529303547[[#This Row],[Sales]]</f>
        <v>0</v>
      </c>
      <c r="U260" s="18">
        <f>IF(Table2529303547[[#This Row],[Regional Transfer (Real)]]=0, 0, Table2529303547[[#This Row],[Regional Transfer (Real)]]+Table2529303547[[#This Row],[Stock Level  (South)]])</f>
        <v>0</v>
      </c>
      <c r="W260" s="4" t="s">
        <v>54</v>
      </c>
      <c r="X260" s="20">
        <f t="shared" ref="X260:X303" si="12">GETPIVOTDATA("STOCK_LEVEL", $B$5, "PRODUCT", $B$256, "INVENTORY_DATE", W260, "STORAGE_LOCATION_ID", "West" )</f>
        <v>0</v>
      </c>
      <c r="Y260" s="20">
        <f>X261-Table252930323648[[#This Row],[Stock Level  (West)]]</f>
        <v>0</v>
      </c>
      <c r="Z260" s="20">
        <f>IFERROR(GETPIVOTDATA("QTY",$B$56,"PRODUCT_DESCRIPTION", $B$256, "SALES_ORDER_DATE",Table252930323648[[#This Row],[Date]], "AREA_NAME", "West"), 0)</f>
        <v>0</v>
      </c>
      <c r="AA260" s="20">
        <f>Table252930323648[[#This Row],[Stock Change (t1-t0) (West)]]+Table252930323648[[#This Row],[Sales]]</f>
        <v>0</v>
      </c>
      <c r="AB260" s="18">
        <f>IF(Table252930323648[[#This Row],[Regional Transfer (Real)]]=0, 0, Table252930323648[[#This Row],[Regional Transfer (Real)]]+Table252930323648[[#This Row],[Stock Level  (West)]])</f>
        <v>0</v>
      </c>
    </row>
    <row r="261" spans="2:28" x14ac:dyDescent="0.2">
      <c r="B261" s="4" t="s">
        <v>55</v>
      </c>
      <c r="C261" s="20">
        <f t="shared" ref="C261:C303" si="13">GETPIVOTDATA("STOCK_LEVEL", $B$5, "PRODUCT", $B$256, "INVENTORY_DATE", B261 )</f>
        <v>600</v>
      </c>
      <c r="D261" s="20">
        <f>C262-Table253345[[#This Row],[Stock Level  ]]</f>
        <v>0</v>
      </c>
      <c r="E261" s="20">
        <f>IFERROR(GETPIVOTDATA("QTY",$B$56,"PRODUCT_DESCRIPTION", $B$256, "SALES_ORDER_DATE",Table253345[[#This Row],[Date]]), 0)</f>
        <v>0</v>
      </c>
      <c r="F261" s="20">
        <f>Table253345[[#This Row],[Stock Change (t1-t0)]]+Table253345[[#This Row],[Sales]]</f>
        <v>0</v>
      </c>
      <c r="G261" s="18">
        <f>IF(Table253345[[#This Row],[Purchase (Real)]]=0, 0, Table253345[[#This Row],[Purchase (Real)]]+C260)</f>
        <v>0</v>
      </c>
      <c r="I261" s="4" t="s">
        <v>55</v>
      </c>
      <c r="J261" s="20">
        <f t="shared" ref="J261:J303" si="14">GETPIVOTDATA("STOCK_LEVEL", $B$5, "PRODUCT", $B$256, "INVENTORY_DATE", I261, "STORAGE_LOCATION_ID", "North" )</f>
        <v>0</v>
      </c>
      <c r="K261" s="20">
        <f>J262-Table25293446[[#This Row],[Stock Level  (North)]]</f>
        <v>100</v>
      </c>
      <c r="L261" s="20">
        <f>IFERROR(GETPIVOTDATA("QTY",$B$56,"PRODUCT_DESCRIPTION", $B$256, "SALES_ORDER_DATE",Table25293446[[#This Row],[Date]], "AREA_NAME", "North"), 0)</f>
        <v>0</v>
      </c>
      <c r="M261" s="20">
        <f>Table25293446[[#This Row],[Stock Change (t1-t0) (North)]]+Table25293446[[#This Row],[Sales]]</f>
        <v>100</v>
      </c>
      <c r="N261" s="18">
        <f>IF(Table25293446[[#This Row],[Regional Transfer (Real)]]=0, 0, Table25293446[[#This Row],[Regional Transfer (Real)]]+Table25293446[[#This Row],[Stock Level  (North)]])</f>
        <v>100</v>
      </c>
      <c r="P261" s="4" t="s">
        <v>55</v>
      </c>
      <c r="Q261" s="20">
        <f t="shared" ref="Q261:Q303" si="15">GETPIVOTDATA("STOCK_LEVEL", $B$5, "PRODUCT", $B$256, "INVENTORY_DATE", P261, "STORAGE_LOCATION_ID", "South" )</f>
        <v>0</v>
      </c>
      <c r="R261" s="20">
        <f>Q262-Table2529303547[[#This Row],[Stock Level  (South)]]</f>
        <v>100</v>
      </c>
      <c r="S261" s="20">
        <f>IFERROR(GETPIVOTDATA("QTY",$B$56,"PRODUCT_DESCRIPTION", $B$256, "SALES_ORDER_DATE",Table2529303547[[#This Row],[Date]], "AREA_NAME", "South"), 0)</f>
        <v>0</v>
      </c>
      <c r="T261" s="20">
        <f>Table2529303547[[#This Row],[Stock Change (t1-t0) (South)]]+Table2529303547[[#This Row],[Sales]]</f>
        <v>100</v>
      </c>
      <c r="U261" s="18">
        <f>IF(Table2529303547[[#This Row],[Regional Transfer (Real)]]=0, 0, Table2529303547[[#This Row],[Regional Transfer (Real)]]+Table2529303547[[#This Row],[Stock Level  (South)]])</f>
        <v>100</v>
      </c>
      <c r="W261" s="4" t="s">
        <v>55</v>
      </c>
      <c r="X261" s="20">
        <f t="shared" si="12"/>
        <v>0</v>
      </c>
      <c r="Y261" s="20">
        <f>X262-Table252930323648[[#This Row],[Stock Level  (West)]]</f>
        <v>100</v>
      </c>
      <c r="Z261" s="20">
        <f>IFERROR(GETPIVOTDATA("QTY",$B$56,"PRODUCT_DESCRIPTION", $B$256, "SALES_ORDER_DATE",Table252930323648[[#This Row],[Date]], "AREA_NAME", "West"), 0)</f>
        <v>0</v>
      </c>
      <c r="AA261" s="20">
        <f>Table252930323648[[#This Row],[Stock Change (t1-t0) (West)]]+Table252930323648[[#This Row],[Sales]]</f>
        <v>100</v>
      </c>
      <c r="AB261" s="18">
        <f>IF(Table252930323648[[#This Row],[Regional Transfer (Real)]]=0, 0, Table252930323648[[#This Row],[Regional Transfer (Real)]]+Table252930323648[[#This Row],[Stock Level  (West)]])</f>
        <v>100</v>
      </c>
    </row>
    <row r="262" spans="2:28" x14ac:dyDescent="0.2">
      <c r="B262" s="4" t="s">
        <v>9</v>
      </c>
      <c r="C262" s="20">
        <f t="shared" si="13"/>
        <v>600</v>
      </c>
      <c r="D262" s="20">
        <f>C263-Table253345[[#This Row],[Stock Level  ]]</f>
        <v>-100</v>
      </c>
      <c r="E262" s="20">
        <f>IFERROR(GETPIVOTDATA("QTY",$B$56,"PRODUCT_DESCRIPTION", $B$256, "SALES_ORDER_DATE",Table253345[[#This Row],[Date]]), 0)</f>
        <v>100</v>
      </c>
      <c r="F262" s="20">
        <f>Table253345[[#This Row],[Stock Change (t1-t0)]]+Table253345[[#This Row],[Sales]]</f>
        <v>0</v>
      </c>
      <c r="G262" s="18">
        <f>IF(Table253345[[#This Row],[Purchase (Real)]]=0, 0, Table253345[[#This Row],[Purchase (Real)]]+C261)</f>
        <v>0</v>
      </c>
      <c r="I262" s="4" t="s">
        <v>9</v>
      </c>
      <c r="J262" s="20">
        <f t="shared" si="14"/>
        <v>100</v>
      </c>
      <c r="K262" s="20">
        <f>J263-Table25293446[[#This Row],[Stock Level  (North)]]</f>
        <v>-100</v>
      </c>
      <c r="L262" s="20">
        <f>IFERROR(GETPIVOTDATA("QTY",$B$56,"PRODUCT_DESCRIPTION", $B$256, "SALES_ORDER_DATE",Table25293446[[#This Row],[Date]], "AREA_NAME", "North"), 0)</f>
        <v>100</v>
      </c>
      <c r="M262" s="20">
        <f>Table25293446[[#This Row],[Stock Change (t1-t0) (North)]]+Table25293446[[#This Row],[Sales]]</f>
        <v>0</v>
      </c>
      <c r="N262" s="18">
        <f>IF(Table25293446[[#This Row],[Regional Transfer (Real)]]=0, 0, Table25293446[[#This Row],[Regional Transfer (Real)]]+Table25293446[[#This Row],[Stock Level  (North)]])</f>
        <v>0</v>
      </c>
      <c r="P262" s="4" t="s">
        <v>9</v>
      </c>
      <c r="Q262" s="20">
        <f t="shared" si="15"/>
        <v>100</v>
      </c>
      <c r="R262" s="20">
        <f>Q263-Table2529303547[[#This Row],[Stock Level  (South)]]</f>
        <v>0</v>
      </c>
      <c r="S262" s="20">
        <f>IFERROR(GETPIVOTDATA("QTY",$B$56,"PRODUCT_DESCRIPTION", $B$256, "SALES_ORDER_DATE",Table2529303547[[#This Row],[Date]], "AREA_NAME", "South"), 0)</f>
        <v>0</v>
      </c>
      <c r="T262" s="20">
        <f>Table2529303547[[#This Row],[Stock Change (t1-t0) (South)]]+Table2529303547[[#This Row],[Sales]]</f>
        <v>0</v>
      </c>
      <c r="U262" s="18">
        <f>IF(Table2529303547[[#This Row],[Regional Transfer (Real)]]=0, 0, Table2529303547[[#This Row],[Regional Transfer (Real)]]+Table2529303547[[#This Row],[Stock Level  (South)]])</f>
        <v>0</v>
      </c>
      <c r="W262" s="4" t="s">
        <v>9</v>
      </c>
      <c r="X262" s="20">
        <f t="shared" si="12"/>
        <v>100</v>
      </c>
      <c r="Y262" s="20">
        <f>X263-Table252930323648[[#This Row],[Stock Level  (West)]]</f>
        <v>0</v>
      </c>
      <c r="Z262" s="20">
        <f>IFERROR(GETPIVOTDATA("QTY",$B$56,"PRODUCT_DESCRIPTION", $B$256, "SALES_ORDER_DATE",Table252930323648[[#This Row],[Date]], "AREA_NAME", "West"), 0)</f>
        <v>0</v>
      </c>
      <c r="AA262" s="20">
        <f>Table252930323648[[#This Row],[Stock Change (t1-t0) (West)]]+Table252930323648[[#This Row],[Sales]]</f>
        <v>0</v>
      </c>
      <c r="AB262" s="18">
        <f>IF(Table252930323648[[#This Row],[Regional Transfer (Real)]]=0, 0, Table252930323648[[#This Row],[Regional Transfer (Real)]]+Table252930323648[[#This Row],[Stock Level  (West)]])</f>
        <v>0</v>
      </c>
    </row>
    <row r="263" spans="2:28" x14ac:dyDescent="0.2">
      <c r="B263" s="4" t="s">
        <v>10</v>
      </c>
      <c r="C263" s="20">
        <f t="shared" si="13"/>
        <v>500</v>
      </c>
      <c r="D263" s="20">
        <f>C264-Table253345[[#This Row],[Stock Level  ]]</f>
        <v>0</v>
      </c>
      <c r="E263" s="20">
        <f>IFERROR(GETPIVOTDATA("QTY",$B$56,"PRODUCT_DESCRIPTION", $B$256, "SALES_ORDER_DATE",Table253345[[#This Row],[Date]]), 0)</f>
        <v>0</v>
      </c>
      <c r="F263" s="20">
        <f>Table253345[[#This Row],[Stock Change (t1-t0)]]+Table253345[[#This Row],[Sales]]</f>
        <v>0</v>
      </c>
      <c r="G263" s="18">
        <f>IF(Table253345[[#This Row],[Purchase (Real)]]=0, 0, Table253345[[#This Row],[Purchase (Real)]]+C262)</f>
        <v>0</v>
      </c>
      <c r="I263" s="4" t="s">
        <v>10</v>
      </c>
      <c r="J263" s="20">
        <f t="shared" si="14"/>
        <v>0</v>
      </c>
      <c r="K263" s="20">
        <f>J264-Table25293446[[#This Row],[Stock Level  (North)]]</f>
        <v>0</v>
      </c>
      <c r="L263" s="20">
        <f>IFERROR(GETPIVOTDATA("QTY",$B$56,"PRODUCT_DESCRIPTION", $B$256, "SALES_ORDER_DATE",Table25293446[[#This Row],[Date]], "AREA_NAME", "North"), 0)</f>
        <v>0</v>
      </c>
      <c r="M263" s="20">
        <f>Table25293446[[#This Row],[Stock Change (t1-t0) (North)]]+Table25293446[[#This Row],[Sales]]</f>
        <v>0</v>
      </c>
      <c r="N263" s="18">
        <f>IF(Table25293446[[#This Row],[Regional Transfer (Real)]]=0, 0, Table25293446[[#This Row],[Regional Transfer (Real)]]+Table25293446[[#This Row],[Stock Level  (North)]])</f>
        <v>0</v>
      </c>
      <c r="P263" s="4" t="s">
        <v>10</v>
      </c>
      <c r="Q263" s="20">
        <f t="shared" si="15"/>
        <v>100</v>
      </c>
      <c r="R263" s="20">
        <f>Q264-Table2529303547[[#This Row],[Stock Level  (South)]]</f>
        <v>0</v>
      </c>
      <c r="S263" s="20">
        <f>IFERROR(GETPIVOTDATA("QTY",$B$56,"PRODUCT_DESCRIPTION", $B$256, "SALES_ORDER_DATE",Table2529303547[[#This Row],[Date]], "AREA_NAME", "South"), 0)</f>
        <v>0</v>
      </c>
      <c r="T263" s="20">
        <f>Table2529303547[[#This Row],[Stock Change (t1-t0) (South)]]+Table2529303547[[#This Row],[Sales]]</f>
        <v>0</v>
      </c>
      <c r="U263" s="18">
        <f>IF(Table2529303547[[#This Row],[Regional Transfer (Real)]]=0, 0, Table2529303547[[#This Row],[Regional Transfer (Real)]]+Table2529303547[[#This Row],[Stock Level  (South)]])</f>
        <v>0</v>
      </c>
      <c r="W263" s="4" t="s">
        <v>10</v>
      </c>
      <c r="X263" s="20">
        <f t="shared" si="12"/>
        <v>100</v>
      </c>
      <c r="Y263" s="20">
        <f>X264-Table252930323648[[#This Row],[Stock Level  (West)]]</f>
        <v>0</v>
      </c>
      <c r="Z263" s="20">
        <f>IFERROR(GETPIVOTDATA("QTY",$B$56,"PRODUCT_DESCRIPTION", $B$256, "SALES_ORDER_DATE",Table252930323648[[#This Row],[Date]], "AREA_NAME", "West"), 0)</f>
        <v>0</v>
      </c>
      <c r="AA263" s="20">
        <f>Table252930323648[[#This Row],[Stock Change (t1-t0) (West)]]+Table252930323648[[#This Row],[Sales]]</f>
        <v>0</v>
      </c>
      <c r="AB263" s="18">
        <f>IF(Table252930323648[[#This Row],[Regional Transfer (Real)]]=0, 0, Table252930323648[[#This Row],[Regional Transfer (Real)]]+Table252930323648[[#This Row],[Stock Level  (West)]])</f>
        <v>0</v>
      </c>
    </row>
    <row r="264" spans="2:28" x14ac:dyDescent="0.2">
      <c r="B264" s="4" t="s">
        <v>11</v>
      </c>
      <c r="C264" s="20">
        <f t="shared" si="13"/>
        <v>500</v>
      </c>
      <c r="D264" s="20">
        <f>C265-Table253345[[#This Row],[Stock Level  ]]</f>
        <v>-36</v>
      </c>
      <c r="E264" s="20">
        <f>IFERROR(GETPIVOTDATA("QTY",$B$56,"PRODUCT_DESCRIPTION", $B$256, "SALES_ORDER_DATE",Table253345[[#This Row],[Date]]), 0)</f>
        <v>36</v>
      </c>
      <c r="F264" s="20">
        <f>Table253345[[#This Row],[Stock Change (t1-t0)]]+Table253345[[#This Row],[Sales]]</f>
        <v>0</v>
      </c>
      <c r="G264" s="18">
        <f>IF(Table253345[[#This Row],[Purchase (Real)]]=0, 0, Table253345[[#This Row],[Purchase (Real)]]+C263)</f>
        <v>0</v>
      </c>
      <c r="I264" s="4" t="s">
        <v>11</v>
      </c>
      <c r="J264" s="20">
        <f t="shared" si="14"/>
        <v>0</v>
      </c>
      <c r="K264" s="20">
        <f>J265-Table25293446[[#This Row],[Stock Level  (North)]]</f>
        <v>100</v>
      </c>
      <c r="L264" s="20">
        <f>IFERROR(GETPIVOTDATA("QTY",$B$56,"PRODUCT_DESCRIPTION", $B$256, "SALES_ORDER_DATE",Table25293446[[#This Row],[Date]], "AREA_NAME", "North"), 0)</f>
        <v>0</v>
      </c>
      <c r="M264" s="20">
        <f>Table25293446[[#This Row],[Stock Change (t1-t0) (North)]]+Table25293446[[#This Row],[Sales]]</f>
        <v>100</v>
      </c>
      <c r="N264" s="18">
        <f>IF(Table25293446[[#This Row],[Regional Transfer (Real)]]=0, 0, Table25293446[[#This Row],[Regional Transfer (Real)]]+Table25293446[[#This Row],[Stock Level  (North)]])</f>
        <v>100</v>
      </c>
      <c r="P264" s="4" t="s">
        <v>11</v>
      </c>
      <c r="Q264" s="20">
        <f t="shared" si="15"/>
        <v>100</v>
      </c>
      <c r="R264" s="20">
        <f>Q265-Table2529303547[[#This Row],[Stock Level  (South)]]</f>
        <v>0</v>
      </c>
      <c r="S264" s="20">
        <f>IFERROR(GETPIVOTDATA("QTY",$B$56,"PRODUCT_DESCRIPTION", $B$256, "SALES_ORDER_DATE",Table2529303547[[#This Row],[Date]], "AREA_NAME", "South"), 0)</f>
        <v>0</v>
      </c>
      <c r="T264" s="20">
        <f>Table2529303547[[#This Row],[Stock Change (t1-t0) (South)]]+Table2529303547[[#This Row],[Sales]]</f>
        <v>0</v>
      </c>
      <c r="U264" s="18">
        <f>IF(Table2529303547[[#This Row],[Regional Transfer (Real)]]=0, 0, Table2529303547[[#This Row],[Regional Transfer (Real)]]+Table2529303547[[#This Row],[Stock Level  (South)]])</f>
        <v>0</v>
      </c>
      <c r="W264" s="4" t="s">
        <v>11</v>
      </c>
      <c r="X264" s="20">
        <f t="shared" si="12"/>
        <v>100</v>
      </c>
      <c r="Y264" s="20">
        <f>X265-Table252930323648[[#This Row],[Stock Level  (West)]]</f>
        <v>-36</v>
      </c>
      <c r="Z264" s="20">
        <f>IFERROR(GETPIVOTDATA("QTY",$B$56,"PRODUCT_DESCRIPTION", $B$256, "SALES_ORDER_DATE",Table252930323648[[#This Row],[Date]], "AREA_NAME", "West"), 0)</f>
        <v>36</v>
      </c>
      <c r="AA264" s="20">
        <f>Table252930323648[[#This Row],[Stock Change (t1-t0) (West)]]+Table252930323648[[#This Row],[Sales]]</f>
        <v>0</v>
      </c>
      <c r="AB264" s="18">
        <f>IF(Table252930323648[[#This Row],[Regional Transfer (Real)]]=0, 0, Table252930323648[[#This Row],[Regional Transfer (Real)]]+Table252930323648[[#This Row],[Stock Level  (West)]])</f>
        <v>0</v>
      </c>
    </row>
    <row r="265" spans="2:28" x14ac:dyDescent="0.2">
      <c r="B265" s="4" t="s">
        <v>12</v>
      </c>
      <c r="C265" s="20">
        <f t="shared" si="13"/>
        <v>464</v>
      </c>
      <c r="D265" s="20">
        <f>C266-Table253345[[#This Row],[Stock Level  ]]</f>
        <v>-48</v>
      </c>
      <c r="E265" s="20">
        <f>IFERROR(GETPIVOTDATA("QTY",$B$56,"PRODUCT_DESCRIPTION", $B$256, "SALES_ORDER_DATE",Table253345[[#This Row],[Date]]), 0)</f>
        <v>48</v>
      </c>
      <c r="F265" s="20">
        <f>Table253345[[#This Row],[Stock Change (t1-t0)]]+Table253345[[#This Row],[Sales]]</f>
        <v>0</v>
      </c>
      <c r="G265" s="18">
        <f>IF(Table253345[[#This Row],[Purchase (Real)]]=0, 0, Table253345[[#This Row],[Purchase (Real)]]+C264)</f>
        <v>0</v>
      </c>
      <c r="I265" s="4" t="s">
        <v>12</v>
      </c>
      <c r="J265" s="20">
        <f t="shared" si="14"/>
        <v>100</v>
      </c>
      <c r="K265" s="20">
        <f>J266-Table25293446[[#This Row],[Stock Level  (North)]]</f>
        <v>-48</v>
      </c>
      <c r="L265" s="20">
        <f>IFERROR(GETPIVOTDATA("QTY",$B$56,"PRODUCT_DESCRIPTION", $B$256, "SALES_ORDER_DATE",Table25293446[[#This Row],[Date]], "AREA_NAME", "North"), 0)</f>
        <v>48</v>
      </c>
      <c r="M265" s="20">
        <f>Table25293446[[#This Row],[Stock Change (t1-t0) (North)]]+Table25293446[[#This Row],[Sales]]</f>
        <v>0</v>
      </c>
      <c r="N265" s="18">
        <f>IF(Table25293446[[#This Row],[Regional Transfer (Real)]]=0, 0, Table25293446[[#This Row],[Regional Transfer (Real)]]+Table25293446[[#This Row],[Stock Level  (North)]])</f>
        <v>0</v>
      </c>
      <c r="P265" s="4" t="s">
        <v>12</v>
      </c>
      <c r="Q265" s="20">
        <f t="shared" si="15"/>
        <v>100</v>
      </c>
      <c r="R265" s="20">
        <f>Q266-Table2529303547[[#This Row],[Stock Level  (South)]]</f>
        <v>0</v>
      </c>
      <c r="S265" s="20">
        <f>IFERROR(GETPIVOTDATA("QTY",$B$56,"PRODUCT_DESCRIPTION", $B$256, "SALES_ORDER_DATE",Table2529303547[[#This Row],[Date]], "AREA_NAME", "South"), 0)</f>
        <v>0</v>
      </c>
      <c r="T265" s="20">
        <f>Table2529303547[[#This Row],[Stock Change (t1-t0) (South)]]+Table2529303547[[#This Row],[Sales]]</f>
        <v>0</v>
      </c>
      <c r="U265" s="18">
        <f>IF(Table2529303547[[#This Row],[Regional Transfer (Real)]]=0, 0, Table2529303547[[#This Row],[Regional Transfer (Real)]]+Table2529303547[[#This Row],[Stock Level  (South)]])</f>
        <v>0</v>
      </c>
      <c r="W265" s="4" t="s">
        <v>12</v>
      </c>
      <c r="X265" s="20">
        <f t="shared" si="12"/>
        <v>64</v>
      </c>
      <c r="Y265" s="20">
        <f>X266-Table252930323648[[#This Row],[Stock Level  (West)]]</f>
        <v>0</v>
      </c>
      <c r="Z265" s="20">
        <f>IFERROR(GETPIVOTDATA("QTY",$B$56,"PRODUCT_DESCRIPTION", $B$256, "SALES_ORDER_DATE",Table252930323648[[#This Row],[Date]], "AREA_NAME", "West"), 0)</f>
        <v>0</v>
      </c>
      <c r="AA265" s="20">
        <f>Table252930323648[[#This Row],[Stock Change (t1-t0) (West)]]+Table252930323648[[#This Row],[Sales]]</f>
        <v>0</v>
      </c>
      <c r="AB265" s="18">
        <f>IF(Table252930323648[[#This Row],[Regional Transfer (Real)]]=0, 0, Table252930323648[[#This Row],[Regional Transfer (Real)]]+Table252930323648[[#This Row],[Stock Level  (West)]])</f>
        <v>0</v>
      </c>
    </row>
    <row r="266" spans="2:28" x14ac:dyDescent="0.2">
      <c r="B266" s="4" t="s">
        <v>13</v>
      </c>
      <c r="C266" s="20">
        <f t="shared" si="13"/>
        <v>416</v>
      </c>
      <c r="D266" s="20">
        <f>C267-Table253345[[#This Row],[Stock Level  ]]</f>
        <v>-80</v>
      </c>
      <c r="E266" s="20">
        <f>IFERROR(GETPIVOTDATA("QTY",$B$56,"PRODUCT_DESCRIPTION", $B$256, "SALES_ORDER_DATE",Table253345[[#This Row],[Date]]), 0)</f>
        <v>80</v>
      </c>
      <c r="F266" s="20">
        <f>Table253345[[#This Row],[Stock Change (t1-t0)]]+Table253345[[#This Row],[Sales]]</f>
        <v>0</v>
      </c>
      <c r="G266" s="18">
        <f>IF(Table253345[[#This Row],[Purchase (Real)]]=0, 0, Table253345[[#This Row],[Purchase (Real)]]+C265)</f>
        <v>0</v>
      </c>
      <c r="I266" s="4" t="s">
        <v>13</v>
      </c>
      <c r="J266" s="20">
        <f t="shared" si="14"/>
        <v>52</v>
      </c>
      <c r="K266" s="20">
        <f>J267-Table25293446[[#This Row],[Stock Level  (North)]]</f>
        <v>-32</v>
      </c>
      <c r="L266" s="20">
        <f>IFERROR(GETPIVOTDATA("QTY",$B$56,"PRODUCT_DESCRIPTION", $B$256, "SALES_ORDER_DATE",Table25293446[[#This Row],[Date]], "AREA_NAME", "North"), 0)</f>
        <v>32</v>
      </c>
      <c r="M266" s="20">
        <f>Table25293446[[#This Row],[Stock Change (t1-t0) (North)]]+Table25293446[[#This Row],[Sales]]</f>
        <v>0</v>
      </c>
      <c r="N266" s="18">
        <f>IF(Table25293446[[#This Row],[Regional Transfer (Real)]]=0, 0, Table25293446[[#This Row],[Regional Transfer (Real)]]+Table25293446[[#This Row],[Stock Level  (North)]])</f>
        <v>0</v>
      </c>
      <c r="P266" s="4" t="s">
        <v>13</v>
      </c>
      <c r="Q266" s="20">
        <f t="shared" si="15"/>
        <v>100</v>
      </c>
      <c r="R266" s="20">
        <f>Q267-Table2529303547[[#This Row],[Stock Level  (South)]]</f>
        <v>-48</v>
      </c>
      <c r="S266" s="20">
        <f>IFERROR(GETPIVOTDATA("QTY",$B$56,"PRODUCT_DESCRIPTION", $B$256, "SALES_ORDER_DATE",Table2529303547[[#This Row],[Date]], "AREA_NAME", "South"), 0)</f>
        <v>48</v>
      </c>
      <c r="T266" s="20">
        <f>Table2529303547[[#This Row],[Stock Change (t1-t0) (South)]]+Table2529303547[[#This Row],[Sales]]</f>
        <v>0</v>
      </c>
      <c r="U266" s="18">
        <f>IF(Table2529303547[[#This Row],[Regional Transfer (Real)]]=0, 0, Table2529303547[[#This Row],[Regional Transfer (Real)]]+Table2529303547[[#This Row],[Stock Level  (South)]])</f>
        <v>0</v>
      </c>
      <c r="W266" s="4" t="s">
        <v>13</v>
      </c>
      <c r="X266" s="20">
        <f t="shared" si="12"/>
        <v>64</v>
      </c>
      <c r="Y266" s="20">
        <f>X267-Table252930323648[[#This Row],[Stock Level  (West)]]</f>
        <v>0</v>
      </c>
      <c r="Z266" s="20">
        <f>IFERROR(GETPIVOTDATA("QTY",$B$56,"PRODUCT_DESCRIPTION", $B$256, "SALES_ORDER_DATE",Table252930323648[[#This Row],[Date]], "AREA_NAME", "West"), 0)</f>
        <v>0</v>
      </c>
      <c r="AA266" s="20">
        <f>Table252930323648[[#This Row],[Stock Change (t1-t0) (West)]]+Table252930323648[[#This Row],[Sales]]</f>
        <v>0</v>
      </c>
      <c r="AB266" s="18">
        <f>IF(Table252930323648[[#This Row],[Regional Transfer (Real)]]=0, 0, Table252930323648[[#This Row],[Regional Transfer (Real)]]+Table252930323648[[#This Row],[Stock Level  (West)]])</f>
        <v>0</v>
      </c>
    </row>
    <row r="267" spans="2:28" x14ac:dyDescent="0.2">
      <c r="B267" s="4" t="s">
        <v>14</v>
      </c>
      <c r="C267" s="20">
        <f t="shared" si="13"/>
        <v>336</v>
      </c>
      <c r="D267" s="20">
        <f>C268-Table253345[[#This Row],[Stock Level  ]]</f>
        <v>-20</v>
      </c>
      <c r="E267" s="20">
        <f>IFERROR(GETPIVOTDATA("QTY",$B$56,"PRODUCT_DESCRIPTION", $B$256, "SALES_ORDER_DATE",Table253345[[#This Row],[Date]]), 0)</f>
        <v>20</v>
      </c>
      <c r="F267" s="20">
        <f>Table253345[[#This Row],[Stock Change (t1-t0)]]+Table253345[[#This Row],[Sales]]</f>
        <v>0</v>
      </c>
      <c r="G267" s="18">
        <f>IF(Table253345[[#This Row],[Purchase (Real)]]=0, 0, Table253345[[#This Row],[Purchase (Real)]]+C266)</f>
        <v>0</v>
      </c>
      <c r="I267" s="4" t="s">
        <v>14</v>
      </c>
      <c r="J267" s="20">
        <f t="shared" si="14"/>
        <v>20</v>
      </c>
      <c r="K267" s="20">
        <f>J268-Table25293446[[#This Row],[Stock Level  (North)]]</f>
        <v>60</v>
      </c>
      <c r="L267" s="20">
        <f>IFERROR(GETPIVOTDATA("QTY",$B$56,"PRODUCT_DESCRIPTION", $B$256, "SALES_ORDER_DATE",Table25293446[[#This Row],[Date]], "AREA_NAME", "North"), 0)</f>
        <v>20</v>
      </c>
      <c r="M267" s="20">
        <f>Table25293446[[#This Row],[Stock Change (t1-t0) (North)]]+Table25293446[[#This Row],[Sales]]</f>
        <v>80</v>
      </c>
      <c r="N267" s="18">
        <f>IF(Table25293446[[#This Row],[Regional Transfer (Real)]]=0, 0, Table25293446[[#This Row],[Regional Transfer (Real)]]+Table25293446[[#This Row],[Stock Level  (North)]])</f>
        <v>100</v>
      </c>
      <c r="P267" s="4" t="s">
        <v>14</v>
      </c>
      <c r="Q267" s="20">
        <f t="shared" si="15"/>
        <v>52</v>
      </c>
      <c r="R267" s="20">
        <f>Q268-Table2529303547[[#This Row],[Stock Level  (South)]]</f>
        <v>48</v>
      </c>
      <c r="S267" s="20">
        <f>IFERROR(GETPIVOTDATA("QTY",$B$56,"PRODUCT_DESCRIPTION", $B$256, "SALES_ORDER_DATE",Table2529303547[[#This Row],[Date]], "AREA_NAME", "South"), 0)</f>
        <v>0</v>
      </c>
      <c r="T267" s="20">
        <f>Table2529303547[[#This Row],[Stock Change (t1-t0) (South)]]+Table2529303547[[#This Row],[Sales]]</f>
        <v>48</v>
      </c>
      <c r="U267" s="18">
        <f>IF(Table2529303547[[#This Row],[Regional Transfer (Real)]]=0, 0, Table2529303547[[#This Row],[Regional Transfer (Real)]]+Table2529303547[[#This Row],[Stock Level  (South)]])</f>
        <v>100</v>
      </c>
      <c r="W267" s="4" t="s">
        <v>14</v>
      </c>
      <c r="X267" s="20">
        <f t="shared" si="12"/>
        <v>64</v>
      </c>
      <c r="Y267" s="20">
        <f>X268-Table252930323648[[#This Row],[Stock Level  (West)]]</f>
        <v>36</v>
      </c>
      <c r="Z267" s="20">
        <f>IFERROR(GETPIVOTDATA("QTY",$B$56,"PRODUCT_DESCRIPTION", $B$256, "SALES_ORDER_DATE",Table252930323648[[#This Row],[Date]], "AREA_NAME", "West"), 0)</f>
        <v>0</v>
      </c>
      <c r="AA267" s="20">
        <f>Table252930323648[[#This Row],[Stock Change (t1-t0) (West)]]+Table252930323648[[#This Row],[Sales]]</f>
        <v>36</v>
      </c>
      <c r="AB267" s="18">
        <f>IF(Table252930323648[[#This Row],[Regional Transfer (Real)]]=0, 0, Table252930323648[[#This Row],[Regional Transfer (Real)]]+Table252930323648[[#This Row],[Stock Level  (West)]])</f>
        <v>100</v>
      </c>
    </row>
    <row r="268" spans="2:28" x14ac:dyDescent="0.2">
      <c r="B268" s="4" t="s">
        <v>15</v>
      </c>
      <c r="C268" s="20">
        <f t="shared" si="13"/>
        <v>316</v>
      </c>
      <c r="D268" s="20">
        <f>C269-Table253345[[#This Row],[Stock Level  ]]</f>
        <v>-100</v>
      </c>
      <c r="E268" s="20">
        <f>IFERROR(GETPIVOTDATA("QTY",$B$56,"PRODUCT_DESCRIPTION", $B$256, "SALES_ORDER_DATE",Table253345[[#This Row],[Date]]), 0)</f>
        <v>100</v>
      </c>
      <c r="F268" s="20">
        <f>Table253345[[#This Row],[Stock Change (t1-t0)]]+Table253345[[#This Row],[Sales]]</f>
        <v>0</v>
      </c>
      <c r="G268" s="18">
        <f>IF(Table253345[[#This Row],[Purchase (Real)]]=0, 0, Table253345[[#This Row],[Purchase (Real)]]+C267)</f>
        <v>0</v>
      </c>
      <c r="I268" s="4" t="s">
        <v>15</v>
      </c>
      <c r="J268" s="20">
        <f t="shared" si="14"/>
        <v>80</v>
      </c>
      <c r="K268" s="20">
        <f>J269-Table25293446[[#This Row],[Stock Level  (North)]]</f>
        <v>-80</v>
      </c>
      <c r="L268" s="20">
        <f>IFERROR(GETPIVOTDATA("QTY",$B$56,"PRODUCT_DESCRIPTION", $B$256, "SALES_ORDER_DATE",Table25293446[[#This Row],[Date]], "AREA_NAME", "North"), 0)</f>
        <v>80</v>
      </c>
      <c r="M268" s="20">
        <f>Table25293446[[#This Row],[Stock Change (t1-t0) (North)]]+Table25293446[[#This Row],[Sales]]</f>
        <v>0</v>
      </c>
      <c r="N268" s="18">
        <f>IF(Table25293446[[#This Row],[Regional Transfer (Real)]]=0, 0, Table25293446[[#This Row],[Regional Transfer (Real)]]+Table25293446[[#This Row],[Stock Level  (North)]])</f>
        <v>0</v>
      </c>
      <c r="P268" s="4" t="s">
        <v>15</v>
      </c>
      <c r="Q268" s="20">
        <f t="shared" si="15"/>
        <v>100</v>
      </c>
      <c r="R268" s="20">
        <f>Q269-Table2529303547[[#This Row],[Stock Level  (South)]]</f>
        <v>-20</v>
      </c>
      <c r="S268" s="20">
        <f>IFERROR(GETPIVOTDATA("QTY",$B$56,"PRODUCT_DESCRIPTION", $B$256, "SALES_ORDER_DATE",Table2529303547[[#This Row],[Date]], "AREA_NAME", "South"), 0)</f>
        <v>20</v>
      </c>
      <c r="T268" s="20">
        <f>Table2529303547[[#This Row],[Stock Change (t1-t0) (South)]]+Table2529303547[[#This Row],[Sales]]</f>
        <v>0</v>
      </c>
      <c r="U268" s="18">
        <f>IF(Table2529303547[[#This Row],[Regional Transfer (Real)]]=0, 0, Table2529303547[[#This Row],[Regional Transfer (Real)]]+Table2529303547[[#This Row],[Stock Level  (South)]])</f>
        <v>0</v>
      </c>
      <c r="W268" s="4" t="s">
        <v>15</v>
      </c>
      <c r="X268" s="20">
        <f t="shared" si="12"/>
        <v>100</v>
      </c>
      <c r="Y268" s="20">
        <f>X269-Table252930323648[[#This Row],[Stock Level  (West)]]</f>
        <v>0</v>
      </c>
      <c r="Z268" s="20">
        <f>IFERROR(GETPIVOTDATA("QTY",$B$56,"PRODUCT_DESCRIPTION", $B$256, "SALES_ORDER_DATE",Table252930323648[[#This Row],[Date]], "AREA_NAME", "West"), 0)</f>
        <v>0</v>
      </c>
      <c r="AA268" s="20">
        <f>Table252930323648[[#This Row],[Stock Change (t1-t0) (West)]]+Table252930323648[[#This Row],[Sales]]</f>
        <v>0</v>
      </c>
      <c r="AB268" s="18">
        <f>IF(Table252930323648[[#This Row],[Regional Transfer (Real)]]=0, 0, Table252930323648[[#This Row],[Regional Transfer (Real)]]+Table252930323648[[#This Row],[Stock Level  (West)]])</f>
        <v>0</v>
      </c>
    </row>
    <row r="269" spans="2:28" x14ac:dyDescent="0.2">
      <c r="B269" s="4" t="s">
        <v>16</v>
      </c>
      <c r="C269" s="20">
        <f t="shared" si="13"/>
        <v>216</v>
      </c>
      <c r="D269" s="20">
        <f>C270-Table253345[[#This Row],[Stock Level  ]]</f>
        <v>-48</v>
      </c>
      <c r="E269" s="20">
        <f>IFERROR(GETPIVOTDATA("QTY",$B$56,"PRODUCT_DESCRIPTION", $B$256, "SALES_ORDER_DATE",Table253345[[#This Row],[Date]]), 0)</f>
        <v>48</v>
      </c>
      <c r="F269" s="20">
        <f>Table253345[[#This Row],[Stock Change (t1-t0)]]+Table253345[[#This Row],[Sales]]</f>
        <v>0</v>
      </c>
      <c r="G269" s="18">
        <f>IF(Table253345[[#This Row],[Purchase (Real)]]=0, 0, Table253345[[#This Row],[Purchase (Real)]]+C268)</f>
        <v>0</v>
      </c>
      <c r="I269" s="4" t="s">
        <v>16</v>
      </c>
      <c r="J269" s="20">
        <f t="shared" si="14"/>
        <v>0</v>
      </c>
      <c r="K269" s="20">
        <f>J270-Table25293446[[#This Row],[Stock Level  (North)]]</f>
        <v>0</v>
      </c>
      <c r="L269" s="20">
        <f>IFERROR(GETPIVOTDATA("QTY",$B$56,"PRODUCT_DESCRIPTION", $B$256, "SALES_ORDER_DATE",Table25293446[[#This Row],[Date]], "AREA_NAME", "North"), 0)</f>
        <v>0</v>
      </c>
      <c r="M269" s="20">
        <f>Table25293446[[#This Row],[Stock Change (t1-t0) (North)]]+Table25293446[[#This Row],[Sales]]</f>
        <v>0</v>
      </c>
      <c r="N269" s="18">
        <f>IF(Table25293446[[#This Row],[Regional Transfer (Real)]]=0, 0, Table25293446[[#This Row],[Regional Transfer (Real)]]+Table25293446[[#This Row],[Stock Level  (North)]])</f>
        <v>0</v>
      </c>
      <c r="P269" s="4" t="s">
        <v>16</v>
      </c>
      <c r="Q269" s="20">
        <f t="shared" si="15"/>
        <v>80</v>
      </c>
      <c r="R269" s="20">
        <f>Q270-Table2529303547[[#This Row],[Stock Level  (South)]]</f>
        <v>0</v>
      </c>
      <c r="S269" s="20">
        <f>IFERROR(GETPIVOTDATA("QTY",$B$56,"PRODUCT_DESCRIPTION", $B$256, "SALES_ORDER_DATE",Table2529303547[[#This Row],[Date]], "AREA_NAME", "South"), 0)</f>
        <v>0</v>
      </c>
      <c r="T269" s="20">
        <f>Table2529303547[[#This Row],[Stock Change (t1-t0) (South)]]+Table2529303547[[#This Row],[Sales]]</f>
        <v>0</v>
      </c>
      <c r="U269" s="18">
        <f>IF(Table2529303547[[#This Row],[Regional Transfer (Real)]]=0, 0, Table2529303547[[#This Row],[Regional Transfer (Real)]]+Table2529303547[[#This Row],[Stock Level  (South)]])</f>
        <v>0</v>
      </c>
      <c r="W269" s="4" t="s">
        <v>16</v>
      </c>
      <c r="X269" s="20">
        <f t="shared" si="12"/>
        <v>100</v>
      </c>
      <c r="Y269" s="20">
        <f>X270-Table252930323648[[#This Row],[Stock Level  (West)]]</f>
        <v>-48</v>
      </c>
      <c r="Z269" s="20">
        <f>IFERROR(GETPIVOTDATA("QTY",$B$56,"PRODUCT_DESCRIPTION", $B$256, "SALES_ORDER_DATE",Table252930323648[[#This Row],[Date]], "AREA_NAME", "West"), 0)</f>
        <v>48</v>
      </c>
      <c r="AA269" s="20">
        <f>Table252930323648[[#This Row],[Stock Change (t1-t0) (West)]]+Table252930323648[[#This Row],[Sales]]</f>
        <v>0</v>
      </c>
      <c r="AB269" s="18">
        <f>IF(Table252930323648[[#This Row],[Regional Transfer (Real)]]=0, 0, Table252930323648[[#This Row],[Regional Transfer (Real)]]+Table252930323648[[#This Row],[Stock Level  (West)]])</f>
        <v>0</v>
      </c>
    </row>
    <row r="270" spans="2:28" x14ac:dyDescent="0.2">
      <c r="B270" s="4" t="s">
        <v>56</v>
      </c>
      <c r="C270" s="20">
        <f t="shared" si="13"/>
        <v>168</v>
      </c>
      <c r="D270" s="20">
        <f>C271-Table253345[[#This Row],[Stock Level  ]]</f>
        <v>0</v>
      </c>
      <c r="E270" s="20">
        <f>IFERROR(GETPIVOTDATA("QTY",$B$56,"PRODUCT_DESCRIPTION", $B$256, "SALES_ORDER_DATE",Table253345[[#This Row],[Date]]), 0)</f>
        <v>0</v>
      </c>
      <c r="F270" s="20">
        <f>Table253345[[#This Row],[Stock Change (t1-t0)]]+Table253345[[#This Row],[Sales]]</f>
        <v>0</v>
      </c>
      <c r="G270" s="18">
        <f>IF(Table253345[[#This Row],[Purchase (Real)]]=0, 0, Table253345[[#This Row],[Purchase (Real)]]+C269)</f>
        <v>0</v>
      </c>
      <c r="I270" s="4" t="s">
        <v>56</v>
      </c>
      <c r="J270" s="20">
        <f t="shared" si="14"/>
        <v>0</v>
      </c>
      <c r="K270" s="20">
        <f>J271-Table25293446[[#This Row],[Stock Level  (North)]]</f>
        <v>0</v>
      </c>
      <c r="L270" s="20">
        <f>IFERROR(GETPIVOTDATA("QTY",$B$56,"PRODUCT_DESCRIPTION", $B$256, "SALES_ORDER_DATE",Table25293446[[#This Row],[Date]], "AREA_NAME", "North"), 0)</f>
        <v>0</v>
      </c>
      <c r="M270" s="20">
        <f>Table25293446[[#This Row],[Stock Change (t1-t0) (North)]]+Table25293446[[#This Row],[Sales]]</f>
        <v>0</v>
      </c>
      <c r="N270" s="18">
        <f>IF(Table25293446[[#This Row],[Regional Transfer (Real)]]=0, 0, Table25293446[[#This Row],[Regional Transfer (Real)]]+Table25293446[[#This Row],[Stock Level  (North)]])</f>
        <v>0</v>
      </c>
      <c r="P270" s="4" t="s">
        <v>56</v>
      </c>
      <c r="Q270" s="20">
        <f t="shared" si="15"/>
        <v>80</v>
      </c>
      <c r="R270" s="20">
        <f>Q271-Table2529303547[[#This Row],[Stock Level  (South)]]</f>
        <v>0</v>
      </c>
      <c r="S270" s="20">
        <f>IFERROR(GETPIVOTDATA("QTY",$B$56,"PRODUCT_DESCRIPTION", $B$256, "SALES_ORDER_DATE",Table2529303547[[#This Row],[Date]], "AREA_NAME", "South"), 0)</f>
        <v>0</v>
      </c>
      <c r="T270" s="20">
        <f>Table2529303547[[#This Row],[Stock Change (t1-t0) (South)]]+Table2529303547[[#This Row],[Sales]]</f>
        <v>0</v>
      </c>
      <c r="U270" s="18">
        <f>IF(Table2529303547[[#This Row],[Regional Transfer (Real)]]=0, 0, Table2529303547[[#This Row],[Regional Transfer (Real)]]+Table2529303547[[#This Row],[Stock Level  (South)]])</f>
        <v>0</v>
      </c>
      <c r="W270" s="4" t="s">
        <v>56</v>
      </c>
      <c r="X270" s="20">
        <f t="shared" si="12"/>
        <v>52</v>
      </c>
      <c r="Y270" s="20">
        <f>X271-Table252930323648[[#This Row],[Stock Level  (West)]]</f>
        <v>0</v>
      </c>
      <c r="Z270" s="20">
        <f>IFERROR(GETPIVOTDATA("QTY",$B$56,"PRODUCT_DESCRIPTION", $B$256, "SALES_ORDER_DATE",Table252930323648[[#This Row],[Date]], "AREA_NAME", "West"), 0)</f>
        <v>0</v>
      </c>
      <c r="AA270" s="20">
        <f>Table252930323648[[#This Row],[Stock Change (t1-t0) (West)]]+Table252930323648[[#This Row],[Sales]]</f>
        <v>0</v>
      </c>
      <c r="AB270" s="18">
        <f>IF(Table252930323648[[#This Row],[Regional Transfer (Real)]]=0, 0, Table252930323648[[#This Row],[Regional Transfer (Real)]]+Table252930323648[[#This Row],[Stock Level  (West)]])</f>
        <v>0</v>
      </c>
    </row>
    <row r="271" spans="2:28" x14ac:dyDescent="0.2">
      <c r="B271" s="4" t="s">
        <v>17</v>
      </c>
      <c r="C271" s="20">
        <f t="shared" si="13"/>
        <v>168</v>
      </c>
      <c r="D271" s="20">
        <f>C272-Table253345[[#This Row],[Stock Level  ]]</f>
        <v>432</v>
      </c>
      <c r="E271" s="20">
        <f>IFERROR(GETPIVOTDATA("QTY",$B$56,"PRODUCT_DESCRIPTION", $B$256, "SALES_ORDER_DATE",Table253345[[#This Row],[Date]]), 0)</f>
        <v>0</v>
      </c>
      <c r="F271" s="20">
        <f>Table253345[[#This Row],[Stock Change (t1-t0)]]+Table253345[[#This Row],[Sales]]</f>
        <v>432</v>
      </c>
      <c r="G271" s="18">
        <f>IF(Table253345[[#This Row],[Purchase (Real)]]=0, 0, Table253345[[#This Row],[Purchase (Real)]]+C270)</f>
        <v>600</v>
      </c>
      <c r="I271" s="4" t="s">
        <v>17</v>
      </c>
      <c r="J271" s="20">
        <f t="shared" si="14"/>
        <v>0</v>
      </c>
      <c r="K271" s="20">
        <f>J272-Table25293446[[#This Row],[Stock Level  (North)]]</f>
        <v>22</v>
      </c>
      <c r="L271" s="20">
        <f>IFERROR(GETPIVOTDATA("QTY",$B$56,"PRODUCT_DESCRIPTION", $B$256, "SALES_ORDER_DATE",Table25293446[[#This Row],[Date]], "AREA_NAME", "North"), 0)</f>
        <v>0</v>
      </c>
      <c r="M271" s="20">
        <f>Table25293446[[#This Row],[Stock Change (t1-t0) (North)]]+Table25293446[[#This Row],[Sales]]</f>
        <v>22</v>
      </c>
      <c r="N271" s="18">
        <f>IF(Table25293446[[#This Row],[Regional Transfer (Real)]]=0, 0, Table25293446[[#This Row],[Regional Transfer (Real)]]+Table25293446[[#This Row],[Stock Level  (North)]])</f>
        <v>22</v>
      </c>
      <c r="P271" s="4" t="s">
        <v>17</v>
      </c>
      <c r="Q271" s="20">
        <f t="shared" si="15"/>
        <v>80</v>
      </c>
      <c r="R271" s="20">
        <f>Q272-Table2529303547[[#This Row],[Stock Level  (South)]]</f>
        <v>4</v>
      </c>
      <c r="S271" s="20">
        <f>IFERROR(GETPIVOTDATA("QTY",$B$56,"PRODUCT_DESCRIPTION", $B$256, "SALES_ORDER_DATE",Table2529303547[[#This Row],[Date]], "AREA_NAME", "South"), 0)</f>
        <v>0</v>
      </c>
      <c r="T271" s="20">
        <f>Table2529303547[[#This Row],[Stock Change (t1-t0) (South)]]+Table2529303547[[#This Row],[Sales]]</f>
        <v>4</v>
      </c>
      <c r="U271" s="18">
        <f>IF(Table2529303547[[#This Row],[Regional Transfer (Real)]]=0, 0, Table2529303547[[#This Row],[Regional Transfer (Real)]]+Table2529303547[[#This Row],[Stock Level  (South)]])</f>
        <v>84</v>
      </c>
      <c r="W271" s="4" t="s">
        <v>17</v>
      </c>
      <c r="X271" s="20">
        <f t="shared" si="12"/>
        <v>52</v>
      </c>
      <c r="Y271" s="20">
        <f>X272-Table252930323648[[#This Row],[Stock Level  (West)]]</f>
        <v>10</v>
      </c>
      <c r="Z271" s="20">
        <f>IFERROR(GETPIVOTDATA("QTY",$B$56,"PRODUCT_DESCRIPTION", $B$256, "SALES_ORDER_DATE",Table252930323648[[#This Row],[Date]], "AREA_NAME", "West"), 0)</f>
        <v>0</v>
      </c>
      <c r="AA271" s="20">
        <f>Table252930323648[[#This Row],[Stock Change (t1-t0) (West)]]+Table252930323648[[#This Row],[Sales]]</f>
        <v>10</v>
      </c>
      <c r="AB271" s="18">
        <f>IF(Table252930323648[[#This Row],[Regional Transfer (Real)]]=0, 0, Table252930323648[[#This Row],[Regional Transfer (Real)]]+Table252930323648[[#This Row],[Stock Level  (West)]])</f>
        <v>62</v>
      </c>
    </row>
    <row r="272" spans="2:28" x14ac:dyDescent="0.2">
      <c r="B272" s="4" t="s">
        <v>18</v>
      </c>
      <c r="C272" s="20">
        <f t="shared" si="13"/>
        <v>600</v>
      </c>
      <c r="D272" s="20">
        <f>C273-Table253345[[#This Row],[Stock Level  ]]</f>
        <v>-84</v>
      </c>
      <c r="E272" s="20">
        <f>IFERROR(GETPIVOTDATA("QTY",$B$56,"PRODUCT_DESCRIPTION", $B$256, "SALES_ORDER_DATE",Table253345[[#This Row],[Date]]), 0)</f>
        <v>84</v>
      </c>
      <c r="F272" s="20">
        <f>Table253345[[#This Row],[Stock Change (t1-t0)]]+Table253345[[#This Row],[Sales]]</f>
        <v>0</v>
      </c>
      <c r="G272" s="18">
        <f>IF(Table253345[[#This Row],[Purchase (Real)]]=0, 0, Table253345[[#This Row],[Purchase (Real)]]+C271)</f>
        <v>0</v>
      </c>
      <c r="I272" s="4" t="s">
        <v>18</v>
      </c>
      <c r="J272" s="20">
        <f t="shared" si="14"/>
        <v>22</v>
      </c>
      <c r="K272" s="20">
        <f>J273-Table25293446[[#This Row],[Stock Level  (North)]]</f>
        <v>0</v>
      </c>
      <c r="L272" s="20">
        <f>IFERROR(GETPIVOTDATA("QTY",$B$56,"PRODUCT_DESCRIPTION", $B$256, "SALES_ORDER_DATE",Table25293446[[#This Row],[Date]], "AREA_NAME", "North"), 0)</f>
        <v>0</v>
      </c>
      <c r="M272" s="20">
        <f>Table25293446[[#This Row],[Stock Change (t1-t0) (North)]]+Table25293446[[#This Row],[Sales]]</f>
        <v>0</v>
      </c>
      <c r="N272" s="18">
        <f>IF(Table25293446[[#This Row],[Regional Transfer (Real)]]=0, 0, Table25293446[[#This Row],[Regional Transfer (Real)]]+Table25293446[[#This Row],[Stock Level  (North)]])</f>
        <v>0</v>
      </c>
      <c r="P272" s="4" t="s">
        <v>18</v>
      </c>
      <c r="Q272" s="20">
        <f t="shared" si="15"/>
        <v>84</v>
      </c>
      <c r="R272" s="20">
        <f>Q273-Table2529303547[[#This Row],[Stock Level  (South)]]</f>
        <v>-84</v>
      </c>
      <c r="S272" s="20">
        <f>IFERROR(GETPIVOTDATA("QTY",$B$56,"PRODUCT_DESCRIPTION", $B$256, "SALES_ORDER_DATE",Table2529303547[[#This Row],[Date]], "AREA_NAME", "South"), 0)</f>
        <v>84</v>
      </c>
      <c r="T272" s="20">
        <f>Table2529303547[[#This Row],[Stock Change (t1-t0) (South)]]+Table2529303547[[#This Row],[Sales]]</f>
        <v>0</v>
      </c>
      <c r="U272" s="18">
        <f>IF(Table2529303547[[#This Row],[Regional Transfer (Real)]]=0, 0, Table2529303547[[#This Row],[Regional Transfer (Real)]]+Table2529303547[[#This Row],[Stock Level  (South)]])</f>
        <v>0</v>
      </c>
      <c r="W272" s="4" t="s">
        <v>18</v>
      </c>
      <c r="X272" s="20">
        <f t="shared" si="12"/>
        <v>62</v>
      </c>
      <c r="Y272" s="20">
        <f>X273-Table252930323648[[#This Row],[Stock Level  (West)]]</f>
        <v>0</v>
      </c>
      <c r="Z272" s="20">
        <f>IFERROR(GETPIVOTDATA("QTY",$B$56,"PRODUCT_DESCRIPTION", $B$256, "SALES_ORDER_DATE",Table252930323648[[#This Row],[Date]], "AREA_NAME", "West"), 0)</f>
        <v>0</v>
      </c>
      <c r="AA272" s="20">
        <f>Table252930323648[[#This Row],[Stock Change (t1-t0) (West)]]+Table252930323648[[#This Row],[Sales]]</f>
        <v>0</v>
      </c>
      <c r="AB272" s="18">
        <f>IF(Table252930323648[[#This Row],[Regional Transfer (Real)]]=0, 0, Table252930323648[[#This Row],[Regional Transfer (Real)]]+Table252930323648[[#This Row],[Stock Level  (West)]])</f>
        <v>0</v>
      </c>
    </row>
    <row r="273" spans="2:28" x14ac:dyDescent="0.2">
      <c r="B273" s="4" t="s">
        <v>19</v>
      </c>
      <c r="C273" s="20">
        <f t="shared" si="13"/>
        <v>516</v>
      </c>
      <c r="D273" s="20">
        <f>C274-Table253345[[#This Row],[Stock Level  ]]</f>
        <v>-62</v>
      </c>
      <c r="E273" s="20">
        <f>IFERROR(GETPIVOTDATA("QTY",$B$56,"PRODUCT_DESCRIPTION", $B$256, "SALES_ORDER_DATE",Table253345[[#This Row],[Date]]), 0)</f>
        <v>62</v>
      </c>
      <c r="F273" s="20">
        <f>Table253345[[#This Row],[Stock Change (t1-t0)]]+Table253345[[#This Row],[Sales]]</f>
        <v>0</v>
      </c>
      <c r="G273" s="18">
        <f>IF(Table253345[[#This Row],[Purchase (Real)]]=0, 0, Table253345[[#This Row],[Purchase (Real)]]+C272)</f>
        <v>0</v>
      </c>
      <c r="I273" s="4" t="s">
        <v>19</v>
      </c>
      <c r="J273" s="20">
        <f t="shared" si="14"/>
        <v>22</v>
      </c>
      <c r="K273" s="20">
        <f>J274-Table25293446[[#This Row],[Stock Level  (North)]]</f>
        <v>-22</v>
      </c>
      <c r="L273" s="20">
        <f>IFERROR(GETPIVOTDATA("QTY",$B$56,"PRODUCT_DESCRIPTION", $B$256, "SALES_ORDER_DATE",Table25293446[[#This Row],[Date]], "AREA_NAME", "North"), 0)</f>
        <v>22</v>
      </c>
      <c r="M273" s="20">
        <f>Table25293446[[#This Row],[Stock Change (t1-t0) (North)]]+Table25293446[[#This Row],[Sales]]</f>
        <v>0</v>
      </c>
      <c r="N273" s="18">
        <f>IF(Table25293446[[#This Row],[Regional Transfer (Real)]]=0, 0, Table25293446[[#This Row],[Regional Transfer (Real)]]+Table25293446[[#This Row],[Stock Level  (North)]])</f>
        <v>0</v>
      </c>
      <c r="P273" s="4" t="s">
        <v>19</v>
      </c>
      <c r="Q273" s="20">
        <f t="shared" si="15"/>
        <v>0</v>
      </c>
      <c r="R273" s="20">
        <f>Q274-Table2529303547[[#This Row],[Stock Level  (South)]]</f>
        <v>0</v>
      </c>
      <c r="S273" s="20">
        <f>IFERROR(GETPIVOTDATA("QTY",$B$56,"PRODUCT_DESCRIPTION", $B$256, "SALES_ORDER_DATE",Table2529303547[[#This Row],[Date]], "AREA_NAME", "South"), 0)</f>
        <v>0</v>
      </c>
      <c r="T273" s="20">
        <f>Table2529303547[[#This Row],[Stock Change (t1-t0) (South)]]+Table2529303547[[#This Row],[Sales]]</f>
        <v>0</v>
      </c>
      <c r="U273" s="18">
        <f>IF(Table2529303547[[#This Row],[Regional Transfer (Real)]]=0, 0, Table2529303547[[#This Row],[Regional Transfer (Real)]]+Table2529303547[[#This Row],[Stock Level  (South)]])</f>
        <v>0</v>
      </c>
      <c r="W273" s="4" t="s">
        <v>19</v>
      </c>
      <c r="X273" s="20">
        <f t="shared" si="12"/>
        <v>62</v>
      </c>
      <c r="Y273" s="20">
        <f>X274-Table252930323648[[#This Row],[Stock Level  (West)]]</f>
        <v>-40</v>
      </c>
      <c r="Z273" s="20">
        <f>IFERROR(GETPIVOTDATA("QTY",$B$56,"PRODUCT_DESCRIPTION", $B$256, "SALES_ORDER_DATE",Table252930323648[[#This Row],[Date]], "AREA_NAME", "West"), 0)</f>
        <v>40</v>
      </c>
      <c r="AA273" s="20">
        <f>Table252930323648[[#This Row],[Stock Change (t1-t0) (West)]]+Table252930323648[[#This Row],[Sales]]</f>
        <v>0</v>
      </c>
      <c r="AB273" s="18">
        <f>IF(Table252930323648[[#This Row],[Regional Transfer (Real)]]=0, 0, Table252930323648[[#This Row],[Regional Transfer (Real)]]+Table252930323648[[#This Row],[Stock Level  (West)]])</f>
        <v>0</v>
      </c>
    </row>
    <row r="274" spans="2:28" x14ac:dyDescent="0.2">
      <c r="B274" s="4" t="s">
        <v>20</v>
      </c>
      <c r="C274" s="20">
        <f t="shared" si="13"/>
        <v>454</v>
      </c>
      <c r="D274" s="20">
        <f>C275-Table253345[[#This Row],[Stock Level  ]]</f>
        <v>0</v>
      </c>
      <c r="E274" s="20">
        <f>IFERROR(GETPIVOTDATA("QTY",$B$56,"PRODUCT_DESCRIPTION", $B$256, "SALES_ORDER_DATE",Table253345[[#This Row],[Date]]), 0)</f>
        <v>0</v>
      </c>
      <c r="F274" s="20">
        <f>Table253345[[#This Row],[Stock Change (t1-t0)]]+Table253345[[#This Row],[Sales]]</f>
        <v>0</v>
      </c>
      <c r="G274" s="18">
        <f>IF(Table253345[[#This Row],[Purchase (Real)]]=0, 0, Table253345[[#This Row],[Purchase (Real)]]+C273)</f>
        <v>0</v>
      </c>
      <c r="I274" s="4" t="s">
        <v>20</v>
      </c>
      <c r="J274" s="20">
        <f t="shared" si="14"/>
        <v>0</v>
      </c>
      <c r="K274" s="20">
        <f>J275-Table25293446[[#This Row],[Stock Level  (North)]]</f>
        <v>100</v>
      </c>
      <c r="L274" s="20">
        <f>IFERROR(GETPIVOTDATA("QTY",$B$56,"PRODUCT_DESCRIPTION", $B$256, "SALES_ORDER_DATE",Table25293446[[#This Row],[Date]], "AREA_NAME", "North"), 0)</f>
        <v>0</v>
      </c>
      <c r="M274" s="20">
        <f>Table25293446[[#This Row],[Stock Change (t1-t0) (North)]]+Table25293446[[#This Row],[Sales]]</f>
        <v>100</v>
      </c>
      <c r="N274" s="18">
        <f>IF(Table25293446[[#This Row],[Regional Transfer (Real)]]=0, 0, Table25293446[[#This Row],[Regional Transfer (Real)]]+Table25293446[[#This Row],[Stock Level  (North)]])</f>
        <v>100</v>
      </c>
      <c r="P274" s="4" t="s">
        <v>20</v>
      </c>
      <c r="Q274" s="20">
        <f t="shared" si="15"/>
        <v>0</v>
      </c>
      <c r="R274" s="20">
        <f>Q275-Table2529303547[[#This Row],[Stock Level  (South)]]</f>
        <v>100</v>
      </c>
      <c r="S274" s="20">
        <f>IFERROR(GETPIVOTDATA("QTY",$B$56,"PRODUCT_DESCRIPTION", $B$256, "SALES_ORDER_DATE",Table2529303547[[#This Row],[Date]], "AREA_NAME", "South"), 0)</f>
        <v>0</v>
      </c>
      <c r="T274" s="20">
        <f>Table2529303547[[#This Row],[Stock Change (t1-t0) (South)]]+Table2529303547[[#This Row],[Sales]]</f>
        <v>100</v>
      </c>
      <c r="U274" s="18">
        <f>IF(Table2529303547[[#This Row],[Regional Transfer (Real)]]=0, 0, Table2529303547[[#This Row],[Regional Transfer (Real)]]+Table2529303547[[#This Row],[Stock Level  (South)]])</f>
        <v>100</v>
      </c>
      <c r="W274" s="4" t="s">
        <v>20</v>
      </c>
      <c r="X274" s="20">
        <f t="shared" si="12"/>
        <v>22</v>
      </c>
      <c r="Y274" s="20">
        <f>X275-Table252930323648[[#This Row],[Stock Level  (West)]]</f>
        <v>78</v>
      </c>
      <c r="Z274" s="20">
        <f>IFERROR(GETPIVOTDATA("QTY",$B$56,"PRODUCT_DESCRIPTION", $B$256, "SALES_ORDER_DATE",Table252930323648[[#This Row],[Date]], "AREA_NAME", "West"), 0)</f>
        <v>0</v>
      </c>
      <c r="AA274" s="20">
        <f>Table252930323648[[#This Row],[Stock Change (t1-t0) (West)]]+Table252930323648[[#This Row],[Sales]]</f>
        <v>78</v>
      </c>
      <c r="AB274" s="18">
        <f>IF(Table252930323648[[#This Row],[Regional Transfer (Real)]]=0, 0, Table252930323648[[#This Row],[Regional Transfer (Real)]]+Table252930323648[[#This Row],[Stock Level  (West)]])</f>
        <v>100</v>
      </c>
    </row>
    <row r="275" spans="2:28" x14ac:dyDescent="0.2">
      <c r="B275" s="4" t="s">
        <v>21</v>
      </c>
      <c r="C275" s="20">
        <f t="shared" si="13"/>
        <v>454</v>
      </c>
      <c r="D275" s="20">
        <f>C276-Table253345[[#This Row],[Stock Level  ]]</f>
        <v>0</v>
      </c>
      <c r="E275" s="20">
        <f>IFERROR(GETPIVOTDATA("QTY",$B$56,"PRODUCT_DESCRIPTION", $B$256, "SALES_ORDER_DATE",Table253345[[#This Row],[Date]]), 0)</f>
        <v>0</v>
      </c>
      <c r="F275" s="20">
        <f>Table253345[[#This Row],[Stock Change (t1-t0)]]+Table253345[[#This Row],[Sales]]</f>
        <v>0</v>
      </c>
      <c r="G275" s="18">
        <f>IF(Table253345[[#This Row],[Purchase (Real)]]=0, 0, Table253345[[#This Row],[Purchase (Real)]]+C274)</f>
        <v>0</v>
      </c>
      <c r="I275" s="4" t="s">
        <v>21</v>
      </c>
      <c r="J275" s="20">
        <f t="shared" si="14"/>
        <v>100</v>
      </c>
      <c r="K275" s="20">
        <f>J276-Table25293446[[#This Row],[Stock Level  (North)]]</f>
        <v>0</v>
      </c>
      <c r="L275" s="20">
        <f>IFERROR(GETPIVOTDATA("QTY",$B$56,"PRODUCT_DESCRIPTION", $B$256, "SALES_ORDER_DATE",Table25293446[[#This Row],[Date]], "AREA_NAME", "North"), 0)</f>
        <v>0</v>
      </c>
      <c r="M275" s="20">
        <f>Table25293446[[#This Row],[Stock Change (t1-t0) (North)]]+Table25293446[[#This Row],[Sales]]</f>
        <v>0</v>
      </c>
      <c r="N275" s="18">
        <f>IF(Table25293446[[#This Row],[Regional Transfer (Real)]]=0, 0, Table25293446[[#This Row],[Regional Transfer (Real)]]+Table25293446[[#This Row],[Stock Level  (North)]])</f>
        <v>0</v>
      </c>
      <c r="P275" s="4" t="s">
        <v>21</v>
      </c>
      <c r="Q275" s="20">
        <f t="shared" si="15"/>
        <v>100</v>
      </c>
      <c r="R275" s="20">
        <f>Q276-Table2529303547[[#This Row],[Stock Level  (South)]]</f>
        <v>0</v>
      </c>
      <c r="S275" s="20">
        <f>IFERROR(GETPIVOTDATA("QTY",$B$56,"PRODUCT_DESCRIPTION", $B$256, "SALES_ORDER_DATE",Table2529303547[[#This Row],[Date]], "AREA_NAME", "South"), 0)</f>
        <v>0</v>
      </c>
      <c r="T275" s="20">
        <f>Table2529303547[[#This Row],[Stock Change (t1-t0) (South)]]+Table2529303547[[#This Row],[Sales]]</f>
        <v>0</v>
      </c>
      <c r="U275" s="18">
        <f>IF(Table2529303547[[#This Row],[Regional Transfer (Real)]]=0, 0, Table2529303547[[#This Row],[Regional Transfer (Real)]]+Table2529303547[[#This Row],[Stock Level  (South)]])</f>
        <v>0</v>
      </c>
      <c r="W275" s="4" t="s">
        <v>21</v>
      </c>
      <c r="X275" s="20">
        <f t="shared" si="12"/>
        <v>100</v>
      </c>
      <c r="Y275" s="20">
        <f>X276-Table252930323648[[#This Row],[Stock Level  (West)]]</f>
        <v>0</v>
      </c>
      <c r="Z275" s="20">
        <f>IFERROR(GETPIVOTDATA("QTY",$B$56,"PRODUCT_DESCRIPTION", $B$256, "SALES_ORDER_DATE",Table252930323648[[#This Row],[Date]], "AREA_NAME", "West"), 0)</f>
        <v>0</v>
      </c>
      <c r="AA275" s="20">
        <f>Table252930323648[[#This Row],[Stock Change (t1-t0) (West)]]+Table252930323648[[#This Row],[Sales]]</f>
        <v>0</v>
      </c>
      <c r="AB275" s="18">
        <f>IF(Table252930323648[[#This Row],[Regional Transfer (Real)]]=0, 0, Table252930323648[[#This Row],[Regional Transfer (Real)]]+Table252930323648[[#This Row],[Stock Level  (West)]])</f>
        <v>0</v>
      </c>
    </row>
    <row r="276" spans="2:28" x14ac:dyDescent="0.2">
      <c r="B276" s="4" t="s">
        <v>22</v>
      </c>
      <c r="C276" s="20">
        <f t="shared" si="13"/>
        <v>454</v>
      </c>
      <c r="D276" s="20">
        <f>C277-Table253345[[#This Row],[Stock Level  ]]</f>
        <v>-86</v>
      </c>
      <c r="E276" s="20">
        <f>IFERROR(GETPIVOTDATA("QTY",$B$56,"PRODUCT_DESCRIPTION", $B$256, "SALES_ORDER_DATE",Table253345[[#This Row],[Date]]), 0)</f>
        <v>86</v>
      </c>
      <c r="F276" s="20">
        <f>Table253345[[#This Row],[Stock Change (t1-t0)]]+Table253345[[#This Row],[Sales]]</f>
        <v>0</v>
      </c>
      <c r="G276" s="18">
        <f>IF(Table253345[[#This Row],[Purchase (Real)]]=0, 0, Table253345[[#This Row],[Purchase (Real)]]+C275)</f>
        <v>0</v>
      </c>
      <c r="I276" s="4" t="s">
        <v>22</v>
      </c>
      <c r="J276" s="20">
        <f t="shared" si="14"/>
        <v>100</v>
      </c>
      <c r="K276" s="20">
        <f>J277-Table25293446[[#This Row],[Stock Level  (North)]]</f>
        <v>-47</v>
      </c>
      <c r="L276" s="20">
        <f>IFERROR(GETPIVOTDATA("QTY",$B$56,"PRODUCT_DESCRIPTION", $B$256, "SALES_ORDER_DATE",Table25293446[[#This Row],[Date]], "AREA_NAME", "North"), 0)</f>
        <v>47</v>
      </c>
      <c r="M276" s="20">
        <f>Table25293446[[#This Row],[Stock Change (t1-t0) (North)]]+Table25293446[[#This Row],[Sales]]</f>
        <v>0</v>
      </c>
      <c r="N276" s="18">
        <f>IF(Table25293446[[#This Row],[Regional Transfer (Real)]]=0, 0, Table25293446[[#This Row],[Regional Transfer (Real)]]+Table25293446[[#This Row],[Stock Level  (North)]])</f>
        <v>0</v>
      </c>
      <c r="P276" s="4" t="s">
        <v>22</v>
      </c>
      <c r="Q276" s="20">
        <f t="shared" si="15"/>
        <v>100</v>
      </c>
      <c r="R276" s="20">
        <f>Q277-Table2529303547[[#This Row],[Stock Level  (South)]]</f>
        <v>0</v>
      </c>
      <c r="S276" s="20">
        <f>IFERROR(GETPIVOTDATA("QTY",$B$56,"PRODUCT_DESCRIPTION", $B$256, "SALES_ORDER_DATE",Table2529303547[[#This Row],[Date]], "AREA_NAME", "South"), 0)</f>
        <v>0</v>
      </c>
      <c r="T276" s="20">
        <f>Table2529303547[[#This Row],[Stock Change (t1-t0) (South)]]+Table2529303547[[#This Row],[Sales]]</f>
        <v>0</v>
      </c>
      <c r="U276" s="18">
        <f>IF(Table2529303547[[#This Row],[Regional Transfer (Real)]]=0, 0, Table2529303547[[#This Row],[Regional Transfer (Real)]]+Table2529303547[[#This Row],[Stock Level  (South)]])</f>
        <v>0</v>
      </c>
      <c r="W276" s="4" t="s">
        <v>22</v>
      </c>
      <c r="X276" s="20">
        <f t="shared" si="12"/>
        <v>100</v>
      </c>
      <c r="Y276" s="20">
        <f>X277-Table252930323648[[#This Row],[Stock Level  (West)]]</f>
        <v>-39</v>
      </c>
      <c r="Z276" s="20">
        <f>IFERROR(GETPIVOTDATA("QTY",$B$56,"PRODUCT_DESCRIPTION", $B$256, "SALES_ORDER_DATE",Table252930323648[[#This Row],[Date]], "AREA_NAME", "West"), 0)</f>
        <v>39</v>
      </c>
      <c r="AA276" s="20">
        <f>Table252930323648[[#This Row],[Stock Change (t1-t0) (West)]]+Table252930323648[[#This Row],[Sales]]</f>
        <v>0</v>
      </c>
      <c r="AB276" s="18">
        <f>IF(Table252930323648[[#This Row],[Regional Transfer (Real)]]=0, 0, Table252930323648[[#This Row],[Regional Transfer (Real)]]+Table252930323648[[#This Row],[Stock Level  (West)]])</f>
        <v>0</v>
      </c>
    </row>
    <row r="277" spans="2:28" x14ac:dyDescent="0.2">
      <c r="B277" s="4" t="s">
        <v>23</v>
      </c>
      <c r="C277" s="20">
        <f t="shared" si="13"/>
        <v>368</v>
      </c>
      <c r="D277" s="20">
        <f>C278-Table253345[[#This Row],[Stock Level  ]]</f>
        <v>-34</v>
      </c>
      <c r="E277" s="20">
        <f>IFERROR(GETPIVOTDATA("QTY",$B$56,"PRODUCT_DESCRIPTION", $B$256, "SALES_ORDER_DATE",Table253345[[#This Row],[Date]]), 0)</f>
        <v>34</v>
      </c>
      <c r="F277" s="20">
        <f>Table253345[[#This Row],[Stock Change (t1-t0)]]+Table253345[[#This Row],[Sales]]</f>
        <v>0</v>
      </c>
      <c r="G277" s="18">
        <f>IF(Table253345[[#This Row],[Purchase (Real)]]=0, 0, Table253345[[#This Row],[Purchase (Real)]]+C276)</f>
        <v>0</v>
      </c>
      <c r="I277" s="4" t="s">
        <v>23</v>
      </c>
      <c r="J277" s="20">
        <f t="shared" si="14"/>
        <v>53</v>
      </c>
      <c r="K277" s="20">
        <f>J278-Table25293446[[#This Row],[Stock Level  (North)]]</f>
        <v>13</v>
      </c>
      <c r="L277" s="20">
        <f>IFERROR(GETPIVOTDATA("QTY",$B$56,"PRODUCT_DESCRIPTION", $B$256, "SALES_ORDER_DATE",Table25293446[[#This Row],[Date]], "AREA_NAME", "North"), 0)</f>
        <v>34</v>
      </c>
      <c r="M277" s="20">
        <f>Table25293446[[#This Row],[Stock Change (t1-t0) (North)]]+Table25293446[[#This Row],[Sales]]</f>
        <v>47</v>
      </c>
      <c r="N277" s="18">
        <f>IF(Table25293446[[#This Row],[Regional Transfer (Real)]]=0, 0, Table25293446[[#This Row],[Regional Transfer (Real)]]+Table25293446[[#This Row],[Stock Level  (North)]])</f>
        <v>100</v>
      </c>
      <c r="P277" s="4" t="s">
        <v>23</v>
      </c>
      <c r="Q277" s="20">
        <f t="shared" si="15"/>
        <v>100</v>
      </c>
      <c r="R277" s="20">
        <f>Q278-Table2529303547[[#This Row],[Stock Level  (South)]]</f>
        <v>0</v>
      </c>
      <c r="S277" s="20">
        <f>IFERROR(GETPIVOTDATA("QTY",$B$56,"PRODUCT_DESCRIPTION", $B$256, "SALES_ORDER_DATE",Table2529303547[[#This Row],[Date]], "AREA_NAME", "South"), 0)</f>
        <v>0</v>
      </c>
      <c r="T277" s="20">
        <f>Table2529303547[[#This Row],[Stock Change (t1-t0) (South)]]+Table2529303547[[#This Row],[Sales]]</f>
        <v>0</v>
      </c>
      <c r="U277" s="18">
        <f>IF(Table2529303547[[#This Row],[Regional Transfer (Real)]]=0, 0, Table2529303547[[#This Row],[Regional Transfer (Real)]]+Table2529303547[[#This Row],[Stock Level  (South)]])</f>
        <v>0</v>
      </c>
      <c r="W277" s="4" t="s">
        <v>23</v>
      </c>
      <c r="X277" s="20">
        <f t="shared" si="12"/>
        <v>61</v>
      </c>
      <c r="Y277" s="20">
        <f>X278-Table252930323648[[#This Row],[Stock Level  (West)]]</f>
        <v>39</v>
      </c>
      <c r="Z277" s="20">
        <f>IFERROR(GETPIVOTDATA("QTY",$B$56,"PRODUCT_DESCRIPTION", $B$256, "SALES_ORDER_DATE",Table252930323648[[#This Row],[Date]], "AREA_NAME", "West"), 0)</f>
        <v>0</v>
      </c>
      <c r="AA277" s="20">
        <f>Table252930323648[[#This Row],[Stock Change (t1-t0) (West)]]+Table252930323648[[#This Row],[Sales]]</f>
        <v>39</v>
      </c>
      <c r="AB277" s="18">
        <f>IF(Table252930323648[[#This Row],[Regional Transfer (Real)]]=0, 0, Table252930323648[[#This Row],[Regional Transfer (Real)]]+Table252930323648[[#This Row],[Stock Level  (West)]])</f>
        <v>100</v>
      </c>
    </row>
    <row r="278" spans="2:28" x14ac:dyDescent="0.2">
      <c r="B278" s="4" t="s">
        <v>24</v>
      </c>
      <c r="C278" s="20">
        <f t="shared" si="13"/>
        <v>334</v>
      </c>
      <c r="D278" s="20">
        <f>C279-Table253345[[#This Row],[Stock Level  ]]</f>
        <v>-34</v>
      </c>
      <c r="E278" s="20">
        <f>IFERROR(GETPIVOTDATA("QTY",$B$56,"PRODUCT_DESCRIPTION", $B$256, "SALES_ORDER_DATE",Table253345[[#This Row],[Date]]), 0)</f>
        <v>34</v>
      </c>
      <c r="F278" s="20">
        <f>Table253345[[#This Row],[Stock Change (t1-t0)]]+Table253345[[#This Row],[Sales]]</f>
        <v>0</v>
      </c>
      <c r="G278" s="18">
        <f>IF(Table253345[[#This Row],[Purchase (Real)]]=0, 0, Table253345[[#This Row],[Purchase (Real)]]+C277)</f>
        <v>0</v>
      </c>
      <c r="I278" s="4" t="s">
        <v>24</v>
      </c>
      <c r="J278" s="20">
        <f t="shared" si="14"/>
        <v>66</v>
      </c>
      <c r="K278" s="20">
        <f>J279-Table25293446[[#This Row],[Stock Level  (North)]]</f>
        <v>-34</v>
      </c>
      <c r="L278" s="20">
        <f>IFERROR(GETPIVOTDATA("QTY",$B$56,"PRODUCT_DESCRIPTION", $B$256, "SALES_ORDER_DATE",Table25293446[[#This Row],[Date]], "AREA_NAME", "North"), 0)</f>
        <v>34</v>
      </c>
      <c r="M278" s="20">
        <f>Table25293446[[#This Row],[Stock Change (t1-t0) (North)]]+Table25293446[[#This Row],[Sales]]</f>
        <v>0</v>
      </c>
      <c r="N278" s="18">
        <f>IF(Table25293446[[#This Row],[Regional Transfer (Real)]]=0, 0, Table25293446[[#This Row],[Regional Transfer (Real)]]+Table25293446[[#This Row],[Stock Level  (North)]])</f>
        <v>0</v>
      </c>
      <c r="P278" s="4" t="s">
        <v>24</v>
      </c>
      <c r="Q278" s="20">
        <f t="shared" si="15"/>
        <v>100</v>
      </c>
      <c r="R278" s="20">
        <f>Q279-Table2529303547[[#This Row],[Stock Level  (South)]]</f>
        <v>0</v>
      </c>
      <c r="S278" s="20">
        <f>IFERROR(GETPIVOTDATA("QTY",$B$56,"PRODUCT_DESCRIPTION", $B$256, "SALES_ORDER_DATE",Table2529303547[[#This Row],[Date]], "AREA_NAME", "South"), 0)</f>
        <v>0</v>
      </c>
      <c r="T278" s="20">
        <f>Table2529303547[[#This Row],[Stock Change (t1-t0) (South)]]+Table2529303547[[#This Row],[Sales]]</f>
        <v>0</v>
      </c>
      <c r="U278" s="18">
        <f>IF(Table2529303547[[#This Row],[Regional Transfer (Real)]]=0, 0, Table2529303547[[#This Row],[Regional Transfer (Real)]]+Table2529303547[[#This Row],[Stock Level  (South)]])</f>
        <v>0</v>
      </c>
      <c r="W278" s="4" t="s">
        <v>24</v>
      </c>
      <c r="X278" s="20">
        <f t="shared" si="12"/>
        <v>100</v>
      </c>
      <c r="Y278" s="20">
        <f>X279-Table252930323648[[#This Row],[Stock Level  (West)]]</f>
        <v>0</v>
      </c>
      <c r="Z278" s="20">
        <f>IFERROR(GETPIVOTDATA("QTY",$B$56,"PRODUCT_DESCRIPTION", $B$256, "SALES_ORDER_DATE",Table252930323648[[#This Row],[Date]], "AREA_NAME", "West"), 0)</f>
        <v>0</v>
      </c>
      <c r="AA278" s="20">
        <f>Table252930323648[[#This Row],[Stock Change (t1-t0) (West)]]+Table252930323648[[#This Row],[Sales]]</f>
        <v>0</v>
      </c>
      <c r="AB278" s="18">
        <f>IF(Table252930323648[[#This Row],[Regional Transfer (Real)]]=0, 0, Table252930323648[[#This Row],[Regional Transfer (Real)]]+Table252930323648[[#This Row],[Stock Level  (West)]])</f>
        <v>0</v>
      </c>
    </row>
    <row r="279" spans="2:28" x14ac:dyDescent="0.2">
      <c r="B279" s="4" t="s">
        <v>25</v>
      </c>
      <c r="C279" s="20">
        <f t="shared" si="13"/>
        <v>300</v>
      </c>
      <c r="D279" s="20">
        <f>C280-Table253345[[#This Row],[Stock Level  ]]</f>
        <v>-32</v>
      </c>
      <c r="E279" s="20">
        <f>IFERROR(GETPIVOTDATA("QTY",$B$56,"PRODUCT_DESCRIPTION", $B$256, "SALES_ORDER_DATE",Table253345[[#This Row],[Date]]), 0)</f>
        <v>32</v>
      </c>
      <c r="F279" s="20">
        <f>Table253345[[#This Row],[Stock Change (t1-t0)]]+Table253345[[#This Row],[Sales]]</f>
        <v>0</v>
      </c>
      <c r="G279" s="18">
        <f>IF(Table253345[[#This Row],[Purchase (Real)]]=0, 0, Table253345[[#This Row],[Purchase (Real)]]+C278)</f>
        <v>0</v>
      </c>
      <c r="I279" s="4" t="s">
        <v>25</v>
      </c>
      <c r="J279" s="20">
        <f t="shared" si="14"/>
        <v>32</v>
      </c>
      <c r="K279" s="20">
        <f>J280-Table25293446[[#This Row],[Stock Level  (North)]]</f>
        <v>-32</v>
      </c>
      <c r="L279" s="20">
        <f>IFERROR(GETPIVOTDATA("QTY",$B$56,"PRODUCT_DESCRIPTION", $B$256, "SALES_ORDER_DATE",Table25293446[[#This Row],[Date]], "AREA_NAME", "North"), 0)</f>
        <v>32</v>
      </c>
      <c r="M279" s="20">
        <f>Table25293446[[#This Row],[Stock Change (t1-t0) (North)]]+Table25293446[[#This Row],[Sales]]</f>
        <v>0</v>
      </c>
      <c r="N279" s="18">
        <f>IF(Table25293446[[#This Row],[Regional Transfer (Real)]]=0, 0, Table25293446[[#This Row],[Regional Transfer (Real)]]+Table25293446[[#This Row],[Stock Level  (North)]])</f>
        <v>0</v>
      </c>
      <c r="P279" s="4" t="s">
        <v>25</v>
      </c>
      <c r="Q279" s="20">
        <f t="shared" si="15"/>
        <v>100</v>
      </c>
      <c r="R279" s="20">
        <f>Q280-Table2529303547[[#This Row],[Stock Level  (South)]]</f>
        <v>0</v>
      </c>
      <c r="S279" s="20">
        <f>IFERROR(GETPIVOTDATA("QTY",$B$56,"PRODUCT_DESCRIPTION", $B$256, "SALES_ORDER_DATE",Table2529303547[[#This Row],[Date]], "AREA_NAME", "South"), 0)</f>
        <v>0</v>
      </c>
      <c r="T279" s="20">
        <f>Table2529303547[[#This Row],[Stock Change (t1-t0) (South)]]+Table2529303547[[#This Row],[Sales]]</f>
        <v>0</v>
      </c>
      <c r="U279" s="18">
        <f>IF(Table2529303547[[#This Row],[Regional Transfer (Real)]]=0, 0, Table2529303547[[#This Row],[Regional Transfer (Real)]]+Table2529303547[[#This Row],[Stock Level  (South)]])</f>
        <v>0</v>
      </c>
      <c r="W279" s="4" t="s">
        <v>25</v>
      </c>
      <c r="X279" s="20">
        <f t="shared" si="12"/>
        <v>100</v>
      </c>
      <c r="Y279" s="20">
        <f>X280-Table252930323648[[#This Row],[Stock Level  (West)]]</f>
        <v>0</v>
      </c>
      <c r="Z279" s="20">
        <f>IFERROR(GETPIVOTDATA("QTY",$B$56,"PRODUCT_DESCRIPTION", $B$256, "SALES_ORDER_DATE",Table252930323648[[#This Row],[Date]], "AREA_NAME", "West"), 0)</f>
        <v>0</v>
      </c>
      <c r="AA279" s="20">
        <f>Table252930323648[[#This Row],[Stock Change (t1-t0) (West)]]+Table252930323648[[#This Row],[Sales]]</f>
        <v>0</v>
      </c>
      <c r="AB279" s="18">
        <f>IF(Table252930323648[[#This Row],[Regional Transfer (Real)]]=0, 0, Table252930323648[[#This Row],[Regional Transfer (Real)]]+Table252930323648[[#This Row],[Stock Level  (West)]])</f>
        <v>0</v>
      </c>
    </row>
    <row r="280" spans="2:28" x14ac:dyDescent="0.2">
      <c r="B280" s="4" t="s">
        <v>26</v>
      </c>
      <c r="C280" s="20">
        <f t="shared" si="13"/>
        <v>268</v>
      </c>
      <c r="D280" s="20">
        <f>C281-Table253345[[#This Row],[Stock Level  ]]</f>
        <v>0</v>
      </c>
      <c r="E280" s="20">
        <f>IFERROR(GETPIVOTDATA("QTY",$B$56,"PRODUCT_DESCRIPTION", $B$256, "SALES_ORDER_DATE",Table253345[[#This Row],[Date]]), 0)</f>
        <v>0</v>
      </c>
      <c r="F280" s="20">
        <f>Table253345[[#This Row],[Stock Change (t1-t0)]]+Table253345[[#This Row],[Sales]]</f>
        <v>0</v>
      </c>
      <c r="G280" s="18">
        <f>IF(Table253345[[#This Row],[Purchase (Real)]]=0, 0, Table253345[[#This Row],[Purchase (Real)]]+C279)</f>
        <v>0</v>
      </c>
      <c r="I280" s="4" t="s">
        <v>26</v>
      </c>
      <c r="J280" s="20">
        <f t="shared" si="14"/>
        <v>0</v>
      </c>
      <c r="K280" s="20">
        <f>J281-Table25293446[[#This Row],[Stock Level  (North)]]</f>
        <v>34</v>
      </c>
      <c r="L280" s="20">
        <f>IFERROR(GETPIVOTDATA("QTY",$B$56,"PRODUCT_DESCRIPTION", $B$256, "SALES_ORDER_DATE",Table25293446[[#This Row],[Date]], "AREA_NAME", "North"), 0)</f>
        <v>0</v>
      </c>
      <c r="M280" s="20">
        <f>Table25293446[[#This Row],[Stock Change (t1-t0) (North)]]+Table25293446[[#This Row],[Sales]]</f>
        <v>34</v>
      </c>
      <c r="N280" s="18">
        <f>IF(Table25293446[[#This Row],[Regional Transfer (Real)]]=0, 0, Table25293446[[#This Row],[Regional Transfer (Real)]]+Table25293446[[#This Row],[Stock Level  (North)]])</f>
        <v>34</v>
      </c>
      <c r="P280" s="4" t="s">
        <v>26</v>
      </c>
      <c r="Q280" s="20">
        <f t="shared" si="15"/>
        <v>100</v>
      </c>
      <c r="R280" s="20">
        <f>Q281-Table2529303547[[#This Row],[Stock Level  (South)]]</f>
        <v>17</v>
      </c>
      <c r="S280" s="20">
        <f>IFERROR(GETPIVOTDATA("QTY",$B$56,"PRODUCT_DESCRIPTION", $B$256, "SALES_ORDER_DATE",Table2529303547[[#This Row],[Date]], "AREA_NAME", "South"), 0)</f>
        <v>0</v>
      </c>
      <c r="T280" s="20">
        <f>Table2529303547[[#This Row],[Stock Change (t1-t0) (South)]]+Table2529303547[[#This Row],[Sales]]</f>
        <v>17</v>
      </c>
      <c r="U280" s="18">
        <f>IF(Table2529303547[[#This Row],[Regional Transfer (Real)]]=0, 0, Table2529303547[[#This Row],[Regional Transfer (Real)]]+Table2529303547[[#This Row],[Stock Level  (South)]])</f>
        <v>117</v>
      </c>
      <c r="W280" s="4" t="s">
        <v>26</v>
      </c>
      <c r="X280" s="20">
        <f t="shared" si="12"/>
        <v>100</v>
      </c>
      <c r="Y280" s="20">
        <f>X281-Table252930323648[[#This Row],[Stock Level  (West)]]</f>
        <v>17</v>
      </c>
      <c r="Z280" s="20">
        <f>IFERROR(GETPIVOTDATA("QTY",$B$56,"PRODUCT_DESCRIPTION", $B$256, "SALES_ORDER_DATE",Table252930323648[[#This Row],[Date]], "AREA_NAME", "West"), 0)</f>
        <v>0</v>
      </c>
      <c r="AA280" s="20">
        <f>Table252930323648[[#This Row],[Stock Change (t1-t0) (West)]]+Table252930323648[[#This Row],[Sales]]</f>
        <v>17</v>
      </c>
      <c r="AB280" s="18">
        <f>IF(Table252930323648[[#This Row],[Regional Transfer (Real)]]=0, 0, Table252930323648[[#This Row],[Regional Transfer (Real)]]+Table252930323648[[#This Row],[Stock Level  (West)]])</f>
        <v>117</v>
      </c>
    </row>
    <row r="281" spans="2:28" x14ac:dyDescent="0.2">
      <c r="B281" s="4" t="s">
        <v>57</v>
      </c>
      <c r="C281" s="20">
        <f t="shared" si="13"/>
        <v>268</v>
      </c>
      <c r="D281" s="20">
        <f>C282-Table253345[[#This Row],[Stock Level  ]]</f>
        <v>0</v>
      </c>
      <c r="E281" s="20">
        <f>IFERROR(GETPIVOTDATA("QTY",$B$56,"PRODUCT_DESCRIPTION", $B$256, "SALES_ORDER_DATE",Table253345[[#This Row],[Date]]), 0)</f>
        <v>0</v>
      </c>
      <c r="F281" s="20">
        <f>Table253345[[#This Row],[Stock Change (t1-t0)]]+Table253345[[#This Row],[Sales]]</f>
        <v>0</v>
      </c>
      <c r="G281" s="18">
        <f>IF(Table253345[[#This Row],[Purchase (Real)]]=0, 0, Table253345[[#This Row],[Purchase (Real)]]+C280)</f>
        <v>0</v>
      </c>
      <c r="I281" s="4" t="s">
        <v>57</v>
      </c>
      <c r="J281" s="20">
        <f t="shared" si="14"/>
        <v>34</v>
      </c>
      <c r="K281" s="20">
        <f>J282-Table25293446[[#This Row],[Stock Level  (North)]]</f>
        <v>0</v>
      </c>
      <c r="L281" s="20">
        <f>IFERROR(GETPIVOTDATA("QTY",$B$56,"PRODUCT_DESCRIPTION", $B$256, "SALES_ORDER_DATE",Table25293446[[#This Row],[Date]], "AREA_NAME", "North"), 0)</f>
        <v>0</v>
      </c>
      <c r="M281" s="20">
        <f>Table25293446[[#This Row],[Stock Change (t1-t0) (North)]]+Table25293446[[#This Row],[Sales]]</f>
        <v>0</v>
      </c>
      <c r="N281" s="18">
        <f>IF(Table25293446[[#This Row],[Regional Transfer (Real)]]=0, 0, Table25293446[[#This Row],[Regional Transfer (Real)]]+Table25293446[[#This Row],[Stock Level  (North)]])</f>
        <v>0</v>
      </c>
      <c r="P281" s="4" t="s">
        <v>57</v>
      </c>
      <c r="Q281" s="20">
        <f t="shared" si="15"/>
        <v>117</v>
      </c>
      <c r="R281" s="20">
        <f>Q282-Table2529303547[[#This Row],[Stock Level  (South)]]</f>
        <v>0</v>
      </c>
      <c r="S281" s="20">
        <f>IFERROR(GETPIVOTDATA("QTY",$B$56,"PRODUCT_DESCRIPTION", $B$256, "SALES_ORDER_DATE",Table2529303547[[#This Row],[Date]], "AREA_NAME", "South"), 0)</f>
        <v>0</v>
      </c>
      <c r="T281" s="20">
        <f>Table2529303547[[#This Row],[Stock Change (t1-t0) (South)]]+Table2529303547[[#This Row],[Sales]]</f>
        <v>0</v>
      </c>
      <c r="U281" s="18">
        <f>IF(Table2529303547[[#This Row],[Regional Transfer (Real)]]=0, 0, Table2529303547[[#This Row],[Regional Transfer (Real)]]+Table2529303547[[#This Row],[Stock Level  (South)]])</f>
        <v>0</v>
      </c>
      <c r="W281" s="4" t="s">
        <v>57</v>
      </c>
      <c r="X281" s="20">
        <f t="shared" si="12"/>
        <v>117</v>
      </c>
      <c r="Y281" s="20">
        <f>X282-Table252930323648[[#This Row],[Stock Level  (West)]]</f>
        <v>0</v>
      </c>
      <c r="Z281" s="20">
        <f>IFERROR(GETPIVOTDATA("QTY",$B$56,"PRODUCT_DESCRIPTION", $B$256, "SALES_ORDER_DATE",Table252930323648[[#This Row],[Date]], "AREA_NAME", "West"), 0)</f>
        <v>0</v>
      </c>
      <c r="AA281" s="20">
        <f>Table252930323648[[#This Row],[Stock Change (t1-t0) (West)]]+Table252930323648[[#This Row],[Sales]]</f>
        <v>0</v>
      </c>
      <c r="AB281" s="18">
        <f>IF(Table252930323648[[#This Row],[Regional Transfer (Real)]]=0, 0, Table252930323648[[#This Row],[Regional Transfer (Real)]]+Table252930323648[[#This Row],[Stock Level  (West)]])</f>
        <v>0</v>
      </c>
    </row>
    <row r="282" spans="2:28" x14ac:dyDescent="0.2">
      <c r="B282" s="4" t="s">
        <v>27</v>
      </c>
      <c r="C282" s="20">
        <f t="shared" si="13"/>
        <v>268</v>
      </c>
      <c r="D282" s="20">
        <f>C283-Table253345[[#This Row],[Stock Level  ]]</f>
        <v>332</v>
      </c>
      <c r="E282" s="20">
        <f>IFERROR(GETPIVOTDATA("QTY",$B$56,"PRODUCT_DESCRIPTION", $B$256, "SALES_ORDER_DATE",Table253345[[#This Row],[Date]]), 0)</f>
        <v>0</v>
      </c>
      <c r="F282" s="20">
        <f>Table253345[[#This Row],[Stock Change (t1-t0)]]+Table253345[[#This Row],[Sales]]</f>
        <v>332</v>
      </c>
      <c r="G282" s="18">
        <f>IF(Table253345[[#This Row],[Purchase (Real)]]=0, 0, Table253345[[#This Row],[Purchase (Real)]]+C281)</f>
        <v>600</v>
      </c>
      <c r="I282" s="4" t="s">
        <v>27</v>
      </c>
      <c r="J282" s="20">
        <f t="shared" si="14"/>
        <v>34</v>
      </c>
      <c r="K282" s="20">
        <f>J283-Table25293446[[#This Row],[Stock Level  (North)]]</f>
        <v>0</v>
      </c>
      <c r="L282" s="20">
        <f>IFERROR(GETPIVOTDATA("QTY",$B$56,"PRODUCT_DESCRIPTION", $B$256, "SALES_ORDER_DATE",Table25293446[[#This Row],[Date]], "AREA_NAME", "North"), 0)</f>
        <v>0</v>
      </c>
      <c r="M282" s="20">
        <f>Table25293446[[#This Row],[Stock Change (t1-t0) (North)]]+Table25293446[[#This Row],[Sales]]</f>
        <v>0</v>
      </c>
      <c r="N282" s="18">
        <f>IF(Table25293446[[#This Row],[Regional Transfer (Real)]]=0, 0, Table25293446[[#This Row],[Regional Transfer (Real)]]+Table25293446[[#This Row],[Stock Level  (North)]])</f>
        <v>0</v>
      </c>
      <c r="P282" s="4" t="s">
        <v>27</v>
      </c>
      <c r="Q282" s="20">
        <f t="shared" si="15"/>
        <v>117</v>
      </c>
      <c r="R282" s="20">
        <f>Q283-Table2529303547[[#This Row],[Stock Level  (South)]]</f>
        <v>0</v>
      </c>
      <c r="S282" s="20">
        <f>IFERROR(GETPIVOTDATA("QTY",$B$56,"PRODUCT_DESCRIPTION", $B$256, "SALES_ORDER_DATE",Table2529303547[[#This Row],[Date]], "AREA_NAME", "South"), 0)</f>
        <v>0</v>
      </c>
      <c r="T282" s="20">
        <f>Table2529303547[[#This Row],[Stock Change (t1-t0) (South)]]+Table2529303547[[#This Row],[Sales]]</f>
        <v>0</v>
      </c>
      <c r="U282" s="18">
        <f>IF(Table2529303547[[#This Row],[Regional Transfer (Real)]]=0, 0, Table2529303547[[#This Row],[Regional Transfer (Real)]]+Table2529303547[[#This Row],[Stock Level  (South)]])</f>
        <v>0</v>
      </c>
      <c r="W282" s="4" t="s">
        <v>27</v>
      </c>
      <c r="X282" s="20">
        <f t="shared" si="12"/>
        <v>117</v>
      </c>
      <c r="Y282" s="20">
        <f>X283-Table252930323648[[#This Row],[Stock Level  (West)]]</f>
        <v>0</v>
      </c>
      <c r="Z282" s="20">
        <f>IFERROR(GETPIVOTDATA("QTY",$B$56,"PRODUCT_DESCRIPTION", $B$256, "SALES_ORDER_DATE",Table252930323648[[#This Row],[Date]], "AREA_NAME", "West"), 0)</f>
        <v>0</v>
      </c>
      <c r="AA282" s="20">
        <f>Table252930323648[[#This Row],[Stock Change (t1-t0) (West)]]+Table252930323648[[#This Row],[Sales]]</f>
        <v>0</v>
      </c>
      <c r="AB282" s="18">
        <f>IF(Table252930323648[[#This Row],[Regional Transfer (Real)]]=0, 0, Table252930323648[[#This Row],[Regional Transfer (Real)]]+Table252930323648[[#This Row],[Stock Level  (West)]])</f>
        <v>0</v>
      </c>
    </row>
    <row r="283" spans="2:28" x14ac:dyDescent="0.2">
      <c r="B283" s="4" t="s">
        <v>28</v>
      </c>
      <c r="C283" s="20">
        <f t="shared" si="13"/>
        <v>600</v>
      </c>
      <c r="D283" s="20">
        <f>C284-Table253345[[#This Row],[Stock Level  ]]</f>
        <v>-34</v>
      </c>
      <c r="E283" s="20">
        <f>IFERROR(GETPIVOTDATA("QTY",$B$56,"PRODUCT_DESCRIPTION", $B$256, "SALES_ORDER_DATE",Table253345[[#This Row],[Date]]), 0)</f>
        <v>34</v>
      </c>
      <c r="F283" s="20">
        <f>Table253345[[#This Row],[Stock Change (t1-t0)]]+Table253345[[#This Row],[Sales]]</f>
        <v>0</v>
      </c>
      <c r="G283" s="18">
        <f>IF(Table253345[[#This Row],[Purchase (Real)]]=0, 0, Table253345[[#This Row],[Purchase (Real)]]+C282)</f>
        <v>0</v>
      </c>
      <c r="I283" s="4" t="s">
        <v>28</v>
      </c>
      <c r="J283" s="20">
        <f t="shared" si="14"/>
        <v>34</v>
      </c>
      <c r="K283" s="20">
        <f>J284-Table25293446[[#This Row],[Stock Level  (North)]]</f>
        <v>-34</v>
      </c>
      <c r="L283" s="20">
        <f>IFERROR(GETPIVOTDATA("QTY",$B$56,"PRODUCT_DESCRIPTION", $B$256, "SALES_ORDER_DATE",Table25293446[[#This Row],[Date]], "AREA_NAME", "North"), 0)</f>
        <v>34</v>
      </c>
      <c r="M283" s="20">
        <f>Table25293446[[#This Row],[Stock Change (t1-t0) (North)]]+Table25293446[[#This Row],[Sales]]</f>
        <v>0</v>
      </c>
      <c r="N283" s="18">
        <f>IF(Table25293446[[#This Row],[Regional Transfer (Real)]]=0, 0, Table25293446[[#This Row],[Regional Transfer (Real)]]+Table25293446[[#This Row],[Stock Level  (North)]])</f>
        <v>0</v>
      </c>
      <c r="P283" s="4" t="s">
        <v>28</v>
      </c>
      <c r="Q283" s="20">
        <f t="shared" si="15"/>
        <v>117</v>
      </c>
      <c r="R283" s="20">
        <f>Q284-Table2529303547[[#This Row],[Stock Level  (South)]]</f>
        <v>0</v>
      </c>
      <c r="S283" s="20">
        <f>IFERROR(GETPIVOTDATA("QTY",$B$56,"PRODUCT_DESCRIPTION", $B$256, "SALES_ORDER_DATE",Table2529303547[[#This Row],[Date]], "AREA_NAME", "South"), 0)</f>
        <v>0</v>
      </c>
      <c r="T283" s="20">
        <f>Table2529303547[[#This Row],[Stock Change (t1-t0) (South)]]+Table2529303547[[#This Row],[Sales]]</f>
        <v>0</v>
      </c>
      <c r="U283" s="18">
        <f>IF(Table2529303547[[#This Row],[Regional Transfer (Real)]]=0, 0, Table2529303547[[#This Row],[Regional Transfer (Real)]]+Table2529303547[[#This Row],[Stock Level  (South)]])</f>
        <v>0</v>
      </c>
      <c r="W283" s="4" t="s">
        <v>28</v>
      </c>
      <c r="X283" s="20">
        <f t="shared" si="12"/>
        <v>117</v>
      </c>
      <c r="Y283" s="20">
        <f>X284-Table252930323648[[#This Row],[Stock Level  (West)]]</f>
        <v>0</v>
      </c>
      <c r="Z283" s="20">
        <f>IFERROR(GETPIVOTDATA("QTY",$B$56,"PRODUCT_DESCRIPTION", $B$256, "SALES_ORDER_DATE",Table252930323648[[#This Row],[Date]], "AREA_NAME", "West"), 0)</f>
        <v>0</v>
      </c>
      <c r="AA283" s="20">
        <f>Table252930323648[[#This Row],[Stock Change (t1-t0) (West)]]+Table252930323648[[#This Row],[Sales]]</f>
        <v>0</v>
      </c>
      <c r="AB283" s="18">
        <f>IF(Table252930323648[[#This Row],[Regional Transfer (Real)]]=0, 0, Table252930323648[[#This Row],[Regional Transfer (Real)]]+Table252930323648[[#This Row],[Stock Level  (West)]])</f>
        <v>0</v>
      </c>
    </row>
    <row r="284" spans="2:28" x14ac:dyDescent="0.2">
      <c r="B284" s="4" t="s">
        <v>29</v>
      </c>
      <c r="C284" s="20">
        <f t="shared" si="13"/>
        <v>566</v>
      </c>
      <c r="D284" s="20">
        <f>C285-Table253345[[#This Row],[Stock Level  ]]</f>
        <v>0</v>
      </c>
      <c r="E284" s="20">
        <f>IFERROR(GETPIVOTDATA("QTY",$B$56,"PRODUCT_DESCRIPTION", $B$256, "SALES_ORDER_DATE",Table253345[[#This Row],[Date]]), 0)</f>
        <v>0</v>
      </c>
      <c r="F284" s="20">
        <f>Table253345[[#This Row],[Stock Change (t1-t0)]]+Table253345[[#This Row],[Sales]]</f>
        <v>0</v>
      </c>
      <c r="G284" s="18">
        <f>IF(Table253345[[#This Row],[Purchase (Real)]]=0, 0, Table253345[[#This Row],[Purchase (Real)]]+C283)</f>
        <v>0</v>
      </c>
      <c r="I284" s="4" t="s">
        <v>29</v>
      </c>
      <c r="J284" s="20">
        <f t="shared" si="14"/>
        <v>0</v>
      </c>
      <c r="K284" s="20">
        <f>J285-Table25293446[[#This Row],[Stock Level  (North)]]</f>
        <v>182</v>
      </c>
      <c r="L284" s="20">
        <f>IFERROR(GETPIVOTDATA("QTY",$B$56,"PRODUCT_DESCRIPTION", $B$256, "SALES_ORDER_DATE",Table25293446[[#This Row],[Date]], "AREA_NAME", "North"), 0)</f>
        <v>0</v>
      </c>
      <c r="M284" s="20">
        <f>Table25293446[[#This Row],[Stock Change (t1-t0) (North)]]+Table25293446[[#This Row],[Sales]]</f>
        <v>182</v>
      </c>
      <c r="N284" s="18">
        <f>IF(Table25293446[[#This Row],[Regional Transfer (Real)]]=0, 0, Table25293446[[#This Row],[Regional Transfer (Real)]]+Table25293446[[#This Row],[Stock Level  (North)]])</f>
        <v>182</v>
      </c>
      <c r="P284" s="4" t="s">
        <v>29</v>
      </c>
      <c r="Q284" s="20">
        <f t="shared" si="15"/>
        <v>117</v>
      </c>
      <c r="R284" s="20">
        <f>Q285-Table2529303547[[#This Row],[Stock Level  (South)]]</f>
        <v>75</v>
      </c>
      <c r="S284" s="20">
        <f>IFERROR(GETPIVOTDATA("QTY",$B$56,"PRODUCT_DESCRIPTION", $B$256, "SALES_ORDER_DATE",Table2529303547[[#This Row],[Date]], "AREA_NAME", "South"), 0)</f>
        <v>0</v>
      </c>
      <c r="T284" s="20">
        <f>Table2529303547[[#This Row],[Stock Change (t1-t0) (South)]]+Table2529303547[[#This Row],[Sales]]</f>
        <v>75</v>
      </c>
      <c r="U284" s="18">
        <f>IF(Table2529303547[[#This Row],[Regional Transfer (Real)]]=0, 0, Table2529303547[[#This Row],[Regional Transfer (Real)]]+Table2529303547[[#This Row],[Stock Level  (South)]])</f>
        <v>192</v>
      </c>
      <c r="W284" s="4" t="s">
        <v>29</v>
      </c>
      <c r="X284" s="20">
        <f t="shared" si="12"/>
        <v>117</v>
      </c>
      <c r="Y284" s="20">
        <f>X285-Table252930323648[[#This Row],[Stock Level  (West)]]</f>
        <v>75</v>
      </c>
      <c r="Z284" s="20">
        <f>IFERROR(GETPIVOTDATA("QTY",$B$56,"PRODUCT_DESCRIPTION", $B$256, "SALES_ORDER_DATE",Table252930323648[[#This Row],[Date]], "AREA_NAME", "West"), 0)</f>
        <v>0</v>
      </c>
      <c r="AA284" s="20">
        <f>Table252930323648[[#This Row],[Stock Change (t1-t0) (West)]]+Table252930323648[[#This Row],[Sales]]</f>
        <v>75</v>
      </c>
      <c r="AB284" s="18">
        <f>IF(Table252930323648[[#This Row],[Regional Transfer (Real)]]=0, 0, Table252930323648[[#This Row],[Regional Transfer (Real)]]+Table252930323648[[#This Row],[Stock Level  (West)]])</f>
        <v>192</v>
      </c>
    </row>
    <row r="285" spans="2:28" x14ac:dyDescent="0.2">
      <c r="B285" s="4" t="s">
        <v>30</v>
      </c>
      <c r="C285" s="20">
        <f t="shared" si="13"/>
        <v>566</v>
      </c>
      <c r="D285" s="20">
        <f>C286-Table253345[[#This Row],[Stock Level  ]]</f>
        <v>-76</v>
      </c>
      <c r="E285" s="20">
        <f>IFERROR(GETPIVOTDATA("QTY",$B$56,"PRODUCT_DESCRIPTION", $B$256, "SALES_ORDER_DATE",Table253345[[#This Row],[Date]]), 0)</f>
        <v>76</v>
      </c>
      <c r="F285" s="20">
        <f>Table253345[[#This Row],[Stock Change (t1-t0)]]+Table253345[[#This Row],[Sales]]</f>
        <v>0</v>
      </c>
      <c r="G285" s="18">
        <f>IF(Table253345[[#This Row],[Purchase (Real)]]=0, 0, Table253345[[#This Row],[Purchase (Real)]]+C284)</f>
        <v>0</v>
      </c>
      <c r="I285" s="4" t="s">
        <v>30</v>
      </c>
      <c r="J285" s="20">
        <f t="shared" si="14"/>
        <v>182</v>
      </c>
      <c r="K285" s="20">
        <f>J286-Table25293446[[#This Row],[Stock Level  (North)]]</f>
        <v>-32</v>
      </c>
      <c r="L285" s="20">
        <f>IFERROR(GETPIVOTDATA("QTY",$B$56,"PRODUCT_DESCRIPTION", $B$256, "SALES_ORDER_DATE",Table25293446[[#This Row],[Date]], "AREA_NAME", "North"), 0)</f>
        <v>32</v>
      </c>
      <c r="M285" s="20">
        <f>Table25293446[[#This Row],[Stock Change (t1-t0) (North)]]+Table25293446[[#This Row],[Sales]]</f>
        <v>0</v>
      </c>
      <c r="N285" s="18">
        <f>IF(Table25293446[[#This Row],[Regional Transfer (Real)]]=0, 0, Table25293446[[#This Row],[Regional Transfer (Real)]]+Table25293446[[#This Row],[Stock Level  (North)]])</f>
        <v>0</v>
      </c>
      <c r="P285" s="4" t="s">
        <v>30</v>
      </c>
      <c r="Q285" s="20">
        <f t="shared" si="15"/>
        <v>192</v>
      </c>
      <c r="R285" s="20">
        <f>Q286-Table2529303547[[#This Row],[Stock Level  (South)]]</f>
        <v>-44</v>
      </c>
      <c r="S285" s="20">
        <f>IFERROR(GETPIVOTDATA("QTY",$B$56,"PRODUCT_DESCRIPTION", $B$256, "SALES_ORDER_DATE",Table2529303547[[#This Row],[Date]], "AREA_NAME", "South"), 0)</f>
        <v>44</v>
      </c>
      <c r="T285" s="20">
        <f>Table2529303547[[#This Row],[Stock Change (t1-t0) (South)]]+Table2529303547[[#This Row],[Sales]]</f>
        <v>0</v>
      </c>
      <c r="U285" s="18">
        <f>IF(Table2529303547[[#This Row],[Regional Transfer (Real)]]=0, 0, Table2529303547[[#This Row],[Regional Transfer (Real)]]+Table2529303547[[#This Row],[Stock Level  (South)]])</f>
        <v>0</v>
      </c>
      <c r="W285" s="4" t="s">
        <v>30</v>
      </c>
      <c r="X285" s="20">
        <f t="shared" si="12"/>
        <v>192</v>
      </c>
      <c r="Y285" s="20">
        <f>X286-Table252930323648[[#This Row],[Stock Level  (West)]]</f>
        <v>0</v>
      </c>
      <c r="Z285" s="20">
        <f>IFERROR(GETPIVOTDATA("QTY",$B$56,"PRODUCT_DESCRIPTION", $B$256, "SALES_ORDER_DATE",Table252930323648[[#This Row],[Date]], "AREA_NAME", "West"), 0)</f>
        <v>0</v>
      </c>
      <c r="AA285" s="20">
        <f>Table252930323648[[#This Row],[Stock Change (t1-t0) (West)]]+Table252930323648[[#This Row],[Sales]]</f>
        <v>0</v>
      </c>
      <c r="AB285" s="18">
        <f>IF(Table252930323648[[#This Row],[Regional Transfer (Real)]]=0, 0, Table252930323648[[#This Row],[Regional Transfer (Real)]]+Table252930323648[[#This Row],[Stock Level  (West)]])</f>
        <v>0</v>
      </c>
    </row>
    <row r="286" spans="2:28" x14ac:dyDescent="0.2">
      <c r="B286" s="4" t="s">
        <v>31</v>
      </c>
      <c r="C286" s="20">
        <f t="shared" si="13"/>
        <v>490</v>
      </c>
      <c r="D286" s="20">
        <f>C287-Table253345[[#This Row],[Stock Level  ]]</f>
        <v>0</v>
      </c>
      <c r="E286" s="20">
        <f>IFERROR(GETPIVOTDATA("QTY",$B$56,"PRODUCT_DESCRIPTION", $B$256, "SALES_ORDER_DATE",Table253345[[#This Row],[Date]]), 0)</f>
        <v>0</v>
      </c>
      <c r="F286" s="20">
        <f>Table253345[[#This Row],[Stock Change (t1-t0)]]+Table253345[[#This Row],[Sales]]</f>
        <v>0</v>
      </c>
      <c r="G286" s="18">
        <f>IF(Table253345[[#This Row],[Purchase (Real)]]=0, 0, Table253345[[#This Row],[Purchase (Real)]]+C285)</f>
        <v>0</v>
      </c>
      <c r="I286" s="4" t="s">
        <v>31</v>
      </c>
      <c r="J286" s="20">
        <f t="shared" si="14"/>
        <v>150</v>
      </c>
      <c r="K286" s="20">
        <f>J287-Table25293446[[#This Row],[Stock Level  (North)]]</f>
        <v>0</v>
      </c>
      <c r="L286" s="20">
        <f>IFERROR(GETPIVOTDATA("QTY",$B$56,"PRODUCT_DESCRIPTION", $B$256, "SALES_ORDER_DATE",Table25293446[[#This Row],[Date]], "AREA_NAME", "North"), 0)</f>
        <v>0</v>
      </c>
      <c r="M286" s="20">
        <f>Table25293446[[#This Row],[Stock Change (t1-t0) (North)]]+Table25293446[[#This Row],[Sales]]</f>
        <v>0</v>
      </c>
      <c r="N286" s="18">
        <f>IF(Table25293446[[#This Row],[Regional Transfer (Real)]]=0, 0, Table25293446[[#This Row],[Regional Transfer (Real)]]+Table25293446[[#This Row],[Stock Level  (North)]])</f>
        <v>0</v>
      </c>
      <c r="P286" s="4" t="s">
        <v>31</v>
      </c>
      <c r="Q286" s="20">
        <f t="shared" si="15"/>
        <v>148</v>
      </c>
      <c r="R286" s="20">
        <f>Q287-Table2529303547[[#This Row],[Stock Level  (South)]]</f>
        <v>0</v>
      </c>
      <c r="S286" s="20">
        <f>IFERROR(GETPIVOTDATA("QTY",$B$56,"PRODUCT_DESCRIPTION", $B$256, "SALES_ORDER_DATE",Table2529303547[[#This Row],[Date]], "AREA_NAME", "South"), 0)</f>
        <v>0</v>
      </c>
      <c r="T286" s="20">
        <f>Table2529303547[[#This Row],[Stock Change (t1-t0) (South)]]+Table2529303547[[#This Row],[Sales]]</f>
        <v>0</v>
      </c>
      <c r="U286" s="18">
        <f>IF(Table2529303547[[#This Row],[Regional Transfer (Real)]]=0, 0, Table2529303547[[#This Row],[Regional Transfer (Real)]]+Table2529303547[[#This Row],[Stock Level  (South)]])</f>
        <v>0</v>
      </c>
      <c r="W286" s="4" t="s">
        <v>31</v>
      </c>
      <c r="X286" s="20">
        <f t="shared" si="12"/>
        <v>192</v>
      </c>
      <c r="Y286" s="20">
        <f>X287-Table252930323648[[#This Row],[Stock Level  (West)]]</f>
        <v>0</v>
      </c>
      <c r="Z286" s="20">
        <f>IFERROR(GETPIVOTDATA("QTY",$B$56,"PRODUCT_DESCRIPTION", $B$256, "SALES_ORDER_DATE",Table252930323648[[#This Row],[Date]], "AREA_NAME", "West"), 0)</f>
        <v>0</v>
      </c>
      <c r="AA286" s="20">
        <f>Table252930323648[[#This Row],[Stock Change (t1-t0) (West)]]+Table252930323648[[#This Row],[Sales]]</f>
        <v>0</v>
      </c>
      <c r="AB286" s="18">
        <f>IF(Table252930323648[[#This Row],[Regional Transfer (Real)]]=0, 0, Table252930323648[[#This Row],[Regional Transfer (Real)]]+Table252930323648[[#This Row],[Stock Level  (West)]])</f>
        <v>0</v>
      </c>
    </row>
    <row r="287" spans="2:28" x14ac:dyDescent="0.2">
      <c r="B287" s="4" t="s">
        <v>32</v>
      </c>
      <c r="C287" s="20">
        <f t="shared" si="13"/>
        <v>490</v>
      </c>
      <c r="D287" s="20">
        <f>C288-Table253345[[#This Row],[Stock Level  ]]</f>
        <v>68</v>
      </c>
      <c r="E287" s="20">
        <f>IFERROR(GETPIVOTDATA("QTY",$B$56,"PRODUCT_DESCRIPTION", $B$256, "SALES_ORDER_DATE",Table253345[[#This Row],[Date]]), 0)</f>
        <v>42</v>
      </c>
      <c r="F287" s="20">
        <f>Table253345[[#This Row],[Stock Change (t1-t0)]]+Table253345[[#This Row],[Sales]]</f>
        <v>110</v>
      </c>
      <c r="G287" s="18">
        <f>IF(Table253345[[#This Row],[Purchase (Real)]]=0, 0, Table253345[[#This Row],[Purchase (Real)]]+C286)</f>
        <v>600</v>
      </c>
      <c r="I287" s="4" t="s">
        <v>32</v>
      </c>
      <c r="J287" s="20">
        <f t="shared" si="14"/>
        <v>150</v>
      </c>
      <c r="K287" s="20">
        <f>J288-Table25293446[[#This Row],[Stock Level  (North)]]</f>
        <v>-42</v>
      </c>
      <c r="L287" s="20">
        <f>IFERROR(GETPIVOTDATA("QTY",$B$56,"PRODUCT_DESCRIPTION", $B$256, "SALES_ORDER_DATE",Table25293446[[#This Row],[Date]], "AREA_NAME", "North"), 0)</f>
        <v>42</v>
      </c>
      <c r="M287" s="20">
        <f>Table25293446[[#This Row],[Stock Change (t1-t0) (North)]]+Table25293446[[#This Row],[Sales]]</f>
        <v>0</v>
      </c>
      <c r="N287" s="18">
        <f>IF(Table25293446[[#This Row],[Regional Transfer (Real)]]=0, 0, Table25293446[[#This Row],[Regional Transfer (Real)]]+Table25293446[[#This Row],[Stock Level  (North)]])</f>
        <v>0</v>
      </c>
      <c r="P287" s="4" t="s">
        <v>32</v>
      </c>
      <c r="Q287" s="20">
        <f t="shared" si="15"/>
        <v>148</v>
      </c>
      <c r="R287" s="20">
        <f>Q288-Table2529303547[[#This Row],[Stock Level  (South)]]</f>
        <v>0</v>
      </c>
      <c r="S287" s="20">
        <f>IFERROR(GETPIVOTDATA("QTY",$B$56,"PRODUCT_DESCRIPTION", $B$256, "SALES_ORDER_DATE",Table2529303547[[#This Row],[Date]], "AREA_NAME", "South"), 0)</f>
        <v>0</v>
      </c>
      <c r="T287" s="20">
        <f>Table2529303547[[#This Row],[Stock Change (t1-t0) (South)]]+Table2529303547[[#This Row],[Sales]]</f>
        <v>0</v>
      </c>
      <c r="U287" s="18">
        <f>IF(Table2529303547[[#This Row],[Regional Transfer (Real)]]=0, 0, Table2529303547[[#This Row],[Regional Transfer (Real)]]+Table2529303547[[#This Row],[Stock Level  (South)]])</f>
        <v>0</v>
      </c>
      <c r="W287" s="4" t="s">
        <v>32</v>
      </c>
      <c r="X287" s="20">
        <f t="shared" si="12"/>
        <v>192</v>
      </c>
      <c r="Y287" s="20">
        <f>X288-Table252930323648[[#This Row],[Stock Level  (West)]]</f>
        <v>0</v>
      </c>
      <c r="Z287" s="20">
        <f>IFERROR(GETPIVOTDATA("QTY",$B$56,"PRODUCT_DESCRIPTION", $B$256, "SALES_ORDER_DATE",Table252930323648[[#This Row],[Date]], "AREA_NAME", "West"), 0)</f>
        <v>0</v>
      </c>
      <c r="AA287" s="20">
        <f>Table252930323648[[#This Row],[Stock Change (t1-t0) (West)]]+Table252930323648[[#This Row],[Sales]]</f>
        <v>0</v>
      </c>
      <c r="AB287" s="18">
        <f>IF(Table252930323648[[#This Row],[Regional Transfer (Real)]]=0, 0, Table252930323648[[#This Row],[Regional Transfer (Real)]]+Table252930323648[[#This Row],[Stock Level  (West)]])</f>
        <v>0</v>
      </c>
    </row>
    <row r="288" spans="2:28" x14ac:dyDescent="0.2">
      <c r="B288" s="4" t="s">
        <v>33</v>
      </c>
      <c r="C288" s="20">
        <f t="shared" si="13"/>
        <v>558</v>
      </c>
      <c r="D288" s="20">
        <f>C289-Table253345[[#This Row],[Stock Level  ]]</f>
        <v>0</v>
      </c>
      <c r="E288" s="20">
        <f>IFERROR(GETPIVOTDATA("QTY",$B$56,"PRODUCT_DESCRIPTION", $B$256, "SALES_ORDER_DATE",Table253345[[#This Row],[Date]]), 0)</f>
        <v>0</v>
      </c>
      <c r="F288" s="20">
        <f>Table253345[[#This Row],[Stock Change (t1-t0)]]+Table253345[[#This Row],[Sales]]</f>
        <v>0</v>
      </c>
      <c r="G288" s="18">
        <f>IF(Table253345[[#This Row],[Purchase (Real)]]=0, 0, Table253345[[#This Row],[Purchase (Real)]]+C287)</f>
        <v>0</v>
      </c>
      <c r="I288" s="4" t="s">
        <v>33</v>
      </c>
      <c r="J288" s="20">
        <f t="shared" si="14"/>
        <v>108</v>
      </c>
      <c r="K288" s="20">
        <f>J289-Table25293446[[#This Row],[Stock Level  (North)]]</f>
        <v>0</v>
      </c>
      <c r="L288" s="20">
        <f>IFERROR(GETPIVOTDATA("QTY",$B$56,"PRODUCT_DESCRIPTION", $B$256, "SALES_ORDER_DATE",Table25293446[[#This Row],[Date]], "AREA_NAME", "North"), 0)</f>
        <v>0</v>
      </c>
      <c r="M288" s="20">
        <f>Table25293446[[#This Row],[Stock Change (t1-t0) (North)]]+Table25293446[[#This Row],[Sales]]</f>
        <v>0</v>
      </c>
      <c r="N288" s="18">
        <f>IF(Table25293446[[#This Row],[Regional Transfer (Real)]]=0, 0, Table25293446[[#This Row],[Regional Transfer (Real)]]+Table25293446[[#This Row],[Stock Level  (North)]])</f>
        <v>0</v>
      </c>
      <c r="P288" s="4" t="s">
        <v>33</v>
      </c>
      <c r="Q288" s="20">
        <f t="shared" si="15"/>
        <v>148</v>
      </c>
      <c r="R288" s="20">
        <f>Q289-Table2529303547[[#This Row],[Stock Level  (South)]]</f>
        <v>0</v>
      </c>
      <c r="S288" s="20">
        <f>IFERROR(GETPIVOTDATA("QTY",$B$56,"PRODUCT_DESCRIPTION", $B$256, "SALES_ORDER_DATE",Table2529303547[[#This Row],[Date]], "AREA_NAME", "South"), 0)</f>
        <v>0</v>
      </c>
      <c r="T288" s="20">
        <f>Table2529303547[[#This Row],[Stock Change (t1-t0) (South)]]+Table2529303547[[#This Row],[Sales]]</f>
        <v>0</v>
      </c>
      <c r="U288" s="18">
        <f>IF(Table2529303547[[#This Row],[Regional Transfer (Real)]]=0, 0, Table2529303547[[#This Row],[Regional Transfer (Real)]]+Table2529303547[[#This Row],[Stock Level  (South)]])</f>
        <v>0</v>
      </c>
      <c r="W288" s="4" t="s">
        <v>33</v>
      </c>
      <c r="X288" s="20">
        <f t="shared" si="12"/>
        <v>192</v>
      </c>
      <c r="Y288" s="20">
        <f>X289-Table252930323648[[#This Row],[Stock Level  (West)]]</f>
        <v>0</v>
      </c>
      <c r="Z288" s="20">
        <f>IFERROR(GETPIVOTDATA("QTY",$B$56,"PRODUCT_DESCRIPTION", $B$256, "SALES_ORDER_DATE",Table252930323648[[#This Row],[Date]], "AREA_NAME", "West"), 0)</f>
        <v>0</v>
      </c>
      <c r="AA288" s="20">
        <f>Table252930323648[[#This Row],[Stock Change (t1-t0) (West)]]+Table252930323648[[#This Row],[Sales]]</f>
        <v>0</v>
      </c>
      <c r="AB288" s="18">
        <f>IF(Table252930323648[[#This Row],[Regional Transfer (Real)]]=0, 0, Table252930323648[[#This Row],[Regional Transfer (Real)]]+Table252930323648[[#This Row],[Stock Level  (West)]])</f>
        <v>0</v>
      </c>
    </row>
    <row r="289" spans="2:28" x14ac:dyDescent="0.2">
      <c r="B289" s="4" t="s">
        <v>34</v>
      </c>
      <c r="C289" s="20">
        <f t="shared" si="13"/>
        <v>558</v>
      </c>
      <c r="D289" s="20">
        <f>C290-Table253345[[#This Row],[Stock Level  ]]</f>
        <v>0</v>
      </c>
      <c r="E289" s="20">
        <f>IFERROR(GETPIVOTDATA("QTY",$B$56,"PRODUCT_DESCRIPTION", $B$256, "SALES_ORDER_DATE",Table253345[[#This Row],[Date]]), 0)</f>
        <v>0</v>
      </c>
      <c r="F289" s="20">
        <f>Table253345[[#This Row],[Stock Change (t1-t0)]]+Table253345[[#This Row],[Sales]]</f>
        <v>0</v>
      </c>
      <c r="G289" s="18">
        <f>IF(Table253345[[#This Row],[Purchase (Real)]]=0, 0, Table253345[[#This Row],[Purchase (Real)]]+C288)</f>
        <v>0</v>
      </c>
      <c r="I289" s="4" t="s">
        <v>34</v>
      </c>
      <c r="J289" s="20">
        <f t="shared" si="14"/>
        <v>108</v>
      </c>
      <c r="K289" s="20">
        <f>J290-Table25293446[[#This Row],[Stock Level  (North)]]</f>
        <v>0</v>
      </c>
      <c r="L289" s="20">
        <f>IFERROR(GETPIVOTDATA("QTY",$B$56,"PRODUCT_DESCRIPTION", $B$256, "SALES_ORDER_DATE",Table25293446[[#This Row],[Date]], "AREA_NAME", "North"), 0)</f>
        <v>0</v>
      </c>
      <c r="M289" s="20">
        <f>Table25293446[[#This Row],[Stock Change (t1-t0) (North)]]+Table25293446[[#This Row],[Sales]]</f>
        <v>0</v>
      </c>
      <c r="N289" s="18">
        <f>IF(Table25293446[[#This Row],[Regional Transfer (Real)]]=0, 0, Table25293446[[#This Row],[Regional Transfer (Real)]]+Table25293446[[#This Row],[Stock Level  (North)]])</f>
        <v>0</v>
      </c>
      <c r="P289" s="4" t="s">
        <v>34</v>
      </c>
      <c r="Q289" s="20">
        <f t="shared" si="15"/>
        <v>148</v>
      </c>
      <c r="R289" s="20">
        <f>Q290-Table2529303547[[#This Row],[Stock Level  (South)]]</f>
        <v>0</v>
      </c>
      <c r="S289" s="20">
        <f>IFERROR(GETPIVOTDATA("QTY",$B$56,"PRODUCT_DESCRIPTION", $B$256, "SALES_ORDER_DATE",Table2529303547[[#This Row],[Date]], "AREA_NAME", "South"), 0)</f>
        <v>0</v>
      </c>
      <c r="T289" s="20">
        <f>Table2529303547[[#This Row],[Stock Change (t1-t0) (South)]]+Table2529303547[[#This Row],[Sales]]</f>
        <v>0</v>
      </c>
      <c r="U289" s="18">
        <f>IF(Table2529303547[[#This Row],[Regional Transfer (Real)]]=0, 0, Table2529303547[[#This Row],[Regional Transfer (Real)]]+Table2529303547[[#This Row],[Stock Level  (South)]])</f>
        <v>0</v>
      </c>
      <c r="W289" s="4" t="s">
        <v>34</v>
      </c>
      <c r="X289" s="20">
        <f t="shared" si="12"/>
        <v>192</v>
      </c>
      <c r="Y289" s="20">
        <f>X290-Table252930323648[[#This Row],[Stock Level  (West)]]</f>
        <v>0</v>
      </c>
      <c r="Z289" s="20">
        <f>IFERROR(GETPIVOTDATA("QTY",$B$56,"PRODUCT_DESCRIPTION", $B$256, "SALES_ORDER_DATE",Table252930323648[[#This Row],[Date]], "AREA_NAME", "West"), 0)</f>
        <v>0</v>
      </c>
      <c r="AA289" s="20">
        <f>Table252930323648[[#This Row],[Stock Change (t1-t0) (West)]]+Table252930323648[[#This Row],[Sales]]</f>
        <v>0</v>
      </c>
      <c r="AB289" s="18">
        <f>IF(Table252930323648[[#This Row],[Regional Transfer (Real)]]=0, 0, Table252930323648[[#This Row],[Regional Transfer (Real)]]+Table252930323648[[#This Row],[Stock Level  (West)]])</f>
        <v>0</v>
      </c>
    </row>
    <row r="290" spans="2:28" x14ac:dyDescent="0.2">
      <c r="B290" s="4" t="s">
        <v>35</v>
      </c>
      <c r="C290" s="20">
        <f t="shared" si="13"/>
        <v>558</v>
      </c>
      <c r="D290" s="20">
        <f>C291-Table253345[[#This Row],[Stock Level  ]]</f>
        <v>-151</v>
      </c>
      <c r="E290" s="20">
        <f>IFERROR(GETPIVOTDATA("QTY",$B$56,"PRODUCT_DESCRIPTION", $B$256, "SALES_ORDER_DATE",Table253345[[#This Row],[Date]]), 0)</f>
        <v>151</v>
      </c>
      <c r="F290" s="20">
        <f>Table253345[[#This Row],[Stock Change (t1-t0)]]+Table253345[[#This Row],[Sales]]</f>
        <v>0</v>
      </c>
      <c r="G290" s="18">
        <f>IF(Table253345[[#This Row],[Purchase (Real)]]=0, 0, Table253345[[#This Row],[Purchase (Real)]]+C289)</f>
        <v>0</v>
      </c>
      <c r="I290" s="4" t="s">
        <v>35</v>
      </c>
      <c r="J290" s="20">
        <f t="shared" si="14"/>
        <v>108</v>
      </c>
      <c r="K290" s="20">
        <f>J291-Table25293446[[#This Row],[Stock Level  (North)]]</f>
        <v>-8</v>
      </c>
      <c r="L290" s="20">
        <f>IFERROR(GETPIVOTDATA("QTY",$B$56,"PRODUCT_DESCRIPTION", $B$256, "SALES_ORDER_DATE",Table25293446[[#This Row],[Date]], "AREA_NAME", "North"), 0)</f>
        <v>75</v>
      </c>
      <c r="M290" s="20">
        <f>Table25293446[[#This Row],[Stock Change (t1-t0) (North)]]+Table25293446[[#This Row],[Sales]]</f>
        <v>67</v>
      </c>
      <c r="N290" s="18">
        <f>IF(Table25293446[[#This Row],[Regional Transfer (Real)]]=0, 0, Table25293446[[#This Row],[Regional Transfer (Real)]]+Table25293446[[#This Row],[Stock Level  (North)]])</f>
        <v>175</v>
      </c>
      <c r="P290" s="4" t="s">
        <v>35</v>
      </c>
      <c r="Q290" s="20">
        <f t="shared" si="15"/>
        <v>148</v>
      </c>
      <c r="R290" s="20">
        <f>Q291-Table2529303547[[#This Row],[Stock Level  (South)]]</f>
        <v>9</v>
      </c>
      <c r="S290" s="20">
        <f>IFERROR(GETPIVOTDATA("QTY",$B$56,"PRODUCT_DESCRIPTION", $B$256, "SALES_ORDER_DATE",Table2529303547[[#This Row],[Date]], "AREA_NAME", "South"), 0)</f>
        <v>29</v>
      </c>
      <c r="T290" s="20">
        <f>Table2529303547[[#This Row],[Stock Change (t1-t0) (South)]]+Table2529303547[[#This Row],[Sales]]</f>
        <v>38</v>
      </c>
      <c r="U290" s="18">
        <f>IF(Table2529303547[[#This Row],[Regional Transfer (Real)]]=0, 0, Table2529303547[[#This Row],[Regional Transfer (Real)]]+Table2529303547[[#This Row],[Stock Level  (South)]])</f>
        <v>186</v>
      </c>
      <c r="W290" s="4" t="s">
        <v>35</v>
      </c>
      <c r="X290" s="20">
        <f t="shared" si="12"/>
        <v>192</v>
      </c>
      <c r="Y290" s="20">
        <f>X291-Table252930323648[[#This Row],[Stock Level  (West)]]</f>
        <v>-42</v>
      </c>
      <c r="Z290" s="20">
        <f>IFERROR(GETPIVOTDATA("QTY",$B$56,"PRODUCT_DESCRIPTION", $B$256, "SALES_ORDER_DATE",Table252930323648[[#This Row],[Date]], "AREA_NAME", "West"), 0)</f>
        <v>47</v>
      </c>
      <c r="AA290" s="20">
        <f>Table252930323648[[#This Row],[Stock Change (t1-t0) (West)]]+Table252930323648[[#This Row],[Sales]]</f>
        <v>5</v>
      </c>
      <c r="AB290" s="18">
        <f>IF(Table252930323648[[#This Row],[Regional Transfer (Real)]]=0, 0, Table252930323648[[#This Row],[Regional Transfer (Real)]]+Table252930323648[[#This Row],[Stock Level  (West)]])</f>
        <v>197</v>
      </c>
    </row>
    <row r="291" spans="2:28" x14ac:dyDescent="0.2">
      <c r="B291" s="4" t="s">
        <v>36</v>
      </c>
      <c r="C291" s="20">
        <f t="shared" si="13"/>
        <v>407</v>
      </c>
      <c r="D291" s="20">
        <f>C292-Table253345[[#This Row],[Stock Level  ]]</f>
        <v>193</v>
      </c>
      <c r="E291" s="20">
        <f>IFERROR(GETPIVOTDATA("QTY",$B$56,"PRODUCT_DESCRIPTION", $B$256, "SALES_ORDER_DATE",Table253345[[#This Row],[Date]]), 0)</f>
        <v>0</v>
      </c>
      <c r="F291" s="20">
        <f>Table253345[[#This Row],[Stock Change (t1-t0)]]+Table253345[[#This Row],[Sales]]</f>
        <v>193</v>
      </c>
      <c r="G291" s="18">
        <f>IF(Table253345[[#This Row],[Purchase (Real)]]=0, 0, Table253345[[#This Row],[Purchase (Real)]]+C290)</f>
        <v>751</v>
      </c>
      <c r="I291" s="4" t="s">
        <v>36</v>
      </c>
      <c r="J291" s="20">
        <f t="shared" si="14"/>
        <v>100</v>
      </c>
      <c r="K291" s="20">
        <f>J292-Table25293446[[#This Row],[Stock Level  (North)]]</f>
        <v>0</v>
      </c>
      <c r="L291" s="20">
        <f>IFERROR(GETPIVOTDATA("QTY",$B$56,"PRODUCT_DESCRIPTION", $B$256, "SALES_ORDER_DATE",Table25293446[[#This Row],[Date]], "AREA_NAME", "North"), 0)</f>
        <v>0</v>
      </c>
      <c r="M291" s="20">
        <f>Table25293446[[#This Row],[Stock Change (t1-t0) (North)]]+Table25293446[[#This Row],[Sales]]</f>
        <v>0</v>
      </c>
      <c r="N291" s="18">
        <f>IF(Table25293446[[#This Row],[Regional Transfer (Real)]]=0, 0, Table25293446[[#This Row],[Regional Transfer (Real)]]+Table25293446[[#This Row],[Stock Level  (North)]])</f>
        <v>0</v>
      </c>
      <c r="P291" s="4" t="s">
        <v>36</v>
      </c>
      <c r="Q291" s="20">
        <f t="shared" si="15"/>
        <v>157</v>
      </c>
      <c r="R291" s="20">
        <f>Q292-Table2529303547[[#This Row],[Stock Level  (South)]]</f>
        <v>0</v>
      </c>
      <c r="S291" s="20">
        <f>IFERROR(GETPIVOTDATA("QTY",$B$56,"PRODUCT_DESCRIPTION", $B$256, "SALES_ORDER_DATE",Table2529303547[[#This Row],[Date]], "AREA_NAME", "South"), 0)</f>
        <v>0</v>
      </c>
      <c r="T291" s="20">
        <f>Table2529303547[[#This Row],[Stock Change (t1-t0) (South)]]+Table2529303547[[#This Row],[Sales]]</f>
        <v>0</v>
      </c>
      <c r="U291" s="18">
        <f>IF(Table2529303547[[#This Row],[Regional Transfer (Real)]]=0, 0, Table2529303547[[#This Row],[Regional Transfer (Real)]]+Table2529303547[[#This Row],[Stock Level  (South)]])</f>
        <v>0</v>
      </c>
      <c r="W291" s="4" t="s">
        <v>36</v>
      </c>
      <c r="X291" s="20">
        <f t="shared" si="12"/>
        <v>150</v>
      </c>
      <c r="Y291" s="20">
        <f>X292-Table252930323648[[#This Row],[Stock Level  (West)]]</f>
        <v>0</v>
      </c>
      <c r="Z291" s="20">
        <f>IFERROR(GETPIVOTDATA("QTY",$B$56,"PRODUCT_DESCRIPTION", $B$256, "SALES_ORDER_DATE",Table252930323648[[#This Row],[Date]], "AREA_NAME", "West"), 0)</f>
        <v>0</v>
      </c>
      <c r="AA291" s="20">
        <f>Table252930323648[[#This Row],[Stock Change (t1-t0) (West)]]+Table252930323648[[#This Row],[Sales]]</f>
        <v>0</v>
      </c>
      <c r="AB291" s="18">
        <f>IF(Table252930323648[[#This Row],[Regional Transfer (Real)]]=0, 0, Table252930323648[[#This Row],[Regional Transfer (Real)]]+Table252930323648[[#This Row],[Stock Level  (West)]])</f>
        <v>0</v>
      </c>
    </row>
    <row r="292" spans="2:28" x14ac:dyDescent="0.2">
      <c r="B292" s="4" t="s">
        <v>58</v>
      </c>
      <c r="C292" s="20">
        <f t="shared" si="13"/>
        <v>600</v>
      </c>
      <c r="D292" s="20">
        <f>C293-Table253345[[#This Row],[Stock Level  ]]</f>
        <v>0</v>
      </c>
      <c r="E292" s="20">
        <f>IFERROR(GETPIVOTDATA("QTY",$B$56,"PRODUCT_DESCRIPTION", $B$256, "SALES_ORDER_DATE",Table253345[[#This Row],[Date]]), 0)</f>
        <v>0</v>
      </c>
      <c r="F292" s="20">
        <f>Table253345[[#This Row],[Stock Change (t1-t0)]]+Table253345[[#This Row],[Sales]]</f>
        <v>0</v>
      </c>
      <c r="G292" s="18">
        <f>IF(Table253345[[#This Row],[Purchase (Real)]]=0, 0, Table253345[[#This Row],[Purchase (Real)]]+C291)</f>
        <v>0</v>
      </c>
      <c r="I292" s="4" t="s">
        <v>58</v>
      </c>
      <c r="J292" s="20">
        <f t="shared" si="14"/>
        <v>100</v>
      </c>
      <c r="K292" s="20">
        <f>J293-Table25293446[[#This Row],[Stock Level  (North)]]</f>
        <v>0</v>
      </c>
      <c r="L292" s="20">
        <f>IFERROR(GETPIVOTDATA("QTY",$B$56,"PRODUCT_DESCRIPTION", $B$256, "SALES_ORDER_DATE",Table25293446[[#This Row],[Date]], "AREA_NAME", "North"), 0)</f>
        <v>0</v>
      </c>
      <c r="M292" s="20">
        <f>Table25293446[[#This Row],[Stock Change (t1-t0) (North)]]+Table25293446[[#This Row],[Sales]]</f>
        <v>0</v>
      </c>
      <c r="N292" s="18">
        <f>IF(Table25293446[[#This Row],[Regional Transfer (Real)]]=0, 0, Table25293446[[#This Row],[Regional Transfer (Real)]]+Table25293446[[#This Row],[Stock Level  (North)]])</f>
        <v>0</v>
      </c>
      <c r="P292" s="4" t="s">
        <v>58</v>
      </c>
      <c r="Q292" s="20">
        <f t="shared" si="15"/>
        <v>157</v>
      </c>
      <c r="R292" s="20">
        <f>Q293-Table2529303547[[#This Row],[Stock Level  (South)]]</f>
        <v>0</v>
      </c>
      <c r="S292" s="20">
        <f>IFERROR(GETPIVOTDATA("QTY",$B$56,"PRODUCT_DESCRIPTION", $B$256, "SALES_ORDER_DATE",Table2529303547[[#This Row],[Date]], "AREA_NAME", "South"), 0)</f>
        <v>0</v>
      </c>
      <c r="T292" s="20">
        <f>Table2529303547[[#This Row],[Stock Change (t1-t0) (South)]]+Table2529303547[[#This Row],[Sales]]</f>
        <v>0</v>
      </c>
      <c r="U292" s="18">
        <f>IF(Table2529303547[[#This Row],[Regional Transfer (Real)]]=0, 0, Table2529303547[[#This Row],[Regional Transfer (Real)]]+Table2529303547[[#This Row],[Stock Level  (South)]])</f>
        <v>0</v>
      </c>
      <c r="W292" s="4" t="s">
        <v>58</v>
      </c>
      <c r="X292" s="20">
        <f t="shared" si="12"/>
        <v>150</v>
      </c>
      <c r="Y292" s="20">
        <f>X293-Table252930323648[[#This Row],[Stock Level  (West)]]</f>
        <v>0</v>
      </c>
      <c r="Z292" s="20">
        <f>IFERROR(GETPIVOTDATA("QTY",$B$56,"PRODUCT_DESCRIPTION", $B$256, "SALES_ORDER_DATE",Table252930323648[[#This Row],[Date]], "AREA_NAME", "West"), 0)</f>
        <v>0</v>
      </c>
      <c r="AA292" s="20">
        <f>Table252930323648[[#This Row],[Stock Change (t1-t0) (West)]]+Table252930323648[[#This Row],[Sales]]</f>
        <v>0</v>
      </c>
      <c r="AB292" s="18">
        <f>IF(Table252930323648[[#This Row],[Regional Transfer (Real)]]=0, 0, Table252930323648[[#This Row],[Regional Transfer (Real)]]+Table252930323648[[#This Row],[Stock Level  (West)]])</f>
        <v>0</v>
      </c>
    </row>
    <row r="293" spans="2:28" x14ac:dyDescent="0.2">
      <c r="B293" s="4" t="s">
        <v>37</v>
      </c>
      <c r="C293" s="20">
        <f t="shared" si="13"/>
        <v>600</v>
      </c>
      <c r="D293" s="20">
        <f>C294-Table253345[[#This Row],[Stock Level  ]]</f>
        <v>0</v>
      </c>
      <c r="E293" s="20">
        <f>IFERROR(GETPIVOTDATA("QTY",$B$56,"PRODUCT_DESCRIPTION", $B$256, "SALES_ORDER_DATE",Table253345[[#This Row],[Date]]), 0)</f>
        <v>0</v>
      </c>
      <c r="F293" s="20">
        <f>Table253345[[#This Row],[Stock Change (t1-t0)]]+Table253345[[#This Row],[Sales]]</f>
        <v>0</v>
      </c>
      <c r="G293" s="18">
        <f>IF(Table253345[[#This Row],[Purchase (Real)]]=0, 0, Table253345[[#This Row],[Purchase (Real)]]+C292)</f>
        <v>0</v>
      </c>
      <c r="I293" s="4" t="s">
        <v>37</v>
      </c>
      <c r="J293" s="20">
        <f t="shared" si="14"/>
        <v>100</v>
      </c>
      <c r="K293" s="20">
        <f>J294-Table25293446[[#This Row],[Stock Level  (North)]]</f>
        <v>0</v>
      </c>
      <c r="L293" s="20">
        <f>IFERROR(GETPIVOTDATA("QTY",$B$56,"PRODUCT_DESCRIPTION", $B$256, "SALES_ORDER_DATE",Table25293446[[#This Row],[Date]], "AREA_NAME", "North"), 0)</f>
        <v>0</v>
      </c>
      <c r="M293" s="20">
        <f>Table25293446[[#This Row],[Stock Change (t1-t0) (North)]]+Table25293446[[#This Row],[Sales]]</f>
        <v>0</v>
      </c>
      <c r="N293" s="18">
        <f>IF(Table25293446[[#This Row],[Regional Transfer (Real)]]=0, 0, Table25293446[[#This Row],[Regional Transfer (Real)]]+Table25293446[[#This Row],[Stock Level  (North)]])</f>
        <v>0</v>
      </c>
      <c r="P293" s="4" t="s">
        <v>37</v>
      </c>
      <c r="Q293" s="20">
        <f t="shared" si="15"/>
        <v>157</v>
      </c>
      <c r="R293" s="20">
        <f>Q294-Table2529303547[[#This Row],[Stock Level  (South)]]</f>
        <v>0</v>
      </c>
      <c r="S293" s="20">
        <f>IFERROR(GETPIVOTDATA("QTY",$B$56,"PRODUCT_DESCRIPTION", $B$256, "SALES_ORDER_DATE",Table2529303547[[#This Row],[Date]], "AREA_NAME", "South"), 0)</f>
        <v>0</v>
      </c>
      <c r="T293" s="20">
        <f>Table2529303547[[#This Row],[Stock Change (t1-t0) (South)]]+Table2529303547[[#This Row],[Sales]]</f>
        <v>0</v>
      </c>
      <c r="U293" s="18">
        <f>IF(Table2529303547[[#This Row],[Regional Transfer (Real)]]=0, 0, Table2529303547[[#This Row],[Regional Transfer (Real)]]+Table2529303547[[#This Row],[Stock Level  (South)]])</f>
        <v>0</v>
      </c>
      <c r="W293" s="4" t="s">
        <v>37</v>
      </c>
      <c r="X293" s="20">
        <f t="shared" si="12"/>
        <v>150</v>
      </c>
      <c r="Y293" s="20">
        <f>X294-Table252930323648[[#This Row],[Stock Level  (West)]]</f>
        <v>0</v>
      </c>
      <c r="Z293" s="20">
        <f>IFERROR(GETPIVOTDATA("QTY",$B$56,"PRODUCT_DESCRIPTION", $B$256, "SALES_ORDER_DATE",Table252930323648[[#This Row],[Date]], "AREA_NAME", "West"), 0)</f>
        <v>0</v>
      </c>
      <c r="AA293" s="20">
        <f>Table252930323648[[#This Row],[Stock Change (t1-t0) (West)]]+Table252930323648[[#This Row],[Sales]]</f>
        <v>0</v>
      </c>
      <c r="AB293" s="18">
        <f>IF(Table252930323648[[#This Row],[Regional Transfer (Real)]]=0, 0, Table252930323648[[#This Row],[Regional Transfer (Real)]]+Table252930323648[[#This Row],[Stock Level  (West)]])</f>
        <v>0</v>
      </c>
    </row>
    <row r="294" spans="2:28" x14ac:dyDescent="0.2">
      <c r="B294" s="4" t="s">
        <v>38</v>
      </c>
      <c r="C294" s="20">
        <f t="shared" si="13"/>
        <v>600</v>
      </c>
      <c r="D294" s="20">
        <f>C295-Table253345[[#This Row],[Stock Level  ]]</f>
        <v>0</v>
      </c>
      <c r="E294" s="20">
        <f>IFERROR(GETPIVOTDATA("QTY",$B$56,"PRODUCT_DESCRIPTION", $B$256, "SALES_ORDER_DATE",Table253345[[#This Row],[Date]]), 0)</f>
        <v>0</v>
      </c>
      <c r="F294" s="20">
        <f>Table253345[[#This Row],[Stock Change (t1-t0)]]+Table253345[[#This Row],[Sales]]</f>
        <v>0</v>
      </c>
      <c r="G294" s="18">
        <f>IF(Table253345[[#This Row],[Purchase (Real)]]=0, 0, Table253345[[#This Row],[Purchase (Real)]]+C293)</f>
        <v>0</v>
      </c>
      <c r="I294" s="4" t="s">
        <v>38</v>
      </c>
      <c r="J294" s="20">
        <f t="shared" si="14"/>
        <v>100</v>
      </c>
      <c r="K294" s="20">
        <f>J295-Table25293446[[#This Row],[Stock Level  (North)]]</f>
        <v>100</v>
      </c>
      <c r="L294" s="20">
        <f>IFERROR(GETPIVOTDATA("QTY",$B$56,"PRODUCT_DESCRIPTION", $B$256, "SALES_ORDER_DATE",Table25293446[[#This Row],[Date]], "AREA_NAME", "North"), 0)</f>
        <v>0</v>
      </c>
      <c r="M294" s="20">
        <f>Table25293446[[#This Row],[Stock Change (t1-t0) (North)]]+Table25293446[[#This Row],[Sales]]</f>
        <v>100</v>
      </c>
      <c r="N294" s="18">
        <f>IF(Table25293446[[#This Row],[Regional Transfer (Real)]]=0, 0, Table25293446[[#This Row],[Regional Transfer (Real)]]+Table25293446[[#This Row],[Stock Level  (North)]])</f>
        <v>200</v>
      </c>
      <c r="P294" s="4" t="s">
        <v>38</v>
      </c>
      <c r="Q294" s="20">
        <f t="shared" si="15"/>
        <v>157</v>
      </c>
      <c r="R294" s="20">
        <f>Q295-Table2529303547[[#This Row],[Stock Level  (South)]]</f>
        <v>43</v>
      </c>
      <c r="S294" s="20">
        <f>IFERROR(GETPIVOTDATA("QTY",$B$56,"PRODUCT_DESCRIPTION", $B$256, "SALES_ORDER_DATE",Table2529303547[[#This Row],[Date]], "AREA_NAME", "South"), 0)</f>
        <v>0</v>
      </c>
      <c r="T294" s="20">
        <f>Table2529303547[[#This Row],[Stock Change (t1-t0) (South)]]+Table2529303547[[#This Row],[Sales]]</f>
        <v>43</v>
      </c>
      <c r="U294" s="18">
        <f>IF(Table2529303547[[#This Row],[Regional Transfer (Real)]]=0, 0, Table2529303547[[#This Row],[Regional Transfer (Real)]]+Table2529303547[[#This Row],[Stock Level  (South)]])</f>
        <v>200</v>
      </c>
      <c r="W294" s="4" t="s">
        <v>38</v>
      </c>
      <c r="X294" s="20">
        <f t="shared" si="12"/>
        <v>150</v>
      </c>
      <c r="Y294" s="20">
        <f>X295-Table252930323648[[#This Row],[Stock Level  (West)]]</f>
        <v>50</v>
      </c>
      <c r="Z294" s="20">
        <f>IFERROR(GETPIVOTDATA("QTY",$B$56,"PRODUCT_DESCRIPTION", $B$256, "SALES_ORDER_DATE",Table252930323648[[#This Row],[Date]], "AREA_NAME", "West"), 0)</f>
        <v>0</v>
      </c>
      <c r="AA294" s="20">
        <f>Table252930323648[[#This Row],[Stock Change (t1-t0) (West)]]+Table252930323648[[#This Row],[Sales]]</f>
        <v>50</v>
      </c>
      <c r="AB294" s="18">
        <f>IF(Table252930323648[[#This Row],[Regional Transfer (Real)]]=0, 0, Table252930323648[[#This Row],[Regional Transfer (Real)]]+Table252930323648[[#This Row],[Stock Level  (West)]])</f>
        <v>200</v>
      </c>
    </row>
    <row r="295" spans="2:28" x14ac:dyDescent="0.2">
      <c r="B295" s="4" t="s">
        <v>39</v>
      </c>
      <c r="C295" s="20">
        <f t="shared" si="13"/>
        <v>600</v>
      </c>
      <c r="D295" s="20">
        <f>C296-Table253345[[#This Row],[Stock Level  ]]</f>
        <v>0</v>
      </c>
      <c r="E295" s="20">
        <f>IFERROR(GETPIVOTDATA("QTY",$B$56,"PRODUCT_DESCRIPTION", $B$256, "SALES_ORDER_DATE",Table253345[[#This Row],[Date]]), 0)</f>
        <v>0</v>
      </c>
      <c r="F295" s="20">
        <f>Table253345[[#This Row],[Stock Change (t1-t0)]]+Table253345[[#This Row],[Sales]]</f>
        <v>0</v>
      </c>
      <c r="G295" s="18">
        <f>IF(Table253345[[#This Row],[Purchase (Real)]]=0, 0, Table253345[[#This Row],[Purchase (Real)]]+C294)</f>
        <v>0</v>
      </c>
      <c r="I295" s="4" t="s">
        <v>39</v>
      </c>
      <c r="J295" s="20">
        <f t="shared" si="14"/>
        <v>200</v>
      </c>
      <c r="K295" s="20">
        <f>J296-Table25293446[[#This Row],[Stock Level  (North)]]</f>
        <v>0</v>
      </c>
      <c r="L295" s="20">
        <f>IFERROR(GETPIVOTDATA("QTY",$B$56,"PRODUCT_DESCRIPTION", $B$256, "SALES_ORDER_DATE",Table25293446[[#This Row],[Date]], "AREA_NAME", "North"), 0)</f>
        <v>0</v>
      </c>
      <c r="M295" s="20">
        <f>Table25293446[[#This Row],[Stock Change (t1-t0) (North)]]+Table25293446[[#This Row],[Sales]]</f>
        <v>0</v>
      </c>
      <c r="N295" s="18">
        <f>IF(Table25293446[[#This Row],[Regional Transfer (Real)]]=0, 0, Table25293446[[#This Row],[Regional Transfer (Real)]]+Table25293446[[#This Row],[Stock Level  (North)]])</f>
        <v>0</v>
      </c>
      <c r="P295" s="4" t="s">
        <v>39</v>
      </c>
      <c r="Q295" s="20">
        <f t="shared" si="15"/>
        <v>200</v>
      </c>
      <c r="R295" s="20">
        <f>Q296-Table2529303547[[#This Row],[Stock Level  (South)]]</f>
        <v>0</v>
      </c>
      <c r="S295" s="20">
        <f>IFERROR(GETPIVOTDATA("QTY",$B$56,"PRODUCT_DESCRIPTION", $B$256, "SALES_ORDER_DATE",Table2529303547[[#This Row],[Date]], "AREA_NAME", "South"), 0)</f>
        <v>0</v>
      </c>
      <c r="T295" s="20">
        <f>Table2529303547[[#This Row],[Stock Change (t1-t0) (South)]]+Table2529303547[[#This Row],[Sales]]</f>
        <v>0</v>
      </c>
      <c r="U295" s="18">
        <f>IF(Table2529303547[[#This Row],[Regional Transfer (Real)]]=0, 0, Table2529303547[[#This Row],[Regional Transfer (Real)]]+Table2529303547[[#This Row],[Stock Level  (South)]])</f>
        <v>0</v>
      </c>
      <c r="W295" s="4" t="s">
        <v>39</v>
      </c>
      <c r="X295" s="20">
        <f t="shared" si="12"/>
        <v>200</v>
      </c>
      <c r="Y295" s="20">
        <f>X296-Table252930323648[[#This Row],[Stock Level  (West)]]</f>
        <v>0</v>
      </c>
      <c r="Z295" s="20">
        <f>IFERROR(GETPIVOTDATA("QTY",$B$56,"PRODUCT_DESCRIPTION", $B$256, "SALES_ORDER_DATE",Table252930323648[[#This Row],[Date]], "AREA_NAME", "West"), 0)</f>
        <v>0</v>
      </c>
      <c r="AA295" s="20">
        <f>Table252930323648[[#This Row],[Stock Change (t1-t0) (West)]]+Table252930323648[[#This Row],[Sales]]</f>
        <v>0</v>
      </c>
      <c r="AB295" s="18">
        <f>IF(Table252930323648[[#This Row],[Regional Transfer (Real)]]=0, 0, Table252930323648[[#This Row],[Regional Transfer (Real)]]+Table252930323648[[#This Row],[Stock Level  (West)]])</f>
        <v>0</v>
      </c>
    </row>
    <row r="296" spans="2:28" x14ac:dyDescent="0.2">
      <c r="B296" s="4" t="s">
        <v>40</v>
      </c>
      <c r="C296" s="20">
        <f t="shared" si="13"/>
        <v>600</v>
      </c>
      <c r="D296" s="20">
        <f>C297-Table253345[[#This Row],[Stock Level  ]]</f>
        <v>-41</v>
      </c>
      <c r="E296" s="20">
        <f>IFERROR(GETPIVOTDATA("QTY",$B$56,"PRODUCT_DESCRIPTION", $B$256, "SALES_ORDER_DATE",Table253345[[#This Row],[Date]]), 0)</f>
        <v>41</v>
      </c>
      <c r="F296" s="20">
        <f>Table253345[[#This Row],[Stock Change (t1-t0)]]+Table253345[[#This Row],[Sales]]</f>
        <v>0</v>
      </c>
      <c r="G296" s="18">
        <f>IF(Table253345[[#This Row],[Purchase (Real)]]=0, 0, Table253345[[#This Row],[Purchase (Real)]]+C295)</f>
        <v>0</v>
      </c>
      <c r="I296" s="4" t="s">
        <v>40</v>
      </c>
      <c r="J296" s="20">
        <f t="shared" si="14"/>
        <v>200</v>
      </c>
      <c r="K296" s="20">
        <f>J297-Table25293446[[#This Row],[Stock Level  (North)]]</f>
        <v>0</v>
      </c>
      <c r="L296" s="20">
        <f>IFERROR(GETPIVOTDATA("QTY",$B$56,"PRODUCT_DESCRIPTION", $B$256, "SALES_ORDER_DATE",Table25293446[[#This Row],[Date]], "AREA_NAME", "North"), 0)</f>
        <v>0</v>
      </c>
      <c r="M296" s="20">
        <f>Table25293446[[#This Row],[Stock Change (t1-t0) (North)]]+Table25293446[[#This Row],[Sales]]</f>
        <v>0</v>
      </c>
      <c r="N296" s="18">
        <f>IF(Table25293446[[#This Row],[Regional Transfer (Real)]]=0, 0, Table25293446[[#This Row],[Regional Transfer (Real)]]+Table25293446[[#This Row],[Stock Level  (North)]])</f>
        <v>0</v>
      </c>
      <c r="P296" s="4" t="s">
        <v>40</v>
      </c>
      <c r="Q296" s="20">
        <f t="shared" si="15"/>
        <v>200</v>
      </c>
      <c r="R296" s="20">
        <f>Q297-Table2529303547[[#This Row],[Stock Level  (South)]]</f>
        <v>-41</v>
      </c>
      <c r="S296" s="20">
        <f>IFERROR(GETPIVOTDATA("QTY",$B$56,"PRODUCT_DESCRIPTION", $B$256, "SALES_ORDER_DATE",Table2529303547[[#This Row],[Date]], "AREA_NAME", "South"), 0)</f>
        <v>41</v>
      </c>
      <c r="T296" s="20">
        <f>Table2529303547[[#This Row],[Stock Change (t1-t0) (South)]]+Table2529303547[[#This Row],[Sales]]</f>
        <v>0</v>
      </c>
      <c r="U296" s="18">
        <f>IF(Table2529303547[[#This Row],[Regional Transfer (Real)]]=0, 0, Table2529303547[[#This Row],[Regional Transfer (Real)]]+Table2529303547[[#This Row],[Stock Level  (South)]])</f>
        <v>0</v>
      </c>
      <c r="W296" s="4" t="s">
        <v>40</v>
      </c>
      <c r="X296" s="20">
        <f t="shared" si="12"/>
        <v>200</v>
      </c>
      <c r="Y296" s="20">
        <f>X297-Table252930323648[[#This Row],[Stock Level  (West)]]</f>
        <v>0</v>
      </c>
      <c r="Z296" s="20">
        <f>IFERROR(GETPIVOTDATA("QTY",$B$56,"PRODUCT_DESCRIPTION", $B$256, "SALES_ORDER_DATE",Table252930323648[[#This Row],[Date]], "AREA_NAME", "West"), 0)</f>
        <v>0</v>
      </c>
      <c r="AA296" s="20">
        <f>Table252930323648[[#This Row],[Stock Change (t1-t0) (West)]]+Table252930323648[[#This Row],[Sales]]</f>
        <v>0</v>
      </c>
      <c r="AB296" s="18">
        <f>IF(Table252930323648[[#This Row],[Regional Transfer (Real)]]=0, 0, Table252930323648[[#This Row],[Regional Transfer (Real)]]+Table252930323648[[#This Row],[Stock Level  (West)]])</f>
        <v>0</v>
      </c>
    </row>
    <row r="297" spans="2:28" x14ac:dyDescent="0.2">
      <c r="B297" s="4" t="s">
        <v>41</v>
      </c>
      <c r="C297" s="20">
        <f t="shared" si="13"/>
        <v>559</v>
      </c>
      <c r="D297" s="20">
        <f>C298-Table253345[[#This Row],[Stock Level  ]]</f>
        <v>-40</v>
      </c>
      <c r="E297" s="20">
        <f>IFERROR(GETPIVOTDATA("QTY",$B$56,"PRODUCT_DESCRIPTION", $B$256, "SALES_ORDER_DATE",Table253345[[#This Row],[Date]]), 0)</f>
        <v>40</v>
      </c>
      <c r="F297" s="20">
        <f>Table253345[[#This Row],[Stock Change (t1-t0)]]+Table253345[[#This Row],[Sales]]</f>
        <v>0</v>
      </c>
      <c r="G297" s="18">
        <f>IF(Table253345[[#This Row],[Purchase (Real)]]=0, 0, Table253345[[#This Row],[Purchase (Real)]]+C296)</f>
        <v>0</v>
      </c>
      <c r="I297" s="4" t="s">
        <v>41</v>
      </c>
      <c r="J297" s="20">
        <f t="shared" si="14"/>
        <v>200</v>
      </c>
      <c r="K297" s="20">
        <f>J298-Table25293446[[#This Row],[Stock Level  (North)]]</f>
        <v>0</v>
      </c>
      <c r="L297" s="20">
        <f>IFERROR(GETPIVOTDATA("QTY",$B$56,"PRODUCT_DESCRIPTION", $B$256, "SALES_ORDER_DATE",Table25293446[[#This Row],[Date]], "AREA_NAME", "North"), 0)</f>
        <v>0</v>
      </c>
      <c r="M297" s="20">
        <f>Table25293446[[#This Row],[Stock Change (t1-t0) (North)]]+Table25293446[[#This Row],[Sales]]</f>
        <v>0</v>
      </c>
      <c r="N297" s="18">
        <f>IF(Table25293446[[#This Row],[Regional Transfer (Real)]]=0, 0, Table25293446[[#This Row],[Regional Transfer (Real)]]+Table25293446[[#This Row],[Stock Level  (North)]])</f>
        <v>0</v>
      </c>
      <c r="P297" s="4" t="s">
        <v>41</v>
      </c>
      <c r="Q297" s="20">
        <f t="shared" si="15"/>
        <v>159</v>
      </c>
      <c r="R297" s="20">
        <f>Q298-Table2529303547[[#This Row],[Stock Level  (South)]]</f>
        <v>-40</v>
      </c>
      <c r="S297" s="20">
        <f>IFERROR(GETPIVOTDATA("QTY",$B$56,"PRODUCT_DESCRIPTION", $B$256, "SALES_ORDER_DATE",Table2529303547[[#This Row],[Date]], "AREA_NAME", "South"), 0)</f>
        <v>40</v>
      </c>
      <c r="T297" s="20">
        <f>Table2529303547[[#This Row],[Stock Change (t1-t0) (South)]]+Table2529303547[[#This Row],[Sales]]</f>
        <v>0</v>
      </c>
      <c r="U297" s="18">
        <f>IF(Table2529303547[[#This Row],[Regional Transfer (Real)]]=0, 0, Table2529303547[[#This Row],[Regional Transfer (Real)]]+Table2529303547[[#This Row],[Stock Level  (South)]])</f>
        <v>0</v>
      </c>
      <c r="W297" s="4" t="s">
        <v>41</v>
      </c>
      <c r="X297" s="20">
        <f t="shared" si="12"/>
        <v>200</v>
      </c>
      <c r="Y297" s="20">
        <f>X298-Table252930323648[[#This Row],[Stock Level  (West)]]</f>
        <v>0</v>
      </c>
      <c r="Z297" s="20">
        <f>IFERROR(GETPIVOTDATA("QTY",$B$56,"PRODUCT_DESCRIPTION", $B$256, "SALES_ORDER_DATE",Table252930323648[[#This Row],[Date]], "AREA_NAME", "West"), 0)</f>
        <v>0</v>
      </c>
      <c r="AA297" s="20">
        <f>Table252930323648[[#This Row],[Stock Change (t1-t0) (West)]]+Table252930323648[[#This Row],[Sales]]</f>
        <v>0</v>
      </c>
      <c r="AB297" s="18">
        <f>IF(Table252930323648[[#This Row],[Regional Transfer (Real)]]=0, 0, Table252930323648[[#This Row],[Regional Transfer (Real)]]+Table252930323648[[#This Row],[Stock Level  (West)]])</f>
        <v>0</v>
      </c>
    </row>
    <row r="298" spans="2:28" x14ac:dyDescent="0.2">
      <c r="B298" s="4" t="s">
        <v>42</v>
      </c>
      <c r="C298" s="20">
        <f t="shared" si="13"/>
        <v>519</v>
      </c>
      <c r="D298" s="20">
        <f>C299-Table253345[[#This Row],[Stock Level  ]]</f>
        <v>-28</v>
      </c>
      <c r="E298" s="20">
        <f>IFERROR(GETPIVOTDATA("QTY",$B$56,"PRODUCT_DESCRIPTION", $B$256, "SALES_ORDER_DATE",Table253345[[#This Row],[Date]]), 0)</f>
        <v>28</v>
      </c>
      <c r="F298" s="20">
        <f>Table253345[[#This Row],[Stock Change (t1-t0)]]+Table253345[[#This Row],[Sales]]</f>
        <v>0</v>
      </c>
      <c r="G298" s="18">
        <f>IF(Table253345[[#This Row],[Purchase (Real)]]=0, 0, Table253345[[#This Row],[Purchase (Real)]]+C297)</f>
        <v>0</v>
      </c>
      <c r="I298" s="4" t="s">
        <v>42</v>
      </c>
      <c r="J298" s="20">
        <f t="shared" si="14"/>
        <v>200</v>
      </c>
      <c r="K298" s="20">
        <f>J299-Table25293446[[#This Row],[Stock Level  (North)]]</f>
        <v>0</v>
      </c>
      <c r="L298" s="20">
        <f>IFERROR(GETPIVOTDATA("QTY",$B$56,"PRODUCT_DESCRIPTION", $B$256, "SALES_ORDER_DATE",Table25293446[[#This Row],[Date]], "AREA_NAME", "North"), 0)</f>
        <v>0</v>
      </c>
      <c r="M298" s="20">
        <f>Table25293446[[#This Row],[Stock Change (t1-t0) (North)]]+Table25293446[[#This Row],[Sales]]</f>
        <v>0</v>
      </c>
      <c r="N298" s="18">
        <f>IF(Table25293446[[#This Row],[Regional Transfer (Real)]]=0, 0, Table25293446[[#This Row],[Regional Transfer (Real)]]+Table25293446[[#This Row],[Stock Level  (North)]])</f>
        <v>0</v>
      </c>
      <c r="P298" s="4" t="s">
        <v>42</v>
      </c>
      <c r="Q298" s="20">
        <f t="shared" si="15"/>
        <v>119</v>
      </c>
      <c r="R298" s="20">
        <f>Q299-Table2529303547[[#This Row],[Stock Level  (South)]]</f>
        <v>0</v>
      </c>
      <c r="S298" s="20">
        <f>IFERROR(GETPIVOTDATA("QTY",$B$56,"PRODUCT_DESCRIPTION", $B$256, "SALES_ORDER_DATE",Table2529303547[[#This Row],[Date]], "AREA_NAME", "South"), 0)</f>
        <v>0</v>
      </c>
      <c r="T298" s="20">
        <f>Table2529303547[[#This Row],[Stock Change (t1-t0) (South)]]+Table2529303547[[#This Row],[Sales]]</f>
        <v>0</v>
      </c>
      <c r="U298" s="18">
        <f>IF(Table2529303547[[#This Row],[Regional Transfer (Real)]]=0, 0, Table2529303547[[#This Row],[Regional Transfer (Real)]]+Table2529303547[[#This Row],[Stock Level  (South)]])</f>
        <v>0</v>
      </c>
      <c r="W298" s="4" t="s">
        <v>42</v>
      </c>
      <c r="X298" s="20">
        <f t="shared" si="12"/>
        <v>200</v>
      </c>
      <c r="Y298" s="20">
        <f>X299-Table252930323648[[#This Row],[Stock Level  (West)]]</f>
        <v>-28</v>
      </c>
      <c r="Z298" s="20">
        <f>IFERROR(GETPIVOTDATA("QTY",$B$56,"PRODUCT_DESCRIPTION", $B$256, "SALES_ORDER_DATE",Table252930323648[[#This Row],[Date]], "AREA_NAME", "West"), 0)</f>
        <v>28</v>
      </c>
      <c r="AA298" s="20">
        <f>Table252930323648[[#This Row],[Stock Change (t1-t0) (West)]]+Table252930323648[[#This Row],[Sales]]</f>
        <v>0</v>
      </c>
      <c r="AB298" s="18">
        <f>IF(Table252930323648[[#This Row],[Regional Transfer (Real)]]=0, 0, Table252930323648[[#This Row],[Regional Transfer (Real)]]+Table252930323648[[#This Row],[Stock Level  (West)]])</f>
        <v>0</v>
      </c>
    </row>
    <row r="299" spans="2:28" x14ac:dyDescent="0.2">
      <c r="B299" s="4" t="s">
        <v>43</v>
      </c>
      <c r="C299" s="20">
        <f t="shared" si="13"/>
        <v>491</v>
      </c>
      <c r="D299" s="20">
        <f>C300-Table253345[[#This Row],[Stock Level  ]]</f>
        <v>0</v>
      </c>
      <c r="E299" s="20">
        <f>IFERROR(GETPIVOTDATA("QTY",$B$56,"PRODUCT_DESCRIPTION", $B$256, "SALES_ORDER_DATE",Table253345[[#This Row],[Date]]), 0)</f>
        <v>0</v>
      </c>
      <c r="F299" s="20">
        <f>Table253345[[#This Row],[Stock Change (t1-t0)]]+Table253345[[#This Row],[Sales]]</f>
        <v>0</v>
      </c>
      <c r="G299" s="18">
        <f>IF(Table253345[[#This Row],[Purchase (Real)]]=0, 0, Table253345[[#This Row],[Purchase (Real)]]+C298)</f>
        <v>0</v>
      </c>
      <c r="I299" s="4" t="s">
        <v>43</v>
      </c>
      <c r="J299" s="20">
        <f t="shared" si="14"/>
        <v>200</v>
      </c>
      <c r="K299" s="20">
        <f>J300-Table25293446[[#This Row],[Stock Level  (North)]]</f>
        <v>0</v>
      </c>
      <c r="L299" s="20">
        <f>IFERROR(GETPIVOTDATA("QTY",$B$56,"PRODUCT_DESCRIPTION", $B$256, "SALES_ORDER_DATE",Table25293446[[#This Row],[Date]], "AREA_NAME", "North"), 0)</f>
        <v>0</v>
      </c>
      <c r="M299" s="20">
        <f>Table25293446[[#This Row],[Stock Change (t1-t0) (North)]]+Table25293446[[#This Row],[Sales]]</f>
        <v>0</v>
      </c>
      <c r="N299" s="18">
        <f>IF(Table25293446[[#This Row],[Regional Transfer (Real)]]=0, 0, Table25293446[[#This Row],[Regional Transfer (Real)]]+Table25293446[[#This Row],[Stock Level  (North)]])</f>
        <v>0</v>
      </c>
      <c r="P299" s="4" t="s">
        <v>43</v>
      </c>
      <c r="Q299" s="20">
        <f t="shared" si="15"/>
        <v>119</v>
      </c>
      <c r="R299" s="20">
        <f>Q300-Table2529303547[[#This Row],[Stock Level  (South)]]</f>
        <v>0</v>
      </c>
      <c r="S299" s="20">
        <f>IFERROR(GETPIVOTDATA("QTY",$B$56,"PRODUCT_DESCRIPTION", $B$256, "SALES_ORDER_DATE",Table2529303547[[#This Row],[Date]], "AREA_NAME", "South"), 0)</f>
        <v>0</v>
      </c>
      <c r="T299" s="20">
        <f>Table2529303547[[#This Row],[Stock Change (t1-t0) (South)]]+Table2529303547[[#This Row],[Sales]]</f>
        <v>0</v>
      </c>
      <c r="U299" s="18">
        <f>IF(Table2529303547[[#This Row],[Regional Transfer (Real)]]=0, 0, Table2529303547[[#This Row],[Regional Transfer (Real)]]+Table2529303547[[#This Row],[Stock Level  (South)]])</f>
        <v>0</v>
      </c>
      <c r="W299" s="4" t="s">
        <v>43</v>
      </c>
      <c r="X299" s="20">
        <f t="shared" si="12"/>
        <v>172</v>
      </c>
      <c r="Y299" s="20">
        <f>X300-Table252930323648[[#This Row],[Stock Level  (West)]]</f>
        <v>0</v>
      </c>
      <c r="Z299" s="20">
        <f>IFERROR(GETPIVOTDATA("QTY",$B$56,"PRODUCT_DESCRIPTION", $B$256, "SALES_ORDER_DATE",Table252930323648[[#This Row],[Date]], "AREA_NAME", "West"), 0)</f>
        <v>0</v>
      </c>
      <c r="AA299" s="20">
        <f>Table252930323648[[#This Row],[Stock Change (t1-t0) (West)]]+Table252930323648[[#This Row],[Sales]]</f>
        <v>0</v>
      </c>
      <c r="AB299" s="18">
        <f>IF(Table252930323648[[#This Row],[Regional Transfer (Real)]]=0, 0, Table252930323648[[#This Row],[Regional Transfer (Real)]]+Table252930323648[[#This Row],[Stock Level  (West)]])</f>
        <v>0</v>
      </c>
    </row>
    <row r="300" spans="2:28" x14ac:dyDescent="0.2">
      <c r="B300" s="4" t="s">
        <v>44</v>
      </c>
      <c r="C300" s="20">
        <f t="shared" si="13"/>
        <v>491</v>
      </c>
      <c r="D300" s="20">
        <f>C301-Table253345[[#This Row],[Stock Level  ]]</f>
        <v>78</v>
      </c>
      <c r="E300" s="20">
        <f>IFERROR(GETPIVOTDATA("QTY",$B$56,"PRODUCT_DESCRIPTION", $B$256, "SALES_ORDER_DATE",Table253345[[#This Row],[Date]]), 0)</f>
        <v>31</v>
      </c>
      <c r="F300" s="20">
        <f>Table253345[[#This Row],[Stock Change (t1-t0)]]+Table253345[[#This Row],[Sales]]</f>
        <v>109</v>
      </c>
      <c r="G300" s="18">
        <f>IF(Table253345[[#This Row],[Purchase (Real)]]=0, 0, Table253345[[#This Row],[Purchase (Real)]]+C299)</f>
        <v>600</v>
      </c>
      <c r="I300" s="4" t="s">
        <v>44</v>
      </c>
      <c r="J300" s="20">
        <f t="shared" si="14"/>
        <v>200</v>
      </c>
      <c r="K300" s="20">
        <f>J301-Table25293446[[#This Row],[Stock Level  (North)]]</f>
        <v>0</v>
      </c>
      <c r="L300" s="20">
        <f>IFERROR(GETPIVOTDATA("QTY",$B$56,"PRODUCT_DESCRIPTION", $B$256, "SALES_ORDER_DATE",Table25293446[[#This Row],[Date]], "AREA_NAME", "North"), 0)</f>
        <v>0</v>
      </c>
      <c r="M300" s="20">
        <f>Table25293446[[#This Row],[Stock Change (t1-t0) (North)]]+Table25293446[[#This Row],[Sales]]</f>
        <v>0</v>
      </c>
      <c r="N300" s="18">
        <f>IF(Table25293446[[#This Row],[Regional Transfer (Real)]]=0, 0, Table25293446[[#This Row],[Regional Transfer (Real)]]+Table25293446[[#This Row],[Stock Level  (North)]])</f>
        <v>0</v>
      </c>
      <c r="P300" s="4" t="s">
        <v>44</v>
      </c>
      <c r="Q300" s="20">
        <f t="shared" si="15"/>
        <v>119</v>
      </c>
      <c r="R300" s="20">
        <f>Q301-Table2529303547[[#This Row],[Stock Level  (South)]]</f>
        <v>-31</v>
      </c>
      <c r="S300" s="20">
        <f>IFERROR(GETPIVOTDATA("QTY",$B$56,"PRODUCT_DESCRIPTION", $B$256, "SALES_ORDER_DATE",Table2529303547[[#This Row],[Date]], "AREA_NAME", "South"), 0)</f>
        <v>31</v>
      </c>
      <c r="T300" s="20">
        <f>Table2529303547[[#This Row],[Stock Change (t1-t0) (South)]]+Table2529303547[[#This Row],[Sales]]</f>
        <v>0</v>
      </c>
      <c r="U300" s="18">
        <f>IF(Table2529303547[[#This Row],[Regional Transfer (Real)]]=0, 0, Table2529303547[[#This Row],[Regional Transfer (Real)]]+Table2529303547[[#This Row],[Stock Level  (South)]])</f>
        <v>0</v>
      </c>
      <c r="W300" s="4" t="s">
        <v>44</v>
      </c>
      <c r="X300" s="20">
        <f t="shared" si="12"/>
        <v>172</v>
      </c>
      <c r="Y300" s="20">
        <f>X301-Table252930323648[[#This Row],[Stock Level  (West)]]</f>
        <v>0</v>
      </c>
      <c r="Z300" s="20">
        <f>IFERROR(GETPIVOTDATA("QTY",$B$56,"PRODUCT_DESCRIPTION", $B$256, "SALES_ORDER_DATE",Table252930323648[[#This Row],[Date]], "AREA_NAME", "West"), 0)</f>
        <v>0</v>
      </c>
      <c r="AA300" s="20">
        <f>Table252930323648[[#This Row],[Stock Change (t1-t0) (West)]]+Table252930323648[[#This Row],[Sales]]</f>
        <v>0</v>
      </c>
      <c r="AB300" s="18">
        <f>IF(Table252930323648[[#This Row],[Regional Transfer (Real)]]=0, 0, Table252930323648[[#This Row],[Regional Transfer (Real)]]+Table252930323648[[#This Row],[Stock Level  (West)]])</f>
        <v>0</v>
      </c>
    </row>
    <row r="301" spans="2:28" x14ac:dyDescent="0.2">
      <c r="B301" s="4" t="s">
        <v>45</v>
      </c>
      <c r="C301" s="20">
        <f t="shared" si="13"/>
        <v>569</v>
      </c>
      <c r="D301" s="20">
        <f>C302-Table253345[[#This Row],[Stock Level  ]]</f>
        <v>0</v>
      </c>
      <c r="E301" s="20">
        <f>IFERROR(GETPIVOTDATA("QTY",$B$56,"PRODUCT_DESCRIPTION", $B$256, "SALES_ORDER_DATE",Table253345[[#This Row],[Date]]), 0)</f>
        <v>0</v>
      </c>
      <c r="F301" s="20">
        <f>Table253345[[#This Row],[Stock Change (t1-t0)]]+Table253345[[#This Row],[Sales]]</f>
        <v>0</v>
      </c>
      <c r="G301" s="18">
        <f>IF(Table253345[[#This Row],[Purchase (Real)]]=0, 0, Table253345[[#This Row],[Purchase (Real)]]+C300)</f>
        <v>0</v>
      </c>
      <c r="I301" s="4" t="s">
        <v>45</v>
      </c>
      <c r="J301" s="20">
        <f t="shared" si="14"/>
        <v>200</v>
      </c>
      <c r="K301" s="20">
        <f>J302-Table25293446[[#This Row],[Stock Level  (North)]]</f>
        <v>0</v>
      </c>
      <c r="L301" s="20">
        <f>IFERROR(GETPIVOTDATA("QTY",$B$56,"PRODUCT_DESCRIPTION", $B$256, "SALES_ORDER_DATE",Table25293446[[#This Row],[Date]], "AREA_NAME", "North"), 0)</f>
        <v>0</v>
      </c>
      <c r="M301" s="20">
        <f>Table25293446[[#This Row],[Stock Change (t1-t0) (North)]]+Table25293446[[#This Row],[Sales]]</f>
        <v>0</v>
      </c>
      <c r="N301" s="18">
        <f>IF(Table25293446[[#This Row],[Regional Transfer (Real)]]=0, 0, Table25293446[[#This Row],[Regional Transfer (Real)]]+Table25293446[[#This Row],[Stock Level  (North)]])</f>
        <v>0</v>
      </c>
      <c r="P301" s="4" t="s">
        <v>45</v>
      </c>
      <c r="Q301" s="20">
        <f t="shared" si="15"/>
        <v>88</v>
      </c>
      <c r="R301" s="20">
        <f>Q302-Table2529303547[[#This Row],[Stock Level  (South)]]</f>
        <v>0</v>
      </c>
      <c r="S301" s="20">
        <f>IFERROR(GETPIVOTDATA("QTY",$B$56,"PRODUCT_DESCRIPTION", $B$256, "SALES_ORDER_DATE",Table2529303547[[#This Row],[Date]], "AREA_NAME", "South"), 0)</f>
        <v>0</v>
      </c>
      <c r="T301" s="20">
        <f>Table2529303547[[#This Row],[Stock Change (t1-t0) (South)]]+Table2529303547[[#This Row],[Sales]]</f>
        <v>0</v>
      </c>
      <c r="U301" s="18">
        <f>IF(Table2529303547[[#This Row],[Regional Transfer (Real)]]=0, 0, Table2529303547[[#This Row],[Regional Transfer (Real)]]+Table2529303547[[#This Row],[Stock Level  (South)]])</f>
        <v>0</v>
      </c>
      <c r="W301" s="4" t="s">
        <v>45</v>
      </c>
      <c r="X301" s="20">
        <f t="shared" si="12"/>
        <v>172</v>
      </c>
      <c r="Y301" s="20">
        <f>X302-Table252930323648[[#This Row],[Stock Level  (West)]]</f>
        <v>0</v>
      </c>
      <c r="Z301" s="20">
        <f>IFERROR(GETPIVOTDATA("QTY",$B$56,"PRODUCT_DESCRIPTION", $B$256, "SALES_ORDER_DATE",Table252930323648[[#This Row],[Date]], "AREA_NAME", "West"), 0)</f>
        <v>0</v>
      </c>
      <c r="AA301" s="20">
        <f>Table252930323648[[#This Row],[Stock Change (t1-t0) (West)]]+Table252930323648[[#This Row],[Sales]]</f>
        <v>0</v>
      </c>
      <c r="AB301" s="18">
        <f>IF(Table252930323648[[#This Row],[Regional Transfer (Real)]]=0, 0, Table252930323648[[#This Row],[Regional Transfer (Real)]]+Table252930323648[[#This Row],[Stock Level  (West)]])</f>
        <v>0</v>
      </c>
    </row>
    <row r="302" spans="2:28" x14ac:dyDescent="0.2">
      <c r="B302" s="4" t="s">
        <v>46</v>
      </c>
      <c r="C302" s="20">
        <f t="shared" si="13"/>
        <v>569</v>
      </c>
      <c r="D302" s="20">
        <f>C303-Table253345[[#This Row],[Stock Level  ]]</f>
        <v>-27</v>
      </c>
      <c r="E302" s="20">
        <f>IFERROR(GETPIVOTDATA("QTY",$B$56,"PRODUCT_DESCRIPTION", $B$256, "SALES_ORDER_DATE",Table253345[[#This Row],[Date]]), 0)</f>
        <v>27</v>
      </c>
      <c r="F302" s="20">
        <f>Table253345[[#This Row],[Stock Change (t1-t0)]]+Table253345[[#This Row],[Sales]]</f>
        <v>0</v>
      </c>
      <c r="G302" s="18">
        <f>IF(Table253345[[#This Row],[Purchase (Real)]]=0, 0, Table253345[[#This Row],[Purchase (Real)]]+C301)</f>
        <v>0</v>
      </c>
      <c r="I302" s="4" t="s">
        <v>46</v>
      </c>
      <c r="J302" s="20">
        <f t="shared" si="14"/>
        <v>200</v>
      </c>
      <c r="K302" s="20">
        <f>J303-Table25293446[[#This Row],[Stock Level  (North)]]</f>
        <v>0</v>
      </c>
      <c r="L302" s="20">
        <f>IFERROR(GETPIVOTDATA("QTY",$B$56,"PRODUCT_DESCRIPTION", $B$256, "SALES_ORDER_DATE",Table25293446[[#This Row],[Date]], "AREA_NAME", "North"), 0)</f>
        <v>0</v>
      </c>
      <c r="M302" s="20">
        <f>Table25293446[[#This Row],[Stock Change (t1-t0) (North)]]+Table25293446[[#This Row],[Sales]]</f>
        <v>0</v>
      </c>
      <c r="N302" s="18">
        <f>IF(Table25293446[[#This Row],[Regional Transfer (Real)]]=0, 0, Table25293446[[#This Row],[Regional Transfer (Real)]]+Table25293446[[#This Row],[Stock Level  (North)]])</f>
        <v>0</v>
      </c>
      <c r="P302" s="4" t="s">
        <v>46</v>
      </c>
      <c r="Q302" s="20">
        <f t="shared" si="15"/>
        <v>88</v>
      </c>
      <c r="R302" s="20">
        <f>Q303-Table2529303547[[#This Row],[Stock Level  (South)]]</f>
        <v>-27</v>
      </c>
      <c r="S302" s="20">
        <f>IFERROR(GETPIVOTDATA("QTY",$B$56,"PRODUCT_DESCRIPTION", $B$256, "SALES_ORDER_DATE",Table2529303547[[#This Row],[Date]], "AREA_NAME", "South"), 0)</f>
        <v>27</v>
      </c>
      <c r="T302" s="20">
        <f>Table2529303547[[#This Row],[Stock Change (t1-t0) (South)]]+Table2529303547[[#This Row],[Sales]]</f>
        <v>0</v>
      </c>
      <c r="U302" s="18">
        <f>IF(Table2529303547[[#This Row],[Regional Transfer (Real)]]=0, 0, Table2529303547[[#This Row],[Regional Transfer (Real)]]+Table2529303547[[#This Row],[Stock Level  (South)]])</f>
        <v>0</v>
      </c>
      <c r="W302" s="4" t="s">
        <v>46</v>
      </c>
      <c r="X302" s="20">
        <f t="shared" si="12"/>
        <v>172</v>
      </c>
      <c r="Y302" s="20">
        <f>X303-Table252930323648[[#This Row],[Stock Level  (West)]]</f>
        <v>0</v>
      </c>
      <c r="Z302" s="20">
        <f>IFERROR(GETPIVOTDATA("QTY",$B$56,"PRODUCT_DESCRIPTION", $B$256, "SALES_ORDER_DATE",Table252930323648[[#This Row],[Date]], "AREA_NAME", "West"), 0)</f>
        <v>0</v>
      </c>
      <c r="AA302" s="20">
        <f>Table252930323648[[#This Row],[Stock Change (t1-t0) (West)]]+Table252930323648[[#This Row],[Sales]]</f>
        <v>0</v>
      </c>
      <c r="AB302" s="18">
        <f>IF(Table252930323648[[#This Row],[Regional Transfer (Real)]]=0, 0, Table252930323648[[#This Row],[Regional Transfer (Real)]]+Table252930323648[[#This Row],[Stock Level  (West)]])</f>
        <v>0</v>
      </c>
    </row>
    <row r="303" spans="2:28" x14ac:dyDescent="0.2">
      <c r="B303" s="4" t="s">
        <v>59</v>
      </c>
      <c r="C303" s="20">
        <f t="shared" si="13"/>
        <v>542</v>
      </c>
      <c r="D303" s="20">
        <v>0</v>
      </c>
      <c r="E303" s="20">
        <f>IFERROR(GETPIVOTDATA("QTY",$B$56,"PRODUCT_DESCRIPTION", $B$256, "SALES_ORDER_DATE",Table253345[[#This Row],[Date]]), 0)</f>
        <v>0</v>
      </c>
      <c r="F303" s="20">
        <f>Table253345[[#This Row],[Stock Change (t1-t0)]]+Table253345[[#This Row],[Sales]]</f>
        <v>0</v>
      </c>
      <c r="G303" s="18">
        <f>IF(Table253345[[#This Row],[Purchase (Real)]]=0, 0, Table253345[[#This Row],[Purchase (Real)]]+C302)</f>
        <v>0</v>
      </c>
      <c r="I303" s="4" t="s">
        <v>59</v>
      </c>
      <c r="J303" s="20">
        <f t="shared" si="14"/>
        <v>200</v>
      </c>
      <c r="K303" s="20">
        <v>0</v>
      </c>
      <c r="L303" s="20">
        <f>IFERROR(GETPIVOTDATA("QTY",$B$56,"PRODUCT_DESCRIPTION", $B$256, "SALES_ORDER_DATE",Table25293446[[#This Row],[Date]], "AREA_NAME", "North"), 0)</f>
        <v>0</v>
      </c>
      <c r="M303" s="20">
        <f>Table25293446[[#This Row],[Stock Change (t1-t0) (North)]]+Table25293446[[#This Row],[Sales]]</f>
        <v>0</v>
      </c>
      <c r="N303" s="18">
        <f>IF(Table25293446[[#This Row],[Regional Transfer (Real)]]=0, 0, Table25293446[[#This Row],[Regional Transfer (Real)]]+Table25293446[[#This Row],[Stock Level  (North)]])</f>
        <v>0</v>
      </c>
      <c r="P303" s="4" t="s">
        <v>59</v>
      </c>
      <c r="Q303" s="20">
        <f t="shared" si="15"/>
        <v>61</v>
      </c>
      <c r="R303" s="20">
        <v>0</v>
      </c>
      <c r="S303" s="20">
        <f>IFERROR(GETPIVOTDATA("QTY",$B$56,"PRODUCT_DESCRIPTION", $B$256, "SALES_ORDER_DATE",Table2529303547[[#This Row],[Date]], "AREA_NAME", "South"), 0)</f>
        <v>0</v>
      </c>
      <c r="T303" s="20">
        <f>Table2529303547[[#This Row],[Stock Change (t1-t0) (South)]]+Table2529303547[[#This Row],[Sales]]</f>
        <v>0</v>
      </c>
      <c r="U303" s="18">
        <f>IF(Table2529303547[[#This Row],[Regional Transfer (Real)]]=0, 0, Table2529303547[[#This Row],[Regional Transfer (Real)]]+Table2529303547[[#This Row],[Stock Level  (South)]])</f>
        <v>0</v>
      </c>
      <c r="W303" s="4" t="s">
        <v>59</v>
      </c>
      <c r="X303" s="20">
        <f t="shared" si="12"/>
        <v>172</v>
      </c>
      <c r="Y303" s="20">
        <v>0</v>
      </c>
      <c r="Z303" s="20">
        <f>IFERROR(GETPIVOTDATA("QTY",$B$56,"PRODUCT_DESCRIPTION", $B$256, "SALES_ORDER_DATE",Table252930323648[[#This Row],[Date]], "AREA_NAME", "West"), 0)</f>
        <v>0</v>
      </c>
      <c r="AA303" s="20">
        <f>Table252930323648[[#This Row],[Stock Change (t1-t0) (West)]]+Table252930323648[[#This Row],[Sales]]</f>
        <v>0</v>
      </c>
      <c r="AB303" s="18">
        <f>IF(Table252930323648[[#This Row],[Regional Transfer (Real)]]=0, 0, Table252930323648[[#This Row],[Regional Transfer (Real)]]+Table252930323648[[#This Row],[Stock Level  (West)]])</f>
        <v>0</v>
      </c>
    </row>
    <row r="304" spans="2:28" x14ac:dyDescent="0.2">
      <c r="B304" s="4" t="s">
        <v>91</v>
      </c>
      <c r="F304" s="11">
        <f>SUBTOTAL(109,Table253345[Purchase (Real)])</f>
        <v>1776</v>
      </c>
      <c r="G304" s="11"/>
      <c r="I304" s="4" t="s">
        <v>91</v>
      </c>
      <c r="M304" cm="1">
        <f t="array" ref="M304">COUNT(IF(Table25293446[Regional Transfer (Real)]&lt;&gt;0, Table25293446[Regional Transfer (Real)]))</f>
        <v>10</v>
      </c>
      <c r="N304" s="11"/>
      <c r="P304" s="4" t="s">
        <v>91</v>
      </c>
      <c r="T304" cm="1">
        <f t="array" ref="T304">COUNT(IF(T260:T303&lt;&gt;0, Table2529303547[Regional Transfer (Real)]))</f>
        <v>8</v>
      </c>
      <c r="U304" s="11"/>
      <c r="W304" s="4" t="s">
        <v>91</v>
      </c>
      <c r="AA304" cm="1">
        <f t="array" ref="AA304">COUNT(IF(AA260:AA303&lt;&gt;0, Table252930323648[Regional Transfer (Real)]))</f>
        <v>9</v>
      </c>
      <c r="AB304" s="11"/>
    </row>
    <row r="305" spans="2:28" x14ac:dyDescent="0.2">
      <c r="B305" s="4"/>
      <c r="F305" s="11"/>
      <c r="G305" s="11"/>
      <c r="I305" s="4"/>
      <c r="N305" s="11"/>
      <c r="P305" s="4"/>
      <c r="U305" s="11"/>
      <c r="W305" s="4"/>
      <c r="AB305" s="11"/>
    </row>
    <row r="306" spans="2:28" x14ac:dyDescent="0.2">
      <c r="B306" s="145" t="s">
        <v>95</v>
      </c>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c r="AA306" s="146"/>
      <c r="AB306" s="146"/>
    </row>
    <row r="307" spans="2:28" x14ac:dyDescent="0.2">
      <c r="B307" s="147" t="s">
        <v>5</v>
      </c>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row>
    <row r="308" spans="2:28" x14ac:dyDescent="0.2">
      <c r="B308" s="2"/>
    </row>
    <row r="309" spans="2:28" x14ac:dyDescent="0.2">
      <c r="B309" s="145" t="s">
        <v>60</v>
      </c>
      <c r="C309" s="146"/>
      <c r="D309" s="146"/>
      <c r="E309" s="146"/>
      <c r="F309" s="146"/>
      <c r="G309" s="146"/>
      <c r="I309" s="145" t="s">
        <v>112</v>
      </c>
      <c r="J309" s="146"/>
      <c r="K309" s="146"/>
      <c r="L309" s="146"/>
      <c r="M309" s="146"/>
      <c r="N309" s="146"/>
      <c r="P309" s="145" t="s">
        <v>115</v>
      </c>
      <c r="Q309" s="146"/>
      <c r="R309" s="146"/>
      <c r="S309" s="146"/>
      <c r="T309" s="146"/>
      <c r="U309" s="146"/>
      <c r="W309" s="145" t="s">
        <v>116</v>
      </c>
      <c r="X309" s="146"/>
      <c r="Y309" s="146"/>
      <c r="Z309" s="146"/>
      <c r="AA309" s="146"/>
      <c r="AB309" s="146"/>
    </row>
    <row r="310" spans="2:28" x14ac:dyDescent="0.2">
      <c r="B310" s="3" t="s">
        <v>61</v>
      </c>
      <c r="C310" s="3" t="s">
        <v>117</v>
      </c>
      <c r="D310" s="3" t="s">
        <v>120</v>
      </c>
      <c r="E310" s="3" t="s">
        <v>51</v>
      </c>
      <c r="F310" s="3" t="s">
        <v>118</v>
      </c>
      <c r="G310" s="3" t="s">
        <v>119</v>
      </c>
      <c r="I310" s="3" t="s">
        <v>61</v>
      </c>
      <c r="J310" s="3" t="s">
        <v>121</v>
      </c>
      <c r="K310" s="3" t="s">
        <v>124</v>
      </c>
      <c r="L310" s="3" t="s">
        <v>51</v>
      </c>
      <c r="M310" s="3" t="s">
        <v>125</v>
      </c>
      <c r="N310" s="3" t="s">
        <v>126</v>
      </c>
      <c r="P310" s="3" t="s">
        <v>61</v>
      </c>
      <c r="Q310" s="3" t="s">
        <v>122</v>
      </c>
      <c r="R310" s="3" t="s">
        <v>127</v>
      </c>
      <c r="S310" s="3" t="s">
        <v>51</v>
      </c>
      <c r="T310" s="3" t="s">
        <v>125</v>
      </c>
      <c r="U310" s="3" t="s">
        <v>126</v>
      </c>
      <c r="W310" s="3" t="s">
        <v>61</v>
      </c>
      <c r="X310" s="3" t="s">
        <v>123</v>
      </c>
      <c r="Y310" s="3" t="s">
        <v>128</v>
      </c>
      <c r="Z310" s="3" t="s">
        <v>51</v>
      </c>
      <c r="AA310" s="3" t="s">
        <v>125</v>
      </c>
      <c r="AB310" s="3" t="s">
        <v>126</v>
      </c>
    </row>
    <row r="311" spans="2:28" x14ac:dyDescent="0.2">
      <c r="B311" s="4" t="s">
        <v>54</v>
      </c>
      <c r="C311" s="20">
        <f>GETPIVOTDATA("STOCK_LEVEL", $B$5, "PRODUCT", $B$307, "INVENTORY_DATE", B311 )</f>
        <v>0</v>
      </c>
      <c r="D311" s="20">
        <f>C312-Table25334953[[#This Row],[Stock Level  ]]</f>
        <v>600</v>
      </c>
      <c r="E311" s="20">
        <f>IFERROR(GETPIVOTDATA("QTY",$B$56,"PRODUCT_DESCRIPTION", $B$307, "SALES_ORDER_DATE",Table25334953[[#This Row],[Date]]), 0)</f>
        <v>0</v>
      </c>
      <c r="F311" s="20">
        <f>Table25334953[[#This Row],[Stock Change (t1-t0)]]+Table25334953[[#This Row],[Sales]]</f>
        <v>600</v>
      </c>
      <c r="G311" s="18">
        <f>IF(Table25334953[[#This Row],[Purchase (Real)]]=0, 0, Table25334953[[#This Row],[Purchase (Real)]]+0)</f>
        <v>600</v>
      </c>
      <c r="I311" s="4" t="s">
        <v>54</v>
      </c>
      <c r="J311" s="20">
        <f>GETPIVOTDATA("STOCK_LEVEL", $B$5, "PRODUCT", $B$307, "INVENTORY_DATE", I311, "STORAGE_LOCATION_ID", "North" )</f>
        <v>0</v>
      </c>
      <c r="K311" s="20">
        <f>J312-Table2529345054[[#This Row],[Stock Level  (North)]]</f>
        <v>0</v>
      </c>
      <c r="L311" s="20">
        <f>IFERROR(GETPIVOTDATA("QTY",$B$56,"PRODUCT_DESCRIPTION", $B$307, "SALES_ORDER_DATE",Table2529345054[[#This Row],[Date]], "AREA_NAME", "North"), 0)</f>
        <v>0</v>
      </c>
      <c r="M311" s="20">
        <f>Table2529345054[[#This Row],[Stock Change (t1-t0) (North)]]+Table2529345054[[#This Row],[Sales]]</f>
        <v>0</v>
      </c>
      <c r="N311" s="18">
        <f>IF(Table2529345054[[#This Row],[Regional Transfer (Real)]]=0, 0, Table2529345054[[#This Row],[Regional Transfer (Real)]]+Table2529345054[[#This Row],[Stock Level  (North)]])</f>
        <v>0</v>
      </c>
      <c r="P311" s="4" t="s">
        <v>54</v>
      </c>
      <c r="Q311" s="20">
        <f>GETPIVOTDATA("STOCK_LEVEL", $B$5, "PRODUCT", $B$307, "INVENTORY_DATE", P311, "STORAGE_LOCATION_ID", "South" )</f>
        <v>0</v>
      </c>
      <c r="R311" s="20">
        <f>Q312-Table252930355155[[#This Row],[Stock Level  (South)]]</f>
        <v>0</v>
      </c>
      <c r="S311" s="20">
        <f>IFERROR(GETPIVOTDATA("QTY",$B$56,"PRODUCT_DESCRIPTION", $B$307, "SALES_ORDER_DATE",Table252930355155[[#This Row],[Date]], "AREA_NAME", "South"), 0)</f>
        <v>0</v>
      </c>
      <c r="T311" s="20">
        <f>Table252930355155[[#This Row],[Stock Change (t1-t0) (South)]]+Table252930355155[[#This Row],[Sales]]</f>
        <v>0</v>
      </c>
      <c r="U311" s="18">
        <f>IF(Table252930355155[[#This Row],[Regional Transfer (Real)]]=0, 0, Table252930355155[[#This Row],[Regional Transfer (Real)]]+Table252930355155[[#This Row],[Stock Level  (South)]])</f>
        <v>0</v>
      </c>
      <c r="W311" s="4" t="s">
        <v>54</v>
      </c>
      <c r="X311" s="20">
        <f>GETPIVOTDATA("STOCK_LEVEL", $B$5, "PRODUCT", $B$307, "INVENTORY_DATE", W311, "STORAGE_LOCATION_ID", "West" )</f>
        <v>0</v>
      </c>
      <c r="Y311" s="20">
        <f>X312-Table25293032365256[[#This Row],[Stock Level  (West)]]</f>
        <v>0</v>
      </c>
      <c r="Z311" s="20">
        <f>IFERROR(GETPIVOTDATA("QTY",$B$56,"PRODUCT_DESCRIPTION", $B$307, "SALES_ORDER_DATE",Table25293032365256[[#This Row],[Date]], "AREA_NAME", "West"), 0)</f>
        <v>0</v>
      </c>
      <c r="AA311" s="20">
        <f>Table25293032365256[[#This Row],[Stock Change (t1-t0) (West)]]+Table25293032365256[[#This Row],[Sales]]</f>
        <v>0</v>
      </c>
      <c r="AB311" s="18">
        <f>IF(Table25293032365256[[#This Row],[Regional Transfer (Real)]]=0, 0, Table25293032365256[[#This Row],[Regional Transfer (Real)]]+Table25293032365256[[#This Row],[Stock Level  (West)]])</f>
        <v>0</v>
      </c>
    </row>
    <row r="312" spans="2:28" x14ac:dyDescent="0.2">
      <c r="B312" s="4" t="s">
        <v>55</v>
      </c>
      <c r="C312" s="20">
        <f t="shared" ref="C312:C354" si="16">GETPIVOTDATA("STOCK_LEVEL", $B$5, "PRODUCT", $B$307, "INVENTORY_DATE", B312 )</f>
        <v>600</v>
      </c>
      <c r="D312" s="20">
        <f>C313-Table25334953[[#This Row],[Stock Level  ]]</f>
        <v>0</v>
      </c>
      <c r="E312" s="20">
        <f>IFERROR(GETPIVOTDATA("QTY",$B$56,"PRODUCT_DESCRIPTION", $B$307, "SALES_ORDER_DATE",Table25334953[[#This Row],[Date]]), 0)</f>
        <v>0</v>
      </c>
      <c r="F312" s="20">
        <f>Table25334953[[#This Row],[Stock Change (t1-t0)]]+Table25334953[[#This Row],[Sales]]</f>
        <v>0</v>
      </c>
      <c r="G312" s="18">
        <f>IF(Table25334953[[#This Row],[Purchase (Real)]]=0, 0, Table25334953[[#This Row],[Purchase (Real)]]+C311)</f>
        <v>0</v>
      </c>
      <c r="I312" s="4" t="s">
        <v>55</v>
      </c>
      <c r="J312" s="20">
        <f t="shared" ref="J312:J354" si="17">GETPIVOTDATA("STOCK_LEVEL", $B$5, "PRODUCT", $B$307, "INVENTORY_DATE", I312, "STORAGE_LOCATION_ID", "North" )</f>
        <v>0</v>
      </c>
      <c r="K312" s="20">
        <f>J313-Table2529345054[[#This Row],[Stock Level  (North)]]</f>
        <v>100</v>
      </c>
      <c r="L312" s="20">
        <f>IFERROR(GETPIVOTDATA("QTY",$B$56,"PRODUCT_DESCRIPTION", $B$307, "SALES_ORDER_DATE",Table2529345054[[#This Row],[Date]], "AREA_NAME", "North"), 0)</f>
        <v>0</v>
      </c>
      <c r="M312" s="20">
        <f>Table2529345054[[#This Row],[Stock Change (t1-t0) (North)]]+Table2529345054[[#This Row],[Sales]]</f>
        <v>100</v>
      </c>
      <c r="N312" s="18">
        <f>IF(Table2529345054[[#This Row],[Regional Transfer (Real)]]=0, 0, Table2529345054[[#This Row],[Regional Transfer (Real)]]+Table2529345054[[#This Row],[Stock Level  (North)]])</f>
        <v>100</v>
      </c>
      <c r="P312" s="4" t="s">
        <v>55</v>
      </c>
      <c r="Q312" s="20">
        <f t="shared" ref="Q312:Q354" si="18">GETPIVOTDATA("STOCK_LEVEL", $B$5, "PRODUCT", $B$307, "INVENTORY_DATE", P312, "STORAGE_LOCATION_ID", "South" )</f>
        <v>0</v>
      </c>
      <c r="R312" s="20">
        <f>Q313-Table252930355155[[#This Row],[Stock Level  (South)]]</f>
        <v>100</v>
      </c>
      <c r="S312" s="20">
        <f>IFERROR(GETPIVOTDATA("QTY",$B$56,"PRODUCT_DESCRIPTION", $B$307, "SALES_ORDER_DATE",Table252930355155[[#This Row],[Date]], "AREA_NAME", "South"), 0)</f>
        <v>0</v>
      </c>
      <c r="T312" s="20">
        <f>Table252930355155[[#This Row],[Stock Change (t1-t0) (South)]]+Table252930355155[[#This Row],[Sales]]</f>
        <v>100</v>
      </c>
      <c r="U312" s="18">
        <f>IF(Table252930355155[[#This Row],[Regional Transfer (Real)]]=0, 0, Table252930355155[[#This Row],[Regional Transfer (Real)]]+Table252930355155[[#This Row],[Stock Level  (South)]])</f>
        <v>100</v>
      </c>
      <c r="W312" s="4" t="s">
        <v>55</v>
      </c>
      <c r="X312" s="20">
        <f t="shared" ref="X312:X354" si="19">GETPIVOTDATA("STOCK_LEVEL", $B$5, "PRODUCT", $B$307, "INVENTORY_DATE", W312, "STORAGE_LOCATION_ID", "West" )</f>
        <v>0</v>
      </c>
      <c r="Y312" s="20">
        <f>X313-Table25293032365256[[#This Row],[Stock Level  (West)]]</f>
        <v>100</v>
      </c>
      <c r="Z312" s="20">
        <f>IFERROR(GETPIVOTDATA("QTY",$B$56,"PRODUCT_DESCRIPTION", $B$307, "SALES_ORDER_DATE",Table25293032365256[[#This Row],[Date]], "AREA_NAME", "West"), 0)</f>
        <v>0</v>
      </c>
      <c r="AA312" s="20">
        <f>Table25293032365256[[#This Row],[Stock Change (t1-t0) (West)]]+Table25293032365256[[#This Row],[Sales]]</f>
        <v>100</v>
      </c>
      <c r="AB312" s="18">
        <f>IF(Table25293032365256[[#This Row],[Regional Transfer (Real)]]=0, 0, Table25293032365256[[#This Row],[Regional Transfer (Real)]]+Table25293032365256[[#This Row],[Stock Level  (West)]])</f>
        <v>100</v>
      </c>
    </row>
    <row r="313" spans="2:28" x14ac:dyDescent="0.2">
      <c r="B313" s="4" t="s">
        <v>9</v>
      </c>
      <c r="C313" s="20">
        <f t="shared" si="16"/>
        <v>600</v>
      </c>
      <c r="D313" s="20">
        <f>C314-Table25334953[[#This Row],[Stock Level  ]]</f>
        <v>-100</v>
      </c>
      <c r="E313" s="20">
        <f>IFERROR(GETPIVOTDATA("QTY",$B$56,"PRODUCT_DESCRIPTION", $B$307, "SALES_ORDER_DATE",Table25334953[[#This Row],[Date]]), 0)</f>
        <v>100</v>
      </c>
      <c r="F313" s="20">
        <f>Table25334953[[#This Row],[Stock Change (t1-t0)]]+Table25334953[[#This Row],[Sales]]</f>
        <v>0</v>
      </c>
      <c r="G313" s="18">
        <f>IF(Table25334953[[#This Row],[Purchase (Real)]]=0, 0, Table25334953[[#This Row],[Purchase (Real)]]+C312)</f>
        <v>0</v>
      </c>
      <c r="I313" s="4" t="s">
        <v>9</v>
      </c>
      <c r="J313" s="20">
        <f t="shared" si="17"/>
        <v>100</v>
      </c>
      <c r="K313" s="20">
        <f>J314-Table2529345054[[#This Row],[Stock Level  (North)]]</f>
        <v>-100</v>
      </c>
      <c r="L313" s="20">
        <f>IFERROR(GETPIVOTDATA("QTY",$B$56,"PRODUCT_DESCRIPTION", $B$307, "SALES_ORDER_DATE",Table2529345054[[#This Row],[Date]], "AREA_NAME", "North"), 0)</f>
        <v>100</v>
      </c>
      <c r="M313" s="20">
        <f>Table2529345054[[#This Row],[Stock Change (t1-t0) (North)]]+Table2529345054[[#This Row],[Sales]]</f>
        <v>0</v>
      </c>
      <c r="N313" s="18">
        <f>IF(Table2529345054[[#This Row],[Regional Transfer (Real)]]=0, 0, Table2529345054[[#This Row],[Regional Transfer (Real)]]+Table2529345054[[#This Row],[Stock Level  (North)]])</f>
        <v>0</v>
      </c>
      <c r="P313" s="4" t="s">
        <v>9</v>
      </c>
      <c r="Q313" s="20">
        <f t="shared" si="18"/>
        <v>100</v>
      </c>
      <c r="R313" s="20">
        <f>Q314-Table252930355155[[#This Row],[Stock Level  (South)]]</f>
        <v>0</v>
      </c>
      <c r="S313" s="20">
        <f>IFERROR(GETPIVOTDATA("QTY",$B$56,"PRODUCT_DESCRIPTION", $B$307, "SALES_ORDER_DATE",Table252930355155[[#This Row],[Date]], "AREA_NAME", "South"), 0)</f>
        <v>0</v>
      </c>
      <c r="T313" s="20">
        <f>Table252930355155[[#This Row],[Stock Change (t1-t0) (South)]]+Table252930355155[[#This Row],[Sales]]</f>
        <v>0</v>
      </c>
      <c r="U313" s="18">
        <f>IF(Table252930355155[[#This Row],[Regional Transfer (Real)]]=0, 0, Table252930355155[[#This Row],[Regional Transfer (Real)]]+Table252930355155[[#This Row],[Stock Level  (South)]])</f>
        <v>0</v>
      </c>
      <c r="W313" s="4" t="s">
        <v>9</v>
      </c>
      <c r="X313" s="20">
        <f t="shared" si="19"/>
        <v>100</v>
      </c>
      <c r="Y313" s="20">
        <f>X314-Table25293032365256[[#This Row],[Stock Level  (West)]]</f>
        <v>0</v>
      </c>
      <c r="Z313" s="20">
        <f>IFERROR(GETPIVOTDATA("QTY",$B$56,"PRODUCT_DESCRIPTION", $B$307, "SALES_ORDER_DATE",Table25293032365256[[#This Row],[Date]], "AREA_NAME", "West"), 0)</f>
        <v>0</v>
      </c>
      <c r="AA313" s="20">
        <f>Table25293032365256[[#This Row],[Stock Change (t1-t0) (West)]]+Table25293032365256[[#This Row],[Sales]]</f>
        <v>0</v>
      </c>
      <c r="AB313" s="18">
        <f>IF(Table25293032365256[[#This Row],[Regional Transfer (Real)]]=0, 0, Table25293032365256[[#This Row],[Regional Transfer (Real)]]+Table25293032365256[[#This Row],[Stock Level  (West)]])</f>
        <v>0</v>
      </c>
    </row>
    <row r="314" spans="2:28" x14ac:dyDescent="0.2">
      <c r="B314" s="4" t="s">
        <v>10</v>
      </c>
      <c r="C314" s="20">
        <f t="shared" si="16"/>
        <v>500</v>
      </c>
      <c r="D314" s="20">
        <f>C315-Table25334953[[#This Row],[Stock Level  ]]</f>
        <v>-100</v>
      </c>
      <c r="E314" s="20">
        <f>IFERROR(GETPIVOTDATA("QTY",$B$56,"PRODUCT_DESCRIPTION", $B$307, "SALES_ORDER_DATE",Table25334953[[#This Row],[Date]]), 0)</f>
        <v>100</v>
      </c>
      <c r="F314" s="20">
        <f>Table25334953[[#This Row],[Stock Change (t1-t0)]]+Table25334953[[#This Row],[Sales]]</f>
        <v>0</v>
      </c>
      <c r="G314" s="18">
        <f>IF(Table25334953[[#This Row],[Purchase (Real)]]=0, 0, Table25334953[[#This Row],[Purchase (Real)]]+C313)</f>
        <v>0</v>
      </c>
      <c r="I314" s="4" t="s">
        <v>10</v>
      </c>
      <c r="J314" s="20">
        <f t="shared" si="17"/>
        <v>0</v>
      </c>
      <c r="K314" s="20">
        <f>J315-Table2529345054[[#This Row],[Stock Level  (North)]]</f>
        <v>0</v>
      </c>
      <c r="L314" s="20">
        <f>IFERROR(GETPIVOTDATA("QTY",$B$56,"PRODUCT_DESCRIPTION", $B$307, "SALES_ORDER_DATE",Table2529345054[[#This Row],[Date]], "AREA_NAME", "North"), 0)</f>
        <v>0</v>
      </c>
      <c r="M314" s="20">
        <f>Table2529345054[[#This Row],[Stock Change (t1-t0) (North)]]+Table2529345054[[#This Row],[Sales]]</f>
        <v>0</v>
      </c>
      <c r="N314" s="18">
        <f>IF(Table2529345054[[#This Row],[Regional Transfer (Real)]]=0, 0, Table2529345054[[#This Row],[Regional Transfer (Real)]]+Table2529345054[[#This Row],[Stock Level  (North)]])</f>
        <v>0</v>
      </c>
      <c r="P314" s="4" t="s">
        <v>10</v>
      </c>
      <c r="Q314" s="20">
        <f t="shared" si="18"/>
        <v>100</v>
      </c>
      <c r="R314" s="20">
        <f>Q315-Table252930355155[[#This Row],[Stock Level  (South)]]</f>
        <v>-65</v>
      </c>
      <c r="S314" s="20">
        <f>IFERROR(GETPIVOTDATA("QTY",$B$56,"PRODUCT_DESCRIPTION", $B$307, "SALES_ORDER_DATE",Table252930355155[[#This Row],[Date]], "AREA_NAME", "South"), 0)</f>
        <v>65</v>
      </c>
      <c r="T314" s="20">
        <f>Table252930355155[[#This Row],[Stock Change (t1-t0) (South)]]+Table252930355155[[#This Row],[Sales]]</f>
        <v>0</v>
      </c>
      <c r="U314" s="18">
        <f>IF(Table252930355155[[#This Row],[Regional Transfer (Real)]]=0, 0, Table252930355155[[#This Row],[Regional Transfer (Real)]]+Table252930355155[[#This Row],[Stock Level  (South)]])</f>
        <v>0</v>
      </c>
      <c r="W314" s="4" t="s">
        <v>10</v>
      </c>
      <c r="X314" s="20">
        <f t="shared" si="19"/>
        <v>100</v>
      </c>
      <c r="Y314" s="20">
        <f>X315-Table25293032365256[[#This Row],[Stock Level  (West)]]</f>
        <v>-35</v>
      </c>
      <c r="Z314" s="20">
        <f>IFERROR(GETPIVOTDATA("QTY",$B$56,"PRODUCT_DESCRIPTION", $B$307, "SALES_ORDER_DATE",Table25293032365256[[#This Row],[Date]], "AREA_NAME", "West"), 0)</f>
        <v>35</v>
      </c>
      <c r="AA314" s="20">
        <f>Table25293032365256[[#This Row],[Stock Change (t1-t0) (West)]]+Table25293032365256[[#This Row],[Sales]]</f>
        <v>0</v>
      </c>
      <c r="AB314" s="18">
        <f>IF(Table25293032365256[[#This Row],[Regional Transfer (Real)]]=0, 0, Table25293032365256[[#This Row],[Regional Transfer (Real)]]+Table25293032365256[[#This Row],[Stock Level  (West)]])</f>
        <v>0</v>
      </c>
    </row>
    <row r="315" spans="2:28" x14ac:dyDescent="0.2">
      <c r="B315" s="4" t="s">
        <v>11</v>
      </c>
      <c r="C315" s="20">
        <f t="shared" si="16"/>
        <v>400</v>
      </c>
      <c r="D315" s="20">
        <f>C316-Table25334953[[#This Row],[Stock Level  ]]</f>
        <v>-65</v>
      </c>
      <c r="E315" s="20">
        <f>IFERROR(GETPIVOTDATA("QTY",$B$56,"PRODUCT_DESCRIPTION", $B$307, "SALES_ORDER_DATE",Table25334953[[#This Row],[Date]]), 0)</f>
        <v>65</v>
      </c>
      <c r="F315" s="20">
        <f>Table25334953[[#This Row],[Stock Change (t1-t0)]]+Table25334953[[#This Row],[Sales]]</f>
        <v>0</v>
      </c>
      <c r="G315" s="18">
        <f>IF(Table25334953[[#This Row],[Purchase (Real)]]=0, 0, Table25334953[[#This Row],[Purchase (Real)]]+C314)</f>
        <v>0</v>
      </c>
      <c r="I315" s="4" t="s">
        <v>11</v>
      </c>
      <c r="J315" s="20">
        <f t="shared" si="17"/>
        <v>0</v>
      </c>
      <c r="K315" s="20">
        <f>J316-Table2529345054[[#This Row],[Stock Level  (North)]]</f>
        <v>100</v>
      </c>
      <c r="L315" s="20">
        <f>IFERROR(GETPIVOTDATA("QTY",$B$56,"PRODUCT_DESCRIPTION", $B$307, "SALES_ORDER_DATE",Table2529345054[[#This Row],[Date]], "AREA_NAME", "North"), 0)</f>
        <v>0</v>
      </c>
      <c r="M315" s="20">
        <f>Table2529345054[[#This Row],[Stock Change (t1-t0) (North)]]+Table2529345054[[#This Row],[Sales]]</f>
        <v>100</v>
      </c>
      <c r="N315" s="18">
        <f>IF(Table2529345054[[#This Row],[Regional Transfer (Real)]]=0, 0, Table2529345054[[#This Row],[Regional Transfer (Real)]]+Table2529345054[[#This Row],[Stock Level  (North)]])</f>
        <v>100</v>
      </c>
      <c r="P315" s="4" t="s">
        <v>11</v>
      </c>
      <c r="Q315" s="20">
        <f t="shared" si="18"/>
        <v>35</v>
      </c>
      <c r="R315" s="20">
        <f>Q316-Table252930355155[[#This Row],[Stock Level  (South)]]</f>
        <v>30</v>
      </c>
      <c r="S315" s="20">
        <f>IFERROR(GETPIVOTDATA("QTY",$B$56,"PRODUCT_DESCRIPTION", $B$307, "SALES_ORDER_DATE",Table252930355155[[#This Row],[Date]], "AREA_NAME", "South"), 0)</f>
        <v>35</v>
      </c>
      <c r="T315" s="20">
        <f>Table252930355155[[#This Row],[Stock Change (t1-t0) (South)]]+Table252930355155[[#This Row],[Sales]]</f>
        <v>65</v>
      </c>
      <c r="U315" s="18">
        <f>IF(Table252930355155[[#This Row],[Regional Transfer (Real)]]=0, 0, Table252930355155[[#This Row],[Regional Transfer (Real)]]+Table252930355155[[#This Row],[Stock Level  (South)]])</f>
        <v>100</v>
      </c>
      <c r="W315" s="4" t="s">
        <v>11</v>
      </c>
      <c r="X315" s="20">
        <f t="shared" si="19"/>
        <v>65</v>
      </c>
      <c r="Y315" s="20">
        <f>X316-Table25293032365256[[#This Row],[Stock Level  (West)]]</f>
        <v>5</v>
      </c>
      <c r="Z315" s="20">
        <f>IFERROR(GETPIVOTDATA("QTY",$B$56,"PRODUCT_DESCRIPTION", $B$307, "SALES_ORDER_DATE",Table25293032365256[[#This Row],[Date]], "AREA_NAME", "West"), 0)</f>
        <v>30</v>
      </c>
      <c r="AA315" s="20">
        <f>Table25293032365256[[#This Row],[Stock Change (t1-t0) (West)]]+Table25293032365256[[#This Row],[Sales]]</f>
        <v>35</v>
      </c>
      <c r="AB315" s="18">
        <f>IF(Table25293032365256[[#This Row],[Regional Transfer (Real)]]=0, 0, Table25293032365256[[#This Row],[Regional Transfer (Real)]]+Table25293032365256[[#This Row],[Stock Level  (West)]])</f>
        <v>100</v>
      </c>
    </row>
    <row r="316" spans="2:28" x14ac:dyDescent="0.2">
      <c r="B316" s="4" t="s">
        <v>12</v>
      </c>
      <c r="C316" s="20">
        <f t="shared" si="16"/>
        <v>335</v>
      </c>
      <c r="D316" s="20">
        <f>C317-Table25334953[[#This Row],[Stock Level  ]]</f>
        <v>-100</v>
      </c>
      <c r="E316" s="20">
        <f>IFERROR(GETPIVOTDATA("QTY",$B$56,"PRODUCT_DESCRIPTION", $B$307, "SALES_ORDER_DATE",Table25334953[[#This Row],[Date]]), 0)</f>
        <v>100</v>
      </c>
      <c r="F316" s="20">
        <f>Table25334953[[#This Row],[Stock Change (t1-t0)]]+Table25334953[[#This Row],[Sales]]</f>
        <v>0</v>
      </c>
      <c r="G316" s="18">
        <f>IF(Table25334953[[#This Row],[Purchase (Real)]]=0, 0, Table25334953[[#This Row],[Purchase (Real)]]+C315)</f>
        <v>0</v>
      </c>
      <c r="I316" s="4" t="s">
        <v>12</v>
      </c>
      <c r="J316" s="20">
        <f t="shared" si="17"/>
        <v>100</v>
      </c>
      <c r="K316" s="20">
        <f>J317-Table2529345054[[#This Row],[Stock Level  (North)]]</f>
        <v>-100</v>
      </c>
      <c r="L316" s="20">
        <f>IFERROR(GETPIVOTDATA("QTY",$B$56,"PRODUCT_DESCRIPTION", $B$307, "SALES_ORDER_DATE",Table2529345054[[#This Row],[Date]], "AREA_NAME", "North"), 0)</f>
        <v>100</v>
      </c>
      <c r="M316" s="20">
        <f>Table2529345054[[#This Row],[Stock Change (t1-t0) (North)]]+Table2529345054[[#This Row],[Sales]]</f>
        <v>0</v>
      </c>
      <c r="N316" s="18">
        <f>IF(Table2529345054[[#This Row],[Regional Transfer (Real)]]=0, 0, Table2529345054[[#This Row],[Regional Transfer (Real)]]+Table2529345054[[#This Row],[Stock Level  (North)]])</f>
        <v>0</v>
      </c>
      <c r="P316" s="4" t="s">
        <v>12</v>
      </c>
      <c r="Q316" s="20">
        <f t="shared" si="18"/>
        <v>65</v>
      </c>
      <c r="R316" s="20">
        <f>Q317-Table252930355155[[#This Row],[Stock Level  (South)]]</f>
        <v>0</v>
      </c>
      <c r="S316" s="20">
        <f>IFERROR(GETPIVOTDATA("QTY",$B$56,"PRODUCT_DESCRIPTION", $B$307, "SALES_ORDER_DATE",Table252930355155[[#This Row],[Date]], "AREA_NAME", "South"), 0)</f>
        <v>0</v>
      </c>
      <c r="T316" s="20">
        <f>Table252930355155[[#This Row],[Stock Change (t1-t0) (South)]]+Table252930355155[[#This Row],[Sales]]</f>
        <v>0</v>
      </c>
      <c r="U316" s="18">
        <f>IF(Table252930355155[[#This Row],[Regional Transfer (Real)]]=0, 0, Table252930355155[[#This Row],[Regional Transfer (Real)]]+Table252930355155[[#This Row],[Stock Level  (South)]])</f>
        <v>0</v>
      </c>
      <c r="W316" s="4" t="s">
        <v>12</v>
      </c>
      <c r="X316" s="20">
        <f t="shared" si="19"/>
        <v>70</v>
      </c>
      <c r="Y316" s="20">
        <f>X317-Table25293032365256[[#This Row],[Stock Level  (West)]]</f>
        <v>0</v>
      </c>
      <c r="Z316" s="20">
        <f>IFERROR(GETPIVOTDATA("QTY",$B$56,"PRODUCT_DESCRIPTION", $B$307, "SALES_ORDER_DATE",Table25293032365256[[#This Row],[Date]], "AREA_NAME", "West"), 0)</f>
        <v>0</v>
      </c>
      <c r="AA316" s="20">
        <f>Table25293032365256[[#This Row],[Stock Change (t1-t0) (West)]]+Table25293032365256[[#This Row],[Sales]]</f>
        <v>0</v>
      </c>
      <c r="AB316" s="18">
        <f>IF(Table25293032365256[[#This Row],[Regional Transfer (Real)]]=0, 0, Table25293032365256[[#This Row],[Regional Transfer (Real)]]+Table25293032365256[[#This Row],[Stock Level  (West)]])</f>
        <v>0</v>
      </c>
    </row>
    <row r="317" spans="2:28" x14ac:dyDescent="0.2">
      <c r="B317" s="4" t="s">
        <v>13</v>
      </c>
      <c r="C317" s="20">
        <f t="shared" si="16"/>
        <v>235</v>
      </c>
      <c r="D317" s="20">
        <f>C318-Table25334953[[#This Row],[Stock Level  ]]</f>
        <v>-65</v>
      </c>
      <c r="E317" s="20">
        <f>IFERROR(GETPIVOTDATA("QTY",$B$56,"PRODUCT_DESCRIPTION", $B$307, "SALES_ORDER_DATE",Table25334953[[#This Row],[Date]]), 0)</f>
        <v>65</v>
      </c>
      <c r="F317" s="20">
        <f>Table25334953[[#This Row],[Stock Change (t1-t0)]]+Table25334953[[#This Row],[Sales]]</f>
        <v>0</v>
      </c>
      <c r="G317" s="18">
        <f>IF(Table25334953[[#This Row],[Purchase (Real)]]=0, 0, Table25334953[[#This Row],[Purchase (Real)]]+C316)</f>
        <v>0</v>
      </c>
      <c r="I317" s="4" t="s">
        <v>13</v>
      </c>
      <c r="J317" s="20">
        <f t="shared" si="17"/>
        <v>0</v>
      </c>
      <c r="K317" s="20">
        <f>J318-Table2529345054[[#This Row],[Stock Level  (North)]]</f>
        <v>0</v>
      </c>
      <c r="L317" s="20">
        <f>IFERROR(GETPIVOTDATA("QTY",$B$56,"PRODUCT_DESCRIPTION", $B$307, "SALES_ORDER_DATE",Table2529345054[[#This Row],[Date]], "AREA_NAME", "North"), 0)</f>
        <v>0</v>
      </c>
      <c r="M317" s="20">
        <f>Table2529345054[[#This Row],[Stock Change (t1-t0) (North)]]+Table2529345054[[#This Row],[Sales]]</f>
        <v>0</v>
      </c>
      <c r="N317" s="18">
        <f>IF(Table2529345054[[#This Row],[Regional Transfer (Real)]]=0, 0, Table2529345054[[#This Row],[Regional Transfer (Real)]]+Table2529345054[[#This Row],[Stock Level  (North)]])</f>
        <v>0</v>
      </c>
      <c r="P317" s="4" t="s">
        <v>13</v>
      </c>
      <c r="Q317" s="20">
        <f t="shared" si="18"/>
        <v>65</v>
      </c>
      <c r="R317" s="20">
        <f>Q318-Table252930355155[[#This Row],[Stock Level  (South)]]</f>
        <v>-65</v>
      </c>
      <c r="S317" s="20">
        <f>IFERROR(GETPIVOTDATA("QTY",$B$56,"PRODUCT_DESCRIPTION", $B$307, "SALES_ORDER_DATE",Table252930355155[[#This Row],[Date]], "AREA_NAME", "South"), 0)</f>
        <v>65</v>
      </c>
      <c r="T317" s="20">
        <f>Table252930355155[[#This Row],[Stock Change (t1-t0) (South)]]+Table252930355155[[#This Row],[Sales]]</f>
        <v>0</v>
      </c>
      <c r="U317" s="18">
        <f>IF(Table252930355155[[#This Row],[Regional Transfer (Real)]]=0, 0, Table252930355155[[#This Row],[Regional Transfer (Real)]]+Table252930355155[[#This Row],[Stock Level  (South)]])</f>
        <v>0</v>
      </c>
      <c r="W317" s="4" t="s">
        <v>13</v>
      </c>
      <c r="X317" s="20">
        <f t="shared" si="19"/>
        <v>70</v>
      </c>
      <c r="Y317" s="20">
        <f>X318-Table25293032365256[[#This Row],[Stock Level  (West)]]</f>
        <v>0</v>
      </c>
      <c r="Z317" s="20">
        <f>IFERROR(GETPIVOTDATA("QTY",$B$56,"PRODUCT_DESCRIPTION", $B$307, "SALES_ORDER_DATE",Table25293032365256[[#This Row],[Date]], "AREA_NAME", "West"), 0)</f>
        <v>0</v>
      </c>
      <c r="AA317" s="20">
        <f>Table25293032365256[[#This Row],[Stock Change (t1-t0) (West)]]+Table25293032365256[[#This Row],[Sales]]</f>
        <v>0</v>
      </c>
      <c r="AB317" s="18">
        <f>IF(Table25293032365256[[#This Row],[Regional Transfer (Real)]]=0, 0, Table25293032365256[[#This Row],[Regional Transfer (Real)]]+Table25293032365256[[#This Row],[Stock Level  (West)]])</f>
        <v>0</v>
      </c>
    </row>
    <row r="318" spans="2:28" x14ac:dyDescent="0.2">
      <c r="B318" s="4" t="s">
        <v>14</v>
      </c>
      <c r="C318" s="20">
        <f t="shared" si="16"/>
        <v>170</v>
      </c>
      <c r="D318" s="20">
        <f>C319-Table25334953[[#This Row],[Stock Level  ]]</f>
        <v>-70</v>
      </c>
      <c r="E318" s="20">
        <f>IFERROR(GETPIVOTDATA("QTY",$B$56,"PRODUCT_DESCRIPTION", $B$307, "SALES_ORDER_DATE",Table25334953[[#This Row],[Date]]), 0)</f>
        <v>70</v>
      </c>
      <c r="F318" s="20">
        <f>Table25334953[[#This Row],[Stock Change (t1-t0)]]+Table25334953[[#This Row],[Sales]]</f>
        <v>0</v>
      </c>
      <c r="G318" s="18">
        <f>IF(Table25334953[[#This Row],[Purchase (Real)]]=0, 0, Table25334953[[#This Row],[Purchase (Real)]]+C317)</f>
        <v>0</v>
      </c>
      <c r="I318" s="4" t="s">
        <v>14</v>
      </c>
      <c r="J318" s="20">
        <f t="shared" si="17"/>
        <v>0</v>
      </c>
      <c r="K318" s="20">
        <f>J319-Table2529345054[[#This Row],[Stock Level  (North)]]</f>
        <v>70</v>
      </c>
      <c r="L318" s="20">
        <f>IFERROR(GETPIVOTDATA("QTY",$B$56,"PRODUCT_DESCRIPTION", $B$307, "SALES_ORDER_DATE",Table2529345054[[#This Row],[Date]], "AREA_NAME", "North"), 0)</f>
        <v>0</v>
      </c>
      <c r="M318" s="20">
        <f>Table2529345054[[#This Row],[Stock Change (t1-t0) (North)]]+Table2529345054[[#This Row],[Sales]]</f>
        <v>70</v>
      </c>
      <c r="N318" s="18">
        <f>IF(Table2529345054[[#This Row],[Regional Transfer (Real)]]=0, 0, Table2529345054[[#This Row],[Regional Transfer (Real)]]+Table2529345054[[#This Row],[Stock Level  (North)]])</f>
        <v>70</v>
      </c>
      <c r="P318" s="4" t="s">
        <v>14</v>
      </c>
      <c r="Q318" s="20">
        <f t="shared" si="18"/>
        <v>0</v>
      </c>
      <c r="R318" s="20">
        <f>Q319-Table252930355155[[#This Row],[Stock Level  (South)]]</f>
        <v>24</v>
      </c>
      <c r="S318" s="20">
        <f>IFERROR(GETPIVOTDATA("QTY",$B$56,"PRODUCT_DESCRIPTION", $B$307, "SALES_ORDER_DATE",Table252930355155[[#This Row],[Date]], "AREA_NAME", "South"), 0)</f>
        <v>0</v>
      </c>
      <c r="T318" s="20">
        <f>Table252930355155[[#This Row],[Stock Change (t1-t0) (South)]]+Table252930355155[[#This Row],[Sales]]</f>
        <v>24</v>
      </c>
      <c r="U318" s="18">
        <f>IF(Table252930355155[[#This Row],[Regional Transfer (Real)]]=0, 0, Table252930355155[[#This Row],[Regional Transfer (Real)]]+Table252930355155[[#This Row],[Stock Level  (South)]])</f>
        <v>24</v>
      </c>
      <c r="W318" s="4" t="s">
        <v>14</v>
      </c>
      <c r="X318" s="20">
        <f t="shared" si="19"/>
        <v>70</v>
      </c>
      <c r="Y318" s="20">
        <f>X319-Table25293032365256[[#This Row],[Stock Level  (West)]]</f>
        <v>-64</v>
      </c>
      <c r="Z318" s="20">
        <f>IFERROR(GETPIVOTDATA("QTY",$B$56,"PRODUCT_DESCRIPTION", $B$307, "SALES_ORDER_DATE",Table25293032365256[[#This Row],[Date]], "AREA_NAME", "West"), 0)</f>
        <v>70</v>
      </c>
      <c r="AA318" s="20">
        <f>Table25293032365256[[#This Row],[Stock Change (t1-t0) (West)]]+Table25293032365256[[#This Row],[Sales]]</f>
        <v>6</v>
      </c>
      <c r="AB318" s="18">
        <f>IF(Table25293032365256[[#This Row],[Regional Transfer (Real)]]=0, 0, Table25293032365256[[#This Row],[Regional Transfer (Real)]]+Table25293032365256[[#This Row],[Stock Level  (West)]])</f>
        <v>76</v>
      </c>
    </row>
    <row r="319" spans="2:28" x14ac:dyDescent="0.2">
      <c r="B319" s="4" t="s">
        <v>15</v>
      </c>
      <c r="C319" s="20">
        <f t="shared" si="16"/>
        <v>100</v>
      </c>
      <c r="D319" s="20">
        <f>C320-Table25334953[[#This Row],[Stock Level  ]]</f>
        <v>-70</v>
      </c>
      <c r="E319" s="20">
        <f>IFERROR(GETPIVOTDATA("QTY",$B$56,"PRODUCT_DESCRIPTION", $B$307, "SALES_ORDER_DATE",Table25334953[[#This Row],[Date]]), 0)</f>
        <v>70</v>
      </c>
      <c r="F319" s="20">
        <f>Table25334953[[#This Row],[Stock Change (t1-t0)]]+Table25334953[[#This Row],[Sales]]</f>
        <v>0</v>
      </c>
      <c r="G319" s="18">
        <f>IF(Table25334953[[#This Row],[Purchase (Real)]]=0, 0, Table25334953[[#This Row],[Purchase (Real)]]+C318)</f>
        <v>0</v>
      </c>
      <c r="I319" s="4" t="s">
        <v>15</v>
      </c>
      <c r="J319" s="20">
        <f t="shared" si="17"/>
        <v>70</v>
      </c>
      <c r="K319" s="20">
        <f>J320-Table2529345054[[#This Row],[Stock Level  (North)]]</f>
        <v>-70</v>
      </c>
      <c r="L319" s="20">
        <f>IFERROR(GETPIVOTDATA("QTY",$B$56,"PRODUCT_DESCRIPTION", $B$307, "SALES_ORDER_DATE",Table2529345054[[#This Row],[Date]], "AREA_NAME", "North"), 0)</f>
        <v>70</v>
      </c>
      <c r="M319" s="20">
        <f>Table2529345054[[#This Row],[Stock Change (t1-t0) (North)]]+Table2529345054[[#This Row],[Sales]]</f>
        <v>0</v>
      </c>
      <c r="N319" s="18">
        <f>IF(Table2529345054[[#This Row],[Regional Transfer (Real)]]=0, 0, Table2529345054[[#This Row],[Regional Transfer (Real)]]+Table2529345054[[#This Row],[Stock Level  (North)]])</f>
        <v>0</v>
      </c>
      <c r="P319" s="4" t="s">
        <v>15</v>
      </c>
      <c r="Q319" s="20">
        <f t="shared" si="18"/>
        <v>24</v>
      </c>
      <c r="R319" s="20">
        <f>Q320-Table252930355155[[#This Row],[Stock Level  (South)]]</f>
        <v>0</v>
      </c>
      <c r="S319" s="20">
        <f>IFERROR(GETPIVOTDATA("QTY",$B$56,"PRODUCT_DESCRIPTION", $B$307, "SALES_ORDER_DATE",Table252930355155[[#This Row],[Date]], "AREA_NAME", "South"), 0)</f>
        <v>0</v>
      </c>
      <c r="T319" s="20">
        <f>Table252930355155[[#This Row],[Stock Change (t1-t0) (South)]]+Table252930355155[[#This Row],[Sales]]</f>
        <v>0</v>
      </c>
      <c r="U319" s="18">
        <f>IF(Table252930355155[[#This Row],[Regional Transfer (Real)]]=0, 0, Table252930355155[[#This Row],[Regional Transfer (Real)]]+Table252930355155[[#This Row],[Stock Level  (South)]])</f>
        <v>0</v>
      </c>
      <c r="W319" s="4" t="s">
        <v>15</v>
      </c>
      <c r="X319" s="20">
        <f t="shared" si="19"/>
        <v>6</v>
      </c>
      <c r="Y319" s="20">
        <f>X320-Table25293032365256[[#This Row],[Stock Level  (West)]]</f>
        <v>0</v>
      </c>
      <c r="Z319" s="20">
        <f>IFERROR(GETPIVOTDATA("QTY",$B$56,"PRODUCT_DESCRIPTION", $B$307, "SALES_ORDER_DATE",Table25293032365256[[#This Row],[Date]], "AREA_NAME", "West"), 0)</f>
        <v>0</v>
      </c>
      <c r="AA319" s="20">
        <f>Table25293032365256[[#This Row],[Stock Change (t1-t0) (West)]]+Table25293032365256[[#This Row],[Sales]]</f>
        <v>0</v>
      </c>
      <c r="AB319" s="18">
        <f>IF(Table25293032365256[[#This Row],[Regional Transfer (Real)]]=0, 0, Table25293032365256[[#This Row],[Regional Transfer (Real)]]+Table25293032365256[[#This Row],[Stock Level  (West)]])</f>
        <v>0</v>
      </c>
    </row>
    <row r="320" spans="2:28" x14ac:dyDescent="0.2">
      <c r="B320" s="4" t="s">
        <v>16</v>
      </c>
      <c r="C320" s="20">
        <f t="shared" si="16"/>
        <v>30</v>
      </c>
      <c r="D320" s="20">
        <f>C321-Table25334953[[#This Row],[Stock Level  ]]</f>
        <v>-24</v>
      </c>
      <c r="E320" s="20">
        <f>IFERROR(GETPIVOTDATA("QTY",$B$56,"PRODUCT_DESCRIPTION", $B$307, "SALES_ORDER_DATE",Table25334953[[#This Row],[Date]]), 0)</f>
        <v>24</v>
      </c>
      <c r="F320" s="20">
        <f>Table25334953[[#This Row],[Stock Change (t1-t0)]]+Table25334953[[#This Row],[Sales]]</f>
        <v>0</v>
      </c>
      <c r="G320" s="18">
        <f>IF(Table25334953[[#This Row],[Purchase (Real)]]=0, 0, Table25334953[[#This Row],[Purchase (Real)]]+C319)</f>
        <v>0</v>
      </c>
      <c r="I320" s="4" t="s">
        <v>16</v>
      </c>
      <c r="J320" s="20">
        <f t="shared" si="17"/>
        <v>0</v>
      </c>
      <c r="K320" s="20">
        <f>J321-Table2529345054[[#This Row],[Stock Level  (North)]]</f>
        <v>0</v>
      </c>
      <c r="L320" s="20">
        <f>IFERROR(GETPIVOTDATA("QTY",$B$56,"PRODUCT_DESCRIPTION", $B$307, "SALES_ORDER_DATE",Table2529345054[[#This Row],[Date]], "AREA_NAME", "North"), 0)</f>
        <v>0</v>
      </c>
      <c r="M320" s="20">
        <f>Table2529345054[[#This Row],[Stock Change (t1-t0) (North)]]+Table2529345054[[#This Row],[Sales]]</f>
        <v>0</v>
      </c>
      <c r="N320" s="18">
        <f>IF(Table2529345054[[#This Row],[Regional Transfer (Real)]]=0, 0, Table2529345054[[#This Row],[Regional Transfer (Real)]]+Table2529345054[[#This Row],[Stock Level  (North)]])</f>
        <v>0</v>
      </c>
      <c r="P320" s="4" t="s">
        <v>16</v>
      </c>
      <c r="Q320" s="20">
        <f t="shared" si="18"/>
        <v>24</v>
      </c>
      <c r="R320" s="20">
        <f>Q321-Table252930355155[[#This Row],[Stock Level  (South)]]</f>
        <v>-24</v>
      </c>
      <c r="S320" s="20">
        <f>IFERROR(GETPIVOTDATA("QTY",$B$56,"PRODUCT_DESCRIPTION", $B$307, "SALES_ORDER_DATE",Table252930355155[[#This Row],[Date]], "AREA_NAME", "South"), 0)</f>
        <v>24</v>
      </c>
      <c r="T320" s="20">
        <f>Table252930355155[[#This Row],[Stock Change (t1-t0) (South)]]+Table252930355155[[#This Row],[Sales]]</f>
        <v>0</v>
      </c>
      <c r="U320" s="18">
        <f>IF(Table252930355155[[#This Row],[Regional Transfer (Real)]]=0, 0, Table252930355155[[#This Row],[Regional Transfer (Real)]]+Table252930355155[[#This Row],[Stock Level  (South)]])</f>
        <v>0</v>
      </c>
      <c r="W320" s="4" t="s">
        <v>16</v>
      </c>
      <c r="X320" s="20">
        <f t="shared" si="19"/>
        <v>6</v>
      </c>
      <c r="Y320" s="20">
        <f>X321-Table25293032365256[[#This Row],[Stock Level  (West)]]</f>
        <v>0</v>
      </c>
      <c r="Z320" s="20">
        <f>IFERROR(GETPIVOTDATA("QTY",$B$56,"PRODUCT_DESCRIPTION", $B$307, "SALES_ORDER_DATE",Table25293032365256[[#This Row],[Date]], "AREA_NAME", "West"), 0)</f>
        <v>0</v>
      </c>
      <c r="AA320" s="20">
        <f>Table25293032365256[[#This Row],[Stock Change (t1-t0) (West)]]+Table25293032365256[[#This Row],[Sales]]</f>
        <v>0</v>
      </c>
      <c r="AB320" s="18">
        <f>IF(Table25293032365256[[#This Row],[Regional Transfer (Real)]]=0, 0, Table25293032365256[[#This Row],[Regional Transfer (Real)]]+Table25293032365256[[#This Row],[Stock Level  (West)]])</f>
        <v>0</v>
      </c>
    </row>
    <row r="321" spans="2:28" x14ac:dyDescent="0.2">
      <c r="B321" s="4" t="s">
        <v>56</v>
      </c>
      <c r="C321" s="20">
        <f t="shared" si="16"/>
        <v>6</v>
      </c>
      <c r="D321" s="20">
        <f>C322-Table25334953[[#This Row],[Stock Level  ]]</f>
        <v>0</v>
      </c>
      <c r="E321" s="20">
        <f>IFERROR(GETPIVOTDATA("QTY",$B$56,"PRODUCT_DESCRIPTION", $B$307, "SALES_ORDER_DATE",Table25334953[[#This Row],[Date]]), 0)</f>
        <v>0</v>
      </c>
      <c r="F321" s="20">
        <f>Table25334953[[#This Row],[Stock Change (t1-t0)]]+Table25334953[[#This Row],[Sales]]</f>
        <v>0</v>
      </c>
      <c r="G321" s="18">
        <f>IF(Table25334953[[#This Row],[Purchase (Real)]]=0, 0, Table25334953[[#This Row],[Purchase (Real)]]+C320)</f>
        <v>0</v>
      </c>
      <c r="I321" s="4" t="s">
        <v>56</v>
      </c>
      <c r="J321" s="20">
        <f t="shared" si="17"/>
        <v>0</v>
      </c>
      <c r="K321" s="20">
        <f>J322-Table2529345054[[#This Row],[Stock Level  (North)]]</f>
        <v>0</v>
      </c>
      <c r="L321" s="20">
        <f>IFERROR(GETPIVOTDATA("QTY",$B$56,"PRODUCT_DESCRIPTION", $B$307, "SALES_ORDER_DATE",Table2529345054[[#This Row],[Date]], "AREA_NAME", "North"), 0)</f>
        <v>0</v>
      </c>
      <c r="M321" s="20">
        <f>Table2529345054[[#This Row],[Stock Change (t1-t0) (North)]]+Table2529345054[[#This Row],[Sales]]</f>
        <v>0</v>
      </c>
      <c r="N321" s="18">
        <f>IF(Table2529345054[[#This Row],[Regional Transfer (Real)]]=0, 0, Table2529345054[[#This Row],[Regional Transfer (Real)]]+Table2529345054[[#This Row],[Stock Level  (North)]])</f>
        <v>0</v>
      </c>
      <c r="P321" s="4" t="s">
        <v>56</v>
      </c>
      <c r="Q321" s="20">
        <f t="shared" si="18"/>
        <v>0</v>
      </c>
      <c r="R321" s="20">
        <f>Q322-Table252930355155[[#This Row],[Stock Level  (South)]]</f>
        <v>0</v>
      </c>
      <c r="S321" s="20">
        <f>IFERROR(GETPIVOTDATA("QTY",$B$56,"PRODUCT_DESCRIPTION", $B$307, "SALES_ORDER_DATE",Table252930355155[[#This Row],[Date]], "AREA_NAME", "South"), 0)</f>
        <v>0</v>
      </c>
      <c r="T321" s="20">
        <f>Table252930355155[[#This Row],[Stock Change (t1-t0) (South)]]+Table252930355155[[#This Row],[Sales]]</f>
        <v>0</v>
      </c>
      <c r="U321" s="18">
        <f>IF(Table252930355155[[#This Row],[Regional Transfer (Real)]]=0, 0, Table252930355155[[#This Row],[Regional Transfer (Real)]]+Table252930355155[[#This Row],[Stock Level  (South)]])</f>
        <v>0</v>
      </c>
      <c r="W321" s="4" t="s">
        <v>56</v>
      </c>
      <c r="X321" s="20">
        <f t="shared" si="19"/>
        <v>6</v>
      </c>
      <c r="Y321" s="20">
        <f>X322-Table25293032365256[[#This Row],[Stock Level  (West)]]</f>
        <v>0</v>
      </c>
      <c r="Z321" s="20">
        <f>IFERROR(GETPIVOTDATA("QTY",$B$56,"PRODUCT_DESCRIPTION", $B$307, "SALES_ORDER_DATE",Table25293032365256[[#This Row],[Date]], "AREA_NAME", "West"), 0)</f>
        <v>0</v>
      </c>
      <c r="AA321" s="20">
        <f>Table25293032365256[[#This Row],[Stock Change (t1-t0) (West)]]+Table25293032365256[[#This Row],[Sales]]</f>
        <v>0</v>
      </c>
      <c r="AB321" s="18">
        <f>IF(Table25293032365256[[#This Row],[Regional Transfer (Real)]]=0, 0, Table25293032365256[[#This Row],[Regional Transfer (Real)]]+Table25293032365256[[#This Row],[Stock Level  (West)]])</f>
        <v>0</v>
      </c>
    </row>
    <row r="322" spans="2:28" x14ac:dyDescent="0.2">
      <c r="B322" s="4" t="s">
        <v>17</v>
      </c>
      <c r="C322" s="20">
        <f t="shared" si="16"/>
        <v>6</v>
      </c>
      <c r="D322" s="20">
        <f>C323-Table25334953[[#This Row],[Stock Level  ]]</f>
        <v>594</v>
      </c>
      <c r="E322" s="20">
        <f>IFERROR(GETPIVOTDATA("QTY",$B$56,"PRODUCT_DESCRIPTION", $B$307, "SALES_ORDER_DATE",Table25334953[[#This Row],[Date]]), 0)</f>
        <v>0</v>
      </c>
      <c r="F322" s="20">
        <f>Table25334953[[#This Row],[Stock Change (t1-t0)]]+Table25334953[[#This Row],[Sales]]</f>
        <v>594</v>
      </c>
      <c r="G322" s="18">
        <f>IF(Table25334953[[#This Row],[Purchase (Real)]]=0, 0, Table25334953[[#This Row],[Purchase (Real)]]+C321)</f>
        <v>600</v>
      </c>
      <c r="I322" s="4" t="s">
        <v>17</v>
      </c>
      <c r="J322" s="20">
        <f t="shared" si="17"/>
        <v>0</v>
      </c>
      <c r="K322" s="20">
        <f>J323-Table2529345054[[#This Row],[Stock Level  (North)]]</f>
        <v>0</v>
      </c>
      <c r="L322" s="20">
        <f>IFERROR(GETPIVOTDATA("QTY",$B$56,"PRODUCT_DESCRIPTION", $B$307, "SALES_ORDER_DATE",Table2529345054[[#This Row],[Date]], "AREA_NAME", "North"), 0)</f>
        <v>0</v>
      </c>
      <c r="M322" s="20">
        <f>Table2529345054[[#This Row],[Stock Change (t1-t0) (North)]]+Table2529345054[[#This Row],[Sales]]</f>
        <v>0</v>
      </c>
      <c r="N322" s="18">
        <f>IF(Table2529345054[[#This Row],[Regional Transfer (Real)]]=0, 0, Table2529345054[[#This Row],[Regional Transfer (Real)]]+Table2529345054[[#This Row],[Stock Level  (North)]])</f>
        <v>0</v>
      </c>
      <c r="P322" s="4" t="s">
        <v>17</v>
      </c>
      <c r="Q322" s="20">
        <f t="shared" si="18"/>
        <v>0</v>
      </c>
      <c r="R322" s="20">
        <f>Q323-Table252930355155[[#This Row],[Stock Level  (South)]]</f>
        <v>0</v>
      </c>
      <c r="S322" s="20">
        <f>IFERROR(GETPIVOTDATA("QTY",$B$56,"PRODUCT_DESCRIPTION", $B$307, "SALES_ORDER_DATE",Table252930355155[[#This Row],[Date]], "AREA_NAME", "South"), 0)</f>
        <v>0</v>
      </c>
      <c r="T322" s="20">
        <f>Table252930355155[[#This Row],[Stock Change (t1-t0) (South)]]+Table252930355155[[#This Row],[Sales]]</f>
        <v>0</v>
      </c>
      <c r="U322" s="18">
        <f>IF(Table252930355155[[#This Row],[Regional Transfer (Real)]]=0, 0, Table252930355155[[#This Row],[Regional Transfer (Real)]]+Table252930355155[[#This Row],[Stock Level  (South)]])</f>
        <v>0</v>
      </c>
      <c r="W322" s="4" t="s">
        <v>17</v>
      </c>
      <c r="X322" s="20">
        <f t="shared" si="19"/>
        <v>6</v>
      </c>
      <c r="Y322" s="20">
        <f>X323-Table25293032365256[[#This Row],[Stock Level  (West)]]</f>
        <v>0</v>
      </c>
      <c r="Z322" s="20">
        <f>IFERROR(GETPIVOTDATA("QTY",$B$56,"PRODUCT_DESCRIPTION", $B$307, "SALES_ORDER_DATE",Table25293032365256[[#This Row],[Date]], "AREA_NAME", "West"), 0)</f>
        <v>0</v>
      </c>
      <c r="AA322" s="20">
        <f>Table25293032365256[[#This Row],[Stock Change (t1-t0) (West)]]+Table25293032365256[[#This Row],[Sales]]</f>
        <v>0</v>
      </c>
      <c r="AB322" s="18">
        <f>IF(Table25293032365256[[#This Row],[Regional Transfer (Real)]]=0, 0, Table25293032365256[[#This Row],[Regional Transfer (Real)]]+Table25293032365256[[#This Row],[Stock Level  (West)]])</f>
        <v>0</v>
      </c>
    </row>
    <row r="323" spans="2:28" x14ac:dyDescent="0.2">
      <c r="B323" s="4" t="s">
        <v>18</v>
      </c>
      <c r="C323" s="20">
        <f t="shared" si="16"/>
        <v>600</v>
      </c>
      <c r="D323" s="20">
        <f>C324-Table25334953[[#This Row],[Stock Level  ]]</f>
        <v>-6</v>
      </c>
      <c r="E323" s="20">
        <f>IFERROR(GETPIVOTDATA("QTY",$B$56,"PRODUCT_DESCRIPTION", $B$307, "SALES_ORDER_DATE",Table25334953[[#This Row],[Date]]), 0)</f>
        <v>6</v>
      </c>
      <c r="F323" s="20">
        <f>Table25334953[[#This Row],[Stock Change (t1-t0)]]+Table25334953[[#This Row],[Sales]]</f>
        <v>0</v>
      </c>
      <c r="G323" s="18">
        <f>IF(Table25334953[[#This Row],[Purchase (Real)]]=0, 0, Table25334953[[#This Row],[Purchase (Real)]]+C322)</f>
        <v>0</v>
      </c>
      <c r="I323" s="4" t="s">
        <v>18</v>
      </c>
      <c r="J323" s="20">
        <f t="shared" si="17"/>
        <v>0</v>
      </c>
      <c r="K323" s="20">
        <f>J324-Table2529345054[[#This Row],[Stock Level  (North)]]</f>
        <v>0</v>
      </c>
      <c r="L323" s="20">
        <f>IFERROR(GETPIVOTDATA("QTY",$B$56,"PRODUCT_DESCRIPTION", $B$307, "SALES_ORDER_DATE",Table2529345054[[#This Row],[Date]], "AREA_NAME", "North"), 0)</f>
        <v>0</v>
      </c>
      <c r="M323" s="20">
        <f>Table2529345054[[#This Row],[Stock Change (t1-t0) (North)]]+Table2529345054[[#This Row],[Sales]]</f>
        <v>0</v>
      </c>
      <c r="N323" s="18">
        <f>IF(Table2529345054[[#This Row],[Regional Transfer (Real)]]=0, 0, Table2529345054[[#This Row],[Regional Transfer (Real)]]+Table2529345054[[#This Row],[Stock Level  (North)]])</f>
        <v>0</v>
      </c>
      <c r="P323" s="4" t="s">
        <v>18</v>
      </c>
      <c r="Q323" s="20">
        <f t="shared" si="18"/>
        <v>0</v>
      </c>
      <c r="R323" s="20">
        <f>Q324-Table252930355155[[#This Row],[Stock Level  (South)]]</f>
        <v>0</v>
      </c>
      <c r="S323" s="20">
        <f>IFERROR(GETPIVOTDATA("QTY",$B$56,"PRODUCT_DESCRIPTION", $B$307, "SALES_ORDER_DATE",Table252930355155[[#This Row],[Date]], "AREA_NAME", "South"), 0)</f>
        <v>0</v>
      </c>
      <c r="T323" s="20">
        <f>Table252930355155[[#This Row],[Stock Change (t1-t0) (South)]]+Table252930355155[[#This Row],[Sales]]</f>
        <v>0</v>
      </c>
      <c r="U323" s="18">
        <f>IF(Table252930355155[[#This Row],[Regional Transfer (Real)]]=0, 0, Table252930355155[[#This Row],[Regional Transfer (Real)]]+Table252930355155[[#This Row],[Stock Level  (South)]])</f>
        <v>0</v>
      </c>
      <c r="W323" s="4" t="s">
        <v>18</v>
      </c>
      <c r="X323" s="20">
        <f t="shared" si="19"/>
        <v>6</v>
      </c>
      <c r="Y323" s="20">
        <f>X324-Table25293032365256[[#This Row],[Stock Level  (West)]]</f>
        <v>-6</v>
      </c>
      <c r="Z323" s="20">
        <f>IFERROR(GETPIVOTDATA("QTY",$B$56,"PRODUCT_DESCRIPTION", $B$307, "SALES_ORDER_DATE",Table25293032365256[[#This Row],[Date]], "AREA_NAME", "West"), 0)</f>
        <v>6</v>
      </c>
      <c r="AA323" s="20">
        <f>Table25293032365256[[#This Row],[Stock Change (t1-t0) (West)]]+Table25293032365256[[#This Row],[Sales]]</f>
        <v>0</v>
      </c>
      <c r="AB323" s="18">
        <f>IF(Table25293032365256[[#This Row],[Regional Transfer (Real)]]=0, 0, Table25293032365256[[#This Row],[Regional Transfer (Real)]]+Table25293032365256[[#This Row],[Stock Level  (West)]])</f>
        <v>0</v>
      </c>
    </row>
    <row r="324" spans="2:28" x14ac:dyDescent="0.2">
      <c r="B324" s="4" t="s">
        <v>19</v>
      </c>
      <c r="C324" s="20">
        <f t="shared" si="16"/>
        <v>594</v>
      </c>
      <c r="D324" s="20">
        <f>C325-Table25334953[[#This Row],[Stock Level  ]]</f>
        <v>0</v>
      </c>
      <c r="E324" s="20">
        <f>IFERROR(GETPIVOTDATA("QTY",$B$56,"PRODUCT_DESCRIPTION", $B$307, "SALES_ORDER_DATE",Table25334953[[#This Row],[Date]]), 0)</f>
        <v>0</v>
      </c>
      <c r="F324" s="20">
        <f>Table25334953[[#This Row],[Stock Change (t1-t0)]]+Table25334953[[#This Row],[Sales]]</f>
        <v>0</v>
      </c>
      <c r="G324" s="18">
        <f>IF(Table25334953[[#This Row],[Purchase (Real)]]=0, 0, Table25334953[[#This Row],[Purchase (Real)]]+C323)</f>
        <v>0</v>
      </c>
      <c r="I324" s="4" t="s">
        <v>19</v>
      </c>
      <c r="J324" s="20">
        <f t="shared" si="17"/>
        <v>0</v>
      </c>
      <c r="K324" s="20">
        <f>J325-Table2529345054[[#This Row],[Stock Level  (North)]]</f>
        <v>0</v>
      </c>
      <c r="L324" s="20">
        <f>IFERROR(GETPIVOTDATA("QTY",$B$56,"PRODUCT_DESCRIPTION", $B$307, "SALES_ORDER_DATE",Table2529345054[[#This Row],[Date]], "AREA_NAME", "North"), 0)</f>
        <v>0</v>
      </c>
      <c r="M324" s="20">
        <f>Table2529345054[[#This Row],[Stock Change (t1-t0) (North)]]+Table2529345054[[#This Row],[Sales]]</f>
        <v>0</v>
      </c>
      <c r="N324" s="18">
        <f>IF(Table2529345054[[#This Row],[Regional Transfer (Real)]]=0, 0, Table2529345054[[#This Row],[Regional Transfer (Real)]]+Table2529345054[[#This Row],[Stock Level  (North)]])</f>
        <v>0</v>
      </c>
      <c r="P324" s="4" t="s">
        <v>19</v>
      </c>
      <c r="Q324" s="20">
        <f t="shared" si="18"/>
        <v>0</v>
      </c>
      <c r="R324" s="20">
        <f>Q325-Table252930355155[[#This Row],[Stock Level  (South)]]</f>
        <v>0</v>
      </c>
      <c r="S324" s="20">
        <f>IFERROR(GETPIVOTDATA("QTY",$B$56,"PRODUCT_DESCRIPTION", $B$307, "SALES_ORDER_DATE",Table252930355155[[#This Row],[Date]], "AREA_NAME", "South"), 0)</f>
        <v>0</v>
      </c>
      <c r="T324" s="20">
        <f>Table252930355155[[#This Row],[Stock Change (t1-t0) (South)]]+Table252930355155[[#This Row],[Sales]]</f>
        <v>0</v>
      </c>
      <c r="U324" s="18">
        <f>IF(Table252930355155[[#This Row],[Regional Transfer (Real)]]=0, 0, Table252930355155[[#This Row],[Regional Transfer (Real)]]+Table252930355155[[#This Row],[Stock Level  (South)]])</f>
        <v>0</v>
      </c>
      <c r="W324" s="4" t="s">
        <v>19</v>
      </c>
      <c r="X324" s="20">
        <f t="shared" si="19"/>
        <v>0</v>
      </c>
      <c r="Y324" s="20">
        <f>X325-Table25293032365256[[#This Row],[Stock Level  (West)]]</f>
        <v>0</v>
      </c>
      <c r="Z324" s="20">
        <f>IFERROR(GETPIVOTDATA("QTY",$B$56,"PRODUCT_DESCRIPTION", $B$307, "SALES_ORDER_DATE",Table25293032365256[[#This Row],[Date]], "AREA_NAME", "West"), 0)</f>
        <v>0</v>
      </c>
      <c r="AA324" s="20">
        <f>Table25293032365256[[#This Row],[Stock Change (t1-t0) (West)]]+Table25293032365256[[#This Row],[Sales]]</f>
        <v>0</v>
      </c>
      <c r="AB324" s="18">
        <f>IF(Table25293032365256[[#This Row],[Regional Transfer (Real)]]=0, 0, Table25293032365256[[#This Row],[Regional Transfer (Real)]]+Table25293032365256[[#This Row],[Stock Level  (West)]])</f>
        <v>0</v>
      </c>
    </row>
    <row r="325" spans="2:28" x14ac:dyDescent="0.2">
      <c r="B325" s="4" t="s">
        <v>20</v>
      </c>
      <c r="C325" s="20">
        <f t="shared" si="16"/>
        <v>594</v>
      </c>
      <c r="D325" s="20">
        <f>C326-Table25334953[[#This Row],[Stock Level  ]]</f>
        <v>0</v>
      </c>
      <c r="E325" s="20">
        <f>IFERROR(GETPIVOTDATA("QTY",$B$56,"PRODUCT_DESCRIPTION", $B$307, "SALES_ORDER_DATE",Table25334953[[#This Row],[Date]]), 0)</f>
        <v>0</v>
      </c>
      <c r="F325" s="20">
        <f>Table25334953[[#This Row],[Stock Change (t1-t0)]]+Table25334953[[#This Row],[Sales]]</f>
        <v>0</v>
      </c>
      <c r="G325" s="18">
        <f>IF(Table25334953[[#This Row],[Purchase (Real)]]=0, 0, Table25334953[[#This Row],[Purchase (Real)]]+C324)</f>
        <v>0</v>
      </c>
      <c r="I325" s="4" t="s">
        <v>20</v>
      </c>
      <c r="J325" s="20">
        <f t="shared" si="17"/>
        <v>0</v>
      </c>
      <c r="K325" s="20">
        <f>J326-Table2529345054[[#This Row],[Stock Level  (North)]]</f>
        <v>300</v>
      </c>
      <c r="L325" s="20">
        <f>IFERROR(GETPIVOTDATA("QTY",$B$56,"PRODUCT_DESCRIPTION", $B$307, "SALES_ORDER_DATE",Table2529345054[[#This Row],[Date]], "AREA_NAME", "North"), 0)</f>
        <v>0</v>
      </c>
      <c r="M325" s="20">
        <f>Table2529345054[[#This Row],[Stock Change (t1-t0) (North)]]+Table2529345054[[#This Row],[Sales]]</f>
        <v>300</v>
      </c>
      <c r="N325" s="18">
        <f>IF(Table2529345054[[#This Row],[Regional Transfer (Real)]]=0, 0, Table2529345054[[#This Row],[Regional Transfer (Real)]]+Table2529345054[[#This Row],[Stock Level  (North)]])</f>
        <v>300</v>
      </c>
      <c r="P325" s="4" t="s">
        <v>20</v>
      </c>
      <c r="Q325" s="20">
        <f t="shared" si="18"/>
        <v>0</v>
      </c>
      <c r="R325" s="20">
        <f>Q326-Table252930355155[[#This Row],[Stock Level  (South)]]</f>
        <v>100</v>
      </c>
      <c r="S325" s="20">
        <f>IFERROR(GETPIVOTDATA("QTY",$B$56,"PRODUCT_DESCRIPTION", $B$307, "SALES_ORDER_DATE",Table252930355155[[#This Row],[Date]], "AREA_NAME", "South"), 0)</f>
        <v>0</v>
      </c>
      <c r="T325" s="20">
        <f>Table252930355155[[#This Row],[Stock Change (t1-t0) (South)]]+Table252930355155[[#This Row],[Sales]]</f>
        <v>100</v>
      </c>
      <c r="U325" s="18">
        <f>IF(Table252930355155[[#This Row],[Regional Transfer (Real)]]=0, 0, Table252930355155[[#This Row],[Regional Transfer (Real)]]+Table252930355155[[#This Row],[Stock Level  (South)]])</f>
        <v>100</v>
      </c>
      <c r="W325" s="4" t="s">
        <v>20</v>
      </c>
      <c r="X325" s="20">
        <f t="shared" si="19"/>
        <v>0</v>
      </c>
      <c r="Y325" s="20">
        <f>X326-Table25293032365256[[#This Row],[Stock Level  (West)]]</f>
        <v>100</v>
      </c>
      <c r="Z325" s="20">
        <f>IFERROR(GETPIVOTDATA("QTY",$B$56,"PRODUCT_DESCRIPTION", $B$307, "SALES_ORDER_DATE",Table25293032365256[[#This Row],[Date]], "AREA_NAME", "West"), 0)</f>
        <v>0</v>
      </c>
      <c r="AA325" s="20">
        <f>Table25293032365256[[#This Row],[Stock Change (t1-t0) (West)]]+Table25293032365256[[#This Row],[Sales]]</f>
        <v>100</v>
      </c>
      <c r="AB325" s="18">
        <f>IF(Table25293032365256[[#This Row],[Regional Transfer (Real)]]=0, 0, Table25293032365256[[#This Row],[Regional Transfer (Real)]]+Table25293032365256[[#This Row],[Stock Level  (West)]])</f>
        <v>100</v>
      </c>
    </row>
    <row r="326" spans="2:28" x14ac:dyDescent="0.2">
      <c r="B326" s="4" t="s">
        <v>21</v>
      </c>
      <c r="C326" s="20">
        <f t="shared" si="16"/>
        <v>594</v>
      </c>
      <c r="D326" s="20">
        <f>C327-Table25334953[[#This Row],[Stock Level  ]]</f>
        <v>-81</v>
      </c>
      <c r="E326" s="20">
        <f>IFERROR(GETPIVOTDATA("QTY",$B$56,"PRODUCT_DESCRIPTION", $B$307, "SALES_ORDER_DATE",Table25334953[[#This Row],[Date]]), 0)</f>
        <v>81</v>
      </c>
      <c r="F326" s="20">
        <f>Table25334953[[#This Row],[Stock Change (t1-t0)]]+Table25334953[[#This Row],[Sales]]</f>
        <v>0</v>
      </c>
      <c r="G326" s="18">
        <f>IF(Table25334953[[#This Row],[Purchase (Real)]]=0, 0, Table25334953[[#This Row],[Purchase (Real)]]+C325)</f>
        <v>0</v>
      </c>
      <c r="I326" s="4" t="s">
        <v>21</v>
      </c>
      <c r="J326" s="20">
        <f t="shared" si="17"/>
        <v>300</v>
      </c>
      <c r="K326" s="20">
        <f>J327-Table2529345054[[#This Row],[Stock Level  (North)]]</f>
        <v>-81</v>
      </c>
      <c r="L326" s="20">
        <f>IFERROR(GETPIVOTDATA("QTY",$B$56,"PRODUCT_DESCRIPTION", $B$307, "SALES_ORDER_DATE",Table2529345054[[#This Row],[Date]], "AREA_NAME", "North"), 0)</f>
        <v>81</v>
      </c>
      <c r="M326" s="20">
        <f>Table2529345054[[#This Row],[Stock Change (t1-t0) (North)]]+Table2529345054[[#This Row],[Sales]]</f>
        <v>0</v>
      </c>
      <c r="N326" s="18">
        <f>IF(Table2529345054[[#This Row],[Regional Transfer (Real)]]=0, 0, Table2529345054[[#This Row],[Regional Transfer (Real)]]+Table2529345054[[#This Row],[Stock Level  (North)]])</f>
        <v>0</v>
      </c>
      <c r="P326" s="4" t="s">
        <v>21</v>
      </c>
      <c r="Q326" s="20">
        <f t="shared" si="18"/>
        <v>100</v>
      </c>
      <c r="R326" s="20">
        <f>Q327-Table252930355155[[#This Row],[Stock Level  (South)]]</f>
        <v>0</v>
      </c>
      <c r="S326" s="20">
        <f>IFERROR(GETPIVOTDATA("QTY",$B$56,"PRODUCT_DESCRIPTION", $B$307, "SALES_ORDER_DATE",Table252930355155[[#This Row],[Date]], "AREA_NAME", "South"), 0)</f>
        <v>0</v>
      </c>
      <c r="T326" s="20">
        <f>Table252930355155[[#This Row],[Stock Change (t1-t0) (South)]]+Table252930355155[[#This Row],[Sales]]</f>
        <v>0</v>
      </c>
      <c r="U326" s="18">
        <f>IF(Table252930355155[[#This Row],[Regional Transfer (Real)]]=0, 0, Table252930355155[[#This Row],[Regional Transfer (Real)]]+Table252930355155[[#This Row],[Stock Level  (South)]])</f>
        <v>0</v>
      </c>
      <c r="W326" s="4" t="s">
        <v>21</v>
      </c>
      <c r="X326" s="20">
        <f t="shared" si="19"/>
        <v>100</v>
      </c>
      <c r="Y326" s="20">
        <f>X327-Table25293032365256[[#This Row],[Stock Level  (West)]]</f>
        <v>0</v>
      </c>
      <c r="Z326" s="20">
        <f>IFERROR(GETPIVOTDATA("QTY",$B$56,"PRODUCT_DESCRIPTION", $B$307, "SALES_ORDER_DATE",Table25293032365256[[#This Row],[Date]], "AREA_NAME", "West"), 0)</f>
        <v>0</v>
      </c>
      <c r="AA326" s="20">
        <f>Table25293032365256[[#This Row],[Stock Change (t1-t0) (West)]]+Table25293032365256[[#This Row],[Sales]]</f>
        <v>0</v>
      </c>
      <c r="AB326" s="18">
        <f>IF(Table25293032365256[[#This Row],[Regional Transfer (Real)]]=0, 0, Table25293032365256[[#This Row],[Regional Transfer (Real)]]+Table25293032365256[[#This Row],[Stock Level  (West)]])</f>
        <v>0</v>
      </c>
    </row>
    <row r="327" spans="2:28" x14ac:dyDescent="0.2">
      <c r="B327" s="4" t="s">
        <v>22</v>
      </c>
      <c r="C327" s="20">
        <f t="shared" si="16"/>
        <v>513</v>
      </c>
      <c r="D327" s="20">
        <f>C328-Table25334953[[#This Row],[Stock Level  ]]</f>
        <v>-219</v>
      </c>
      <c r="E327" s="20">
        <f>IFERROR(GETPIVOTDATA("QTY",$B$56,"PRODUCT_DESCRIPTION", $B$307, "SALES_ORDER_DATE",Table25334953[[#This Row],[Date]]), 0)</f>
        <v>219</v>
      </c>
      <c r="F327" s="20">
        <f>Table25334953[[#This Row],[Stock Change (t1-t0)]]+Table25334953[[#This Row],[Sales]]</f>
        <v>0</v>
      </c>
      <c r="G327" s="18">
        <f>IF(Table25334953[[#This Row],[Purchase (Real)]]=0, 0, Table25334953[[#This Row],[Purchase (Real)]]+C326)</f>
        <v>0</v>
      </c>
      <c r="I327" s="4" t="s">
        <v>22</v>
      </c>
      <c r="J327" s="20">
        <f t="shared" si="17"/>
        <v>219</v>
      </c>
      <c r="K327" s="20">
        <f>J328-Table2529345054[[#This Row],[Stock Level  (North)]]</f>
        <v>-219</v>
      </c>
      <c r="L327" s="20">
        <f>IFERROR(GETPIVOTDATA("QTY",$B$56,"PRODUCT_DESCRIPTION", $B$307, "SALES_ORDER_DATE",Table2529345054[[#This Row],[Date]], "AREA_NAME", "North"), 0)</f>
        <v>219</v>
      </c>
      <c r="M327" s="20">
        <f>Table2529345054[[#This Row],[Stock Change (t1-t0) (North)]]+Table2529345054[[#This Row],[Sales]]</f>
        <v>0</v>
      </c>
      <c r="N327" s="18">
        <f>IF(Table2529345054[[#This Row],[Regional Transfer (Real)]]=0, 0, Table2529345054[[#This Row],[Regional Transfer (Real)]]+Table2529345054[[#This Row],[Stock Level  (North)]])</f>
        <v>0</v>
      </c>
      <c r="P327" s="4" t="s">
        <v>22</v>
      </c>
      <c r="Q327" s="20">
        <f t="shared" si="18"/>
        <v>100</v>
      </c>
      <c r="R327" s="20">
        <f>Q328-Table252930355155[[#This Row],[Stock Level  (South)]]</f>
        <v>0</v>
      </c>
      <c r="S327" s="20">
        <f>IFERROR(GETPIVOTDATA("QTY",$B$56,"PRODUCT_DESCRIPTION", $B$307, "SALES_ORDER_DATE",Table252930355155[[#This Row],[Date]], "AREA_NAME", "South"), 0)</f>
        <v>0</v>
      </c>
      <c r="T327" s="20">
        <f>Table252930355155[[#This Row],[Stock Change (t1-t0) (South)]]+Table252930355155[[#This Row],[Sales]]</f>
        <v>0</v>
      </c>
      <c r="U327" s="18">
        <f>IF(Table252930355155[[#This Row],[Regional Transfer (Real)]]=0, 0, Table252930355155[[#This Row],[Regional Transfer (Real)]]+Table252930355155[[#This Row],[Stock Level  (South)]])</f>
        <v>0</v>
      </c>
      <c r="W327" s="4" t="s">
        <v>22</v>
      </c>
      <c r="X327" s="20">
        <f t="shared" si="19"/>
        <v>100</v>
      </c>
      <c r="Y327" s="20">
        <f>X328-Table25293032365256[[#This Row],[Stock Level  (West)]]</f>
        <v>0</v>
      </c>
      <c r="Z327" s="20">
        <f>IFERROR(GETPIVOTDATA("QTY",$B$56,"PRODUCT_DESCRIPTION", $B$307, "SALES_ORDER_DATE",Table25293032365256[[#This Row],[Date]], "AREA_NAME", "West"), 0)</f>
        <v>0</v>
      </c>
      <c r="AA327" s="20">
        <f>Table25293032365256[[#This Row],[Stock Change (t1-t0) (West)]]+Table25293032365256[[#This Row],[Sales]]</f>
        <v>0</v>
      </c>
      <c r="AB327" s="18">
        <f>IF(Table25293032365256[[#This Row],[Regional Transfer (Real)]]=0, 0, Table25293032365256[[#This Row],[Regional Transfer (Real)]]+Table25293032365256[[#This Row],[Stock Level  (West)]])</f>
        <v>0</v>
      </c>
    </row>
    <row r="328" spans="2:28" x14ac:dyDescent="0.2">
      <c r="B328" s="4" t="s">
        <v>23</v>
      </c>
      <c r="C328" s="20">
        <f t="shared" si="16"/>
        <v>294</v>
      </c>
      <c r="D328" s="20">
        <f>C329-Table25334953[[#This Row],[Stock Level  ]]</f>
        <v>-74</v>
      </c>
      <c r="E328" s="20">
        <f>IFERROR(GETPIVOTDATA("QTY",$B$56,"PRODUCT_DESCRIPTION", $B$307, "SALES_ORDER_DATE",Table25334953[[#This Row],[Date]]), 0)</f>
        <v>74</v>
      </c>
      <c r="F328" s="20">
        <f>Table25334953[[#This Row],[Stock Change (t1-t0)]]+Table25334953[[#This Row],[Sales]]</f>
        <v>0</v>
      </c>
      <c r="G328" s="18">
        <f>IF(Table25334953[[#This Row],[Purchase (Real)]]=0, 0, Table25334953[[#This Row],[Purchase (Real)]]+C327)</f>
        <v>0</v>
      </c>
      <c r="I328" s="4" t="s">
        <v>23</v>
      </c>
      <c r="J328" s="20">
        <f t="shared" si="17"/>
        <v>0</v>
      </c>
      <c r="K328" s="20">
        <f>J329-Table2529345054[[#This Row],[Stock Level  (North)]]</f>
        <v>94</v>
      </c>
      <c r="L328" s="20">
        <f>IFERROR(GETPIVOTDATA("QTY",$B$56,"PRODUCT_DESCRIPTION", $B$307, "SALES_ORDER_DATE",Table2529345054[[#This Row],[Date]], "AREA_NAME", "North"), 0)</f>
        <v>0</v>
      </c>
      <c r="M328" s="20">
        <f>Table2529345054[[#This Row],[Stock Change (t1-t0) (North)]]+Table2529345054[[#This Row],[Sales]]</f>
        <v>94</v>
      </c>
      <c r="N328" s="18">
        <f>IF(Table2529345054[[#This Row],[Regional Transfer (Real)]]=0, 0, Table2529345054[[#This Row],[Regional Transfer (Real)]]+Table2529345054[[#This Row],[Stock Level  (North)]])</f>
        <v>94</v>
      </c>
      <c r="P328" s="4" t="s">
        <v>23</v>
      </c>
      <c r="Q328" s="20">
        <f t="shared" si="18"/>
        <v>100</v>
      </c>
      <c r="R328" s="20">
        <f>Q329-Table252930355155[[#This Row],[Stock Level  (South)]]</f>
        <v>0</v>
      </c>
      <c r="S328" s="20">
        <f>IFERROR(GETPIVOTDATA("QTY",$B$56,"PRODUCT_DESCRIPTION", $B$307, "SALES_ORDER_DATE",Table252930355155[[#This Row],[Date]], "AREA_NAME", "South"), 0)</f>
        <v>0</v>
      </c>
      <c r="T328" s="20">
        <f>Table252930355155[[#This Row],[Stock Change (t1-t0) (South)]]+Table252930355155[[#This Row],[Sales]]</f>
        <v>0</v>
      </c>
      <c r="U328" s="18">
        <f>IF(Table252930355155[[#This Row],[Regional Transfer (Real)]]=0, 0, Table252930355155[[#This Row],[Regional Transfer (Real)]]+Table252930355155[[#This Row],[Stock Level  (South)]])</f>
        <v>0</v>
      </c>
      <c r="W328" s="4" t="s">
        <v>23</v>
      </c>
      <c r="X328" s="20">
        <f t="shared" si="19"/>
        <v>100</v>
      </c>
      <c r="Y328" s="20">
        <f>X329-Table25293032365256[[#This Row],[Stock Level  (West)]]</f>
        <v>-74</v>
      </c>
      <c r="Z328" s="20">
        <f>IFERROR(GETPIVOTDATA("QTY",$B$56,"PRODUCT_DESCRIPTION", $B$307, "SALES_ORDER_DATE",Table25293032365256[[#This Row],[Date]], "AREA_NAME", "West"), 0)</f>
        <v>74</v>
      </c>
      <c r="AA328" s="20">
        <f>Table25293032365256[[#This Row],[Stock Change (t1-t0) (West)]]+Table25293032365256[[#This Row],[Sales]]</f>
        <v>0</v>
      </c>
      <c r="AB328" s="18">
        <f>IF(Table25293032365256[[#This Row],[Regional Transfer (Real)]]=0, 0, Table25293032365256[[#This Row],[Regional Transfer (Real)]]+Table25293032365256[[#This Row],[Stock Level  (West)]])</f>
        <v>0</v>
      </c>
    </row>
    <row r="329" spans="2:28" x14ac:dyDescent="0.2">
      <c r="B329" s="4" t="s">
        <v>24</v>
      </c>
      <c r="C329" s="20">
        <f t="shared" si="16"/>
        <v>220</v>
      </c>
      <c r="D329" s="20">
        <f>C330-Table25334953[[#This Row],[Stock Level  ]]</f>
        <v>-69</v>
      </c>
      <c r="E329" s="20">
        <f>IFERROR(GETPIVOTDATA("QTY",$B$56,"PRODUCT_DESCRIPTION", $B$307, "SALES_ORDER_DATE",Table25334953[[#This Row],[Date]]), 0)</f>
        <v>69</v>
      </c>
      <c r="F329" s="20">
        <f>Table25334953[[#This Row],[Stock Change (t1-t0)]]+Table25334953[[#This Row],[Sales]]</f>
        <v>0</v>
      </c>
      <c r="G329" s="18">
        <f>IF(Table25334953[[#This Row],[Purchase (Real)]]=0, 0, Table25334953[[#This Row],[Purchase (Real)]]+C328)</f>
        <v>0</v>
      </c>
      <c r="I329" s="4" t="s">
        <v>24</v>
      </c>
      <c r="J329" s="20">
        <f t="shared" si="17"/>
        <v>94</v>
      </c>
      <c r="K329" s="20">
        <f>J330-Table2529345054[[#This Row],[Stock Level  (North)]]</f>
        <v>-69</v>
      </c>
      <c r="L329" s="20">
        <f>IFERROR(GETPIVOTDATA("QTY",$B$56,"PRODUCT_DESCRIPTION", $B$307, "SALES_ORDER_DATE",Table2529345054[[#This Row],[Date]], "AREA_NAME", "North"), 0)</f>
        <v>69</v>
      </c>
      <c r="M329" s="20">
        <f>Table2529345054[[#This Row],[Stock Change (t1-t0) (North)]]+Table2529345054[[#This Row],[Sales]]</f>
        <v>0</v>
      </c>
      <c r="N329" s="18">
        <f>IF(Table2529345054[[#This Row],[Regional Transfer (Real)]]=0, 0, Table2529345054[[#This Row],[Regional Transfer (Real)]]+Table2529345054[[#This Row],[Stock Level  (North)]])</f>
        <v>0</v>
      </c>
      <c r="P329" s="4" t="s">
        <v>24</v>
      </c>
      <c r="Q329" s="20">
        <f t="shared" si="18"/>
        <v>100</v>
      </c>
      <c r="R329" s="20">
        <f>Q330-Table252930355155[[#This Row],[Stock Level  (South)]]</f>
        <v>0</v>
      </c>
      <c r="S329" s="20">
        <f>IFERROR(GETPIVOTDATA("QTY",$B$56,"PRODUCT_DESCRIPTION", $B$307, "SALES_ORDER_DATE",Table252930355155[[#This Row],[Date]], "AREA_NAME", "South"), 0)</f>
        <v>0</v>
      </c>
      <c r="T329" s="20">
        <f>Table252930355155[[#This Row],[Stock Change (t1-t0) (South)]]+Table252930355155[[#This Row],[Sales]]</f>
        <v>0</v>
      </c>
      <c r="U329" s="18">
        <f>IF(Table252930355155[[#This Row],[Regional Transfer (Real)]]=0, 0, Table252930355155[[#This Row],[Regional Transfer (Real)]]+Table252930355155[[#This Row],[Stock Level  (South)]])</f>
        <v>0</v>
      </c>
      <c r="W329" s="4" t="s">
        <v>24</v>
      </c>
      <c r="X329" s="20">
        <f t="shared" si="19"/>
        <v>26</v>
      </c>
      <c r="Y329" s="20">
        <f>X330-Table25293032365256[[#This Row],[Stock Level  (West)]]</f>
        <v>0</v>
      </c>
      <c r="Z329" s="20">
        <f>IFERROR(GETPIVOTDATA("QTY",$B$56,"PRODUCT_DESCRIPTION", $B$307, "SALES_ORDER_DATE",Table25293032365256[[#This Row],[Date]], "AREA_NAME", "West"), 0)</f>
        <v>0</v>
      </c>
      <c r="AA329" s="20">
        <f>Table25293032365256[[#This Row],[Stock Change (t1-t0) (West)]]+Table25293032365256[[#This Row],[Sales]]</f>
        <v>0</v>
      </c>
      <c r="AB329" s="18">
        <f>IF(Table25293032365256[[#This Row],[Regional Transfer (Real)]]=0, 0, Table25293032365256[[#This Row],[Regional Transfer (Real)]]+Table25293032365256[[#This Row],[Stock Level  (West)]])</f>
        <v>0</v>
      </c>
    </row>
    <row r="330" spans="2:28" x14ac:dyDescent="0.2">
      <c r="B330" s="4" t="s">
        <v>25</v>
      </c>
      <c r="C330" s="20">
        <f t="shared" si="16"/>
        <v>151</v>
      </c>
      <c r="D330" s="20">
        <f>C331-Table25334953[[#This Row],[Stock Level  ]]</f>
        <v>-25</v>
      </c>
      <c r="E330" s="20">
        <f>IFERROR(GETPIVOTDATA("QTY",$B$56,"PRODUCT_DESCRIPTION", $B$307, "SALES_ORDER_DATE",Table25334953[[#This Row],[Date]]), 0)</f>
        <v>25</v>
      </c>
      <c r="F330" s="20">
        <f>Table25334953[[#This Row],[Stock Change (t1-t0)]]+Table25334953[[#This Row],[Sales]]</f>
        <v>0</v>
      </c>
      <c r="G330" s="18">
        <f>IF(Table25334953[[#This Row],[Purchase (Real)]]=0, 0, Table25334953[[#This Row],[Purchase (Real)]]+C329)</f>
        <v>0</v>
      </c>
      <c r="I330" s="4" t="s">
        <v>25</v>
      </c>
      <c r="J330" s="20">
        <f t="shared" si="17"/>
        <v>25</v>
      </c>
      <c r="K330" s="20">
        <f>J331-Table2529345054[[#This Row],[Stock Level  (North)]]</f>
        <v>-25</v>
      </c>
      <c r="L330" s="20">
        <f>IFERROR(GETPIVOTDATA("QTY",$B$56,"PRODUCT_DESCRIPTION", $B$307, "SALES_ORDER_DATE",Table2529345054[[#This Row],[Date]], "AREA_NAME", "North"), 0)</f>
        <v>25</v>
      </c>
      <c r="M330" s="20">
        <f>Table2529345054[[#This Row],[Stock Change (t1-t0) (North)]]+Table2529345054[[#This Row],[Sales]]</f>
        <v>0</v>
      </c>
      <c r="N330" s="18">
        <f>IF(Table2529345054[[#This Row],[Regional Transfer (Real)]]=0, 0, Table2529345054[[#This Row],[Regional Transfer (Real)]]+Table2529345054[[#This Row],[Stock Level  (North)]])</f>
        <v>0</v>
      </c>
      <c r="P330" s="4" t="s">
        <v>25</v>
      </c>
      <c r="Q330" s="20">
        <f t="shared" si="18"/>
        <v>100</v>
      </c>
      <c r="R330" s="20">
        <f>Q331-Table252930355155[[#This Row],[Stock Level  (South)]]</f>
        <v>0</v>
      </c>
      <c r="S330" s="20">
        <f>IFERROR(GETPIVOTDATA("QTY",$B$56,"PRODUCT_DESCRIPTION", $B$307, "SALES_ORDER_DATE",Table252930355155[[#This Row],[Date]], "AREA_NAME", "South"), 0)</f>
        <v>0</v>
      </c>
      <c r="T330" s="20">
        <f>Table252930355155[[#This Row],[Stock Change (t1-t0) (South)]]+Table252930355155[[#This Row],[Sales]]</f>
        <v>0</v>
      </c>
      <c r="U330" s="18">
        <f>IF(Table252930355155[[#This Row],[Regional Transfer (Real)]]=0, 0, Table252930355155[[#This Row],[Regional Transfer (Real)]]+Table252930355155[[#This Row],[Stock Level  (South)]])</f>
        <v>0</v>
      </c>
      <c r="W330" s="4" t="s">
        <v>25</v>
      </c>
      <c r="X330" s="20">
        <f t="shared" si="19"/>
        <v>26</v>
      </c>
      <c r="Y330" s="20">
        <f>X331-Table25293032365256[[#This Row],[Stock Level  (West)]]</f>
        <v>0</v>
      </c>
      <c r="Z330" s="20">
        <f>IFERROR(GETPIVOTDATA("QTY",$B$56,"PRODUCT_DESCRIPTION", $B$307, "SALES_ORDER_DATE",Table25293032365256[[#This Row],[Date]], "AREA_NAME", "West"), 0)</f>
        <v>0</v>
      </c>
      <c r="AA330" s="20">
        <f>Table25293032365256[[#This Row],[Stock Change (t1-t0) (West)]]+Table25293032365256[[#This Row],[Sales]]</f>
        <v>0</v>
      </c>
      <c r="AB330" s="18">
        <f>IF(Table25293032365256[[#This Row],[Regional Transfer (Real)]]=0, 0, Table25293032365256[[#This Row],[Regional Transfer (Real)]]+Table25293032365256[[#This Row],[Stock Level  (West)]])</f>
        <v>0</v>
      </c>
    </row>
    <row r="331" spans="2:28" x14ac:dyDescent="0.2">
      <c r="B331" s="4" t="s">
        <v>26</v>
      </c>
      <c r="C331" s="20">
        <f t="shared" si="16"/>
        <v>126</v>
      </c>
      <c r="D331" s="20">
        <f>C332-Table25334953[[#This Row],[Stock Level  ]]</f>
        <v>0</v>
      </c>
      <c r="E331" s="20">
        <f>IFERROR(GETPIVOTDATA("QTY",$B$56,"PRODUCT_DESCRIPTION", $B$307, "SALES_ORDER_DATE",Table25334953[[#This Row],[Date]]), 0)</f>
        <v>0</v>
      </c>
      <c r="F331" s="20">
        <f>Table25334953[[#This Row],[Stock Change (t1-t0)]]+Table25334953[[#This Row],[Sales]]</f>
        <v>0</v>
      </c>
      <c r="G331" s="18">
        <f>IF(Table25334953[[#This Row],[Purchase (Real)]]=0, 0, Table25334953[[#This Row],[Purchase (Real)]]+C330)</f>
        <v>0</v>
      </c>
      <c r="I331" s="4" t="s">
        <v>26</v>
      </c>
      <c r="J331" s="20">
        <f t="shared" si="17"/>
        <v>0</v>
      </c>
      <c r="K331" s="20">
        <f>J332-Table2529345054[[#This Row],[Stock Level  (North)]]</f>
        <v>0</v>
      </c>
      <c r="L331" s="20">
        <f>IFERROR(GETPIVOTDATA("QTY",$B$56,"PRODUCT_DESCRIPTION", $B$307, "SALES_ORDER_DATE",Table2529345054[[#This Row],[Date]], "AREA_NAME", "North"), 0)</f>
        <v>0</v>
      </c>
      <c r="M331" s="20">
        <f>Table2529345054[[#This Row],[Stock Change (t1-t0) (North)]]+Table2529345054[[#This Row],[Sales]]</f>
        <v>0</v>
      </c>
      <c r="N331" s="18">
        <f>IF(Table2529345054[[#This Row],[Regional Transfer (Real)]]=0, 0, Table2529345054[[#This Row],[Regional Transfer (Real)]]+Table2529345054[[#This Row],[Stock Level  (North)]])</f>
        <v>0</v>
      </c>
      <c r="P331" s="4" t="s">
        <v>26</v>
      </c>
      <c r="Q331" s="20">
        <f t="shared" si="18"/>
        <v>100</v>
      </c>
      <c r="R331" s="20">
        <f>Q332-Table252930355155[[#This Row],[Stock Level  (South)]]</f>
        <v>0</v>
      </c>
      <c r="S331" s="20">
        <f>IFERROR(GETPIVOTDATA("QTY",$B$56,"PRODUCT_DESCRIPTION", $B$307, "SALES_ORDER_DATE",Table252930355155[[#This Row],[Date]], "AREA_NAME", "South"), 0)</f>
        <v>0</v>
      </c>
      <c r="T331" s="20">
        <f>Table252930355155[[#This Row],[Stock Change (t1-t0) (South)]]+Table252930355155[[#This Row],[Sales]]</f>
        <v>0</v>
      </c>
      <c r="U331" s="18">
        <f>IF(Table252930355155[[#This Row],[Regional Transfer (Real)]]=0, 0, Table252930355155[[#This Row],[Regional Transfer (Real)]]+Table252930355155[[#This Row],[Stock Level  (South)]])</f>
        <v>0</v>
      </c>
      <c r="W331" s="4" t="s">
        <v>26</v>
      </c>
      <c r="X331" s="20">
        <f t="shared" si="19"/>
        <v>26</v>
      </c>
      <c r="Y331" s="20">
        <f>X332-Table25293032365256[[#This Row],[Stock Level  (West)]]</f>
        <v>0</v>
      </c>
      <c r="Z331" s="20">
        <f>IFERROR(GETPIVOTDATA("QTY",$B$56,"PRODUCT_DESCRIPTION", $B$307, "SALES_ORDER_DATE",Table25293032365256[[#This Row],[Date]], "AREA_NAME", "West"), 0)</f>
        <v>0</v>
      </c>
      <c r="AA331" s="20">
        <f>Table25293032365256[[#This Row],[Stock Change (t1-t0) (West)]]+Table25293032365256[[#This Row],[Sales]]</f>
        <v>0</v>
      </c>
      <c r="AB331" s="18">
        <f>IF(Table25293032365256[[#This Row],[Regional Transfer (Real)]]=0, 0, Table25293032365256[[#This Row],[Regional Transfer (Real)]]+Table25293032365256[[#This Row],[Stock Level  (West)]])</f>
        <v>0</v>
      </c>
    </row>
    <row r="332" spans="2:28" x14ac:dyDescent="0.2">
      <c r="B332" s="4" t="s">
        <v>57</v>
      </c>
      <c r="C332" s="20">
        <f t="shared" si="16"/>
        <v>126</v>
      </c>
      <c r="D332" s="20">
        <f>C333-Table25334953[[#This Row],[Stock Level  ]]</f>
        <v>0</v>
      </c>
      <c r="E332" s="20">
        <f>IFERROR(GETPIVOTDATA("QTY",$B$56,"PRODUCT_DESCRIPTION", $B$307, "SALES_ORDER_DATE",Table25334953[[#This Row],[Date]]), 0)</f>
        <v>0</v>
      </c>
      <c r="F332" s="20">
        <f>Table25334953[[#This Row],[Stock Change (t1-t0)]]+Table25334953[[#This Row],[Sales]]</f>
        <v>0</v>
      </c>
      <c r="G332" s="18">
        <f>IF(Table25334953[[#This Row],[Purchase (Real)]]=0, 0, Table25334953[[#This Row],[Purchase (Real)]]+C331)</f>
        <v>0</v>
      </c>
      <c r="I332" s="4" t="s">
        <v>57</v>
      </c>
      <c r="J332" s="20">
        <f t="shared" si="17"/>
        <v>0</v>
      </c>
      <c r="K332" s="20">
        <f>J333-Table2529345054[[#This Row],[Stock Level  (North)]]</f>
        <v>0</v>
      </c>
      <c r="L332" s="20">
        <f>IFERROR(GETPIVOTDATA("QTY",$B$56,"PRODUCT_DESCRIPTION", $B$307, "SALES_ORDER_DATE",Table2529345054[[#This Row],[Date]], "AREA_NAME", "North"), 0)</f>
        <v>0</v>
      </c>
      <c r="M332" s="20">
        <f>Table2529345054[[#This Row],[Stock Change (t1-t0) (North)]]+Table2529345054[[#This Row],[Sales]]</f>
        <v>0</v>
      </c>
      <c r="N332" s="18">
        <f>IF(Table2529345054[[#This Row],[Regional Transfer (Real)]]=0, 0, Table2529345054[[#This Row],[Regional Transfer (Real)]]+Table2529345054[[#This Row],[Stock Level  (North)]])</f>
        <v>0</v>
      </c>
      <c r="P332" s="4" t="s">
        <v>57</v>
      </c>
      <c r="Q332" s="20">
        <f t="shared" si="18"/>
        <v>100</v>
      </c>
      <c r="R332" s="20">
        <f>Q333-Table252930355155[[#This Row],[Stock Level  (South)]]</f>
        <v>0</v>
      </c>
      <c r="S332" s="20">
        <f>IFERROR(GETPIVOTDATA("QTY",$B$56,"PRODUCT_DESCRIPTION", $B$307, "SALES_ORDER_DATE",Table252930355155[[#This Row],[Date]], "AREA_NAME", "South"), 0)</f>
        <v>0</v>
      </c>
      <c r="T332" s="20">
        <f>Table252930355155[[#This Row],[Stock Change (t1-t0) (South)]]+Table252930355155[[#This Row],[Sales]]</f>
        <v>0</v>
      </c>
      <c r="U332" s="18">
        <f>IF(Table252930355155[[#This Row],[Regional Transfer (Real)]]=0, 0, Table252930355155[[#This Row],[Regional Transfer (Real)]]+Table252930355155[[#This Row],[Stock Level  (South)]])</f>
        <v>0</v>
      </c>
      <c r="W332" s="4" t="s">
        <v>57</v>
      </c>
      <c r="X332" s="20">
        <f t="shared" si="19"/>
        <v>26</v>
      </c>
      <c r="Y332" s="20">
        <f>X333-Table25293032365256[[#This Row],[Stock Level  (West)]]</f>
        <v>0</v>
      </c>
      <c r="Z332" s="20">
        <f>IFERROR(GETPIVOTDATA("QTY",$B$56,"PRODUCT_DESCRIPTION", $B$307, "SALES_ORDER_DATE",Table25293032365256[[#This Row],[Date]], "AREA_NAME", "West"), 0)</f>
        <v>0</v>
      </c>
      <c r="AA332" s="20">
        <f>Table25293032365256[[#This Row],[Stock Change (t1-t0) (West)]]+Table25293032365256[[#This Row],[Sales]]</f>
        <v>0</v>
      </c>
      <c r="AB332" s="18">
        <f>IF(Table25293032365256[[#This Row],[Regional Transfer (Real)]]=0, 0, Table25293032365256[[#This Row],[Regional Transfer (Real)]]+Table25293032365256[[#This Row],[Stock Level  (West)]])</f>
        <v>0</v>
      </c>
    </row>
    <row r="333" spans="2:28" x14ac:dyDescent="0.2">
      <c r="B333" s="4" t="s">
        <v>27</v>
      </c>
      <c r="C333" s="20">
        <f t="shared" si="16"/>
        <v>126</v>
      </c>
      <c r="D333" s="20">
        <f>C334-Table25334953[[#This Row],[Stock Level  ]]</f>
        <v>848</v>
      </c>
      <c r="E333" s="20">
        <f>IFERROR(GETPIVOTDATA("QTY",$B$56,"PRODUCT_DESCRIPTION", $B$307, "SALES_ORDER_DATE",Table25334953[[#This Row],[Date]]), 0)</f>
        <v>26</v>
      </c>
      <c r="F333" s="20">
        <f>Table25334953[[#This Row],[Stock Change (t1-t0)]]+Table25334953[[#This Row],[Sales]]</f>
        <v>874</v>
      </c>
      <c r="G333" s="18">
        <f>IF(Table25334953[[#This Row],[Purchase (Real)]]=0, 0, Table25334953[[#This Row],[Purchase (Real)]]+C332)</f>
        <v>1000</v>
      </c>
      <c r="I333" s="4" t="s">
        <v>27</v>
      </c>
      <c r="J333" s="20">
        <f t="shared" si="17"/>
        <v>0</v>
      </c>
      <c r="K333" s="20">
        <f>J334-Table2529345054[[#This Row],[Stock Level  (North)]]</f>
        <v>0</v>
      </c>
      <c r="L333" s="20">
        <f>IFERROR(GETPIVOTDATA("QTY",$B$56,"PRODUCT_DESCRIPTION", $B$307, "SALES_ORDER_DATE",Table2529345054[[#This Row],[Date]], "AREA_NAME", "North"), 0)</f>
        <v>0</v>
      </c>
      <c r="M333" s="20">
        <f>Table2529345054[[#This Row],[Stock Change (t1-t0) (North)]]+Table2529345054[[#This Row],[Sales]]</f>
        <v>0</v>
      </c>
      <c r="N333" s="18">
        <f>IF(Table2529345054[[#This Row],[Regional Transfer (Real)]]=0, 0, Table2529345054[[#This Row],[Regional Transfer (Real)]]+Table2529345054[[#This Row],[Stock Level  (North)]])</f>
        <v>0</v>
      </c>
      <c r="P333" s="4" t="s">
        <v>27</v>
      </c>
      <c r="Q333" s="20">
        <f t="shared" si="18"/>
        <v>100</v>
      </c>
      <c r="R333" s="20">
        <f>Q334-Table252930355155[[#This Row],[Stock Level  (South)]]</f>
        <v>0</v>
      </c>
      <c r="S333" s="20">
        <f>IFERROR(GETPIVOTDATA("QTY",$B$56,"PRODUCT_DESCRIPTION", $B$307, "SALES_ORDER_DATE",Table252930355155[[#This Row],[Date]], "AREA_NAME", "South"), 0)</f>
        <v>0</v>
      </c>
      <c r="T333" s="20">
        <f>Table252930355155[[#This Row],[Stock Change (t1-t0) (South)]]+Table252930355155[[#This Row],[Sales]]</f>
        <v>0</v>
      </c>
      <c r="U333" s="18">
        <f>IF(Table252930355155[[#This Row],[Regional Transfer (Real)]]=0, 0, Table252930355155[[#This Row],[Regional Transfer (Real)]]+Table252930355155[[#This Row],[Stock Level  (South)]])</f>
        <v>0</v>
      </c>
      <c r="W333" s="4" t="s">
        <v>27</v>
      </c>
      <c r="X333" s="20">
        <f t="shared" si="19"/>
        <v>26</v>
      </c>
      <c r="Y333" s="20">
        <f>X334-Table25293032365256[[#This Row],[Stock Level  (West)]]</f>
        <v>-26</v>
      </c>
      <c r="Z333" s="20">
        <f>IFERROR(GETPIVOTDATA("QTY",$B$56,"PRODUCT_DESCRIPTION", $B$307, "SALES_ORDER_DATE",Table25293032365256[[#This Row],[Date]], "AREA_NAME", "West"), 0)</f>
        <v>26</v>
      </c>
      <c r="AA333" s="20">
        <f>Table25293032365256[[#This Row],[Stock Change (t1-t0) (West)]]+Table25293032365256[[#This Row],[Sales]]</f>
        <v>0</v>
      </c>
      <c r="AB333" s="18">
        <f>IF(Table25293032365256[[#This Row],[Regional Transfer (Real)]]=0, 0, Table25293032365256[[#This Row],[Regional Transfer (Real)]]+Table25293032365256[[#This Row],[Stock Level  (West)]])</f>
        <v>0</v>
      </c>
    </row>
    <row r="334" spans="2:28" x14ac:dyDescent="0.2">
      <c r="B334" s="4" t="s">
        <v>28</v>
      </c>
      <c r="C334" s="20">
        <f t="shared" si="16"/>
        <v>974</v>
      </c>
      <c r="D334" s="20">
        <f>C335-Table25334953[[#This Row],[Stock Level  ]]</f>
        <v>-62</v>
      </c>
      <c r="E334" s="20">
        <f>IFERROR(GETPIVOTDATA("QTY",$B$56,"PRODUCT_DESCRIPTION", $B$307, "SALES_ORDER_DATE",Table25334953[[#This Row],[Date]]), 0)</f>
        <v>62</v>
      </c>
      <c r="F334" s="20">
        <f>Table25334953[[#This Row],[Stock Change (t1-t0)]]+Table25334953[[#This Row],[Sales]]</f>
        <v>0</v>
      </c>
      <c r="G334" s="18">
        <f>IF(Table25334953[[#This Row],[Purchase (Real)]]=0, 0, Table25334953[[#This Row],[Purchase (Real)]]+C333)</f>
        <v>0</v>
      </c>
      <c r="I334" s="4" t="s">
        <v>28</v>
      </c>
      <c r="J334" s="20">
        <f t="shared" si="17"/>
        <v>0</v>
      </c>
      <c r="K334" s="20">
        <f>J335-Table2529345054[[#This Row],[Stock Level  (North)]]</f>
        <v>0</v>
      </c>
      <c r="L334" s="20">
        <f>IFERROR(GETPIVOTDATA("QTY",$B$56,"PRODUCT_DESCRIPTION", $B$307, "SALES_ORDER_DATE",Table2529345054[[#This Row],[Date]], "AREA_NAME", "North"), 0)</f>
        <v>0</v>
      </c>
      <c r="M334" s="20">
        <f>Table2529345054[[#This Row],[Stock Change (t1-t0) (North)]]+Table2529345054[[#This Row],[Sales]]</f>
        <v>0</v>
      </c>
      <c r="N334" s="18">
        <f>IF(Table2529345054[[#This Row],[Regional Transfer (Real)]]=0, 0, Table2529345054[[#This Row],[Regional Transfer (Real)]]+Table2529345054[[#This Row],[Stock Level  (North)]])</f>
        <v>0</v>
      </c>
      <c r="P334" s="4" t="s">
        <v>28</v>
      </c>
      <c r="Q334" s="20">
        <f t="shared" si="18"/>
        <v>100</v>
      </c>
      <c r="R334" s="20">
        <f>Q335-Table252930355155[[#This Row],[Stock Level  (South)]]</f>
        <v>-62</v>
      </c>
      <c r="S334" s="20">
        <f>IFERROR(GETPIVOTDATA("QTY",$B$56,"PRODUCT_DESCRIPTION", $B$307, "SALES_ORDER_DATE",Table252930355155[[#This Row],[Date]], "AREA_NAME", "South"), 0)</f>
        <v>62</v>
      </c>
      <c r="T334" s="20">
        <f>Table252930355155[[#This Row],[Stock Change (t1-t0) (South)]]+Table252930355155[[#This Row],[Sales]]</f>
        <v>0</v>
      </c>
      <c r="U334" s="18">
        <f>IF(Table252930355155[[#This Row],[Regional Transfer (Real)]]=0, 0, Table252930355155[[#This Row],[Regional Transfer (Real)]]+Table252930355155[[#This Row],[Stock Level  (South)]])</f>
        <v>0</v>
      </c>
      <c r="W334" s="4" t="s">
        <v>28</v>
      </c>
      <c r="X334" s="20">
        <f t="shared" si="19"/>
        <v>0</v>
      </c>
      <c r="Y334" s="20">
        <f>X335-Table25293032365256[[#This Row],[Stock Level  (West)]]</f>
        <v>0</v>
      </c>
      <c r="Z334" s="20">
        <f>IFERROR(GETPIVOTDATA("QTY",$B$56,"PRODUCT_DESCRIPTION", $B$307, "SALES_ORDER_DATE",Table25293032365256[[#This Row],[Date]], "AREA_NAME", "West"), 0)</f>
        <v>0</v>
      </c>
      <c r="AA334" s="20">
        <f>Table25293032365256[[#This Row],[Stock Change (t1-t0) (West)]]+Table25293032365256[[#This Row],[Sales]]</f>
        <v>0</v>
      </c>
      <c r="AB334" s="18">
        <f>IF(Table25293032365256[[#This Row],[Regional Transfer (Real)]]=0, 0, Table25293032365256[[#This Row],[Regional Transfer (Real)]]+Table25293032365256[[#This Row],[Stock Level  (West)]])</f>
        <v>0</v>
      </c>
    </row>
    <row r="335" spans="2:28" x14ac:dyDescent="0.2">
      <c r="B335" s="4" t="s">
        <v>29</v>
      </c>
      <c r="C335" s="20">
        <f t="shared" si="16"/>
        <v>912</v>
      </c>
      <c r="D335" s="20">
        <f>C336-Table25334953[[#This Row],[Stock Level  ]]</f>
        <v>0</v>
      </c>
      <c r="E335" s="20">
        <f>IFERROR(GETPIVOTDATA("QTY",$B$56,"PRODUCT_DESCRIPTION", $B$307, "SALES_ORDER_DATE",Table25334953[[#This Row],[Date]]), 0)</f>
        <v>0</v>
      </c>
      <c r="F335" s="20">
        <f>Table25334953[[#This Row],[Stock Change (t1-t0)]]+Table25334953[[#This Row],[Sales]]</f>
        <v>0</v>
      </c>
      <c r="G335" s="18">
        <f>IF(Table25334953[[#This Row],[Purchase (Real)]]=0, 0, Table25334953[[#This Row],[Purchase (Real)]]+C334)</f>
        <v>0</v>
      </c>
      <c r="I335" s="4" t="s">
        <v>29</v>
      </c>
      <c r="J335" s="20">
        <f t="shared" si="17"/>
        <v>0</v>
      </c>
      <c r="K335" s="20">
        <f>J336-Table2529345054[[#This Row],[Stock Level  (North)]]</f>
        <v>300</v>
      </c>
      <c r="L335" s="20">
        <f>IFERROR(GETPIVOTDATA("QTY",$B$56,"PRODUCT_DESCRIPTION", $B$307, "SALES_ORDER_DATE",Table2529345054[[#This Row],[Date]], "AREA_NAME", "North"), 0)</f>
        <v>0</v>
      </c>
      <c r="M335" s="20">
        <f>Table2529345054[[#This Row],[Stock Change (t1-t0) (North)]]+Table2529345054[[#This Row],[Sales]]</f>
        <v>300</v>
      </c>
      <c r="N335" s="18">
        <f>IF(Table2529345054[[#This Row],[Regional Transfer (Real)]]=0, 0, Table2529345054[[#This Row],[Regional Transfer (Real)]]+Table2529345054[[#This Row],[Stock Level  (North)]])</f>
        <v>300</v>
      </c>
      <c r="P335" s="4" t="s">
        <v>29</v>
      </c>
      <c r="Q335" s="20">
        <f t="shared" si="18"/>
        <v>38</v>
      </c>
      <c r="R335" s="20">
        <f>Q336-Table252930355155[[#This Row],[Stock Level  (South)]]</f>
        <v>262</v>
      </c>
      <c r="S335" s="20">
        <f>IFERROR(GETPIVOTDATA("QTY",$B$56,"PRODUCT_DESCRIPTION", $B$307, "SALES_ORDER_DATE",Table252930355155[[#This Row],[Date]], "AREA_NAME", "South"), 0)</f>
        <v>0</v>
      </c>
      <c r="T335" s="20">
        <f>Table252930355155[[#This Row],[Stock Change (t1-t0) (South)]]+Table252930355155[[#This Row],[Sales]]</f>
        <v>262</v>
      </c>
      <c r="U335" s="18">
        <f>IF(Table252930355155[[#This Row],[Regional Transfer (Real)]]=0, 0, Table252930355155[[#This Row],[Regional Transfer (Real)]]+Table252930355155[[#This Row],[Stock Level  (South)]])</f>
        <v>300</v>
      </c>
      <c r="W335" s="4" t="s">
        <v>29</v>
      </c>
      <c r="X335" s="20">
        <f t="shared" si="19"/>
        <v>0</v>
      </c>
      <c r="Y335" s="20">
        <f>X336-Table25293032365256[[#This Row],[Stock Level  (West)]]</f>
        <v>30</v>
      </c>
      <c r="Z335" s="20">
        <f>IFERROR(GETPIVOTDATA("QTY",$B$56,"PRODUCT_DESCRIPTION", $B$307, "SALES_ORDER_DATE",Table25293032365256[[#This Row],[Date]], "AREA_NAME", "West"), 0)</f>
        <v>0</v>
      </c>
      <c r="AA335" s="20">
        <f>Table25293032365256[[#This Row],[Stock Change (t1-t0) (West)]]+Table25293032365256[[#This Row],[Sales]]</f>
        <v>30</v>
      </c>
      <c r="AB335" s="18">
        <f>IF(Table25293032365256[[#This Row],[Regional Transfer (Real)]]=0, 0, Table25293032365256[[#This Row],[Regional Transfer (Real)]]+Table25293032365256[[#This Row],[Stock Level  (West)]])</f>
        <v>30</v>
      </c>
    </row>
    <row r="336" spans="2:28" x14ac:dyDescent="0.2">
      <c r="B336" s="4" t="s">
        <v>30</v>
      </c>
      <c r="C336" s="20">
        <f t="shared" si="16"/>
        <v>912</v>
      </c>
      <c r="D336" s="20">
        <f>C337-Table25334953[[#This Row],[Stock Level  ]]</f>
        <v>-136</v>
      </c>
      <c r="E336" s="20">
        <f>IFERROR(GETPIVOTDATA("QTY",$B$56,"PRODUCT_DESCRIPTION", $B$307, "SALES_ORDER_DATE",Table25334953[[#This Row],[Date]]), 0)</f>
        <v>136</v>
      </c>
      <c r="F336" s="20">
        <f>Table25334953[[#This Row],[Stock Change (t1-t0)]]+Table25334953[[#This Row],[Sales]]</f>
        <v>0</v>
      </c>
      <c r="G336" s="18">
        <f>IF(Table25334953[[#This Row],[Purchase (Real)]]=0, 0, Table25334953[[#This Row],[Purchase (Real)]]+C335)</f>
        <v>0</v>
      </c>
      <c r="I336" s="4" t="s">
        <v>30</v>
      </c>
      <c r="J336" s="20">
        <f t="shared" si="17"/>
        <v>300</v>
      </c>
      <c r="K336" s="20">
        <f>J337-Table2529345054[[#This Row],[Stock Level  (North)]]</f>
        <v>-136</v>
      </c>
      <c r="L336" s="20">
        <f>IFERROR(GETPIVOTDATA("QTY",$B$56,"PRODUCT_DESCRIPTION", $B$307, "SALES_ORDER_DATE",Table2529345054[[#This Row],[Date]], "AREA_NAME", "North"), 0)</f>
        <v>136</v>
      </c>
      <c r="M336" s="20">
        <f>Table2529345054[[#This Row],[Stock Change (t1-t0) (North)]]+Table2529345054[[#This Row],[Sales]]</f>
        <v>0</v>
      </c>
      <c r="N336" s="18">
        <f>IF(Table2529345054[[#This Row],[Regional Transfer (Real)]]=0, 0, Table2529345054[[#This Row],[Regional Transfer (Real)]]+Table2529345054[[#This Row],[Stock Level  (North)]])</f>
        <v>0</v>
      </c>
      <c r="P336" s="4" t="s">
        <v>30</v>
      </c>
      <c r="Q336" s="20">
        <f t="shared" si="18"/>
        <v>300</v>
      </c>
      <c r="R336" s="20">
        <f>Q337-Table252930355155[[#This Row],[Stock Level  (South)]]</f>
        <v>0</v>
      </c>
      <c r="S336" s="20">
        <f>IFERROR(GETPIVOTDATA("QTY",$B$56,"PRODUCT_DESCRIPTION", $B$307, "SALES_ORDER_DATE",Table252930355155[[#This Row],[Date]], "AREA_NAME", "South"), 0)</f>
        <v>0</v>
      </c>
      <c r="T336" s="20">
        <f>Table252930355155[[#This Row],[Stock Change (t1-t0) (South)]]+Table252930355155[[#This Row],[Sales]]</f>
        <v>0</v>
      </c>
      <c r="U336" s="18">
        <f>IF(Table252930355155[[#This Row],[Regional Transfer (Real)]]=0, 0, Table252930355155[[#This Row],[Regional Transfer (Real)]]+Table252930355155[[#This Row],[Stock Level  (South)]])</f>
        <v>0</v>
      </c>
      <c r="W336" s="4" t="s">
        <v>30</v>
      </c>
      <c r="X336" s="20">
        <f t="shared" si="19"/>
        <v>30</v>
      </c>
      <c r="Y336" s="20">
        <f>X337-Table25293032365256[[#This Row],[Stock Level  (West)]]</f>
        <v>0</v>
      </c>
      <c r="Z336" s="20">
        <f>IFERROR(GETPIVOTDATA("QTY",$B$56,"PRODUCT_DESCRIPTION", $B$307, "SALES_ORDER_DATE",Table25293032365256[[#This Row],[Date]], "AREA_NAME", "West"), 0)</f>
        <v>0</v>
      </c>
      <c r="AA336" s="20">
        <f>Table25293032365256[[#This Row],[Stock Change (t1-t0) (West)]]+Table25293032365256[[#This Row],[Sales]]</f>
        <v>0</v>
      </c>
      <c r="AB336" s="18">
        <f>IF(Table25293032365256[[#This Row],[Regional Transfer (Real)]]=0, 0, Table25293032365256[[#This Row],[Regional Transfer (Real)]]+Table25293032365256[[#This Row],[Stock Level  (West)]])</f>
        <v>0</v>
      </c>
    </row>
    <row r="337" spans="2:28" x14ac:dyDescent="0.2">
      <c r="B337" s="4" t="s">
        <v>31</v>
      </c>
      <c r="C337" s="20">
        <f t="shared" si="16"/>
        <v>776</v>
      </c>
      <c r="D337" s="20">
        <f>C338-Table25334953[[#This Row],[Stock Level  ]]</f>
        <v>-75</v>
      </c>
      <c r="E337" s="20">
        <f>IFERROR(GETPIVOTDATA("QTY",$B$56,"PRODUCT_DESCRIPTION", $B$307, "SALES_ORDER_DATE",Table25334953[[#This Row],[Date]]), 0)</f>
        <v>75</v>
      </c>
      <c r="F337" s="20">
        <f>Table25334953[[#This Row],[Stock Change (t1-t0)]]+Table25334953[[#This Row],[Sales]]</f>
        <v>0</v>
      </c>
      <c r="G337" s="18">
        <f>IF(Table25334953[[#This Row],[Purchase (Real)]]=0, 0, Table25334953[[#This Row],[Purchase (Real)]]+C336)</f>
        <v>0</v>
      </c>
      <c r="I337" s="4" t="s">
        <v>31</v>
      </c>
      <c r="J337" s="20">
        <f t="shared" si="17"/>
        <v>164</v>
      </c>
      <c r="K337" s="20">
        <f>J338-Table2529345054[[#This Row],[Stock Level  (North)]]</f>
        <v>0</v>
      </c>
      <c r="L337" s="20">
        <f>IFERROR(GETPIVOTDATA("QTY",$B$56,"PRODUCT_DESCRIPTION", $B$307, "SALES_ORDER_DATE",Table2529345054[[#This Row],[Date]], "AREA_NAME", "North"), 0)</f>
        <v>0</v>
      </c>
      <c r="M337" s="20">
        <f>Table2529345054[[#This Row],[Stock Change (t1-t0) (North)]]+Table2529345054[[#This Row],[Sales]]</f>
        <v>0</v>
      </c>
      <c r="N337" s="18">
        <f>IF(Table2529345054[[#This Row],[Regional Transfer (Real)]]=0, 0, Table2529345054[[#This Row],[Regional Transfer (Real)]]+Table2529345054[[#This Row],[Stock Level  (North)]])</f>
        <v>0</v>
      </c>
      <c r="P337" s="4" t="s">
        <v>31</v>
      </c>
      <c r="Q337" s="20">
        <f t="shared" si="18"/>
        <v>300</v>
      </c>
      <c r="R337" s="20">
        <f>Q338-Table252930355155[[#This Row],[Stock Level  (South)]]</f>
        <v>-75</v>
      </c>
      <c r="S337" s="20">
        <f>IFERROR(GETPIVOTDATA("QTY",$B$56,"PRODUCT_DESCRIPTION", $B$307, "SALES_ORDER_DATE",Table252930355155[[#This Row],[Date]], "AREA_NAME", "South"), 0)</f>
        <v>75</v>
      </c>
      <c r="T337" s="20">
        <f>Table252930355155[[#This Row],[Stock Change (t1-t0) (South)]]+Table252930355155[[#This Row],[Sales]]</f>
        <v>0</v>
      </c>
      <c r="U337" s="18">
        <f>IF(Table252930355155[[#This Row],[Regional Transfer (Real)]]=0, 0, Table252930355155[[#This Row],[Regional Transfer (Real)]]+Table252930355155[[#This Row],[Stock Level  (South)]])</f>
        <v>0</v>
      </c>
      <c r="W337" s="4" t="s">
        <v>31</v>
      </c>
      <c r="X337" s="20">
        <f t="shared" si="19"/>
        <v>30</v>
      </c>
      <c r="Y337" s="20">
        <f>X338-Table25293032365256[[#This Row],[Stock Level  (West)]]</f>
        <v>0</v>
      </c>
      <c r="Z337" s="20">
        <f>IFERROR(GETPIVOTDATA("QTY",$B$56,"PRODUCT_DESCRIPTION", $B$307, "SALES_ORDER_DATE",Table25293032365256[[#This Row],[Date]], "AREA_NAME", "West"), 0)</f>
        <v>0</v>
      </c>
      <c r="AA337" s="20">
        <f>Table25293032365256[[#This Row],[Stock Change (t1-t0) (West)]]+Table25293032365256[[#This Row],[Sales]]</f>
        <v>0</v>
      </c>
      <c r="AB337" s="18">
        <f>IF(Table25293032365256[[#This Row],[Regional Transfer (Real)]]=0, 0, Table25293032365256[[#This Row],[Regional Transfer (Real)]]+Table25293032365256[[#This Row],[Stock Level  (West)]])</f>
        <v>0</v>
      </c>
    </row>
    <row r="338" spans="2:28" x14ac:dyDescent="0.2">
      <c r="B338" s="4" t="s">
        <v>32</v>
      </c>
      <c r="C338" s="20">
        <f t="shared" si="16"/>
        <v>701</v>
      </c>
      <c r="D338" s="20">
        <f>C339-Table25334953[[#This Row],[Stock Level  ]]</f>
        <v>173</v>
      </c>
      <c r="E338" s="20">
        <f>IFERROR(GETPIVOTDATA("QTY",$B$56,"PRODUCT_DESCRIPTION", $B$307, "SALES_ORDER_DATE",Table25334953[[#This Row],[Date]]), 0)</f>
        <v>51</v>
      </c>
      <c r="F338" s="20">
        <f>Table25334953[[#This Row],[Stock Change (t1-t0)]]+Table25334953[[#This Row],[Sales]]</f>
        <v>224</v>
      </c>
      <c r="G338" s="18">
        <f>IF(Table25334953[[#This Row],[Purchase (Real)]]=0, 0, Table25334953[[#This Row],[Purchase (Real)]]+C337)</f>
        <v>1000</v>
      </c>
      <c r="I338" s="4" t="s">
        <v>32</v>
      </c>
      <c r="J338" s="20">
        <f t="shared" si="17"/>
        <v>164</v>
      </c>
      <c r="K338" s="20">
        <f>J339-Table2529345054[[#This Row],[Stock Level  (North)]]</f>
        <v>85</v>
      </c>
      <c r="L338" s="20">
        <f>IFERROR(GETPIVOTDATA("QTY",$B$56,"PRODUCT_DESCRIPTION", $B$307, "SALES_ORDER_DATE",Table2529345054[[#This Row],[Date]], "AREA_NAME", "North"), 0)</f>
        <v>51</v>
      </c>
      <c r="M338" s="20">
        <f>Table2529345054[[#This Row],[Stock Change (t1-t0) (North)]]+Table2529345054[[#This Row],[Sales]]</f>
        <v>136</v>
      </c>
      <c r="N338" s="18">
        <f>IF(Table2529345054[[#This Row],[Regional Transfer (Real)]]=0, 0, Table2529345054[[#This Row],[Regional Transfer (Real)]]+Table2529345054[[#This Row],[Stock Level  (North)]])</f>
        <v>300</v>
      </c>
      <c r="P338" s="4" t="s">
        <v>32</v>
      </c>
      <c r="Q338" s="20">
        <f t="shared" si="18"/>
        <v>225</v>
      </c>
      <c r="R338" s="20">
        <f>Q339-Table252930355155[[#This Row],[Stock Level  (South)]]</f>
        <v>75</v>
      </c>
      <c r="S338" s="20">
        <f>IFERROR(GETPIVOTDATA("QTY",$B$56,"PRODUCT_DESCRIPTION", $B$307, "SALES_ORDER_DATE",Table252930355155[[#This Row],[Date]], "AREA_NAME", "South"), 0)</f>
        <v>0</v>
      </c>
      <c r="T338" s="20">
        <f>Table252930355155[[#This Row],[Stock Change (t1-t0) (South)]]+Table252930355155[[#This Row],[Sales]]</f>
        <v>75</v>
      </c>
      <c r="U338" s="18">
        <f>IF(Table252930355155[[#This Row],[Regional Transfer (Real)]]=0, 0, Table252930355155[[#This Row],[Regional Transfer (Real)]]+Table252930355155[[#This Row],[Stock Level  (South)]])</f>
        <v>300</v>
      </c>
      <c r="W338" s="4" t="s">
        <v>32</v>
      </c>
      <c r="X338" s="20">
        <f t="shared" si="19"/>
        <v>30</v>
      </c>
      <c r="Y338" s="20">
        <f>X339-Table25293032365256[[#This Row],[Stock Level  (West)]]</f>
        <v>0</v>
      </c>
      <c r="Z338" s="20">
        <f>IFERROR(GETPIVOTDATA("QTY",$B$56,"PRODUCT_DESCRIPTION", $B$307, "SALES_ORDER_DATE",Table25293032365256[[#This Row],[Date]], "AREA_NAME", "West"), 0)</f>
        <v>0</v>
      </c>
      <c r="AA338" s="20">
        <f>Table25293032365256[[#This Row],[Stock Change (t1-t0) (West)]]+Table25293032365256[[#This Row],[Sales]]</f>
        <v>0</v>
      </c>
      <c r="AB338" s="18">
        <f>IF(Table25293032365256[[#This Row],[Regional Transfer (Real)]]=0, 0, Table25293032365256[[#This Row],[Regional Transfer (Real)]]+Table25293032365256[[#This Row],[Stock Level  (West)]])</f>
        <v>0</v>
      </c>
    </row>
    <row r="339" spans="2:28" x14ac:dyDescent="0.2">
      <c r="B339" s="4" t="s">
        <v>33</v>
      </c>
      <c r="C339" s="20">
        <f t="shared" si="16"/>
        <v>874</v>
      </c>
      <c r="D339" s="20">
        <f>C340-Table25334953[[#This Row],[Stock Level  ]]</f>
        <v>-50</v>
      </c>
      <c r="E339" s="20">
        <f>IFERROR(GETPIVOTDATA("QTY",$B$56,"PRODUCT_DESCRIPTION", $B$307, "SALES_ORDER_DATE",Table25334953[[#This Row],[Date]]), 0)</f>
        <v>50</v>
      </c>
      <c r="F339" s="20">
        <f>Table25334953[[#This Row],[Stock Change (t1-t0)]]+Table25334953[[#This Row],[Sales]]</f>
        <v>0</v>
      </c>
      <c r="G339" s="18">
        <f>IF(Table25334953[[#This Row],[Purchase (Real)]]=0, 0, Table25334953[[#This Row],[Purchase (Real)]]+C338)</f>
        <v>0</v>
      </c>
      <c r="I339" s="4" t="s">
        <v>33</v>
      </c>
      <c r="J339" s="20">
        <f t="shared" si="17"/>
        <v>249</v>
      </c>
      <c r="K339" s="20">
        <f>J340-Table2529345054[[#This Row],[Stock Level  (North)]]</f>
        <v>-50</v>
      </c>
      <c r="L339" s="20">
        <f>IFERROR(GETPIVOTDATA("QTY",$B$56,"PRODUCT_DESCRIPTION", $B$307, "SALES_ORDER_DATE",Table2529345054[[#This Row],[Date]], "AREA_NAME", "North"), 0)</f>
        <v>50</v>
      </c>
      <c r="M339" s="20">
        <f>Table2529345054[[#This Row],[Stock Change (t1-t0) (North)]]+Table2529345054[[#This Row],[Sales]]</f>
        <v>0</v>
      </c>
      <c r="N339" s="18">
        <f>IF(Table2529345054[[#This Row],[Regional Transfer (Real)]]=0, 0, Table2529345054[[#This Row],[Regional Transfer (Real)]]+Table2529345054[[#This Row],[Stock Level  (North)]])</f>
        <v>0</v>
      </c>
      <c r="P339" s="4" t="s">
        <v>33</v>
      </c>
      <c r="Q339" s="20">
        <f t="shared" si="18"/>
        <v>300</v>
      </c>
      <c r="R339" s="20">
        <f>Q340-Table252930355155[[#This Row],[Stock Level  (South)]]</f>
        <v>0</v>
      </c>
      <c r="S339" s="20">
        <f>IFERROR(GETPIVOTDATA("QTY",$B$56,"PRODUCT_DESCRIPTION", $B$307, "SALES_ORDER_DATE",Table252930355155[[#This Row],[Date]], "AREA_NAME", "South"), 0)</f>
        <v>0</v>
      </c>
      <c r="T339" s="20">
        <f>Table252930355155[[#This Row],[Stock Change (t1-t0) (South)]]+Table252930355155[[#This Row],[Sales]]</f>
        <v>0</v>
      </c>
      <c r="U339" s="18">
        <f>IF(Table252930355155[[#This Row],[Regional Transfer (Real)]]=0, 0, Table252930355155[[#This Row],[Regional Transfer (Real)]]+Table252930355155[[#This Row],[Stock Level  (South)]])</f>
        <v>0</v>
      </c>
      <c r="W339" s="4" t="s">
        <v>33</v>
      </c>
      <c r="X339" s="20">
        <f t="shared" si="19"/>
        <v>30</v>
      </c>
      <c r="Y339" s="20">
        <f>X340-Table25293032365256[[#This Row],[Stock Level  (West)]]</f>
        <v>0</v>
      </c>
      <c r="Z339" s="20">
        <f>IFERROR(GETPIVOTDATA("QTY",$B$56,"PRODUCT_DESCRIPTION", $B$307, "SALES_ORDER_DATE",Table25293032365256[[#This Row],[Date]], "AREA_NAME", "West"), 0)</f>
        <v>0</v>
      </c>
      <c r="AA339" s="20">
        <f>Table25293032365256[[#This Row],[Stock Change (t1-t0) (West)]]+Table25293032365256[[#This Row],[Sales]]</f>
        <v>0</v>
      </c>
      <c r="AB339" s="18">
        <f>IF(Table25293032365256[[#This Row],[Regional Transfer (Real)]]=0, 0, Table25293032365256[[#This Row],[Regional Transfer (Real)]]+Table25293032365256[[#This Row],[Stock Level  (West)]])</f>
        <v>0</v>
      </c>
    </row>
    <row r="340" spans="2:28" x14ac:dyDescent="0.2">
      <c r="B340" s="4" t="s">
        <v>34</v>
      </c>
      <c r="C340" s="20">
        <f t="shared" si="16"/>
        <v>824</v>
      </c>
      <c r="D340" s="20">
        <f>C341-Table25334953[[#This Row],[Stock Level  ]]</f>
        <v>-57</v>
      </c>
      <c r="E340" s="20">
        <f>IFERROR(GETPIVOTDATA("QTY",$B$56,"PRODUCT_DESCRIPTION", $B$307, "SALES_ORDER_DATE",Table25334953[[#This Row],[Date]]), 0)</f>
        <v>57</v>
      </c>
      <c r="F340" s="20">
        <f>Table25334953[[#This Row],[Stock Change (t1-t0)]]+Table25334953[[#This Row],[Sales]]</f>
        <v>0</v>
      </c>
      <c r="G340" s="18">
        <f>IF(Table25334953[[#This Row],[Purchase (Real)]]=0, 0, Table25334953[[#This Row],[Purchase (Real)]]+C339)</f>
        <v>0</v>
      </c>
      <c r="I340" s="4" t="s">
        <v>34</v>
      </c>
      <c r="J340" s="20">
        <f t="shared" si="17"/>
        <v>199</v>
      </c>
      <c r="K340" s="20">
        <f>J341-Table2529345054[[#This Row],[Stock Level  (North)]]</f>
        <v>-57</v>
      </c>
      <c r="L340" s="20">
        <f>IFERROR(GETPIVOTDATA("QTY",$B$56,"PRODUCT_DESCRIPTION", $B$307, "SALES_ORDER_DATE",Table2529345054[[#This Row],[Date]], "AREA_NAME", "North"), 0)</f>
        <v>57</v>
      </c>
      <c r="M340" s="20">
        <f>Table2529345054[[#This Row],[Stock Change (t1-t0) (North)]]+Table2529345054[[#This Row],[Sales]]</f>
        <v>0</v>
      </c>
      <c r="N340" s="18">
        <f>IF(Table2529345054[[#This Row],[Regional Transfer (Real)]]=0, 0, Table2529345054[[#This Row],[Regional Transfer (Real)]]+Table2529345054[[#This Row],[Stock Level  (North)]])</f>
        <v>0</v>
      </c>
      <c r="P340" s="4" t="s">
        <v>34</v>
      </c>
      <c r="Q340" s="20">
        <f t="shared" si="18"/>
        <v>300</v>
      </c>
      <c r="R340" s="20">
        <f>Q341-Table252930355155[[#This Row],[Stock Level  (South)]]</f>
        <v>0</v>
      </c>
      <c r="S340" s="20">
        <f>IFERROR(GETPIVOTDATA("QTY",$B$56,"PRODUCT_DESCRIPTION", $B$307, "SALES_ORDER_DATE",Table252930355155[[#This Row],[Date]], "AREA_NAME", "South"), 0)</f>
        <v>0</v>
      </c>
      <c r="T340" s="20">
        <f>Table252930355155[[#This Row],[Stock Change (t1-t0) (South)]]+Table252930355155[[#This Row],[Sales]]</f>
        <v>0</v>
      </c>
      <c r="U340" s="18">
        <f>IF(Table252930355155[[#This Row],[Regional Transfer (Real)]]=0, 0, Table252930355155[[#This Row],[Regional Transfer (Real)]]+Table252930355155[[#This Row],[Stock Level  (South)]])</f>
        <v>0</v>
      </c>
      <c r="W340" s="4" t="s">
        <v>34</v>
      </c>
      <c r="X340" s="20">
        <f t="shared" si="19"/>
        <v>30</v>
      </c>
      <c r="Y340" s="20">
        <f>X341-Table25293032365256[[#This Row],[Stock Level  (West)]]</f>
        <v>0</v>
      </c>
      <c r="Z340" s="20">
        <f>IFERROR(GETPIVOTDATA("QTY",$B$56,"PRODUCT_DESCRIPTION", $B$307, "SALES_ORDER_DATE",Table25293032365256[[#This Row],[Date]], "AREA_NAME", "West"), 0)</f>
        <v>0</v>
      </c>
      <c r="AA340" s="20">
        <f>Table25293032365256[[#This Row],[Stock Change (t1-t0) (West)]]+Table25293032365256[[#This Row],[Sales]]</f>
        <v>0</v>
      </c>
      <c r="AB340" s="18">
        <f>IF(Table25293032365256[[#This Row],[Regional Transfer (Real)]]=0, 0, Table25293032365256[[#This Row],[Regional Transfer (Real)]]+Table25293032365256[[#This Row],[Stock Level  (West)]])</f>
        <v>0</v>
      </c>
    </row>
    <row r="341" spans="2:28" x14ac:dyDescent="0.2">
      <c r="B341" s="4" t="s">
        <v>35</v>
      </c>
      <c r="C341" s="20">
        <f t="shared" si="16"/>
        <v>767</v>
      </c>
      <c r="D341" s="20">
        <f>C342-Table25334953[[#This Row],[Stock Level  ]]</f>
        <v>-131</v>
      </c>
      <c r="E341" s="20">
        <f>IFERROR(GETPIVOTDATA("QTY",$B$56,"PRODUCT_DESCRIPTION", $B$307, "SALES_ORDER_DATE",Table25334953[[#This Row],[Date]]), 0)</f>
        <v>131</v>
      </c>
      <c r="F341" s="20">
        <f>Table25334953[[#This Row],[Stock Change (t1-t0)]]+Table25334953[[#This Row],[Sales]]</f>
        <v>0</v>
      </c>
      <c r="G341" s="18">
        <f>IF(Table25334953[[#This Row],[Purchase (Real)]]=0, 0, Table25334953[[#This Row],[Purchase (Real)]]+C340)</f>
        <v>0</v>
      </c>
      <c r="I341" s="4" t="s">
        <v>35</v>
      </c>
      <c r="J341" s="20">
        <f t="shared" si="17"/>
        <v>142</v>
      </c>
      <c r="K341" s="20">
        <f>J342-Table2529345054[[#This Row],[Stock Level  (North)]]</f>
        <v>78</v>
      </c>
      <c r="L341" s="20">
        <f>IFERROR(GETPIVOTDATA("QTY",$B$56,"PRODUCT_DESCRIPTION", $B$307, "SALES_ORDER_DATE",Table2529345054[[#This Row],[Date]], "AREA_NAME", "North"), 0)</f>
        <v>80</v>
      </c>
      <c r="M341" s="20">
        <f>Table2529345054[[#This Row],[Stock Change (t1-t0) (North)]]+Table2529345054[[#This Row],[Sales]]</f>
        <v>158</v>
      </c>
      <c r="N341" s="18">
        <f>IF(Table2529345054[[#This Row],[Regional Transfer (Real)]]=0, 0, Table2529345054[[#This Row],[Regional Transfer (Real)]]+Table2529345054[[#This Row],[Stock Level  (North)]])</f>
        <v>300</v>
      </c>
      <c r="P341" s="4" t="s">
        <v>35</v>
      </c>
      <c r="Q341" s="20">
        <f t="shared" si="18"/>
        <v>300</v>
      </c>
      <c r="R341" s="20">
        <f>Q342-Table252930355155[[#This Row],[Stock Level  (South)]]</f>
        <v>-51</v>
      </c>
      <c r="S341" s="20">
        <f>IFERROR(GETPIVOTDATA("QTY",$B$56,"PRODUCT_DESCRIPTION", $B$307, "SALES_ORDER_DATE",Table252930355155[[#This Row],[Date]], "AREA_NAME", "South"), 0)</f>
        <v>51</v>
      </c>
      <c r="T341" s="20">
        <f>Table252930355155[[#This Row],[Stock Change (t1-t0) (South)]]+Table252930355155[[#This Row],[Sales]]</f>
        <v>0</v>
      </c>
      <c r="U341" s="18">
        <f>IF(Table252930355155[[#This Row],[Regional Transfer (Real)]]=0, 0, Table252930355155[[#This Row],[Regional Transfer (Real)]]+Table252930355155[[#This Row],[Stock Level  (South)]])</f>
        <v>0</v>
      </c>
      <c r="W341" s="4" t="s">
        <v>35</v>
      </c>
      <c r="X341" s="20">
        <f t="shared" si="19"/>
        <v>30</v>
      </c>
      <c r="Y341" s="20">
        <f>X342-Table25293032365256[[#This Row],[Stock Level  (West)]]</f>
        <v>0</v>
      </c>
      <c r="Z341" s="20">
        <f>IFERROR(GETPIVOTDATA("QTY",$B$56,"PRODUCT_DESCRIPTION", $B$307, "SALES_ORDER_DATE",Table25293032365256[[#This Row],[Date]], "AREA_NAME", "West"), 0)</f>
        <v>0</v>
      </c>
      <c r="AA341" s="20">
        <f>Table25293032365256[[#This Row],[Stock Change (t1-t0) (West)]]+Table25293032365256[[#This Row],[Sales]]</f>
        <v>0</v>
      </c>
      <c r="AB341" s="18">
        <f>IF(Table25293032365256[[#This Row],[Regional Transfer (Real)]]=0, 0, Table25293032365256[[#This Row],[Regional Transfer (Real)]]+Table25293032365256[[#This Row],[Stock Level  (West)]])</f>
        <v>0</v>
      </c>
    </row>
    <row r="342" spans="2:28" x14ac:dyDescent="0.2">
      <c r="B342" s="4" t="s">
        <v>36</v>
      </c>
      <c r="C342" s="20">
        <f t="shared" si="16"/>
        <v>636</v>
      </c>
      <c r="D342" s="20">
        <f>C343-Table25334953[[#This Row],[Stock Level  ]]</f>
        <v>153</v>
      </c>
      <c r="E342" s="20">
        <f>IFERROR(GETPIVOTDATA("QTY",$B$56,"PRODUCT_DESCRIPTION", $B$307, "SALES_ORDER_DATE",Table25334953[[#This Row],[Date]]), 0)</f>
        <v>211</v>
      </c>
      <c r="F342" s="20">
        <f>Table25334953[[#This Row],[Stock Change (t1-t0)]]+Table25334953[[#This Row],[Sales]]</f>
        <v>364</v>
      </c>
      <c r="G342" s="18">
        <f>IF(Table25334953[[#This Row],[Purchase (Real)]]=0, 0, Table25334953[[#This Row],[Purchase (Real)]]+C341)</f>
        <v>1131</v>
      </c>
      <c r="I342" s="4" t="s">
        <v>36</v>
      </c>
      <c r="J342" s="20">
        <f t="shared" si="17"/>
        <v>220</v>
      </c>
      <c r="K342" s="20">
        <f>J343-Table2529345054[[#This Row],[Stock Level  (North)]]</f>
        <v>-148</v>
      </c>
      <c r="L342" s="20">
        <f>IFERROR(GETPIVOTDATA("QTY",$B$56,"PRODUCT_DESCRIPTION", $B$307, "SALES_ORDER_DATE",Table2529345054[[#This Row],[Date]], "AREA_NAME", "North"), 0)</f>
        <v>148</v>
      </c>
      <c r="M342" s="20">
        <f>Table2529345054[[#This Row],[Stock Change (t1-t0) (North)]]+Table2529345054[[#This Row],[Sales]]</f>
        <v>0</v>
      </c>
      <c r="N342" s="18">
        <f>IF(Table2529345054[[#This Row],[Regional Transfer (Real)]]=0, 0, Table2529345054[[#This Row],[Regional Transfer (Real)]]+Table2529345054[[#This Row],[Stock Level  (North)]])</f>
        <v>0</v>
      </c>
      <c r="P342" s="4" t="s">
        <v>36</v>
      </c>
      <c r="Q342" s="20">
        <f t="shared" si="18"/>
        <v>249</v>
      </c>
      <c r="R342" s="20">
        <f>Q343-Table252930355155[[#This Row],[Stock Level  (South)]]</f>
        <v>-63</v>
      </c>
      <c r="S342" s="20">
        <f>IFERROR(GETPIVOTDATA("QTY",$B$56,"PRODUCT_DESCRIPTION", $B$307, "SALES_ORDER_DATE",Table252930355155[[#This Row],[Date]], "AREA_NAME", "South"), 0)</f>
        <v>63</v>
      </c>
      <c r="T342" s="20">
        <f>Table252930355155[[#This Row],[Stock Change (t1-t0) (South)]]+Table252930355155[[#This Row],[Sales]]</f>
        <v>0</v>
      </c>
      <c r="U342" s="18">
        <f>IF(Table252930355155[[#This Row],[Regional Transfer (Real)]]=0, 0, Table252930355155[[#This Row],[Regional Transfer (Real)]]+Table252930355155[[#This Row],[Stock Level  (South)]])</f>
        <v>0</v>
      </c>
      <c r="W342" s="4" t="s">
        <v>36</v>
      </c>
      <c r="X342" s="20">
        <f t="shared" si="19"/>
        <v>30</v>
      </c>
      <c r="Y342" s="20">
        <f>X343-Table25293032365256[[#This Row],[Stock Level  (West)]]</f>
        <v>0</v>
      </c>
      <c r="Z342" s="20">
        <f>IFERROR(GETPIVOTDATA("QTY",$B$56,"PRODUCT_DESCRIPTION", $B$307, "SALES_ORDER_DATE",Table25293032365256[[#This Row],[Date]], "AREA_NAME", "West"), 0)</f>
        <v>0</v>
      </c>
      <c r="AA342" s="20">
        <f>Table25293032365256[[#This Row],[Stock Change (t1-t0) (West)]]+Table25293032365256[[#This Row],[Sales]]</f>
        <v>0</v>
      </c>
      <c r="AB342" s="18">
        <f>IF(Table25293032365256[[#This Row],[Regional Transfer (Real)]]=0, 0, Table25293032365256[[#This Row],[Regional Transfer (Real)]]+Table25293032365256[[#This Row],[Stock Level  (West)]])</f>
        <v>0</v>
      </c>
    </row>
    <row r="343" spans="2:28" x14ac:dyDescent="0.2">
      <c r="B343" s="4" t="s">
        <v>58</v>
      </c>
      <c r="C343" s="20">
        <f t="shared" si="16"/>
        <v>789</v>
      </c>
      <c r="D343" s="20">
        <f>C344-Table25334953[[#This Row],[Stock Level  ]]</f>
        <v>0</v>
      </c>
      <c r="E343" s="20">
        <f>IFERROR(GETPIVOTDATA("QTY",$B$56,"PRODUCT_DESCRIPTION", $B$307, "SALES_ORDER_DATE",Table25334953[[#This Row],[Date]]), 0)</f>
        <v>0</v>
      </c>
      <c r="F343" s="20">
        <f>Table25334953[[#This Row],[Stock Change (t1-t0)]]+Table25334953[[#This Row],[Sales]]</f>
        <v>0</v>
      </c>
      <c r="G343" s="18">
        <f>IF(Table25334953[[#This Row],[Purchase (Real)]]=0, 0, Table25334953[[#This Row],[Purchase (Real)]]+C342)</f>
        <v>0</v>
      </c>
      <c r="I343" s="4" t="s">
        <v>58</v>
      </c>
      <c r="J343" s="20">
        <f t="shared" si="17"/>
        <v>72</v>
      </c>
      <c r="K343" s="20">
        <f>J344-Table2529345054[[#This Row],[Stock Level  (North)]]</f>
        <v>0</v>
      </c>
      <c r="L343" s="20">
        <f>IFERROR(GETPIVOTDATA("QTY",$B$56,"PRODUCT_DESCRIPTION", $B$307, "SALES_ORDER_DATE",Table2529345054[[#This Row],[Date]], "AREA_NAME", "North"), 0)</f>
        <v>0</v>
      </c>
      <c r="M343" s="20">
        <f>Table2529345054[[#This Row],[Stock Change (t1-t0) (North)]]+Table2529345054[[#This Row],[Sales]]</f>
        <v>0</v>
      </c>
      <c r="N343" s="18">
        <f>IF(Table2529345054[[#This Row],[Regional Transfer (Real)]]=0, 0, Table2529345054[[#This Row],[Regional Transfer (Real)]]+Table2529345054[[#This Row],[Stock Level  (North)]])</f>
        <v>0</v>
      </c>
      <c r="P343" s="4" t="s">
        <v>58</v>
      </c>
      <c r="Q343" s="20">
        <f t="shared" si="18"/>
        <v>186</v>
      </c>
      <c r="R343" s="20">
        <f>Q344-Table252930355155[[#This Row],[Stock Level  (South)]]</f>
        <v>0</v>
      </c>
      <c r="S343" s="20">
        <f>IFERROR(GETPIVOTDATA("QTY",$B$56,"PRODUCT_DESCRIPTION", $B$307, "SALES_ORDER_DATE",Table252930355155[[#This Row],[Date]], "AREA_NAME", "South"), 0)</f>
        <v>0</v>
      </c>
      <c r="T343" s="20">
        <f>Table252930355155[[#This Row],[Stock Change (t1-t0) (South)]]+Table252930355155[[#This Row],[Sales]]</f>
        <v>0</v>
      </c>
      <c r="U343" s="18">
        <f>IF(Table252930355155[[#This Row],[Regional Transfer (Real)]]=0, 0, Table252930355155[[#This Row],[Regional Transfer (Real)]]+Table252930355155[[#This Row],[Stock Level  (South)]])</f>
        <v>0</v>
      </c>
      <c r="W343" s="4" t="s">
        <v>58</v>
      </c>
      <c r="X343" s="20">
        <f t="shared" si="19"/>
        <v>30</v>
      </c>
      <c r="Y343" s="20">
        <f>X344-Table25293032365256[[#This Row],[Stock Level  (West)]]</f>
        <v>0</v>
      </c>
      <c r="Z343" s="20">
        <f>IFERROR(GETPIVOTDATA("QTY",$B$56,"PRODUCT_DESCRIPTION", $B$307, "SALES_ORDER_DATE",Table25293032365256[[#This Row],[Date]], "AREA_NAME", "West"), 0)</f>
        <v>0</v>
      </c>
      <c r="AA343" s="20">
        <f>Table25293032365256[[#This Row],[Stock Change (t1-t0) (West)]]+Table25293032365256[[#This Row],[Sales]]</f>
        <v>0</v>
      </c>
      <c r="AB343" s="18">
        <f>IF(Table25293032365256[[#This Row],[Regional Transfer (Real)]]=0, 0, Table25293032365256[[#This Row],[Regional Transfer (Real)]]+Table25293032365256[[#This Row],[Stock Level  (West)]])</f>
        <v>0</v>
      </c>
    </row>
    <row r="344" spans="2:28" x14ac:dyDescent="0.2">
      <c r="B344" s="4" t="s">
        <v>37</v>
      </c>
      <c r="C344" s="20">
        <f t="shared" si="16"/>
        <v>789</v>
      </c>
      <c r="D344" s="20">
        <f>C345-Table25334953[[#This Row],[Stock Level  ]]</f>
        <v>-3</v>
      </c>
      <c r="E344" s="20">
        <f>IFERROR(GETPIVOTDATA("QTY",$B$56,"PRODUCT_DESCRIPTION", $B$307, "SALES_ORDER_DATE",Table25334953[[#This Row],[Date]]), 0)</f>
        <v>3</v>
      </c>
      <c r="F344" s="20">
        <f>Table25334953[[#This Row],[Stock Change (t1-t0)]]+Table25334953[[#This Row],[Sales]]</f>
        <v>0</v>
      </c>
      <c r="G344" s="18">
        <f>IF(Table25334953[[#This Row],[Purchase (Real)]]=0, 0, Table25334953[[#This Row],[Purchase (Real)]]+C343)</f>
        <v>0</v>
      </c>
      <c r="I344" s="4" t="s">
        <v>37</v>
      </c>
      <c r="J344" s="20">
        <f t="shared" si="17"/>
        <v>72</v>
      </c>
      <c r="K344" s="20">
        <f>J345-Table2529345054[[#This Row],[Stock Level  (North)]]</f>
        <v>-3</v>
      </c>
      <c r="L344" s="20">
        <f>IFERROR(GETPIVOTDATA("QTY",$B$56,"PRODUCT_DESCRIPTION", $B$307, "SALES_ORDER_DATE",Table2529345054[[#This Row],[Date]], "AREA_NAME", "North"), 0)</f>
        <v>3</v>
      </c>
      <c r="M344" s="20">
        <f>Table2529345054[[#This Row],[Stock Change (t1-t0) (North)]]+Table2529345054[[#This Row],[Sales]]</f>
        <v>0</v>
      </c>
      <c r="N344" s="18">
        <f>IF(Table2529345054[[#This Row],[Regional Transfer (Real)]]=0, 0, Table2529345054[[#This Row],[Regional Transfer (Real)]]+Table2529345054[[#This Row],[Stock Level  (North)]])</f>
        <v>0</v>
      </c>
      <c r="P344" s="4" t="s">
        <v>37</v>
      </c>
      <c r="Q344" s="20">
        <f t="shared" si="18"/>
        <v>186</v>
      </c>
      <c r="R344" s="20">
        <f>Q345-Table252930355155[[#This Row],[Stock Level  (South)]]</f>
        <v>0</v>
      </c>
      <c r="S344" s="20">
        <f>IFERROR(GETPIVOTDATA("QTY",$B$56,"PRODUCT_DESCRIPTION", $B$307, "SALES_ORDER_DATE",Table252930355155[[#This Row],[Date]], "AREA_NAME", "South"), 0)</f>
        <v>0</v>
      </c>
      <c r="T344" s="20">
        <f>Table252930355155[[#This Row],[Stock Change (t1-t0) (South)]]+Table252930355155[[#This Row],[Sales]]</f>
        <v>0</v>
      </c>
      <c r="U344" s="18">
        <f>IF(Table252930355155[[#This Row],[Regional Transfer (Real)]]=0, 0, Table252930355155[[#This Row],[Regional Transfer (Real)]]+Table252930355155[[#This Row],[Stock Level  (South)]])</f>
        <v>0</v>
      </c>
      <c r="W344" s="4" t="s">
        <v>37</v>
      </c>
      <c r="X344" s="20">
        <f t="shared" si="19"/>
        <v>30</v>
      </c>
      <c r="Y344" s="20">
        <f>X345-Table25293032365256[[#This Row],[Stock Level  (West)]]</f>
        <v>0</v>
      </c>
      <c r="Z344" s="20">
        <f>IFERROR(GETPIVOTDATA("QTY",$B$56,"PRODUCT_DESCRIPTION", $B$307, "SALES_ORDER_DATE",Table25293032365256[[#This Row],[Date]], "AREA_NAME", "West"), 0)</f>
        <v>0</v>
      </c>
      <c r="AA344" s="20">
        <f>Table25293032365256[[#This Row],[Stock Change (t1-t0) (West)]]+Table25293032365256[[#This Row],[Sales]]</f>
        <v>0</v>
      </c>
      <c r="AB344" s="18">
        <f>IF(Table25293032365256[[#This Row],[Regional Transfer (Real)]]=0, 0, Table25293032365256[[#This Row],[Regional Transfer (Real)]]+Table25293032365256[[#This Row],[Stock Level  (West)]])</f>
        <v>0</v>
      </c>
    </row>
    <row r="345" spans="2:28" x14ac:dyDescent="0.2">
      <c r="B345" s="4" t="s">
        <v>38</v>
      </c>
      <c r="C345" s="20">
        <f t="shared" si="16"/>
        <v>786</v>
      </c>
      <c r="D345" s="20">
        <f>C346-Table25334953[[#This Row],[Stock Level  ]]</f>
        <v>-71</v>
      </c>
      <c r="E345" s="20">
        <f>IFERROR(GETPIVOTDATA("QTY",$B$56,"PRODUCT_DESCRIPTION", $B$307, "SALES_ORDER_DATE",Table25334953[[#This Row],[Date]]), 0)</f>
        <v>71</v>
      </c>
      <c r="F345" s="20">
        <f>Table25334953[[#This Row],[Stock Change (t1-t0)]]+Table25334953[[#This Row],[Sales]]</f>
        <v>0</v>
      </c>
      <c r="G345" s="18">
        <f>IF(Table25334953[[#This Row],[Purchase (Real)]]=0, 0, Table25334953[[#This Row],[Purchase (Real)]]+C344)</f>
        <v>0</v>
      </c>
      <c r="I345" s="4" t="s">
        <v>38</v>
      </c>
      <c r="J345" s="20">
        <f t="shared" si="17"/>
        <v>69</v>
      </c>
      <c r="K345" s="20">
        <f>J346-Table2529345054[[#This Row],[Stock Level  (North)]]</f>
        <v>224</v>
      </c>
      <c r="L345" s="20">
        <f>IFERROR(GETPIVOTDATA("QTY",$B$56,"PRODUCT_DESCRIPTION", $B$307, "SALES_ORDER_DATE",Table2529345054[[#This Row],[Date]], "AREA_NAME", "North"), 0)</f>
        <v>7</v>
      </c>
      <c r="M345" s="20">
        <f>Table2529345054[[#This Row],[Stock Change (t1-t0) (North)]]+Table2529345054[[#This Row],[Sales]]</f>
        <v>231</v>
      </c>
      <c r="N345" s="18">
        <f>IF(Table2529345054[[#This Row],[Regional Transfer (Real)]]=0, 0, Table2529345054[[#This Row],[Regional Transfer (Real)]]+Table2529345054[[#This Row],[Stock Level  (North)]])</f>
        <v>300</v>
      </c>
      <c r="P345" s="4" t="s">
        <v>38</v>
      </c>
      <c r="Q345" s="20">
        <f t="shared" si="18"/>
        <v>186</v>
      </c>
      <c r="R345" s="20">
        <f>Q346-Table252930355155[[#This Row],[Stock Level  (South)]]</f>
        <v>50</v>
      </c>
      <c r="S345" s="20">
        <f>IFERROR(GETPIVOTDATA("QTY",$B$56,"PRODUCT_DESCRIPTION", $B$307, "SALES_ORDER_DATE",Table252930355155[[#This Row],[Date]], "AREA_NAME", "South"), 0)</f>
        <v>64</v>
      </c>
      <c r="T345" s="20">
        <f>Table252930355155[[#This Row],[Stock Change (t1-t0) (South)]]+Table252930355155[[#This Row],[Sales]]</f>
        <v>114</v>
      </c>
      <c r="U345" s="18">
        <f>IF(Table252930355155[[#This Row],[Regional Transfer (Real)]]=0, 0, Table252930355155[[#This Row],[Regional Transfer (Real)]]+Table252930355155[[#This Row],[Stock Level  (South)]])</f>
        <v>300</v>
      </c>
      <c r="W345" s="4" t="s">
        <v>38</v>
      </c>
      <c r="X345" s="20">
        <f t="shared" si="19"/>
        <v>30</v>
      </c>
      <c r="Y345" s="20">
        <f>X346-Table25293032365256[[#This Row],[Stock Level  (West)]]</f>
        <v>0</v>
      </c>
      <c r="Z345" s="20">
        <f>IFERROR(GETPIVOTDATA("QTY",$B$56,"PRODUCT_DESCRIPTION", $B$307, "SALES_ORDER_DATE",Table25293032365256[[#This Row],[Date]], "AREA_NAME", "West"), 0)</f>
        <v>0</v>
      </c>
      <c r="AA345" s="20">
        <f>Table25293032365256[[#This Row],[Stock Change (t1-t0) (West)]]+Table25293032365256[[#This Row],[Sales]]</f>
        <v>0</v>
      </c>
      <c r="AB345" s="18">
        <f>IF(Table25293032365256[[#This Row],[Regional Transfer (Real)]]=0, 0, Table25293032365256[[#This Row],[Regional Transfer (Real)]]+Table25293032365256[[#This Row],[Stock Level  (West)]])</f>
        <v>0</v>
      </c>
    </row>
    <row r="346" spans="2:28" x14ac:dyDescent="0.2">
      <c r="B346" s="4" t="s">
        <v>39</v>
      </c>
      <c r="C346" s="20">
        <f t="shared" si="16"/>
        <v>715</v>
      </c>
      <c r="D346" s="20">
        <f>C347-Table25334953[[#This Row],[Stock Level  ]]</f>
        <v>0</v>
      </c>
      <c r="E346" s="20">
        <f>IFERROR(GETPIVOTDATA("QTY",$B$56,"PRODUCT_DESCRIPTION", $B$307, "SALES_ORDER_DATE",Table25334953[[#This Row],[Date]]), 0)</f>
        <v>0</v>
      </c>
      <c r="F346" s="20">
        <f>Table25334953[[#This Row],[Stock Change (t1-t0)]]+Table25334953[[#This Row],[Sales]]</f>
        <v>0</v>
      </c>
      <c r="G346" s="18">
        <f>IF(Table25334953[[#This Row],[Purchase (Real)]]=0, 0, Table25334953[[#This Row],[Purchase (Real)]]+C345)</f>
        <v>0</v>
      </c>
      <c r="I346" s="4" t="s">
        <v>39</v>
      </c>
      <c r="J346" s="20">
        <f t="shared" si="17"/>
        <v>293</v>
      </c>
      <c r="K346" s="20">
        <f>J347-Table2529345054[[#This Row],[Stock Level  (North)]]</f>
        <v>0</v>
      </c>
      <c r="L346" s="20">
        <f>IFERROR(GETPIVOTDATA("QTY",$B$56,"PRODUCT_DESCRIPTION", $B$307, "SALES_ORDER_DATE",Table2529345054[[#This Row],[Date]], "AREA_NAME", "North"), 0)</f>
        <v>0</v>
      </c>
      <c r="M346" s="20">
        <f>Table2529345054[[#This Row],[Stock Change (t1-t0) (North)]]+Table2529345054[[#This Row],[Sales]]</f>
        <v>0</v>
      </c>
      <c r="N346" s="18">
        <f>IF(Table2529345054[[#This Row],[Regional Transfer (Real)]]=0, 0, Table2529345054[[#This Row],[Regional Transfer (Real)]]+Table2529345054[[#This Row],[Stock Level  (North)]])</f>
        <v>0</v>
      </c>
      <c r="P346" s="4" t="s">
        <v>39</v>
      </c>
      <c r="Q346" s="20">
        <f t="shared" si="18"/>
        <v>236</v>
      </c>
      <c r="R346" s="20">
        <f>Q347-Table252930355155[[#This Row],[Stock Level  (South)]]</f>
        <v>0</v>
      </c>
      <c r="S346" s="20">
        <f>IFERROR(GETPIVOTDATA("QTY",$B$56,"PRODUCT_DESCRIPTION", $B$307, "SALES_ORDER_DATE",Table252930355155[[#This Row],[Date]], "AREA_NAME", "South"), 0)</f>
        <v>0</v>
      </c>
      <c r="T346" s="20">
        <f>Table252930355155[[#This Row],[Stock Change (t1-t0) (South)]]+Table252930355155[[#This Row],[Sales]]</f>
        <v>0</v>
      </c>
      <c r="U346" s="18">
        <f>IF(Table252930355155[[#This Row],[Regional Transfer (Real)]]=0, 0, Table252930355155[[#This Row],[Regional Transfer (Real)]]+Table252930355155[[#This Row],[Stock Level  (South)]])</f>
        <v>0</v>
      </c>
      <c r="W346" s="4" t="s">
        <v>39</v>
      </c>
      <c r="X346" s="20">
        <f t="shared" si="19"/>
        <v>30</v>
      </c>
      <c r="Y346" s="20">
        <f>X347-Table25293032365256[[#This Row],[Stock Level  (West)]]</f>
        <v>0</v>
      </c>
      <c r="Z346" s="20">
        <f>IFERROR(GETPIVOTDATA("QTY",$B$56,"PRODUCT_DESCRIPTION", $B$307, "SALES_ORDER_DATE",Table25293032365256[[#This Row],[Date]], "AREA_NAME", "West"), 0)</f>
        <v>0</v>
      </c>
      <c r="AA346" s="20">
        <f>Table25293032365256[[#This Row],[Stock Change (t1-t0) (West)]]+Table25293032365256[[#This Row],[Sales]]</f>
        <v>0</v>
      </c>
      <c r="AB346" s="18">
        <f>IF(Table25293032365256[[#This Row],[Regional Transfer (Real)]]=0, 0, Table25293032365256[[#This Row],[Regional Transfer (Real)]]+Table25293032365256[[#This Row],[Stock Level  (West)]])</f>
        <v>0</v>
      </c>
    </row>
    <row r="347" spans="2:28" x14ac:dyDescent="0.2">
      <c r="B347" s="4" t="s">
        <v>40</v>
      </c>
      <c r="C347" s="20">
        <f t="shared" si="16"/>
        <v>715</v>
      </c>
      <c r="D347" s="20">
        <f>C348-Table25334953[[#This Row],[Stock Level  ]]</f>
        <v>-69</v>
      </c>
      <c r="E347" s="20">
        <f>IFERROR(GETPIVOTDATA("QTY",$B$56,"PRODUCT_DESCRIPTION", $B$307, "SALES_ORDER_DATE",Table25334953[[#This Row],[Date]]), 0)</f>
        <v>69</v>
      </c>
      <c r="F347" s="20">
        <f>Table25334953[[#This Row],[Stock Change (t1-t0)]]+Table25334953[[#This Row],[Sales]]</f>
        <v>0</v>
      </c>
      <c r="G347" s="18">
        <f>IF(Table25334953[[#This Row],[Purchase (Real)]]=0, 0, Table25334953[[#This Row],[Purchase (Real)]]+C346)</f>
        <v>0</v>
      </c>
      <c r="I347" s="4" t="s">
        <v>40</v>
      </c>
      <c r="J347" s="20">
        <f t="shared" si="17"/>
        <v>293</v>
      </c>
      <c r="K347" s="20">
        <f>J348-Table2529345054[[#This Row],[Stock Level  (North)]]</f>
        <v>-69</v>
      </c>
      <c r="L347" s="20">
        <f>IFERROR(GETPIVOTDATA("QTY",$B$56,"PRODUCT_DESCRIPTION", $B$307, "SALES_ORDER_DATE",Table2529345054[[#This Row],[Date]], "AREA_NAME", "North"), 0)</f>
        <v>69</v>
      </c>
      <c r="M347" s="20">
        <f>Table2529345054[[#This Row],[Stock Change (t1-t0) (North)]]+Table2529345054[[#This Row],[Sales]]</f>
        <v>0</v>
      </c>
      <c r="N347" s="18">
        <f>IF(Table2529345054[[#This Row],[Regional Transfer (Real)]]=0, 0, Table2529345054[[#This Row],[Regional Transfer (Real)]]+Table2529345054[[#This Row],[Stock Level  (North)]])</f>
        <v>0</v>
      </c>
      <c r="P347" s="4" t="s">
        <v>40</v>
      </c>
      <c r="Q347" s="20">
        <f t="shared" si="18"/>
        <v>236</v>
      </c>
      <c r="R347" s="20">
        <f>Q348-Table252930355155[[#This Row],[Stock Level  (South)]]</f>
        <v>0</v>
      </c>
      <c r="S347" s="20">
        <f>IFERROR(GETPIVOTDATA("QTY",$B$56,"PRODUCT_DESCRIPTION", $B$307, "SALES_ORDER_DATE",Table252930355155[[#This Row],[Date]], "AREA_NAME", "South"), 0)</f>
        <v>0</v>
      </c>
      <c r="T347" s="20">
        <f>Table252930355155[[#This Row],[Stock Change (t1-t0) (South)]]+Table252930355155[[#This Row],[Sales]]</f>
        <v>0</v>
      </c>
      <c r="U347" s="18">
        <f>IF(Table252930355155[[#This Row],[Regional Transfer (Real)]]=0, 0, Table252930355155[[#This Row],[Regional Transfer (Real)]]+Table252930355155[[#This Row],[Stock Level  (South)]])</f>
        <v>0</v>
      </c>
      <c r="W347" s="4" t="s">
        <v>40</v>
      </c>
      <c r="X347" s="20">
        <f t="shared" si="19"/>
        <v>30</v>
      </c>
      <c r="Y347" s="20">
        <f>X348-Table25293032365256[[#This Row],[Stock Level  (West)]]</f>
        <v>0</v>
      </c>
      <c r="Z347" s="20">
        <f>IFERROR(GETPIVOTDATA("QTY",$B$56,"PRODUCT_DESCRIPTION", $B$307, "SALES_ORDER_DATE",Table25293032365256[[#This Row],[Date]], "AREA_NAME", "West"), 0)</f>
        <v>0</v>
      </c>
      <c r="AA347" s="20">
        <f>Table25293032365256[[#This Row],[Stock Change (t1-t0) (West)]]+Table25293032365256[[#This Row],[Sales]]</f>
        <v>0</v>
      </c>
      <c r="AB347" s="18">
        <f>IF(Table25293032365256[[#This Row],[Regional Transfer (Real)]]=0, 0, Table25293032365256[[#This Row],[Regional Transfer (Real)]]+Table25293032365256[[#This Row],[Stock Level  (West)]])</f>
        <v>0</v>
      </c>
    </row>
    <row r="348" spans="2:28" x14ac:dyDescent="0.2">
      <c r="B348" s="4" t="s">
        <v>41</v>
      </c>
      <c r="C348" s="20">
        <f t="shared" si="16"/>
        <v>646</v>
      </c>
      <c r="D348" s="20">
        <f>C349-Table25334953[[#This Row],[Stock Level  ]]</f>
        <v>0</v>
      </c>
      <c r="E348" s="20">
        <f>IFERROR(GETPIVOTDATA("QTY",$B$56,"PRODUCT_DESCRIPTION", $B$307, "SALES_ORDER_DATE",Table25334953[[#This Row],[Date]]), 0)</f>
        <v>0</v>
      </c>
      <c r="F348" s="20">
        <f>Table25334953[[#This Row],[Stock Change (t1-t0)]]+Table25334953[[#This Row],[Sales]]</f>
        <v>0</v>
      </c>
      <c r="G348" s="18">
        <f>IF(Table25334953[[#This Row],[Purchase (Real)]]=0, 0, Table25334953[[#This Row],[Purchase (Real)]]+C347)</f>
        <v>0</v>
      </c>
      <c r="I348" s="4" t="s">
        <v>41</v>
      </c>
      <c r="J348" s="20">
        <f t="shared" si="17"/>
        <v>224</v>
      </c>
      <c r="K348" s="20">
        <f>J349-Table2529345054[[#This Row],[Stock Level  (North)]]</f>
        <v>76</v>
      </c>
      <c r="L348" s="20">
        <f>IFERROR(GETPIVOTDATA("QTY",$B$56,"PRODUCT_DESCRIPTION", $B$307, "SALES_ORDER_DATE",Table2529345054[[#This Row],[Date]], "AREA_NAME", "North"), 0)</f>
        <v>0</v>
      </c>
      <c r="M348" s="20">
        <f>Table2529345054[[#This Row],[Stock Change (t1-t0) (North)]]+Table2529345054[[#This Row],[Sales]]</f>
        <v>76</v>
      </c>
      <c r="N348" s="18">
        <f>IF(Table2529345054[[#This Row],[Regional Transfer (Real)]]=0, 0, Table2529345054[[#This Row],[Regional Transfer (Real)]]+Table2529345054[[#This Row],[Stock Level  (North)]])</f>
        <v>300</v>
      </c>
      <c r="P348" s="4" t="s">
        <v>41</v>
      </c>
      <c r="Q348" s="20">
        <f t="shared" si="18"/>
        <v>236</v>
      </c>
      <c r="R348" s="20">
        <f>Q349-Table252930355155[[#This Row],[Stock Level  (South)]]</f>
        <v>64</v>
      </c>
      <c r="S348" s="20">
        <f>IFERROR(GETPIVOTDATA("QTY",$B$56,"PRODUCT_DESCRIPTION", $B$307, "SALES_ORDER_DATE",Table252930355155[[#This Row],[Date]], "AREA_NAME", "South"), 0)</f>
        <v>0</v>
      </c>
      <c r="T348" s="20">
        <f>Table252930355155[[#This Row],[Stock Change (t1-t0) (South)]]+Table252930355155[[#This Row],[Sales]]</f>
        <v>64</v>
      </c>
      <c r="U348" s="18">
        <f>IF(Table252930355155[[#This Row],[Regional Transfer (Real)]]=0, 0, Table252930355155[[#This Row],[Regional Transfer (Real)]]+Table252930355155[[#This Row],[Stock Level  (South)]])</f>
        <v>300</v>
      </c>
      <c r="W348" s="4" t="s">
        <v>41</v>
      </c>
      <c r="X348" s="20">
        <f t="shared" si="19"/>
        <v>30</v>
      </c>
      <c r="Y348" s="20">
        <f>X349-Table25293032365256[[#This Row],[Stock Level  (West)]]</f>
        <v>0</v>
      </c>
      <c r="Z348" s="20">
        <f>IFERROR(GETPIVOTDATA("QTY",$B$56,"PRODUCT_DESCRIPTION", $B$307, "SALES_ORDER_DATE",Table25293032365256[[#This Row],[Date]], "AREA_NAME", "West"), 0)</f>
        <v>0</v>
      </c>
      <c r="AA348" s="20">
        <f>Table25293032365256[[#This Row],[Stock Change (t1-t0) (West)]]+Table25293032365256[[#This Row],[Sales]]</f>
        <v>0</v>
      </c>
      <c r="AB348" s="18">
        <f>IF(Table25293032365256[[#This Row],[Regional Transfer (Real)]]=0, 0, Table25293032365256[[#This Row],[Regional Transfer (Real)]]+Table25293032365256[[#This Row],[Stock Level  (West)]])</f>
        <v>0</v>
      </c>
    </row>
    <row r="349" spans="2:28" x14ac:dyDescent="0.2">
      <c r="B349" s="4" t="s">
        <v>42</v>
      </c>
      <c r="C349" s="20">
        <f t="shared" si="16"/>
        <v>646</v>
      </c>
      <c r="D349" s="20">
        <f>C350-Table25334953[[#This Row],[Stock Level  ]]</f>
        <v>0</v>
      </c>
      <c r="E349" s="20">
        <f>IFERROR(GETPIVOTDATA("QTY",$B$56,"PRODUCT_DESCRIPTION", $B$307, "SALES_ORDER_DATE",Table25334953[[#This Row],[Date]]), 0)</f>
        <v>0</v>
      </c>
      <c r="F349" s="20">
        <f>Table25334953[[#This Row],[Stock Change (t1-t0)]]+Table25334953[[#This Row],[Sales]]</f>
        <v>0</v>
      </c>
      <c r="G349" s="18">
        <f>IF(Table25334953[[#This Row],[Purchase (Real)]]=0, 0, Table25334953[[#This Row],[Purchase (Real)]]+C348)</f>
        <v>0</v>
      </c>
      <c r="I349" s="4" t="s">
        <v>42</v>
      </c>
      <c r="J349" s="20">
        <f t="shared" si="17"/>
        <v>300</v>
      </c>
      <c r="K349" s="20">
        <f>J350-Table2529345054[[#This Row],[Stock Level  (North)]]</f>
        <v>0</v>
      </c>
      <c r="L349" s="20">
        <f>IFERROR(GETPIVOTDATA("QTY",$B$56,"PRODUCT_DESCRIPTION", $B$307, "SALES_ORDER_DATE",Table2529345054[[#This Row],[Date]], "AREA_NAME", "North"), 0)</f>
        <v>0</v>
      </c>
      <c r="M349" s="20">
        <f>Table2529345054[[#This Row],[Stock Change (t1-t0) (North)]]+Table2529345054[[#This Row],[Sales]]</f>
        <v>0</v>
      </c>
      <c r="N349" s="18">
        <f>IF(Table2529345054[[#This Row],[Regional Transfer (Real)]]=0, 0, Table2529345054[[#This Row],[Regional Transfer (Real)]]+Table2529345054[[#This Row],[Stock Level  (North)]])</f>
        <v>0</v>
      </c>
      <c r="P349" s="4" t="s">
        <v>42</v>
      </c>
      <c r="Q349" s="20">
        <f t="shared" si="18"/>
        <v>300</v>
      </c>
      <c r="R349" s="20">
        <f>Q350-Table252930355155[[#This Row],[Stock Level  (South)]]</f>
        <v>0</v>
      </c>
      <c r="S349" s="20">
        <f>IFERROR(GETPIVOTDATA("QTY",$B$56,"PRODUCT_DESCRIPTION", $B$307, "SALES_ORDER_DATE",Table252930355155[[#This Row],[Date]], "AREA_NAME", "South"), 0)</f>
        <v>0</v>
      </c>
      <c r="T349" s="20">
        <f>Table252930355155[[#This Row],[Stock Change (t1-t0) (South)]]+Table252930355155[[#This Row],[Sales]]</f>
        <v>0</v>
      </c>
      <c r="U349" s="18">
        <f>IF(Table252930355155[[#This Row],[Regional Transfer (Real)]]=0, 0, Table252930355155[[#This Row],[Regional Transfer (Real)]]+Table252930355155[[#This Row],[Stock Level  (South)]])</f>
        <v>0</v>
      </c>
      <c r="W349" s="4" t="s">
        <v>42</v>
      </c>
      <c r="X349" s="20">
        <f t="shared" si="19"/>
        <v>30</v>
      </c>
      <c r="Y349" s="20">
        <f>X350-Table25293032365256[[#This Row],[Stock Level  (West)]]</f>
        <v>0</v>
      </c>
      <c r="Z349" s="20">
        <f>IFERROR(GETPIVOTDATA("QTY",$B$56,"PRODUCT_DESCRIPTION", $B$307, "SALES_ORDER_DATE",Table25293032365256[[#This Row],[Date]], "AREA_NAME", "West"), 0)</f>
        <v>0</v>
      </c>
      <c r="AA349" s="20">
        <f>Table25293032365256[[#This Row],[Stock Change (t1-t0) (West)]]+Table25293032365256[[#This Row],[Sales]]</f>
        <v>0</v>
      </c>
      <c r="AB349" s="18">
        <f>IF(Table25293032365256[[#This Row],[Regional Transfer (Real)]]=0, 0, Table25293032365256[[#This Row],[Regional Transfer (Real)]]+Table25293032365256[[#This Row],[Stock Level  (West)]])</f>
        <v>0</v>
      </c>
    </row>
    <row r="350" spans="2:28" x14ac:dyDescent="0.2">
      <c r="B350" s="4" t="s">
        <v>43</v>
      </c>
      <c r="C350" s="20">
        <f t="shared" si="16"/>
        <v>646</v>
      </c>
      <c r="D350" s="20">
        <f>C351-Table25334953[[#This Row],[Stock Level  ]]</f>
        <v>-45</v>
      </c>
      <c r="E350" s="20">
        <f>IFERROR(GETPIVOTDATA("QTY",$B$56,"PRODUCT_DESCRIPTION", $B$307, "SALES_ORDER_DATE",Table25334953[[#This Row],[Date]]), 0)</f>
        <v>45</v>
      </c>
      <c r="F350" s="20">
        <f>Table25334953[[#This Row],[Stock Change (t1-t0)]]+Table25334953[[#This Row],[Sales]]</f>
        <v>0</v>
      </c>
      <c r="G350" s="18">
        <f>IF(Table25334953[[#This Row],[Purchase (Real)]]=0, 0, Table25334953[[#This Row],[Purchase (Real)]]+C349)</f>
        <v>0</v>
      </c>
      <c r="I350" s="4" t="s">
        <v>43</v>
      </c>
      <c r="J350" s="20">
        <f t="shared" si="17"/>
        <v>300</v>
      </c>
      <c r="K350" s="20">
        <f>J351-Table2529345054[[#This Row],[Stock Level  (North)]]</f>
        <v>-45</v>
      </c>
      <c r="L350" s="20">
        <f>IFERROR(GETPIVOTDATA("QTY",$B$56,"PRODUCT_DESCRIPTION", $B$307, "SALES_ORDER_DATE",Table2529345054[[#This Row],[Date]], "AREA_NAME", "North"), 0)</f>
        <v>45</v>
      </c>
      <c r="M350" s="20">
        <f>Table2529345054[[#This Row],[Stock Change (t1-t0) (North)]]+Table2529345054[[#This Row],[Sales]]</f>
        <v>0</v>
      </c>
      <c r="N350" s="18">
        <f>IF(Table2529345054[[#This Row],[Regional Transfer (Real)]]=0, 0, Table2529345054[[#This Row],[Regional Transfer (Real)]]+Table2529345054[[#This Row],[Stock Level  (North)]])</f>
        <v>0</v>
      </c>
      <c r="P350" s="4" t="s">
        <v>43</v>
      </c>
      <c r="Q350" s="20">
        <f t="shared" si="18"/>
        <v>300</v>
      </c>
      <c r="R350" s="20">
        <f>Q351-Table252930355155[[#This Row],[Stock Level  (South)]]</f>
        <v>0</v>
      </c>
      <c r="S350" s="20">
        <f>IFERROR(GETPIVOTDATA("QTY",$B$56,"PRODUCT_DESCRIPTION", $B$307, "SALES_ORDER_DATE",Table252930355155[[#This Row],[Date]], "AREA_NAME", "South"), 0)</f>
        <v>0</v>
      </c>
      <c r="T350" s="20">
        <f>Table252930355155[[#This Row],[Stock Change (t1-t0) (South)]]+Table252930355155[[#This Row],[Sales]]</f>
        <v>0</v>
      </c>
      <c r="U350" s="18">
        <f>IF(Table252930355155[[#This Row],[Regional Transfer (Real)]]=0, 0, Table252930355155[[#This Row],[Regional Transfer (Real)]]+Table252930355155[[#This Row],[Stock Level  (South)]])</f>
        <v>0</v>
      </c>
      <c r="W350" s="4" t="s">
        <v>43</v>
      </c>
      <c r="X350" s="20">
        <f t="shared" si="19"/>
        <v>30</v>
      </c>
      <c r="Y350" s="20">
        <f>X351-Table25293032365256[[#This Row],[Stock Level  (West)]]</f>
        <v>0</v>
      </c>
      <c r="Z350" s="20">
        <f>IFERROR(GETPIVOTDATA("QTY",$B$56,"PRODUCT_DESCRIPTION", $B$307, "SALES_ORDER_DATE",Table25293032365256[[#This Row],[Date]], "AREA_NAME", "West"), 0)</f>
        <v>0</v>
      </c>
      <c r="AA350" s="20">
        <f>Table25293032365256[[#This Row],[Stock Change (t1-t0) (West)]]+Table25293032365256[[#This Row],[Sales]]</f>
        <v>0</v>
      </c>
      <c r="AB350" s="18">
        <f>IF(Table25293032365256[[#This Row],[Regional Transfer (Real)]]=0, 0, Table25293032365256[[#This Row],[Regional Transfer (Real)]]+Table25293032365256[[#This Row],[Stock Level  (West)]])</f>
        <v>0</v>
      </c>
    </row>
    <row r="351" spans="2:28" x14ac:dyDescent="0.2">
      <c r="B351" s="4" t="s">
        <v>44</v>
      </c>
      <c r="C351" s="20">
        <f t="shared" si="16"/>
        <v>601</v>
      </c>
      <c r="D351" s="20">
        <f>C352-Table25334953[[#This Row],[Stock Level  ]]</f>
        <v>399</v>
      </c>
      <c r="E351" s="20">
        <f>IFERROR(GETPIVOTDATA("QTY",$B$56,"PRODUCT_DESCRIPTION", $B$307, "SALES_ORDER_DATE",Table25334953[[#This Row],[Date]]), 0)</f>
        <v>0</v>
      </c>
      <c r="F351" s="20">
        <f>Table25334953[[#This Row],[Stock Change (t1-t0)]]+Table25334953[[#This Row],[Sales]]</f>
        <v>399</v>
      </c>
      <c r="G351" s="18">
        <f>IF(Table25334953[[#This Row],[Purchase (Real)]]=0, 0, Table25334953[[#This Row],[Purchase (Real)]]+C350)</f>
        <v>1045</v>
      </c>
      <c r="I351" s="4" t="s">
        <v>44</v>
      </c>
      <c r="J351" s="20">
        <f t="shared" si="17"/>
        <v>255</v>
      </c>
      <c r="K351" s="20">
        <f>J352-Table2529345054[[#This Row],[Stock Level  (North)]]</f>
        <v>16</v>
      </c>
      <c r="L351" s="20">
        <f>IFERROR(GETPIVOTDATA("QTY",$B$56,"PRODUCT_DESCRIPTION", $B$307, "SALES_ORDER_DATE",Table2529345054[[#This Row],[Date]], "AREA_NAME", "North"), 0)</f>
        <v>0</v>
      </c>
      <c r="M351" s="20">
        <f>Table2529345054[[#This Row],[Stock Change (t1-t0) (North)]]+Table2529345054[[#This Row],[Sales]]</f>
        <v>16</v>
      </c>
      <c r="N351" s="18">
        <f>IF(Table2529345054[[#This Row],[Regional Transfer (Real)]]=0, 0, Table2529345054[[#This Row],[Regional Transfer (Real)]]+Table2529345054[[#This Row],[Stock Level  (North)]])</f>
        <v>271</v>
      </c>
      <c r="P351" s="4" t="s">
        <v>44</v>
      </c>
      <c r="Q351" s="20">
        <f t="shared" si="18"/>
        <v>300</v>
      </c>
      <c r="R351" s="20">
        <f>Q352-Table252930355155[[#This Row],[Stock Level  (South)]]</f>
        <v>0</v>
      </c>
      <c r="S351" s="20">
        <f>IFERROR(GETPIVOTDATA("QTY",$B$56,"PRODUCT_DESCRIPTION", $B$307, "SALES_ORDER_DATE",Table252930355155[[#This Row],[Date]], "AREA_NAME", "South"), 0)</f>
        <v>0</v>
      </c>
      <c r="T351" s="20">
        <f>Table252930355155[[#This Row],[Stock Change (t1-t0) (South)]]+Table252930355155[[#This Row],[Sales]]</f>
        <v>0</v>
      </c>
      <c r="U351" s="18">
        <f>IF(Table252930355155[[#This Row],[Regional Transfer (Real)]]=0, 0, Table252930355155[[#This Row],[Regional Transfer (Real)]]+Table252930355155[[#This Row],[Stock Level  (South)]])</f>
        <v>0</v>
      </c>
      <c r="W351" s="4" t="s">
        <v>44</v>
      </c>
      <c r="X351" s="20">
        <f t="shared" si="19"/>
        <v>30</v>
      </c>
      <c r="Y351" s="20">
        <f>X352-Table25293032365256[[#This Row],[Stock Level  (West)]]</f>
        <v>0</v>
      </c>
      <c r="Z351" s="20">
        <f>IFERROR(GETPIVOTDATA("QTY",$B$56,"PRODUCT_DESCRIPTION", $B$307, "SALES_ORDER_DATE",Table25293032365256[[#This Row],[Date]], "AREA_NAME", "West"), 0)</f>
        <v>0</v>
      </c>
      <c r="AA351" s="20">
        <f>Table25293032365256[[#This Row],[Stock Change (t1-t0) (West)]]+Table25293032365256[[#This Row],[Sales]]</f>
        <v>0</v>
      </c>
      <c r="AB351" s="18">
        <f>IF(Table25293032365256[[#This Row],[Regional Transfer (Real)]]=0, 0, Table25293032365256[[#This Row],[Regional Transfer (Real)]]+Table25293032365256[[#This Row],[Stock Level  (West)]])</f>
        <v>0</v>
      </c>
    </row>
    <row r="352" spans="2:28" x14ac:dyDescent="0.2">
      <c r="B352" s="4" t="s">
        <v>45</v>
      </c>
      <c r="C352" s="20">
        <f t="shared" si="16"/>
        <v>1000</v>
      </c>
      <c r="D352" s="20">
        <f>C353-Table25334953[[#This Row],[Stock Level  ]]</f>
        <v>0</v>
      </c>
      <c r="E352" s="20">
        <f>IFERROR(GETPIVOTDATA("QTY",$B$56,"PRODUCT_DESCRIPTION", $B$307, "SALES_ORDER_DATE",Table25334953[[#This Row],[Date]]), 0)</f>
        <v>0</v>
      </c>
      <c r="F352" s="20">
        <f>Table25334953[[#This Row],[Stock Change (t1-t0)]]+Table25334953[[#This Row],[Sales]]</f>
        <v>0</v>
      </c>
      <c r="G352" s="18">
        <f>IF(Table25334953[[#This Row],[Purchase (Real)]]=0, 0, Table25334953[[#This Row],[Purchase (Real)]]+C351)</f>
        <v>0</v>
      </c>
      <c r="I352" s="4" t="s">
        <v>45</v>
      </c>
      <c r="J352" s="20">
        <f t="shared" si="17"/>
        <v>271</v>
      </c>
      <c r="K352" s="20">
        <f>J353-Table2529345054[[#This Row],[Stock Level  (North)]]</f>
        <v>0</v>
      </c>
      <c r="L352" s="20">
        <f>IFERROR(GETPIVOTDATA("QTY",$B$56,"PRODUCT_DESCRIPTION", $B$307, "SALES_ORDER_DATE",Table2529345054[[#This Row],[Date]], "AREA_NAME", "North"), 0)</f>
        <v>0</v>
      </c>
      <c r="M352" s="20">
        <f>Table2529345054[[#This Row],[Stock Change (t1-t0) (North)]]+Table2529345054[[#This Row],[Sales]]</f>
        <v>0</v>
      </c>
      <c r="N352" s="18">
        <f>IF(Table2529345054[[#This Row],[Regional Transfer (Real)]]=0, 0, Table2529345054[[#This Row],[Regional Transfer (Real)]]+Table2529345054[[#This Row],[Stock Level  (North)]])</f>
        <v>0</v>
      </c>
      <c r="P352" s="4" t="s">
        <v>45</v>
      </c>
      <c r="Q352" s="20">
        <f t="shared" si="18"/>
        <v>300</v>
      </c>
      <c r="R352" s="20">
        <f>Q353-Table252930355155[[#This Row],[Stock Level  (South)]]</f>
        <v>0</v>
      </c>
      <c r="S352" s="20">
        <f>IFERROR(GETPIVOTDATA("QTY",$B$56,"PRODUCT_DESCRIPTION", $B$307, "SALES_ORDER_DATE",Table252930355155[[#This Row],[Date]], "AREA_NAME", "South"), 0)</f>
        <v>0</v>
      </c>
      <c r="T352" s="20">
        <f>Table252930355155[[#This Row],[Stock Change (t1-t0) (South)]]+Table252930355155[[#This Row],[Sales]]</f>
        <v>0</v>
      </c>
      <c r="U352" s="18">
        <f>IF(Table252930355155[[#This Row],[Regional Transfer (Real)]]=0, 0, Table252930355155[[#This Row],[Regional Transfer (Real)]]+Table252930355155[[#This Row],[Stock Level  (South)]])</f>
        <v>0</v>
      </c>
      <c r="W352" s="4" t="s">
        <v>45</v>
      </c>
      <c r="X352" s="20">
        <f t="shared" si="19"/>
        <v>30</v>
      </c>
      <c r="Y352" s="20">
        <f>X353-Table25293032365256[[#This Row],[Stock Level  (West)]]</f>
        <v>0</v>
      </c>
      <c r="Z352" s="20">
        <f>IFERROR(GETPIVOTDATA("QTY",$B$56,"PRODUCT_DESCRIPTION", $B$307, "SALES_ORDER_DATE",Table25293032365256[[#This Row],[Date]], "AREA_NAME", "West"), 0)</f>
        <v>0</v>
      </c>
      <c r="AA352" s="20">
        <f>Table25293032365256[[#This Row],[Stock Change (t1-t0) (West)]]+Table25293032365256[[#This Row],[Sales]]</f>
        <v>0</v>
      </c>
      <c r="AB352" s="18">
        <f>IF(Table25293032365256[[#This Row],[Regional Transfer (Real)]]=0, 0, Table25293032365256[[#This Row],[Regional Transfer (Real)]]+Table25293032365256[[#This Row],[Stock Level  (West)]])</f>
        <v>0</v>
      </c>
    </row>
    <row r="353" spans="2:28" x14ac:dyDescent="0.2">
      <c r="B353" s="4" t="s">
        <v>46</v>
      </c>
      <c r="C353" s="20">
        <f t="shared" si="16"/>
        <v>1000</v>
      </c>
      <c r="D353" s="20">
        <f>C354-Table25334953[[#This Row],[Stock Level  ]]</f>
        <v>0</v>
      </c>
      <c r="E353" s="20">
        <f>IFERROR(GETPIVOTDATA("QTY",$B$56,"PRODUCT_DESCRIPTION", $B$307, "SALES_ORDER_DATE",Table25334953[[#This Row],[Date]]), 0)</f>
        <v>0</v>
      </c>
      <c r="F353" s="20">
        <f>Table25334953[[#This Row],[Stock Change (t1-t0)]]+Table25334953[[#This Row],[Sales]]</f>
        <v>0</v>
      </c>
      <c r="G353" s="18">
        <f>IF(Table25334953[[#This Row],[Purchase (Real)]]=0, 0, Table25334953[[#This Row],[Purchase (Real)]]+C352)</f>
        <v>0</v>
      </c>
      <c r="I353" s="4" t="s">
        <v>46</v>
      </c>
      <c r="J353" s="20">
        <f t="shared" si="17"/>
        <v>271</v>
      </c>
      <c r="K353" s="20">
        <f>J354-Table2529345054[[#This Row],[Stock Level  (North)]]</f>
        <v>0</v>
      </c>
      <c r="L353" s="20">
        <f>IFERROR(GETPIVOTDATA("QTY",$B$56,"PRODUCT_DESCRIPTION", $B$307, "SALES_ORDER_DATE",Table2529345054[[#This Row],[Date]], "AREA_NAME", "North"), 0)</f>
        <v>0</v>
      </c>
      <c r="M353" s="20">
        <f>Table2529345054[[#This Row],[Stock Change (t1-t0) (North)]]+Table2529345054[[#This Row],[Sales]]</f>
        <v>0</v>
      </c>
      <c r="N353" s="18">
        <f>IF(Table2529345054[[#This Row],[Regional Transfer (Real)]]=0, 0, Table2529345054[[#This Row],[Regional Transfer (Real)]]+Table2529345054[[#This Row],[Stock Level  (North)]])</f>
        <v>0</v>
      </c>
      <c r="P353" s="4" t="s">
        <v>46</v>
      </c>
      <c r="Q353" s="20">
        <f t="shared" si="18"/>
        <v>300</v>
      </c>
      <c r="R353" s="20">
        <f>Q354-Table252930355155[[#This Row],[Stock Level  (South)]]</f>
        <v>0</v>
      </c>
      <c r="S353" s="20">
        <f>IFERROR(GETPIVOTDATA("QTY",$B$56,"PRODUCT_DESCRIPTION", $B$307, "SALES_ORDER_DATE",Table252930355155[[#This Row],[Date]], "AREA_NAME", "South"), 0)</f>
        <v>0</v>
      </c>
      <c r="T353" s="20">
        <f>Table252930355155[[#This Row],[Stock Change (t1-t0) (South)]]+Table252930355155[[#This Row],[Sales]]</f>
        <v>0</v>
      </c>
      <c r="U353" s="18">
        <f>IF(Table252930355155[[#This Row],[Regional Transfer (Real)]]=0, 0, Table252930355155[[#This Row],[Regional Transfer (Real)]]+Table252930355155[[#This Row],[Stock Level  (South)]])</f>
        <v>0</v>
      </c>
      <c r="W353" s="4" t="s">
        <v>46</v>
      </c>
      <c r="X353" s="20">
        <f t="shared" si="19"/>
        <v>30</v>
      </c>
      <c r="Y353" s="20">
        <f>X354-Table25293032365256[[#This Row],[Stock Level  (West)]]</f>
        <v>0</v>
      </c>
      <c r="Z353" s="20">
        <f>IFERROR(GETPIVOTDATA("QTY",$B$56,"PRODUCT_DESCRIPTION", $B$307, "SALES_ORDER_DATE",Table25293032365256[[#This Row],[Date]], "AREA_NAME", "West"), 0)</f>
        <v>0</v>
      </c>
      <c r="AA353" s="20">
        <f>Table25293032365256[[#This Row],[Stock Change (t1-t0) (West)]]+Table25293032365256[[#This Row],[Sales]]</f>
        <v>0</v>
      </c>
      <c r="AB353" s="18">
        <f>IF(Table25293032365256[[#This Row],[Regional Transfer (Real)]]=0, 0, Table25293032365256[[#This Row],[Regional Transfer (Real)]]+Table25293032365256[[#This Row],[Stock Level  (West)]])</f>
        <v>0</v>
      </c>
    </row>
    <row r="354" spans="2:28" x14ac:dyDescent="0.2">
      <c r="B354" s="4" t="s">
        <v>59</v>
      </c>
      <c r="C354" s="20">
        <f t="shared" si="16"/>
        <v>1000</v>
      </c>
      <c r="D354" s="20">
        <v>0</v>
      </c>
      <c r="E354" s="20">
        <f>IFERROR(GETPIVOTDATA("QTY",$B$56,"PRODUCT_DESCRIPTION", $B$307, "SALES_ORDER_DATE",Table25334953[[#This Row],[Date]]), 0)</f>
        <v>0</v>
      </c>
      <c r="F354" s="20">
        <f>Table25334953[[#This Row],[Stock Change (t1-t0)]]+Table25334953[[#This Row],[Sales]]</f>
        <v>0</v>
      </c>
      <c r="G354" s="18">
        <f>IF(Table25334953[[#This Row],[Purchase (Real)]]=0, 0, Table25334953[[#This Row],[Purchase (Real)]]+C353)</f>
        <v>0</v>
      </c>
      <c r="I354" s="4" t="s">
        <v>59</v>
      </c>
      <c r="J354" s="20">
        <f t="shared" si="17"/>
        <v>271</v>
      </c>
      <c r="K354" s="20">
        <v>0</v>
      </c>
      <c r="L354" s="20">
        <f>IFERROR(GETPIVOTDATA("QTY",$B$56,"PRODUCT_DESCRIPTION", $B$307, "SALES_ORDER_DATE",Table2529345054[[#This Row],[Date]], "AREA_NAME", "North"), 0)</f>
        <v>0</v>
      </c>
      <c r="M354" s="20">
        <f>Table2529345054[[#This Row],[Stock Change (t1-t0) (North)]]+Table2529345054[[#This Row],[Sales]]</f>
        <v>0</v>
      </c>
      <c r="N354" s="18">
        <f>IF(Table2529345054[[#This Row],[Regional Transfer (Real)]]=0, 0, Table2529345054[[#This Row],[Regional Transfer (Real)]]+Table2529345054[[#This Row],[Stock Level  (North)]])</f>
        <v>0</v>
      </c>
      <c r="P354" s="4" t="s">
        <v>59</v>
      </c>
      <c r="Q354" s="20">
        <f t="shared" si="18"/>
        <v>300</v>
      </c>
      <c r="R354" s="20">
        <v>0</v>
      </c>
      <c r="S354" s="20">
        <f>IFERROR(GETPIVOTDATA("QTY",$B$56,"PRODUCT_DESCRIPTION", $B$307, "SALES_ORDER_DATE",Table252930355155[[#This Row],[Date]], "AREA_NAME", "South"), 0)</f>
        <v>0</v>
      </c>
      <c r="T354" s="20">
        <f>Table252930355155[[#This Row],[Stock Change (t1-t0) (South)]]+Table252930355155[[#This Row],[Sales]]</f>
        <v>0</v>
      </c>
      <c r="U354" s="18">
        <f>IF(Table252930355155[[#This Row],[Regional Transfer (Real)]]=0, 0, Table252930355155[[#This Row],[Regional Transfer (Real)]]+Table252930355155[[#This Row],[Stock Level  (South)]])</f>
        <v>0</v>
      </c>
      <c r="W354" s="4" t="s">
        <v>59</v>
      </c>
      <c r="X354" s="20">
        <f t="shared" si="19"/>
        <v>30</v>
      </c>
      <c r="Y354" s="20">
        <v>0</v>
      </c>
      <c r="Z354" s="20">
        <f>IFERROR(GETPIVOTDATA("QTY",$B$56,"PRODUCT_DESCRIPTION", $B$307, "SALES_ORDER_DATE",Table25293032365256[[#This Row],[Date]], "AREA_NAME", "West"), 0)</f>
        <v>0</v>
      </c>
      <c r="AA354" s="20">
        <f>Table25293032365256[[#This Row],[Stock Change (t1-t0) (West)]]+Table25293032365256[[#This Row],[Sales]]</f>
        <v>0</v>
      </c>
      <c r="AB354" s="18">
        <f>IF(Table25293032365256[[#This Row],[Regional Transfer (Real)]]=0, 0, Table25293032365256[[#This Row],[Regional Transfer (Real)]]+Table25293032365256[[#This Row],[Stock Level  (West)]])</f>
        <v>0</v>
      </c>
    </row>
    <row r="355" spans="2:28" x14ac:dyDescent="0.2">
      <c r="B355" s="4" t="s">
        <v>91</v>
      </c>
      <c r="F355" s="11">
        <f>SUBTOTAL(109,Table25334953[Purchase (Real)])</f>
        <v>3055</v>
      </c>
      <c r="G355" s="11"/>
      <c r="I355" s="4" t="s">
        <v>91</v>
      </c>
      <c r="M355" cm="1">
        <f t="array" ref="M355">COUNT(IF(Table2529345054[Regional Transfer (Real)]&lt;&gt;0, Table2529345054[Regional Transfer (Real)]))</f>
        <v>11</v>
      </c>
      <c r="N355" s="11"/>
      <c r="P355" s="4" t="s">
        <v>91</v>
      </c>
      <c r="T355" cm="1">
        <f t="array" ref="T355">COUNT(IF(T311:T354&lt;&gt;0, Table252930355155[Regional Transfer (Real)]))</f>
        <v>8</v>
      </c>
      <c r="U355" s="11"/>
      <c r="W355" s="4" t="s">
        <v>91</v>
      </c>
      <c r="AA355" cm="1">
        <f t="array" ref="AA355">COUNT(IF(AA311:AA354&lt;&gt;0, Table25293032365256[Regional Transfer (Real)]))</f>
        <v>5</v>
      </c>
      <c r="AB355" s="11"/>
    </row>
    <row r="356" spans="2:28" x14ac:dyDescent="0.2">
      <c r="B356" s="4"/>
      <c r="F356" s="11"/>
      <c r="G356" s="11"/>
      <c r="I356" s="4"/>
      <c r="N356" s="11"/>
      <c r="P356" s="4"/>
      <c r="U356" s="11"/>
      <c r="W356" s="4"/>
      <c r="AB356" s="11"/>
    </row>
    <row r="358" spans="2:28" x14ac:dyDescent="0.2">
      <c r="B358" s="145" t="s">
        <v>95</v>
      </c>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c r="AA358" s="146"/>
      <c r="AB358" s="146"/>
    </row>
    <row r="359" spans="2:28" x14ac:dyDescent="0.2">
      <c r="B359" s="147" t="s">
        <v>6</v>
      </c>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row>
    <row r="360" spans="2:28" x14ac:dyDescent="0.2">
      <c r="B360" s="2"/>
    </row>
    <row r="361" spans="2:28" x14ac:dyDescent="0.2">
      <c r="B361" s="145" t="s">
        <v>60</v>
      </c>
      <c r="C361" s="146"/>
      <c r="D361" s="146"/>
      <c r="E361" s="146"/>
      <c r="F361" s="146"/>
      <c r="G361" s="146"/>
      <c r="I361" s="145" t="s">
        <v>112</v>
      </c>
      <c r="J361" s="146"/>
      <c r="K361" s="146"/>
      <c r="L361" s="146"/>
      <c r="M361" s="146"/>
      <c r="N361" s="146"/>
      <c r="P361" s="145" t="s">
        <v>115</v>
      </c>
      <c r="Q361" s="146"/>
      <c r="R361" s="146"/>
      <c r="S361" s="146"/>
      <c r="T361" s="146"/>
      <c r="U361" s="146"/>
      <c r="W361" s="145" t="s">
        <v>116</v>
      </c>
      <c r="X361" s="146"/>
      <c r="Y361" s="146"/>
      <c r="Z361" s="146"/>
      <c r="AA361" s="146"/>
      <c r="AB361" s="146"/>
    </row>
    <row r="362" spans="2:28" x14ac:dyDescent="0.2">
      <c r="B362" s="3" t="s">
        <v>61</v>
      </c>
      <c r="C362" s="3" t="s">
        <v>117</v>
      </c>
      <c r="D362" s="3" t="s">
        <v>120</v>
      </c>
      <c r="E362" s="3" t="s">
        <v>51</v>
      </c>
      <c r="F362" s="3" t="s">
        <v>118</v>
      </c>
      <c r="G362" s="3" t="s">
        <v>119</v>
      </c>
      <c r="I362" s="3" t="s">
        <v>61</v>
      </c>
      <c r="J362" s="3" t="s">
        <v>121</v>
      </c>
      <c r="K362" s="3" t="s">
        <v>124</v>
      </c>
      <c r="L362" s="3" t="s">
        <v>51</v>
      </c>
      <c r="M362" s="3" t="s">
        <v>125</v>
      </c>
      <c r="N362" s="3" t="s">
        <v>126</v>
      </c>
      <c r="P362" s="3" t="s">
        <v>61</v>
      </c>
      <c r="Q362" s="3" t="s">
        <v>122</v>
      </c>
      <c r="R362" s="3" t="s">
        <v>127</v>
      </c>
      <c r="S362" s="3" t="s">
        <v>51</v>
      </c>
      <c r="T362" s="3" t="s">
        <v>125</v>
      </c>
      <c r="U362" s="3" t="s">
        <v>126</v>
      </c>
      <c r="W362" s="3" t="s">
        <v>61</v>
      </c>
      <c r="X362" s="3" t="s">
        <v>123</v>
      </c>
      <c r="Y362" s="3" t="s">
        <v>128</v>
      </c>
      <c r="Z362" s="3" t="s">
        <v>51</v>
      </c>
      <c r="AA362" s="3" t="s">
        <v>125</v>
      </c>
      <c r="AB362" s="3" t="s">
        <v>126</v>
      </c>
    </row>
    <row r="363" spans="2:28" x14ac:dyDescent="0.2">
      <c r="B363" s="4" t="s">
        <v>54</v>
      </c>
      <c r="C363" s="20">
        <f t="shared" ref="C363:C406" si="20">GETPIVOTDATA("STOCK_LEVEL", $B$5, "PRODUCT", $B$359, "INVENTORY_DATE", B363 )</f>
        <v>0</v>
      </c>
      <c r="D363" s="20">
        <f>C364-Table253349[[#This Row],[Stock Level  ]]</f>
        <v>600</v>
      </c>
      <c r="E363" s="20">
        <f>IFERROR(GETPIVOTDATA("QTY",$B$56,"PRODUCT_DESCRIPTION", $B$359, "SALES_ORDER_DATE",Table253349[[#This Row],[Date]]), 0)</f>
        <v>0</v>
      </c>
      <c r="F363" s="20">
        <f>Table253349[[#This Row],[Stock Change (t1-t0)]]+Table253349[[#This Row],[Sales]]</f>
        <v>600</v>
      </c>
      <c r="G363" s="18">
        <f>IF(Table253349[[#This Row],[Purchase (Real)]]=0, 0, Table253349[[#This Row],[Purchase (Real)]]+0)</f>
        <v>600</v>
      </c>
      <c r="I363" s="4" t="s">
        <v>54</v>
      </c>
      <c r="J363" s="20">
        <f t="shared" ref="J363:J406" si="21">GETPIVOTDATA("STOCK_LEVEL", $B$5, "PRODUCT", $B$359, "INVENTORY_DATE", I363, "STORAGE_LOCATION_ID", "North" )</f>
        <v>0</v>
      </c>
      <c r="K363" s="20">
        <f>J364-Table25293450[[#This Row],[Stock Level  (North)]]</f>
        <v>0</v>
      </c>
      <c r="L363" s="20">
        <f>IFERROR(GETPIVOTDATA("QTY",$B$56,"PRODUCT_DESCRIPTION", $B$359, "SALES_ORDER_DATE",Table25293450[[#This Row],[Date]], "AREA_NAME", "North"), 0)</f>
        <v>0</v>
      </c>
      <c r="M363" s="20">
        <f>Table25293450[[#This Row],[Stock Change (t1-t0) (North)]]+Table25293450[[#This Row],[Sales]]</f>
        <v>0</v>
      </c>
      <c r="N363" s="18">
        <f>IF(Table25293450[[#This Row],[Regional Transfer (Real)]]=0, 0, Table25293450[[#This Row],[Regional Transfer (Real)]]+Table25293450[[#This Row],[Stock Level  (North)]])</f>
        <v>0</v>
      </c>
      <c r="P363" s="4" t="s">
        <v>54</v>
      </c>
      <c r="Q363" s="20">
        <f t="shared" ref="Q363:Q406" si="22">GETPIVOTDATA("STOCK_LEVEL", $B$5, "PRODUCT", $B$359, "INVENTORY_DATE", P363, "STORAGE_LOCATION_ID", "South" )</f>
        <v>0</v>
      </c>
      <c r="R363" s="20">
        <f>Q364-Table2529303551[[#This Row],[Stock Level  (South)]]</f>
        <v>0</v>
      </c>
      <c r="S363" s="20">
        <f>IFERROR(GETPIVOTDATA("QTY",$B$56,"PRODUCT_DESCRIPTION", $B$359, "SALES_ORDER_DATE",Table2529303551[[#This Row],[Date]], "AREA_NAME", "South"), 0)</f>
        <v>0</v>
      </c>
      <c r="T363" s="20">
        <f>Table2529303551[[#This Row],[Stock Change (t1-t0) (South)]]+Table2529303551[[#This Row],[Sales]]</f>
        <v>0</v>
      </c>
      <c r="U363" s="18">
        <f>IF(Table2529303551[[#This Row],[Regional Transfer (Real)]]=0, 0, Table2529303551[[#This Row],[Regional Transfer (Real)]]+Table2529303551[[#This Row],[Stock Level  (South)]])</f>
        <v>0</v>
      </c>
      <c r="W363" s="4" t="s">
        <v>54</v>
      </c>
      <c r="X363" s="20">
        <f t="shared" ref="X363:X406" si="23">GETPIVOTDATA("STOCK_LEVEL", $B$5, "PRODUCT", $B$359, "INVENTORY_DATE", W363, "STORAGE_LOCATION_ID", "West" )</f>
        <v>0</v>
      </c>
      <c r="Y363" s="20">
        <f>X364-Table252930323652[[#This Row],[Stock Level  (West)]]</f>
        <v>0</v>
      </c>
      <c r="Z363" s="20">
        <f>IFERROR(GETPIVOTDATA("QTY",$B$56,"PRODUCT_DESCRIPTION", $B$359, "SALES_ORDER_DATE",Table252930323652[[#This Row],[Date]], "AREA_NAME", "West"), 0)</f>
        <v>0</v>
      </c>
      <c r="AA363" s="20">
        <f>Table252930323652[[#This Row],[Stock Change (t1-t0) (West)]]+Table252930323652[[#This Row],[Sales]]</f>
        <v>0</v>
      </c>
      <c r="AB363" s="18">
        <f>IF(Table252930323652[[#This Row],[Regional Transfer (Real)]]=0, 0, Table252930323652[[#This Row],[Regional Transfer (Real)]]+Table252930323652[[#This Row],[Stock Level  (West)]])</f>
        <v>0</v>
      </c>
    </row>
    <row r="364" spans="2:28" x14ac:dyDescent="0.2">
      <c r="B364" s="4" t="s">
        <v>55</v>
      </c>
      <c r="C364" s="20">
        <f t="shared" si="20"/>
        <v>600</v>
      </c>
      <c r="D364" s="20">
        <f>C365-Table253349[[#This Row],[Stock Level  ]]</f>
        <v>0</v>
      </c>
      <c r="E364" s="20">
        <f>IFERROR(GETPIVOTDATA("QTY",$B$56,"PRODUCT_DESCRIPTION", $B$359, "SALES_ORDER_DATE",Table253349[[#This Row],[Date]]), 0)</f>
        <v>0</v>
      </c>
      <c r="F364" s="20">
        <f>Table253349[[#This Row],[Stock Change (t1-t0)]]+Table253349[[#This Row],[Sales]]</f>
        <v>0</v>
      </c>
      <c r="G364" s="18">
        <f>IF(Table253349[[#This Row],[Purchase (Real)]]=0, 0, Table253349[[#This Row],[Purchase (Real)]]+C363)</f>
        <v>0</v>
      </c>
      <c r="I364" s="4" t="s">
        <v>55</v>
      </c>
      <c r="J364" s="20">
        <f t="shared" si="21"/>
        <v>0</v>
      </c>
      <c r="K364" s="20">
        <f>J365-Table25293450[[#This Row],[Stock Level  (North)]]</f>
        <v>100</v>
      </c>
      <c r="L364" s="20">
        <f>IFERROR(GETPIVOTDATA("QTY",$B$56,"PRODUCT_DESCRIPTION", $B$359, "SALES_ORDER_DATE",Table25293450[[#This Row],[Date]], "AREA_NAME", "North"), 0)</f>
        <v>0</v>
      </c>
      <c r="M364" s="20">
        <f>Table25293450[[#This Row],[Stock Change (t1-t0) (North)]]+Table25293450[[#This Row],[Sales]]</f>
        <v>100</v>
      </c>
      <c r="N364" s="18">
        <f>IF(Table25293450[[#This Row],[Regional Transfer (Real)]]=0, 0, Table25293450[[#This Row],[Regional Transfer (Real)]]+Table25293450[[#This Row],[Stock Level  (North)]])</f>
        <v>100</v>
      </c>
      <c r="P364" s="4" t="s">
        <v>55</v>
      </c>
      <c r="Q364" s="20">
        <f t="shared" si="22"/>
        <v>0</v>
      </c>
      <c r="R364" s="20">
        <f>Q365-Table2529303551[[#This Row],[Stock Level  (South)]]</f>
        <v>100</v>
      </c>
      <c r="S364" s="20">
        <f>IFERROR(GETPIVOTDATA("QTY",$B$56,"PRODUCT_DESCRIPTION", $B$359, "SALES_ORDER_DATE",Table2529303551[[#This Row],[Date]], "AREA_NAME", "South"), 0)</f>
        <v>0</v>
      </c>
      <c r="T364" s="20">
        <f>Table2529303551[[#This Row],[Stock Change (t1-t0) (South)]]+Table2529303551[[#This Row],[Sales]]</f>
        <v>100</v>
      </c>
      <c r="U364" s="18">
        <f>IF(Table2529303551[[#This Row],[Regional Transfer (Real)]]=0, 0, Table2529303551[[#This Row],[Regional Transfer (Real)]]+Table2529303551[[#This Row],[Stock Level  (South)]])</f>
        <v>100</v>
      </c>
      <c r="W364" s="4" t="s">
        <v>55</v>
      </c>
      <c r="X364" s="20">
        <f t="shared" si="23"/>
        <v>0</v>
      </c>
      <c r="Y364" s="20">
        <f>X365-Table252930323652[[#This Row],[Stock Level  (West)]]</f>
        <v>100</v>
      </c>
      <c r="Z364" s="20">
        <f>IFERROR(GETPIVOTDATA("QTY",$B$56,"PRODUCT_DESCRIPTION", $B$359, "SALES_ORDER_DATE",Table252930323652[[#This Row],[Date]], "AREA_NAME", "West"), 0)</f>
        <v>0</v>
      </c>
      <c r="AA364" s="20">
        <f>Table252930323652[[#This Row],[Stock Change (t1-t0) (West)]]+Table252930323652[[#This Row],[Sales]]</f>
        <v>100</v>
      </c>
      <c r="AB364" s="18">
        <f>IF(Table252930323652[[#This Row],[Regional Transfer (Real)]]=0, 0, Table252930323652[[#This Row],[Regional Transfer (Real)]]+Table252930323652[[#This Row],[Stock Level  (West)]])</f>
        <v>100</v>
      </c>
    </row>
    <row r="365" spans="2:28" x14ac:dyDescent="0.2">
      <c r="B365" s="4" t="s">
        <v>9</v>
      </c>
      <c r="C365" s="20">
        <f t="shared" si="20"/>
        <v>600</v>
      </c>
      <c r="D365" s="20">
        <f>C366-Table253349[[#This Row],[Stock Level  ]]</f>
        <v>-100</v>
      </c>
      <c r="E365" s="20">
        <f>IFERROR(GETPIVOTDATA("QTY",$B$56,"PRODUCT_DESCRIPTION", $B$359, "SALES_ORDER_DATE",Table253349[[#This Row],[Date]]), 0)</f>
        <v>100</v>
      </c>
      <c r="F365" s="20">
        <f>Table253349[[#This Row],[Stock Change (t1-t0)]]+Table253349[[#This Row],[Sales]]</f>
        <v>0</v>
      </c>
      <c r="G365" s="18">
        <f>IF(Table253349[[#This Row],[Purchase (Real)]]=0, 0, Table253349[[#This Row],[Purchase (Real)]]+C364)</f>
        <v>0</v>
      </c>
      <c r="I365" s="4" t="s">
        <v>9</v>
      </c>
      <c r="J365" s="20">
        <f t="shared" si="21"/>
        <v>100</v>
      </c>
      <c r="K365" s="20">
        <f>J366-Table25293450[[#This Row],[Stock Level  (North)]]</f>
        <v>-100</v>
      </c>
      <c r="L365" s="20">
        <f>IFERROR(GETPIVOTDATA("QTY",$B$56,"PRODUCT_DESCRIPTION", $B$359, "SALES_ORDER_DATE",Table25293450[[#This Row],[Date]], "AREA_NAME", "North"), 0)</f>
        <v>100</v>
      </c>
      <c r="M365" s="20">
        <f>Table25293450[[#This Row],[Stock Change (t1-t0) (North)]]+Table25293450[[#This Row],[Sales]]</f>
        <v>0</v>
      </c>
      <c r="N365" s="18">
        <f>IF(Table25293450[[#This Row],[Regional Transfer (Real)]]=0, 0, Table25293450[[#This Row],[Regional Transfer (Real)]]+Table25293450[[#This Row],[Stock Level  (North)]])</f>
        <v>0</v>
      </c>
      <c r="P365" s="4" t="s">
        <v>9</v>
      </c>
      <c r="Q365" s="20">
        <f t="shared" si="22"/>
        <v>100</v>
      </c>
      <c r="R365" s="20">
        <f>Q366-Table2529303551[[#This Row],[Stock Level  (South)]]</f>
        <v>0</v>
      </c>
      <c r="S365" s="20">
        <f>IFERROR(GETPIVOTDATA("QTY",$B$56,"PRODUCT_DESCRIPTION", $B$359, "SALES_ORDER_DATE",Table2529303551[[#This Row],[Date]], "AREA_NAME", "South"), 0)</f>
        <v>0</v>
      </c>
      <c r="T365" s="20">
        <f>Table2529303551[[#This Row],[Stock Change (t1-t0) (South)]]+Table2529303551[[#This Row],[Sales]]</f>
        <v>0</v>
      </c>
      <c r="U365" s="18">
        <f>IF(Table2529303551[[#This Row],[Regional Transfer (Real)]]=0, 0, Table2529303551[[#This Row],[Regional Transfer (Real)]]+Table2529303551[[#This Row],[Stock Level  (South)]])</f>
        <v>0</v>
      </c>
      <c r="W365" s="4" t="s">
        <v>9</v>
      </c>
      <c r="X365" s="20">
        <f t="shared" si="23"/>
        <v>100</v>
      </c>
      <c r="Y365" s="20">
        <f>X366-Table252930323652[[#This Row],[Stock Level  (West)]]</f>
        <v>0</v>
      </c>
      <c r="Z365" s="20">
        <f>IFERROR(GETPIVOTDATA("QTY",$B$56,"PRODUCT_DESCRIPTION", $B$359, "SALES_ORDER_DATE",Table252930323652[[#This Row],[Date]], "AREA_NAME", "West"), 0)</f>
        <v>0</v>
      </c>
      <c r="AA365" s="20">
        <f>Table252930323652[[#This Row],[Stock Change (t1-t0) (West)]]+Table252930323652[[#This Row],[Sales]]</f>
        <v>0</v>
      </c>
      <c r="AB365" s="18">
        <f>IF(Table252930323652[[#This Row],[Regional Transfer (Real)]]=0, 0, Table252930323652[[#This Row],[Regional Transfer (Real)]]+Table252930323652[[#This Row],[Stock Level  (West)]])</f>
        <v>0</v>
      </c>
    </row>
    <row r="366" spans="2:28" x14ac:dyDescent="0.2">
      <c r="B366" s="4" t="s">
        <v>10</v>
      </c>
      <c r="C366" s="20">
        <f t="shared" si="20"/>
        <v>500</v>
      </c>
      <c r="D366" s="20">
        <f>C367-Table253349[[#This Row],[Stock Level  ]]</f>
        <v>-100</v>
      </c>
      <c r="E366" s="20">
        <f>IFERROR(GETPIVOTDATA("QTY",$B$56,"PRODUCT_DESCRIPTION", $B$359, "SALES_ORDER_DATE",Table253349[[#This Row],[Date]]), 0)</f>
        <v>100</v>
      </c>
      <c r="F366" s="20">
        <f>Table253349[[#This Row],[Stock Change (t1-t0)]]+Table253349[[#This Row],[Sales]]</f>
        <v>0</v>
      </c>
      <c r="G366" s="18">
        <f>IF(Table253349[[#This Row],[Purchase (Real)]]=0, 0, Table253349[[#This Row],[Purchase (Real)]]+C365)</f>
        <v>0</v>
      </c>
      <c r="I366" s="4" t="s">
        <v>10</v>
      </c>
      <c r="J366" s="20">
        <f t="shared" si="21"/>
        <v>0</v>
      </c>
      <c r="K366" s="20">
        <f>J367-Table25293450[[#This Row],[Stock Level  (North)]]</f>
        <v>0</v>
      </c>
      <c r="L366" s="20">
        <f>IFERROR(GETPIVOTDATA("QTY",$B$56,"PRODUCT_DESCRIPTION", $B$359, "SALES_ORDER_DATE",Table25293450[[#This Row],[Date]], "AREA_NAME", "North"), 0)</f>
        <v>0</v>
      </c>
      <c r="M366" s="20">
        <f>Table25293450[[#This Row],[Stock Change (t1-t0) (North)]]+Table25293450[[#This Row],[Sales]]</f>
        <v>0</v>
      </c>
      <c r="N366" s="18">
        <f>IF(Table25293450[[#This Row],[Regional Transfer (Real)]]=0, 0, Table25293450[[#This Row],[Regional Transfer (Real)]]+Table25293450[[#This Row],[Stock Level  (North)]])</f>
        <v>0</v>
      </c>
      <c r="P366" s="4" t="s">
        <v>10</v>
      </c>
      <c r="Q366" s="20">
        <f t="shared" si="22"/>
        <v>100</v>
      </c>
      <c r="R366" s="20">
        <f>Q367-Table2529303551[[#This Row],[Stock Level  (South)]]</f>
        <v>-100</v>
      </c>
      <c r="S366" s="20">
        <f>IFERROR(GETPIVOTDATA("QTY",$B$56,"PRODUCT_DESCRIPTION", $B$359, "SALES_ORDER_DATE",Table2529303551[[#This Row],[Date]], "AREA_NAME", "South"), 0)</f>
        <v>100</v>
      </c>
      <c r="T366" s="20">
        <f>Table2529303551[[#This Row],[Stock Change (t1-t0) (South)]]+Table2529303551[[#This Row],[Sales]]</f>
        <v>0</v>
      </c>
      <c r="U366" s="18">
        <f>IF(Table2529303551[[#This Row],[Regional Transfer (Real)]]=0, 0, Table2529303551[[#This Row],[Regional Transfer (Real)]]+Table2529303551[[#This Row],[Stock Level  (South)]])</f>
        <v>0</v>
      </c>
      <c r="W366" s="4" t="s">
        <v>10</v>
      </c>
      <c r="X366" s="20">
        <f t="shared" si="23"/>
        <v>100</v>
      </c>
      <c r="Y366" s="20">
        <f>X367-Table252930323652[[#This Row],[Stock Level  (West)]]</f>
        <v>0</v>
      </c>
      <c r="Z366" s="20">
        <f>IFERROR(GETPIVOTDATA("QTY",$B$56,"PRODUCT_DESCRIPTION", $B$359, "SALES_ORDER_DATE",Table252930323652[[#This Row],[Date]], "AREA_NAME", "West"), 0)</f>
        <v>0</v>
      </c>
      <c r="AA366" s="20">
        <f>Table252930323652[[#This Row],[Stock Change (t1-t0) (West)]]+Table252930323652[[#This Row],[Sales]]</f>
        <v>0</v>
      </c>
      <c r="AB366" s="18">
        <f>IF(Table252930323652[[#This Row],[Regional Transfer (Real)]]=0, 0, Table252930323652[[#This Row],[Regional Transfer (Real)]]+Table252930323652[[#This Row],[Stock Level  (West)]])</f>
        <v>0</v>
      </c>
    </row>
    <row r="367" spans="2:28" x14ac:dyDescent="0.2">
      <c r="B367" s="4" t="s">
        <v>11</v>
      </c>
      <c r="C367" s="20">
        <f t="shared" si="20"/>
        <v>400</v>
      </c>
      <c r="D367" s="20">
        <f>C368-Table253349[[#This Row],[Stock Level  ]]</f>
        <v>0</v>
      </c>
      <c r="E367" s="20">
        <f>IFERROR(GETPIVOTDATA("QTY",$B$56,"PRODUCT_DESCRIPTION", $B$359, "SALES_ORDER_DATE",Table253349[[#This Row],[Date]]), 0)</f>
        <v>0</v>
      </c>
      <c r="F367" s="20">
        <f>Table253349[[#This Row],[Stock Change (t1-t0)]]+Table253349[[#This Row],[Sales]]</f>
        <v>0</v>
      </c>
      <c r="G367" s="18">
        <f>IF(Table253349[[#This Row],[Purchase (Real)]]=0, 0, Table253349[[#This Row],[Purchase (Real)]]+C366)</f>
        <v>0</v>
      </c>
      <c r="I367" s="4" t="s">
        <v>11</v>
      </c>
      <c r="J367" s="20">
        <f t="shared" si="21"/>
        <v>0</v>
      </c>
      <c r="K367" s="20">
        <f>J368-Table25293450[[#This Row],[Stock Level  (North)]]</f>
        <v>100</v>
      </c>
      <c r="L367" s="20">
        <f>IFERROR(GETPIVOTDATA("QTY",$B$56,"PRODUCT_DESCRIPTION", $B$359, "SALES_ORDER_DATE",Table25293450[[#This Row],[Date]], "AREA_NAME", "North"), 0)</f>
        <v>0</v>
      </c>
      <c r="M367" s="20">
        <f>Table25293450[[#This Row],[Stock Change (t1-t0) (North)]]+Table25293450[[#This Row],[Sales]]</f>
        <v>100</v>
      </c>
      <c r="N367" s="18">
        <f>IF(Table25293450[[#This Row],[Regional Transfer (Real)]]=0, 0, Table25293450[[#This Row],[Regional Transfer (Real)]]+Table25293450[[#This Row],[Stock Level  (North)]])</f>
        <v>100</v>
      </c>
      <c r="P367" s="4" t="s">
        <v>11</v>
      </c>
      <c r="Q367" s="20">
        <f t="shared" si="22"/>
        <v>0</v>
      </c>
      <c r="R367" s="20">
        <f>Q368-Table2529303551[[#This Row],[Stock Level  (South)]]</f>
        <v>100</v>
      </c>
      <c r="S367" s="20">
        <f>IFERROR(GETPIVOTDATA("QTY",$B$56,"PRODUCT_DESCRIPTION", $B$359, "SALES_ORDER_DATE",Table2529303551[[#This Row],[Date]], "AREA_NAME", "South"), 0)</f>
        <v>0</v>
      </c>
      <c r="T367" s="20">
        <f>Table2529303551[[#This Row],[Stock Change (t1-t0) (South)]]+Table2529303551[[#This Row],[Sales]]</f>
        <v>100</v>
      </c>
      <c r="U367" s="18">
        <f>IF(Table2529303551[[#This Row],[Regional Transfer (Real)]]=0, 0, Table2529303551[[#This Row],[Regional Transfer (Real)]]+Table2529303551[[#This Row],[Stock Level  (South)]])</f>
        <v>100</v>
      </c>
      <c r="W367" s="4" t="s">
        <v>11</v>
      </c>
      <c r="X367" s="20">
        <f t="shared" si="23"/>
        <v>100</v>
      </c>
      <c r="Y367" s="20">
        <f>X368-Table252930323652[[#This Row],[Stock Level  (West)]]</f>
        <v>0</v>
      </c>
      <c r="Z367" s="20">
        <f>IFERROR(GETPIVOTDATA("QTY",$B$56,"PRODUCT_DESCRIPTION", $B$359, "SALES_ORDER_DATE",Table252930323652[[#This Row],[Date]], "AREA_NAME", "West"), 0)</f>
        <v>0</v>
      </c>
      <c r="AA367" s="20">
        <f>Table252930323652[[#This Row],[Stock Change (t1-t0) (West)]]+Table252930323652[[#This Row],[Sales]]</f>
        <v>0</v>
      </c>
      <c r="AB367" s="18">
        <f>IF(Table252930323652[[#This Row],[Regional Transfer (Real)]]=0, 0, Table252930323652[[#This Row],[Regional Transfer (Real)]]+Table252930323652[[#This Row],[Stock Level  (West)]])</f>
        <v>0</v>
      </c>
    </row>
    <row r="368" spans="2:28" x14ac:dyDescent="0.2">
      <c r="B368" s="4" t="s">
        <v>12</v>
      </c>
      <c r="C368" s="20">
        <f t="shared" si="20"/>
        <v>400</v>
      </c>
      <c r="D368" s="20">
        <f>C369-Table253349[[#This Row],[Stock Level  ]]</f>
        <v>-100</v>
      </c>
      <c r="E368" s="20">
        <f>IFERROR(GETPIVOTDATA("QTY",$B$56,"PRODUCT_DESCRIPTION", $B$359, "SALES_ORDER_DATE",Table253349[[#This Row],[Date]]), 0)</f>
        <v>100</v>
      </c>
      <c r="F368" s="20">
        <f>Table253349[[#This Row],[Stock Change (t1-t0)]]+Table253349[[#This Row],[Sales]]</f>
        <v>0</v>
      </c>
      <c r="G368" s="18">
        <f>IF(Table253349[[#This Row],[Purchase (Real)]]=0, 0, Table253349[[#This Row],[Purchase (Real)]]+C367)</f>
        <v>0</v>
      </c>
      <c r="I368" s="4" t="s">
        <v>12</v>
      </c>
      <c r="J368" s="20">
        <f t="shared" si="21"/>
        <v>100</v>
      </c>
      <c r="K368" s="20">
        <f>J369-Table25293450[[#This Row],[Stock Level  (North)]]</f>
        <v>-100</v>
      </c>
      <c r="L368" s="20">
        <f>IFERROR(GETPIVOTDATA("QTY",$B$56,"PRODUCT_DESCRIPTION", $B$359, "SALES_ORDER_DATE",Table25293450[[#This Row],[Date]], "AREA_NAME", "North"), 0)</f>
        <v>100</v>
      </c>
      <c r="M368" s="20">
        <f>Table25293450[[#This Row],[Stock Change (t1-t0) (North)]]+Table25293450[[#This Row],[Sales]]</f>
        <v>0</v>
      </c>
      <c r="N368" s="18">
        <f>IF(Table25293450[[#This Row],[Regional Transfer (Real)]]=0, 0, Table25293450[[#This Row],[Regional Transfer (Real)]]+Table25293450[[#This Row],[Stock Level  (North)]])</f>
        <v>0</v>
      </c>
      <c r="P368" s="4" t="s">
        <v>12</v>
      </c>
      <c r="Q368" s="20">
        <f t="shared" si="22"/>
        <v>100</v>
      </c>
      <c r="R368" s="20">
        <f>Q369-Table2529303551[[#This Row],[Stock Level  (South)]]</f>
        <v>0</v>
      </c>
      <c r="S368" s="20">
        <f>IFERROR(GETPIVOTDATA("QTY",$B$56,"PRODUCT_DESCRIPTION", $B$359, "SALES_ORDER_DATE",Table2529303551[[#This Row],[Date]], "AREA_NAME", "South"), 0)</f>
        <v>0</v>
      </c>
      <c r="T368" s="20">
        <f>Table2529303551[[#This Row],[Stock Change (t1-t0) (South)]]+Table2529303551[[#This Row],[Sales]]</f>
        <v>0</v>
      </c>
      <c r="U368" s="18">
        <f>IF(Table2529303551[[#This Row],[Regional Transfer (Real)]]=0, 0, Table2529303551[[#This Row],[Regional Transfer (Real)]]+Table2529303551[[#This Row],[Stock Level  (South)]])</f>
        <v>0</v>
      </c>
      <c r="W368" s="4" t="s">
        <v>12</v>
      </c>
      <c r="X368" s="20">
        <f t="shared" si="23"/>
        <v>100</v>
      </c>
      <c r="Y368" s="20">
        <f>X369-Table252930323652[[#This Row],[Stock Level  (West)]]</f>
        <v>0</v>
      </c>
      <c r="Z368" s="20">
        <f>IFERROR(GETPIVOTDATA("QTY",$B$56,"PRODUCT_DESCRIPTION", $B$359, "SALES_ORDER_DATE",Table252930323652[[#This Row],[Date]], "AREA_NAME", "West"), 0)</f>
        <v>0</v>
      </c>
      <c r="AA368" s="20">
        <f>Table252930323652[[#This Row],[Stock Change (t1-t0) (West)]]+Table252930323652[[#This Row],[Sales]]</f>
        <v>0</v>
      </c>
      <c r="AB368" s="18">
        <f>IF(Table252930323652[[#This Row],[Regional Transfer (Real)]]=0, 0, Table252930323652[[#This Row],[Regional Transfer (Real)]]+Table252930323652[[#This Row],[Stock Level  (West)]])</f>
        <v>0</v>
      </c>
    </row>
    <row r="369" spans="2:28" x14ac:dyDescent="0.2">
      <c r="B369" s="4" t="s">
        <v>13</v>
      </c>
      <c r="C369" s="20">
        <f t="shared" si="20"/>
        <v>300</v>
      </c>
      <c r="D369" s="20">
        <f>C370-Table253349[[#This Row],[Stock Level  ]]</f>
        <v>-100</v>
      </c>
      <c r="E369" s="20">
        <f>IFERROR(GETPIVOTDATA("QTY",$B$56,"PRODUCT_DESCRIPTION", $B$359, "SALES_ORDER_DATE",Table253349[[#This Row],[Date]]), 0)</f>
        <v>100</v>
      </c>
      <c r="F369" s="20">
        <f>Table253349[[#This Row],[Stock Change (t1-t0)]]+Table253349[[#This Row],[Sales]]</f>
        <v>0</v>
      </c>
      <c r="G369" s="18">
        <f>IF(Table253349[[#This Row],[Purchase (Real)]]=0, 0, Table253349[[#This Row],[Purchase (Real)]]+C368)</f>
        <v>0</v>
      </c>
      <c r="I369" s="4" t="s">
        <v>13</v>
      </c>
      <c r="J369" s="20">
        <f t="shared" si="21"/>
        <v>0</v>
      </c>
      <c r="K369" s="20">
        <f>J370-Table25293450[[#This Row],[Stock Level  (North)]]</f>
        <v>0</v>
      </c>
      <c r="L369" s="20">
        <f>IFERROR(GETPIVOTDATA("QTY",$B$56,"PRODUCT_DESCRIPTION", $B$359, "SALES_ORDER_DATE",Table25293450[[#This Row],[Date]], "AREA_NAME", "North"), 0)</f>
        <v>0</v>
      </c>
      <c r="M369" s="20">
        <f>Table25293450[[#This Row],[Stock Change (t1-t0) (North)]]+Table25293450[[#This Row],[Sales]]</f>
        <v>0</v>
      </c>
      <c r="N369" s="18">
        <f>IF(Table25293450[[#This Row],[Regional Transfer (Real)]]=0, 0, Table25293450[[#This Row],[Regional Transfer (Real)]]+Table25293450[[#This Row],[Stock Level  (North)]])</f>
        <v>0</v>
      </c>
      <c r="P369" s="4" t="s">
        <v>13</v>
      </c>
      <c r="Q369" s="20">
        <f t="shared" si="22"/>
        <v>100</v>
      </c>
      <c r="R369" s="20">
        <f>Q370-Table2529303551[[#This Row],[Stock Level  (South)]]</f>
        <v>-100</v>
      </c>
      <c r="S369" s="20">
        <f>IFERROR(GETPIVOTDATA("QTY",$B$56,"PRODUCT_DESCRIPTION", $B$359, "SALES_ORDER_DATE",Table2529303551[[#This Row],[Date]], "AREA_NAME", "South"), 0)</f>
        <v>100</v>
      </c>
      <c r="T369" s="20">
        <f>Table2529303551[[#This Row],[Stock Change (t1-t0) (South)]]+Table2529303551[[#This Row],[Sales]]</f>
        <v>0</v>
      </c>
      <c r="U369" s="18">
        <f>IF(Table2529303551[[#This Row],[Regional Transfer (Real)]]=0, 0, Table2529303551[[#This Row],[Regional Transfer (Real)]]+Table2529303551[[#This Row],[Stock Level  (South)]])</f>
        <v>0</v>
      </c>
      <c r="W369" s="4" t="s">
        <v>13</v>
      </c>
      <c r="X369" s="20">
        <f t="shared" si="23"/>
        <v>100</v>
      </c>
      <c r="Y369" s="20">
        <f>X370-Table252930323652[[#This Row],[Stock Level  (West)]]</f>
        <v>0</v>
      </c>
      <c r="Z369" s="20">
        <f>IFERROR(GETPIVOTDATA("QTY",$B$56,"PRODUCT_DESCRIPTION", $B$359, "SALES_ORDER_DATE",Table252930323652[[#This Row],[Date]], "AREA_NAME", "West"), 0)</f>
        <v>0</v>
      </c>
      <c r="AA369" s="20">
        <f>Table252930323652[[#This Row],[Stock Change (t1-t0) (West)]]+Table252930323652[[#This Row],[Sales]]</f>
        <v>0</v>
      </c>
      <c r="AB369" s="18">
        <f>IF(Table252930323652[[#This Row],[Regional Transfer (Real)]]=0, 0, Table252930323652[[#This Row],[Regional Transfer (Real)]]+Table252930323652[[#This Row],[Stock Level  (West)]])</f>
        <v>0</v>
      </c>
    </row>
    <row r="370" spans="2:28" x14ac:dyDescent="0.2">
      <c r="B370" s="4" t="s">
        <v>14</v>
      </c>
      <c r="C370" s="20">
        <f t="shared" si="20"/>
        <v>200</v>
      </c>
      <c r="D370" s="20">
        <f>C371-Table253349[[#This Row],[Stock Level  ]]</f>
        <v>0</v>
      </c>
      <c r="E370" s="20">
        <f>IFERROR(GETPIVOTDATA("QTY",$B$56,"PRODUCT_DESCRIPTION", $B$359, "SALES_ORDER_DATE",Table253349[[#This Row],[Date]]), 0)</f>
        <v>0</v>
      </c>
      <c r="F370" s="20">
        <f>Table253349[[#This Row],[Stock Change (t1-t0)]]+Table253349[[#This Row],[Sales]]</f>
        <v>0</v>
      </c>
      <c r="G370" s="18">
        <f>IF(Table253349[[#This Row],[Purchase (Real)]]=0, 0, Table253349[[#This Row],[Purchase (Real)]]+C369)</f>
        <v>0</v>
      </c>
      <c r="I370" s="4" t="s">
        <v>14</v>
      </c>
      <c r="J370" s="20">
        <f t="shared" si="21"/>
        <v>0</v>
      </c>
      <c r="K370" s="20">
        <f>J371-Table25293450[[#This Row],[Stock Level  (North)]]</f>
        <v>50</v>
      </c>
      <c r="L370" s="20">
        <f>IFERROR(GETPIVOTDATA("QTY",$B$56,"PRODUCT_DESCRIPTION", $B$359, "SALES_ORDER_DATE",Table25293450[[#This Row],[Date]], "AREA_NAME", "North"), 0)</f>
        <v>0</v>
      </c>
      <c r="M370" s="20">
        <f>Table25293450[[#This Row],[Stock Change (t1-t0) (North)]]+Table25293450[[#This Row],[Sales]]</f>
        <v>50</v>
      </c>
      <c r="N370" s="18">
        <f>IF(Table25293450[[#This Row],[Regional Transfer (Real)]]=0, 0, Table25293450[[#This Row],[Regional Transfer (Real)]]+Table25293450[[#This Row],[Stock Level  (North)]])</f>
        <v>50</v>
      </c>
      <c r="P370" s="4" t="s">
        <v>14</v>
      </c>
      <c r="Q370" s="20">
        <f t="shared" si="22"/>
        <v>0</v>
      </c>
      <c r="R370" s="20">
        <f>Q371-Table2529303551[[#This Row],[Stock Level  (South)]]</f>
        <v>50</v>
      </c>
      <c r="S370" s="20">
        <f>IFERROR(GETPIVOTDATA("QTY",$B$56,"PRODUCT_DESCRIPTION", $B$359, "SALES_ORDER_DATE",Table2529303551[[#This Row],[Date]], "AREA_NAME", "South"), 0)</f>
        <v>0</v>
      </c>
      <c r="T370" s="20">
        <f>Table2529303551[[#This Row],[Stock Change (t1-t0) (South)]]+Table2529303551[[#This Row],[Sales]]</f>
        <v>50</v>
      </c>
      <c r="U370" s="18">
        <f>IF(Table2529303551[[#This Row],[Regional Transfer (Real)]]=0, 0, Table2529303551[[#This Row],[Regional Transfer (Real)]]+Table2529303551[[#This Row],[Stock Level  (South)]])</f>
        <v>50</v>
      </c>
      <c r="W370" s="4" t="s">
        <v>14</v>
      </c>
      <c r="X370" s="20">
        <f t="shared" si="23"/>
        <v>100</v>
      </c>
      <c r="Y370" s="20">
        <f>X371-Table252930323652[[#This Row],[Stock Level  (West)]]</f>
        <v>0</v>
      </c>
      <c r="Z370" s="20">
        <f>IFERROR(GETPIVOTDATA("QTY",$B$56,"PRODUCT_DESCRIPTION", $B$359, "SALES_ORDER_DATE",Table252930323652[[#This Row],[Date]], "AREA_NAME", "West"), 0)</f>
        <v>0</v>
      </c>
      <c r="AA370" s="20">
        <f>Table252930323652[[#This Row],[Stock Change (t1-t0) (West)]]+Table252930323652[[#This Row],[Sales]]</f>
        <v>0</v>
      </c>
      <c r="AB370" s="18">
        <f>IF(Table252930323652[[#This Row],[Regional Transfer (Real)]]=0, 0, Table252930323652[[#This Row],[Regional Transfer (Real)]]+Table252930323652[[#This Row],[Stock Level  (West)]])</f>
        <v>0</v>
      </c>
    </row>
    <row r="371" spans="2:28" x14ac:dyDescent="0.2">
      <c r="B371" s="4" t="s">
        <v>15</v>
      </c>
      <c r="C371" s="20">
        <f t="shared" si="20"/>
        <v>200</v>
      </c>
      <c r="D371" s="20">
        <f>C372-Table253349[[#This Row],[Stock Level  ]]</f>
        <v>-50</v>
      </c>
      <c r="E371" s="20">
        <f>IFERROR(GETPIVOTDATA("QTY",$B$56,"PRODUCT_DESCRIPTION", $B$359, "SALES_ORDER_DATE",Table253349[[#This Row],[Date]]), 0)</f>
        <v>50</v>
      </c>
      <c r="F371" s="20">
        <f>Table253349[[#This Row],[Stock Change (t1-t0)]]+Table253349[[#This Row],[Sales]]</f>
        <v>0</v>
      </c>
      <c r="G371" s="18">
        <f>IF(Table253349[[#This Row],[Purchase (Real)]]=0, 0, Table253349[[#This Row],[Purchase (Real)]]+C370)</f>
        <v>0</v>
      </c>
      <c r="I371" s="4" t="s">
        <v>15</v>
      </c>
      <c r="J371" s="20">
        <f t="shared" si="21"/>
        <v>50</v>
      </c>
      <c r="K371" s="20">
        <f>J372-Table25293450[[#This Row],[Stock Level  (North)]]</f>
        <v>-50</v>
      </c>
      <c r="L371" s="20">
        <f>IFERROR(GETPIVOTDATA("QTY",$B$56,"PRODUCT_DESCRIPTION", $B$359, "SALES_ORDER_DATE",Table25293450[[#This Row],[Date]], "AREA_NAME", "North"), 0)</f>
        <v>50</v>
      </c>
      <c r="M371" s="20">
        <f>Table25293450[[#This Row],[Stock Change (t1-t0) (North)]]+Table25293450[[#This Row],[Sales]]</f>
        <v>0</v>
      </c>
      <c r="N371" s="18">
        <f>IF(Table25293450[[#This Row],[Regional Transfer (Real)]]=0, 0, Table25293450[[#This Row],[Regional Transfer (Real)]]+Table25293450[[#This Row],[Stock Level  (North)]])</f>
        <v>0</v>
      </c>
      <c r="P371" s="4" t="s">
        <v>15</v>
      </c>
      <c r="Q371" s="20">
        <f t="shared" si="22"/>
        <v>50</v>
      </c>
      <c r="R371" s="20">
        <f>Q372-Table2529303551[[#This Row],[Stock Level  (South)]]</f>
        <v>0</v>
      </c>
      <c r="S371" s="20">
        <f>IFERROR(GETPIVOTDATA("QTY",$B$56,"PRODUCT_DESCRIPTION", $B$359, "SALES_ORDER_DATE",Table2529303551[[#This Row],[Date]], "AREA_NAME", "South"), 0)</f>
        <v>0</v>
      </c>
      <c r="T371" s="20">
        <f>Table2529303551[[#This Row],[Stock Change (t1-t0) (South)]]+Table2529303551[[#This Row],[Sales]]</f>
        <v>0</v>
      </c>
      <c r="U371" s="18">
        <f>IF(Table2529303551[[#This Row],[Regional Transfer (Real)]]=0, 0, Table2529303551[[#This Row],[Regional Transfer (Real)]]+Table2529303551[[#This Row],[Stock Level  (South)]])</f>
        <v>0</v>
      </c>
      <c r="W371" s="4" t="s">
        <v>15</v>
      </c>
      <c r="X371" s="20">
        <f t="shared" si="23"/>
        <v>100</v>
      </c>
      <c r="Y371" s="20">
        <f>X372-Table252930323652[[#This Row],[Stock Level  (West)]]</f>
        <v>0</v>
      </c>
      <c r="Z371" s="20">
        <f>IFERROR(GETPIVOTDATA("QTY",$B$56,"PRODUCT_DESCRIPTION", $B$359, "SALES_ORDER_DATE",Table252930323652[[#This Row],[Date]], "AREA_NAME", "West"), 0)</f>
        <v>0</v>
      </c>
      <c r="AA371" s="20">
        <f>Table252930323652[[#This Row],[Stock Change (t1-t0) (West)]]+Table252930323652[[#This Row],[Sales]]</f>
        <v>0</v>
      </c>
      <c r="AB371" s="18">
        <f>IF(Table252930323652[[#This Row],[Regional Transfer (Real)]]=0, 0, Table252930323652[[#This Row],[Regional Transfer (Real)]]+Table252930323652[[#This Row],[Stock Level  (West)]])</f>
        <v>0</v>
      </c>
    </row>
    <row r="372" spans="2:28" x14ac:dyDescent="0.2">
      <c r="B372" s="4" t="s">
        <v>16</v>
      </c>
      <c r="C372" s="20">
        <f t="shared" si="20"/>
        <v>150</v>
      </c>
      <c r="D372" s="20">
        <f>C373-Table253349[[#This Row],[Stock Level  ]]</f>
        <v>0</v>
      </c>
      <c r="E372" s="20">
        <f>IFERROR(GETPIVOTDATA("QTY",$B$56,"PRODUCT_DESCRIPTION", $B$359, "SALES_ORDER_DATE",Table253349[[#This Row],[Date]]), 0)</f>
        <v>0</v>
      </c>
      <c r="F372" s="20">
        <f>Table253349[[#This Row],[Stock Change (t1-t0)]]+Table253349[[#This Row],[Sales]]</f>
        <v>0</v>
      </c>
      <c r="G372" s="18">
        <f>IF(Table253349[[#This Row],[Purchase (Real)]]=0, 0, Table253349[[#This Row],[Purchase (Real)]]+C371)</f>
        <v>0</v>
      </c>
      <c r="I372" s="4" t="s">
        <v>16</v>
      </c>
      <c r="J372" s="20">
        <f t="shared" si="21"/>
        <v>0</v>
      </c>
      <c r="K372" s="20">
        <f>J373-Table25293450[[#This Row],[Stock Level  (North)]]</f>
        <v>0</v>
      </c>
      <c r="L372" s="20">
        <f>IFERROR(GETPIVOTDATA("QTY",$B$56,"PRODUCT_DESCRIPTION", $B$359, "SALES_ORDER_DATE",Table25293450[[#This Row],[Date]], "AREA_NAME", "North"), 0)</f>
        <v>0</v>
      </c>
      <c r="M372" s="20">
        <f>Table25293450[[#This Row],[Stock Change (t1-t0) (North)]]+Table25293450[[#This Row],[Sales]]</f>
        <v>0</v>
      </c>
      <c r="N372" s="18">
        <f>IF(Table25293450[[#This Row],[Regional Transfer (Real)]]=0, 0, Table25293450[[#This Row],[Regional Transfer (Real)]]+Table25293450[[#This Row],[Stock Level  (North)]])</f>
        <v>0</v>
      </c>
      <c r="P372" s="4" t="s">
        <v>16</v>
      </c>
      <c r="Q372" s="20">
        <f t="shared" si="22"/>
        <v>50</v>
      </c>
      <c r="R372" s="20">
        <f>Q373-Table2529303551[[#This Row],[Stock Level  (South)]]</f>
        <v>0</v>
      </c>
      <c r="S372" s="20">
        <f>IFERROR(GETPIVOTDATA("QTY",$B$56,"PRODUCT_DESCRIPTION", $B$359, "SALES_ORDER_DATE",Table2529303551[[#This Row],[Date]], "AREA_NAME", "South"), 0)</f>
        <v>0</v>
      </c>
      <c r="T372" s="20">
        <f>Table2529303551[[#This Row],[Stock Change (t1-t0) (South)]]+Table2529303551[[#This Row],[Sales]]</f>
        <v>0</v>
      </c>
      <c r="U372" s="18">
        <f>IF(Table2529303551[[#This Row],[Regional Transfer (Real)]]=0, 0, Table2529303551[[#This Row],[Regional Transfer (Real)]]+Table2529303551[[#This Row],[Stock Level  (South)]])</f>
        <v>0</v>
      </c>
      <c r="W372" s="4" t="s">
        <v>16</v>
      </c>
      <c r="X372" s="20">
        <f t="shared" si="23"/>
        <v>100</v>
      </c>
      <c r="Y372" s="20">
        <f>X373-Table252930323652[[#This Row],[Stock Level  (West)]]</f>
        <v>0</v>
      </c>
      <c r="Z372" s="20">
        <f>IFERROR(GETPIVOTDATA("QTY",$B$56,"PRODUCT_DESCRIPTION", $B$359, "SALES_ORDER_DATE",Table252930323652[[#This Row],[Date]], "AREA_NAME", "West"), 0)</f>
        <v>0</v>
      </c>
      <c r="AA372" s="20">
        <f>Table252930323652[[#This Row],[Stock Change (t1-t0) (West)]]+Table252930323652[[#This Row],[Sales]]</f>
        <v>0</v>
      </c>
      <c r="AB372" s="18">
        <f>IF(Table252930323652[[#This Row],[Regional Transfer (Real)]]=0, 0, Table252930323652[[#This Row],[Regional Transfer (Real)]]+Table252930323652[[#This Row],[Stock Level  (West)]])</f>
        <v>0</v>
      </c>
    </row>
    <row r="373" spans="2:28" x14ac:dyDescent="0.2">
      <c r="B373" s="4" t="s">
        <v>56</v>
      </c>
      <c r="C373" s="20">
        <f t="shared" si="20"/>
        <v>150</v>
      </c>
      <c r="D373" s="20">
        <f>C374-Table253349[[#This Row],[Stock Level  ]]</f>
        <v>0</v>
      </c>
      <c r="E373" s="20">
        <f>IFERROR(GETPIVOTDATA("QTY",$B$56,"PRODUCT_DESCRIPTION", $B$359, "SALES_ORDER_DATE",Table253349[[#This Row],[Date]]), 0)</f>
        <v>0</v>
      </c>
      <c r="F373" s="20">
        <f>Table253349[[#This Row],[Stock Change (t1-t0)]]+Table253349[[#This Row],[Sales]]</f>
        <v>0</v>
      </c>
      <c r="G373" s="18">
        <f>IF(Table253349[[#This Row],[Purchase (Real)]]=0, 0, Table253349[[#This Row],[Purchase (Real)]]+C372)</f>
        <v>0</v>
      </c>
      <c r="I373" s="4" t="s">
        <v>56</v>
      </c>
      <c r="J373" s="20">
        <f t="shared" si="21"/>
        <v>0</v>
      </c>
      <c r="K373" s="20">
        <f>J374-Table25293450[[#This Row],[Stock Level  (North)]]</f>
        <v>0</v>
      </c>
      <c r="L373" s="20">
        <f>IFERROR(GETPIVOTDATA("QTY",$B$56,"PRODUCT_DESCRIPTION", $B$359, "SALES_ORDER_DATE",Table25293450[[#This Row],[Date]], "AREA_NAME", "North"), 0)</f>
        <v>0</v>
      </c>
      <c r="M373" s="20">
        <f>Table25293450[[#This Row],[Stock Change (t1-t0) (North)]]+Table25293450[[#This Row],[Sales]]</f>
        <v>0</v>
      </c>
      <c r="N373" s="18">
        <f>IF(Table25293450[[#This Row],[Regional Transfer (Real)]]=0, 0, Table25293450[[#This Row],[Regional Transfer (Real)]]+Table25293450[[#This Row],[Stock Level  (North)]])</f>
        <v>0</v>
      </c>
      <c r="P373" s="4" t="s">
        <v>56</v>
      </c>
      <c r="Q373" s="20">
        <f t="shared" si="22"/>
        <v>50</v>
      </c>
      <c r="R373" s="20">
        <f>Q374-Table2529303551[[#This Row],[Stock Level  (South)]]</f>
        <v>0</v>
      </c>
      <c r="S373" s="20">
        <f>IFERROR(GETPIVOTDATA("QTY",$B$56,"PRODUCT_DESCRIPTION", $B$359, "SALES_ORDER_DATE",Table2529303551[[#This Row],[Date]], "AREA_NAME", "South"), 0)</f>
        <v>0</v>
      </c>
      <c r="T373" s="20">
        <f>Table2529303551[[#This Row],[Stock Change (t1-t0) (South)]]+Table2529303551[[#This Row],[Sales]]</f>
        <v>0</v>
      </c>
      <c r="U373" s="18">
        <f>IF(Table2529303551[[#This Row],[Regional Transfer (Real)]]=0, 0, Table2529303551[[#This Row],[Regional Transfer (Real)]]+Table2529303551[[#This Row],[Stock Level  (South)]])</f>
        <v>0</v>
      </c>
      <c r="W373" s="4" t="s">
        <v>56</v>
      </c>
      <c r="X373" s="20">
        <f t="shared" si="23"/>
        <v>100</v>
      </c>
      <c r="Y373" s="20">
        <f>X374-Table252930323652[[#This Row],[Stock Level  (West)]]</f>
        <v>0</v>
      </c>
      <c r="Z373" s="20">
        <f>IFERROR(GETPIVOTDATA("QTY",$B$56,"PRODUCT_DESCRIPTION", $B$359, "SALES_ORDER_DATE",Table252930323652[[#This Row],[Date]], "AREA_NAME", "West"), 0)</f>
        <v>0</v>
      </c>
      <c r="AA373" s="20">
        <f>Table252930323652[[#This Row],[Stock Change (t1-t0) (West)]]+Table252930323652[[#This Row],[Sales]]</f>
        <v>0</v>
      </c>
      <c r="AB373" s="18">
        <f>IF(Table252930323652[[#This Row],[Regional Transfer (Real)]]=0, 0, Table252930323652[[#This Row],[Regional Transfer (Real)]]+Table252930323652[[#This Row],[Stock Level  (West)]])</f>
        <v>0</v>
      </c>
    </row>
    <row r="374" spans="2:28" x14ac:dyDescent="0.2">
      <c r="B374" s="4" t="s">
        <v>17</v>
      </c>
      <c r="C374" s="20">
        <f t="shared" si="20"/>
        <v>150</v>
      </c>
      <c r="D374" s="20">
        <f>C375-Table253349[[#This Row],[Stock Level  ]]</f>
        <v>394</v>
      </c>
      <c r="E374" s="20">
        <f>IFERROR(GETPIVOTDATA("QTY",$B$56,"PRODUCT_DESCRIPTION", $B$359, "SALES_ORDER_DATE",Table253349[[#This Row],[Date]]), 0)</f>
        <v>56</v>
      </c>
      <c r="F374" s="20">
        <f>Table253349[[#This Row],[Stock Change (t1-t0)]]+Table253349[[#This Row],[Sales]]</f>
        <v>450</v>
      </c>
      <c r="G374" s="18">
        <f>IF(Table253349[[#This Row],[Purchase (Real)]]=0, 0, Table253349[[#This Row],[Purchase (Real)]]+C373)</f>
        <v>600</v>
      </c>
      <c r="I374" s="4" t="s">
        <v>17</v>
      </c>
      <c r="J374" s="20">
        <f t="shared" si="21"/>
        <v>0</v>
      </c>
      <c r="K374" s="20">
        <f>J375-Table25293450[[#This Row],[Stock Level  (North)]]</f>
        <v>0</v>
      </c>
      <c r="L374" s="20">
        <f>IFERROR(GETPIVOTDATA("QTY",$B$56,"PRODUCT_DESCRIPTION", $B$359, "SALES_ORDER_DATE",Table25293450[[#This Row],[Date]], "AREA_NAME", "North"), 0)</f>
        <v>0</v>
      </c>
      <c r="M374" s="20">
        <f>Table25293450[[#This Row],[Stock Change (t1-t0) (North)]]+Table25293450[[#This Row],[Sales]]</f>
        <v>0</v>
      </c>
      <c r="N374" s="18">
        <f>IF(Table25293450[[#This Row],[Regional Transfer (Real)]]=0, 0, Table25293450[[#This Row],[Regional Transfer (Real)]]+Table25293450[[#This Row],[Stock Level  (North)]])</f>
        <v>0</v>
      </c>
      <c r="P374" s="4" t="s">
        <v>17</v>
      </c>
      <c r="Q374" s="20">
        <f t="shared" si="22"/>
        <v>50</v>
      </c>
      <c r="R374" s="20">
        <f>Q375-Table2529303551[[#This Row],[Stock Level  (South)]]</f>
        <v>0</v>
      </c>
      <c r="S374" s="20">
        <f>IFERROR(GETPIVOTDATA("QTY",$B$56,"PRODUCT_DESCRIPTION", $B$359, "SALES_ORDER_DATE",Table2529303551[[#This Row],[Date]], "AREA_NAME", "South"), 0)</f>
        <v>0</v>
      </c>
      <c r="T374" s="20">
        <f>Table2529303551[[#This Row],[Stock Change (t1-t0) (South)]]+Table2529303551[[#This Row],[Sales]]</f>
        <v>0</v>
      </c>
      <c r="U374" s="18">
        <f>IF(Table2529303551[[#This Row],[Regional Transfer (Real)]]=0, 0, Table2529303551[[#This Row],[Regional Transfer (Real)]]+Table2529303551[[#This Row],[Stock Level  (South)]])</f>
        <v>0</v>
      </c>
      <c r="W374" s="4" t="s">
        <v>17</v>
      </c>
      <c r="X374" s="20">
        <f t="shared" si="23"/>
        <v>100</v>
      </c>
      <c r="Y374" s="20">
        <f>X375-Table252930323652[[#This Row],[Stock Level  (West)]]</f>
        <v>-56</v>
      </c>
      <c r="Z374" s="20">
        <f>IFERROR(GETPIVOTDATA("QTY",$B$56,"PRODUCT_DESCRIPTION", $B$359, "SALES_ORDER_DATE",Table252930323652[[#This Row],[Date]], "AREA_NAME", "West"), 0)</f>
        <v>56</v>
      </c>
      <c r="AA374" s="20">
        <f>Table252930323652[[#This Row],[Stock Change (t1-t0) (West)]]+Table252930323652[[#This Row],[Sales]]</f>
        <v>0</v>
      </c>
      <c r="AB374" s="18">
        <f>IF(Table252930323652[[#This Row],[Regional Transfer (Real)]]=0, 0, Table252930323652[[#This Row],[Regional Transfer (Real)]]+Table252930323652[[#This Row],[Stock Level  (West)]])</f>
        <v>0</v>
      </c>
    </row>
    <row r="375" spans="2:28" x14ac:dyDescent="0.2">
      <c r="B375" s="4" t="s">
        <v>18</v>
      </c>
      <c r="C375" s="20">
        <f t="shared" si="20"/>
        <v>544</v>
      </c>
      <c r="D375" s="20">
        <f>C376-Table253349[[#This Row],[Stock Level  ]]</f>
        <v>-50</v>
      </c>
      <c r="E375" s="20">
        <f>IFERROR(GETPIVOTDATA("QTY",$B$56,"PRODUCT_DESCRIPTION", $B$359, "SALES_ORDER_DATE",Table253349[[#This Row],[Date]]), 0)</f>
        <v>50</v>
      </c>
      <c r="F375" s="20">
        <f>Table253349[[#This Row],[Stock Change (t1-t0)]]+Table253349[[#This Row],[Sales]]</f>
        <v>0</v>
      </c>
      <c r="G375" s="18">
        <f>IF(Table253349[[#This Row],[Purchase (Real)]]=0, 0, Table253349[[#This Row],[Purchase (Real)]]+C374)</f>
        <v>0</v>
      </c>
      <c r="I375" s="4" t="s">
        <v>18</v>
      </c>
      <c r="J375" s="20">
        <f t="shared" si="21"/>
        <v>0</v>
      </c>
      <c r="K375" s="20">
        <f>J376-Table25293450[[#This Row],[Stock Level  (North)]]</f>
        <v>0</v>
      </c>
      <c r="L375" s="20">
        <f>IFERROR(GETPIVOTDATA("QTY",$B$56,"PRODUCT_DESCRIPTION", $B$359, "SALES_ORDER_DATE",Table25293450[[#This Row],[Date]], "AREA_NAME", "North"), 0)</f>
        <v>0</v>
      </c>
      <c r="M375" s="20">
        <f>Table25293450[[#This Row],[Stock Change (t1-t0) (North)]]+Table25293450[[#This Row],[Sales]]</f>
        <v>0</v>
      </c>
      <c r="N375" s="18">
        <f>IF(Table25293450[[#This Row],[Regional Transfer (Real)]]=0, 0, Table25293450[[#This Row],[Regional Transfer (Real)]]+Table25293450[[#This Row],[Stock Level  (North)]])</f>
        <v>0</v>
      </c>
      <c r="P375" s="4" t="s">
        <v>18</v>
      </c>
      <c r="Q375" s="20">
        <f t="shared" si="22"/>
        <v>50</v>
      </c>
      <c r="R375" s="20">
        <f>Q376-Table2529303551[[#This Row],[Stock Level  (South)]]</f>
        <v>-50</v>
      </c>
      <c r="S375" s="20">
        <f>IFERROR(GETPIVOTDATA("QTY",$B$56,"PRODUCT_DESCRIPTION", $B$359, "SALES_ORDER_DATE",Table2529303551[[#This Row],[Date]], "AREA_NAME", "South"), 0)</f>
        <v>50</v>
      </c>
      <c r="T375" s="20">
        <f>Table2529303551[[#This Row],[Stock Change (t1-t0) (South)]]+Table2529303551[[#This Row],[Sales]]</f>
        <v>0</v>
      </c>
      <c r="U375" s="18">
        <f>IF(Table2529303551[[#This Row],[Regional Transfer (Real)]]=0, 0, Table2529303551[[#This Row],[Regional Transfer (Real)]]+Table2529303551[[#This Row],[Stock Level  (South)]])</f>
        <v>0</v>
      </c>
      <c r="W375" s="4" t="s">
        <v>18</v>
      </c>
      <c r="X375" s="20">
        <f t="shared" si="23"/>
        <v>44</v>
      </c>
      <c r="Y375" s="20">
        <f>X376-Table252930323652[[#This Row],[Stock Level  (West)]]</f>
        <v>0</v>
      </c>
      <c r="Z375" s="20">
        <f>IFERROR(GETPIVOTDATA("QTY",$B$56,"PRODUCT_DESCRIPTION", $B$359, "SALES_ORDER_DATE",Table252930323652[[#This Row],[Date]], "AREA_NAME", "West"), 0)</f>
        <v>0</v>
      </c>
      <c r="AA375" s="20">
        <f>Table252930323652[[#This Row],[Stock Change (t1-t0) (West)]]+Table252930323652[[#This Row],[Sales]]</f>
        <v>0</v>
      </c>
      <c r="AB375" s="18">
        <f>IF(Table252930323652[[#This Row],[Regional Transfer (Real)]]=0, 0, Table252930323652[[#This Row],[Regional Transfer (Real)]]+Table252930323652[[#This Row],[Stock Level  (West)]])</f>
        <v>0</v>
      </c>
    </row>
    <row r="376" spans="2:28" x14ac:dyDescent="0.2">
      <c r="B376" s="4" t="s">
        <v>19</v>
      </c>
      <c r="C376" s="20">
        <f t="shared" si="20"/>
        <v>494</v>
      </c>
      <c r="D376" s="20">
        <f>C377-Table253349[[#This Row],[Stock Level  ]]</f>
        <v>0</v>
      </c>
      <c r="E376" s="20">
        <f>IFERROR(GETPIVOTDATA("QTY",$B$56,"PRODUCT_DESCRIPTION", $B$359, "SALES_ORDER_DATE",Table253349[[#This Row],[Date]]), 0)</f>
        <v>0</v>
      </c>
      <c r="F376" s="20">
        <f>Table253349[[#This Row],[Stock Change (t1-t0)]]+Table253349[[#This Row],[Sales]]</f>
        <v>0</v>
      </c>
      <c r="G376" s="18">
        <f>IF(Table253349[[#This Row],[Purchase (Real)]]=0, 0, Table253349[[#This Row],[Purchase (Real)]]+C375)</f>
        <v>0</v>
      </c>
      <c r="I376" s="4" t="s">
        <v>19</v>
      </c>
      <c r="J376" s="20">
        <f t="shared" si="21"/>
        <v>0</v>
      </c>
      <c r="K376" s="20">
        <f>J377-Table25293450[[#This Row],[Stock Level  (North)]]</f>
        <v>0</v>
      </c>
      <c r="L376" s="20">
        <f>IFERROR(GETPIVOTDATA("QTY",$B$56,"PRODUCT_DESCRIPTION", $B$359, "SALES_ORDER_DATE",Table25293450[[#This Row],[Date]], "AREA_NAME", "North"), 0)</f>
        <v>0</v>
      </c>
      <c r="M376" s="20">
        <f>Table25293450[[#This Row],[Stock Change (t1-t0) (North)]]+Table25293450[[#This Row],[Sales]]</f>
        <v>0</v>
      </c>
      <c r="N376" s="18">
        <f>IF(Table25293450[[#This Row],[Regional Transfer (Real)]]=0, 0, Table25293450[[#This Row],[Regional Transfer (Real)]]+Table25293450[[#This Row],[Stock Level  (North)]])</f>
        <v>0</v>
      </c>
      <c r="P376" s="4" t="s">
        <v>19</v>
      </c>
      <c r="Q376" s="20">
        <f t="shared" si="22"/>
        <v>0</v>
      </c>
      <c r="R376" s="20">
        <f>Q377-Table2529303551[[#This Row],[Stock Level  (South)]]</f>
        <v>0</v>
      </c>
      <c r="S376" s="20">
        <f>IFERROR(GETPIVOTDATA("QTY",$B$56,"PRODUCT_DESCRIPTION", $B$359, "SALES_ORDER_DATE",Table2529303551[[#This Row],[Date]], "AREA_NAME", "South"), 0)</f>
        <v>0</v>
      </c>
      <c r="T376" s="20">
        <f>Table2529303551[[#This Row],[Stock Change (t1-t0) (South)]]+Table2529303551[[#This Row],[Sales]]</f>
        <v>0</v>
      </c>
      <c r="U376" s="18">
        <f>IF(Table2529303551[[#This Row],[Regional Transfer (Real)]]=0, 0, Table2529303551[[#This Row],[Regional Transfer (Real)]]+Table2529303551[[#This Row],[Stock Level  (South)]])</f>
        <v>0</v>
      </c>
      <c r="W376" s="4" t="s">
        <v>19</v>
      </c>
      <c r="X376" s="20">
        <f t="shared" si="23"/>
        <v>44</v>
      </c>
      <c r="Y376" s="20">
        <f>X377-Table252930323652[[#This Row],[Stock Level  (West)]]</f>
        <v>0</v>
      </c>
      <c r="Z376" s="20">
        <f>IFERROR(GETPIVOTDATA("QTY",$B$56,"PRODUCT_DESCRIPTION", $B$359, "SALES_ORDER_DATE",Table252930323652[[#This Row],[Date]], "AREA_NAME", "West"), 0)</f>
        <v>0</v>
      </c>
      <c r="AA376" s="20">
        <f>Table252930323652[[#This Row],[Stock Change (t1-t0) (West)]]+Table252930323652[[#This Row],[Sales]]</f>
        <v>0</v>
      </c>
      <c r="AB376" s="18">
        <f>IF(Table252930323652[[#This Row],[Regional Transfer (Real)]]=0, 0, Table252930323652[[#This Row],[Regional Transfer (Real)]]+Table252930323652[[#This Row],[Stock Level  (West)]])</f>
        <v>0</v>
      </c>
    </row>
    <row r="377" spans="2:28" x14ac:dyDescent="0.2">
      <c r="B377" s="4" t="s">
        <v>20</v>
      </c>
      <c r="C377" s="20">
        <f t="shared" si="20"/>
        <v>494</v>
      </c>
      <c r="D377" s="20">
        <f>C378-Table253349[[#This Row],[Stock Level  ]]</f>
        <v>0</v>
      </c>
      <c r="E377" s="20">
        <f>IFERROR(GETPIVOTDATA("QTY",$B$56,"PRODUCT_DESCRIPTION", $B$359, "SALES_ORDER_DATE",Table253349[[#This Row],[Date]]), 0)</f>
        <v>0</v>
      </c>
      <c r="F377" s="20">
        <f>Table253349[[#This Row],[Stock Change (t1-t0)]]+Table253349[[#This Row],[Sales]]</f>
        <v>0</v>
      </c>
      <c r="G377" s="18">
        <f>IF(Table253349[[#This Row],[Purchase (Real)]]=0, 0, Table253349[[#This Row],[Purchase (Real)]]+C376)</f>
        <v>0</v>
      </c>
      <c r="I377" s="4" t="s">
        <v>20</v>
      </c>
      <c r="J377" s="20">
        <f t="shared" si="21"/>
        <v>0</v>
      </c>
      <c r="K377" s="20">
        <f>J378-Table25293450[[#This Row],[Stock Level  (North)]]</f>
        <v>100</v>
      </c>
      <c r="L377" s="20">
        <f>IFERROR(GETPIVOTDATA("QTY",$B$56,"PRODUCT_DESCRIPTION", $B$359, "SALES_ORDER_DATE",Table25293450[[#This Row],[Date]], "AREA_NAME", "North"), 0)</f>
        <v>0</v>
      </c>
      <c r="M377" s="20">
        <f>Table25293450[[#This Row],[Stock Change (t1-t0) (North)]]+Table25293450[[#This Row],[Sales]]</f>
        <v>100</v>
      </c>
      <c r="N377" s="18">
        <f>IF(Table25293450[[#This Row],[Regional Transfer (Real)]]=0, 0, Table25293450[[#This Row],[Regional Transfer (Real)]]+Table25293450[[#This Row],[Stock Level  (North)]])</f>
        <v>100</v>
      </c>
      <c r="P377" s="4" t="s">
        <v>20</v>
      </c>
      <c r="Q377" s="20">
        <f t="shared" si="22"/>
        <v>0</v>
      </c>
      <c r="R377" s="20">
        <f>Q378-Table2529303551[[#This Row],[Stock Level  (South)]]</f>
        <v>100</v>
      </c>
      <c r="S377" s="20">
        <f>IFERROR(GETPIVOTDATA("QTY",$B$56,"PRODUCT_DESCRIPTION", $B$359, "SALES_ORDER_DATE",Table2529303551[[#This Row],[Date]], "AREA_NAME", "South"), 0)</f>
        <v>0</v>
      </c>
      <c r="T377" s="20">
        <f>Table2529303551[[#This Row],[Stock Change (t1-t0) (South)]]+Table2529303551[[#This Row],[Sales]]</f>
        <v>100</v>
      </c>
      <c r="U377" s="18">
        <f>IF(Table2529303551[[#This Row],[Regional Transfer (Real)]]=0, 0, Table2529303551[[#This Row],[Regional Transfer (Real)]]+Table2529303551[[#This Row],[Stock Level  (South)]])</f>
        <v>100</v>
      </c>
      <c r="W377" s="4" t="s">
        <v>20</v>
      </c>
      <c r="X377" s="20">
        <f t="shared" si="23"/>
        <v>44</v>
      </c>
      <c r="Y377" s="20">
        <f>X378-Table252930323652[[#This Row],[Stock Level  (West)]]</f>
        <v>56</v>
      </c>
      <c r="Z377" s="20">
        <f>IFERROR(GETPIVOTDATA("QTY",$B$56,"PRODUCT_DESCRIPTION", $B$359, "SALES_ORDER_DATE",Table252930323652[[#This Row],[Date]], "AREA_NAME", "West"), 0)</f>
        <v>0</v>
      </c>
      <c r="AA377" s="20">
        <f>Table252930323652[[#This Row],[Stock Change (t1-t0) (West)]]+Table252930323652[[#This Row],[Sales]]</f>
        <v>56</v>
      </c>
      <c r="AB377" s="18">
        <f>IF(Table252930323652[[#This Row],[Regional Transfer (Real)]]=0, 0, Table252930323652[[#This Row],[Regional Transfer (Real)]]+Table252930323652[[#This Row],[Stock Level  (West)]])</f>
        <v>100</v>
      </c>
    </row>
    <row r="378" spans="2:28" x14ac:dyDescent="0.2">
      <c r="B378" s="4" t="s">
        <v>21</v>
      </c>
      <c r="C378" s="20">
        <f t="shared" si="20"/>
        <v>494</v>
      </c>
      <c r="D378" s="20">
        <f>C379-Table253349[[#This Row],[Stock Level  ]]</f>
        <v>-100</v>
      </c>
      <c r="E378" s="20">
        <f>IFERROR(GETPIVOTDATA("QTY",$B$56,"PRODUCT_DESCRIPTION", $B$359, "SALES_ORDER_DATE",Table253349[[#This Row],[Date]]), 0)</f>
        <v>100</v>
      </c>
      <c r="F378" s="20">
        <f>Table253349[[#This Row],[Stock Change (t1-t0)]]+Table253349[[#This Row],[Sales]]</f>
        <v>0</v>
      </c>
      <c r="G378" s="18">
        <f>IF(Table253349[[#This Row],[Purchase (Real)]]=0, 0, Table253349[[#This Row],[Purchase (Real)]]+C377)</f>
        <v>0</v>
      </c>
      <c r="I378" s="4" t="s">
        <v>21</v>
      </c>
      <c r="J378" s="20">
        <f t="shared" si="21"/>
        <v>100</v>
      </c>
      <c r="K378" s="20">
        <f>J379-Table25293450[[#This Row],[Stock Level  (North)]]</f>
        <v>-49</v>
      </c>
      <c r="L378" s="20">
        <f>IFERROR(GETPIVOTDATA("QTY",$B$56,"PRODUCT_DESCRIPTION", $B$359, "SALES_ORDER_DATE",Table25293450[[#This Row],[Date]], "AREA_NAME", "North"), 0)</f>
        <v>49</v>
      </c>
      <c r="M378" s="20">
        <f>Table25293450[[#This Row],[Stock Change (t1-t0) (North)]]+Table25293450[[#This Row],[Sales]]</f>
        <v>0</v>
      </c>
      <c r="N378" s="18">
        <f>IF(Table25293450[[#This Row],[Regional Transfer (Real)]]=0, 0, Table25293450[[#This Row],[Regional Transfer (Real)]]+Table25293450[[#This Row],[Stock Level  (North)]])</f>
        <v>0</v>
      </c>
      <c r="P378" s="4" t="s">
        <v>21</v>
      </c>
      <c r="Q378" s="20">
        <f t="shared" si="22"/>
        <v>100</v>
      </c>
      <c r="R378" s="20">
        <f>Q379-Table2529303551[[#This Row],[Stock Level  (South)]]</f>
        <v>0</v>
      </c>
      <c r="S378" s="20">
        <f>IFERROR(GETPIVOTDATA("QTY",$B$56,"PRODUCT_DESCRIPTION", $B$359, "SALES_ORDER_DATE",Table2529303551[[#This Row],[Date]], "AREA_NAME", "South"), 0)</f>
        <v>0</v>
      </c>
      <c r="T378" s="20">
        <f>Table2529303551[[#This Row],[Stock Change (t1-t0) (South)]]+Table2529303551[[#This Row],[Sales]]</f>
        <v>0</v>
      </c>
      <c r="U378" s="18">
        <f>IF(Table2529303551[[#This Row],[Regional Transfer (Real)]]=0, 0, Table2529303551[[#This Row],[Regional Transfer (Real)]]+Table2529303551[[#This Row],[Stock Level  (South)]])</f>
        <v>0</v>
      </c>
      <c r="W378" s="4" t="s">
        <v>21</v>
      </c>
      <c r="X378" s="20">
        <f t="shared" si="23"/>
        <v>100</v>
      </c>
      <c r="Y378" s="20">
        <f>X379-Table252930323652[[#This Row],[Stock Level  (West)]]</f>
        <v>-51</v>
      </c>
      <c r="Z378" s="20">
        <f>IFERROR(GETPIVOTDATA("QTY",$B$56,"PRODUCT_DESCRIPTION", $B$359, "SALES_ORDER_DATE",Table252930323652[[#This Row],[Date]], "AREA_NAME", "West"), 0)</f>
        <v>51</v>
      </c>
      <c r="AA378" s="20">
        <f>Table252930323652[[#This Row],[Stock Change (t1-t0) (West)]]+Table252930323652[[#This Row],[Sales]]</f>
        <v>0</v>
      </c>
      <c r="AB378" s="18">
        <f>IF(Table252930323652[[#This Row],[Regional Transfer (Real)]]=0, 0, Table252930323652[[#This Row],[Regional Transfer (Real)]]+Table252930323652[[#This Row],[Stock Level  (West)]])</f>
        <v>0</v>
      </c>
    </row>
    <row r="379" spans="2:28" x14ac:dyDescent="0.2">
      <c r="B379" s="4" t="s">
        <v>22</v>
      </c>
      <c r="C379" s="20">
        <f t="shared" si="20"/>
        <v>394</v>
      </c>
      <c r="D379" s="20">
        <f>C380-Table253349[[#This Row],[Stock Level  ]]</f>
        <v>-100</v>
      </c>
      <c r="E379" s="20">
        <f>IFERROR(GETPIVOTDATA("QTY",$B$56,"PRODUCT_DESCRIPTION", $B$359, "SALES_ORDER_DATE",Table253349[[#This Row],[Date]]), 0)</f>
        <v>100</v>
      </c>
      <c r="F379" s="20">
        <f>Table253349[[#This Row],[Stock Change (t1-t0)]]+Table253349[[#This Row],[Sales]]</f>
        <v>0</v>
      </c>
      <c r="G379" s="18">
        <f>IF(Table253349[[#This Row],[Purchase (Real)]]=0, 0, Table253349[[#This Row],[Purchase (Real)]]+C378)</f>
        <v>0</v>
      </c>
      <c r="I379" s="4" t="s">
        <v>22</v>
      </c>
      <c r="J379" s="20">
        <f t="shared" si="21"/>
        <v>51</v>
      </c>
      <c r="K379" s="20">
        <f>J380-Table25293450[[#This Row],[Stock Level  (North)]]</f>
        <v>0</v>
      </c>
      <c r="L379" s="20">
        <f>IFERROR(GETPIVOTDATA("QTY",$B$56,"PRODUCT_DESCRIPTION", $B$359, "SALES_ORDER_DATE",Table25293450[[#This Row],[Date]], "AREA_NAME", "North"), 0)</f>
        <v>0</v>
      </c>
      <c r="M379" s="20">
        <f>Table25293450[[#This Row],[Stock Change (t1-t0) (North)]]+Table25293450[[#This Row],[Sales]]</f>
        <v>0</v>
      </c>
      <c r="N379" s="18">
        <f>IF(Table25293450[[#This Row],[Regional Transfer (Real)]]=0, 0, Table25293450[[#This Row],[Regional Transfer (Real)]]+Table25293450[[#This Row],[Stock Level  (North)]])</f>
        <v>0</v>
      </c>
      <c r="P379" s="4" t="s">
        <v>22</v>
      </c>
      <c r="Q379" s="20">
        <f t="shared" si="22"/>
        <v>100</v>
      </c>
      <c r="R379" s="20">
        <f>Q380-Table2529303551[[#This Row],[Stock Level  (South)]]</f>
        <v>-100</v>
      </c>
      <c r="S379" s="20">
        <f>IFERROR(GETPIVOTDATA("QTY",$B$56,"PRODUCT_DESCRIPTION", $B$359, "SALES_ORDER_DATE",Table2529303551[[#This Row],[Date]], "AREA_NAME", "South"), 0)</f>
        <v>100</v>
      </c>
      <c r="T379" s="20">
        <f>Table2529303551[[#This Row],[Stock Change (t1-t0) (South)]]+Table2529303551[[#This Row],[Sales]]</f>
        <v>0</v>
      </c>
      <c r="U379" s="18">
        <f>IF(Table2529303551[[#This Row],[Regional Transfer (Real)]]=0, 0, Table2529303551[[#This Row],[Regional Transfer (Real)]]+Table2529303551[[#This Row],[Stock Level  (South)]])</f>
        <v>0</v>
      </c>
      <c r="W379" s="4" t="s">
        <v>22</v>
      </c>
      <c r="X379" s="20">
        <f t="shared" si="23"/>
        <v>49</v>
      </c>
      <c r="Y379" s="20">
        <f>X380-Table252930323652[[#This Row],[Stock Level  (West)]]</f>
        <v>0</v>
      </c>
      <c r="Z379" s="20">
        <f>IFERROR(GETPIVOTDATA("QTY",$B$56,"PRODUCT_DESCRIPTION", $B$359, "SALES_ORDER_DATE",Table252930323652[[#This Row],[Date]], "AREA_NAME", "West"), 0)</f>
        <v>0</v>
      </c>
      <c r="AA379" s="20">
        <f>Table252930323652[[#This Row],[Stock Change (t1-t0) (West)]]+Table252930323652[[#This Row],[Sales]]</f>
        <v>0</v>
      </c>
      <c r="AB379" s="18">
        <f>IF(Table252930323652[[#This Row],[Regional Transfer (Real)]]=0, 0, Table252930323652[[#This Row],[Regional Transfer (Real)]]+Table252930323652[[#This Row],[Stock Level  (West)]])</f>
        <v>0</v>
      </c>
    </row>
    <row r="380" spans="2:28" x14ac:dyDescent="0.2">
      <c r="B380" s="4" t="s">
        <v>23</v>
      </c>
      <c r="C380" s="20">
        <f t="shared" si="20"/>
        <v>294</v>
      </c>
      <c r="D380" s="20">
        <f>C381-Table253349[[#This Row],[Stock Level  ]]</f>
        <v>0</v>
      </c>
      <c r="E380" s="20">
        <f>IFERROR(GETPIVOTDATA("QTY",$B$56,"PRODUCT_DESCRIPTION", $B$359, "SALES_ORDER_DATE",Table253349[[#This Row],[Date]]), 0)</f>
        <v>0</v>
      </c>
      <c r="F380" s="20">
        <f>Table253349[[#This Row],[Stock Change (t1-t0)]]+Table253349[[#This Row],[Sales]]</f>
        <v>0</v>
      </c>
      <c r="G380" s="18">
        <f>IF(Table253349[[#This Row],[Purchase (Real)]]=0, 0, Table253349[[#This Row],[Purchase (Real)]]+C379)</f>
        <v>0</v>
      </c>
      <c r="I380" s="4" t="s">
        <v>23</v>
      </c>
      <c r="J380" s="20">
        <f t="shared" si="21"/>
        <v>51</v>
      </c>
      <c r="K380" s="20">
        <f>J381-Table25293450[[#This Row],[Stock Level  (North)]]</f>
        <v>48</v>
      </c>
      <c r="L380" s="20">
        <f>IFERROR(GETPIVOTDATA("QTY",$B$56,"PRODUCT_DESCRIPTION", $B$359, "SALES_ORDER_DATE",Table25293450[[#This Row],[Date]], "AREA_NAME", "North"), 0)</f>
        <v>0</v>
      </c>
      <c r="M380" s="20">
        <f>Table25293450[[#This Row],[Stock Change (t1-t0) (North)]]+Table25293450[[#This Row],[Sales]]</f>
        <v>48</v>
      </c>
      <c r="N380" s="18">
        <f>IF(Table25293450[[#This Row],[Regional Transfer (Real)]]=0, 0, Table25293450[[#This Row],[Regional Transfer (Real)]]+Table25293450[[#This Row],[Stock Level  (North)]])</f>
        <v>99</v>
      </c>
      <c r="P380" s="4" t="s">
        <v>23</v>
      </c>
      <c r="Q380" s="20">
        <f t="shared" si="22"/>
        <v>0</v>
      </c>
      <c r="R380" s="20">
        <f>Q381-Table2529303551[[#This Row],[Stock Level  (South)]]</f>
        <v>97</v>
      </c>
      <c r="S380" s="20">
        <f>IFERROR(GETPIVOTDATA("QTY",$B$56,"PRODUCT_DESCRIPTION", $B$359, "SALES_ORDER_DATE",Table2529303551[[#This Row],[Date]], "AREA_NAME", "South"), 0)</f>
        <v>0</v>
      </c>
      <c r="T380" s="20">
        <f>Table2529303551[[#This Row],[Stock Change (t1-t0) (South)]]+Table2529303551[[#This Row],[Sales]]</f>
        <v>97</v>
      </c>
      <c r="U380" s="18">
        <f>IF(Table2529303551[[#This Row],[Regional Transfer (Real)]]=0, 0, Table2529303551[[#This Row],[Regional Transfer (Real)]]+Table2529303551[[#This Row],[Stock Level  (South)]])</f>
        <v>97</v>
      </c>
      <c r="W380" s="4" t="s">
        <v>23</v>
      </c>
      <c r="X380" s="20">
        <f t="shared" si="23"/>
        <v>49</v>
      </c>
      <c r="Y380" s="20">
        <f>X381-Table252930323652[[#This Row],[Stock Level  (West)]]</f>
        <v>49</v>
      </c>
      <c r="Z380" s="20">
        <f>IFERROR(GETPIVOTDATA("QTY",$B$56,"PRODUCT_DESCRIPTION", $B$359, "SALES_ORDER_DATE",Table252930323652[[#This Row],[Date]], "AREA_NAME", "West"), 0)</f>
        <v>0</v>
      </c>
      <c r="AA380" s="20">
        <f>Table252930323652[[#This Row],[Stock Change (t1-t0) (West)]]+Table252930323652[[#This Row],[Sales]]</f>
        <v>49</v>
      </c>
      <c r="AB380" s="18">
        <f>IF(Table252930323652[[#This Row],[Regional Transfer (Real)]]=0, 0, Table252930323652[[#This Row],[Regional Transfer (Real)]]+Table252930323652[[#This Row],[Stock Level  (West)]])</f>
        <v>98</v>
      </c>
    </row>
    <row r="381" spans="2:28" x14ac:dyDescent="0.2">
      <c r="B381" s="4" t="s">
        <v>24</v>
      </c>
      <c r="C381" s="20">
        <f t="shared" si="20"/>
        <v>294</v>
      </c>
      <c r="D381" s="20">
        <f>C382-Table253349[[#This Row],[Stock Level  ]]</f>
        <v>-99</v>
      </c>
      <c r="E381" s="20">
        <f>IFERROR(GETPIVOTDATA("QTY",$B$56,"PRODUCT_DESCRIPTION", $B$359, "SALES_ORDER_DATE",Table253349[[#This Row],[Date]]), 0)</f>
        <v>99</v>
      </c>
      <c r="F381" s="20">
        <f>Table253349[[#This Row],[Stock Change (t1-t0)]]+Table253349[[#This Row],[Sales]]</f>
        <v>0</v>
      </c>
      <c r="G381" s="18">
        <f>IF(Table253349[[#This Row],[Purchase (Real)]]=0, 0, Table253349[[#This Row],[Purchase (Real)]]+C380)</f>
        <v>0</v>
      </c>
      <c r="I381" s="4" t="s">
        <v>24</v>
      </c>
      <c r="J381" s="20">
        <f t="shared" si="21"/>
        <v>99</v>
      </c>
      <c r="K381" s="20">
        <f>J382-Table25293450[[#This Row],[Stock Level  (North)]]</f>
        <v>-99</v>
      </c>
      <c r="L381" s="20">
        <f>IFERROR(GETPIVOTDATA("QTY",$B$56,"PRODUCT_DESCRIPTION", $B$359, "SALES_ORDER_DATE",Table25293450[[#This Row],[Date]], "AREA_NAME", "North"), 0)</f>
        <v>99</v>
      </c>
      <c r="M381" s="20">
        <f>Table25293450[[#This Row],[Stock Change (t1-t0) (North)]]+Table25293450[[#This Row],[Sales]]</f>
        <v>0</v>
      </c>
      <c r="N381" s="18">
        <f>IF(Table25293450[[#This Row],[Regional Transfer (Real)]]=0, 0, Table25293450[[#This Row],[Regional Transfer (Real)]]+Table25293450[[#This Row],[Stock Level  (North)]])</f>
        <v>0</v>
      </c>
      <c r="P381" s="4" t="s">
        <v>24</v>
      </c>
      <c r="Q381" s="20">
        <f t="shared" si="22"/>
        <v>97</v>
      </c>
      <c r="R381" s="20">
        <f>Q382-Table2529303551[[#This Row],[Stock Level  (South)]]</f>
        <v>0</v>
      </c>
      <c r="S381" s="20">
        <f>IFERROR(GETPIVOTDATA("QTY",$B$56,"PRODUCT_DESCRIPTION", $B$359, "SALES_ORDER_DATE",Table2529303551[[#This Row],[Date]], "AREA_NAME", "South"), 0)</f>
        <v>0</v>
      </c>
      <c r="T381" s="20">
        <f>Table2529303551[[#This Row],[Stock Change (t1-t0) (South)]]+Table2529303551[[#This Row],[Sales]]</f>
        <v>0</v>
      </c>
      <c r="U381" s="18">
        <f>IF(Table2529303551[[#This Row],[Regional Transfer (Real)]]=0, 0, Table2529303551[[#This Row],[Regional Transfer (Real)]]+Table2529303551[[#This Row],[Stock Level  (South)]])</f>
        <v>0</v>
      </c>
      <c r="W381" s="4" t="s">
        <v>24</v>
      </c>
      <c r="X381" s="20">
        <f t="shared" si="23"/>
        <v>98</v>
      </c>
      <c r="Y381" s="20">
        <f>X382-Table252930323652[[#This Row],[Stock Level  (West)]]</f>
        <v>0</v>
      </c>
      <c r="Z381" s="20">
        <f>IFERROR(GETPIVOTDATA("QTY",$B$56,"PRODUCT_DESCRIPTION", $B$359, "SALES_ORDER_DATE",Table252930323652[[#This Row],[Date]], "AREA_NAME", "West"), 0)</f>
        <v>0</v>
      </c>
      <c r="AA381" s="20">
        <f>Table252930323652[[#This Row],[Stock Change (t1-t0) (West)]]+Table252930323652[[#This Row],[Sales]]</f>
        <v>0</v>
      </c>
      <c r="AB381" s="18">
        <f>IF(Table252930323652[[#This Row],[Regional Transfer (Real)]]=0, 0, Table252930323652[[#This Row],[Regional Transfer (Real)]]+Table252930323652[[#This Row],[Stock Level  (West)]])</f>
        <v>0</v>
      </c>
    </row>
    <row r="382" spans="2:28" x14ac:dyDescent="0.2">
      <c r="B382" s="4" t="s">
        <v>25</v>
      </c>
      <c r="C382" s="20">
        <f t="shared" si="20"/>
        <v>195</v>
      </c>
      <c r="D382" s="20">
        <f>C383-Table253349[[#This Row],[Stock Level  ]]</f>
        <v>-59</v>
      </c>
      <c r="E382" s="20">
        <f>IFERROR(GETPIVOTDATA("QTY",$B$56,"PRODUCT_DESCRIPTION", $B$359, "SALES_ORDER_DATE",Table253349[[#This Row],[Date]]), 0)</f>
        <v>59</v>
      </c>
      <c r="F382" s="20">
        <f>Table253349[[#This Row],[Stock Change (t1-t0)]]+Table253349[[#This Row],[Sales]]</f>
        <v>0</v>
      </c>
      <c r="G382" s="18">
        <f>IF(Table253349[[#This Row],[Purchase (Real)]]=0, 0, Table253349[[#This Row],[Purchase (Real)]]+C381)</f>
        <v>0</v>
      </c>
      <c r="I382" s="4" t="s">
        <v>25</v>
      </c>
      <c r="J382" s="20">
        <f t="shared" si="21"/>
        <v>0</v>
      </c>
      <c r="K382" s="20">
        <f>J383-Table25293450[[#This Row],[Stock Level  (North)]]</f>
        <v>0</v>
      </c>
      <c r="L382" s="20">
        <f>IFERROR(GETPIVOTDATA("QTY",$B$56,"PRODUCT_DESCRIPTION", $B$359, "SALES_ORDER_DATE",Table25293450[[#This Row],[Date]], "AREA_NAME", "North"), 0)</f>
        <v>0</v>
      </c>
      <c r="M382" s="20">
        <f>Table25293450[[#This Row],[Stock Change (t1-t0) (North)]]+Table25293450[[#This Row],[Sales]]</f>
        <v>0</v>
      </c>
      <c r="N382" s="18">
        <f>IF(Table25293450[[#This Row],[Regional Transfer (Real)]]=0, 0, Table25293450[[#This Row],[Regional Transfer (Real)]]+Table25293450[[#This Row],[Stock Level  (North)]])</f>
        <v>0</v>
      </c>
      <c r="P382" s="4" t="s">
        <v>25</v>
      </c>
      <c r="Q382" s="20">
        <f t="shared" si="22"/>
        <v>97</v>
      </c>
      <c r="R382" s="20">
        <f>Q383-Table2529303551[[#This Row],[Stock Level  (South)]]</f>
        <v>0</v>
      </c>
      <c r="S382" s="20">
        <f>IFERROR(GETPIVOTDATA("QTY",$B$56,"PRODUCT_DESCRIPTION", $B$359, "SALES_ORDER_DATE",Table2529303551[[#This Row],[Date]], "AREA_NAME", "South"), 0)</f>
        <v>0</v>
      </c>
      <c r="T382" s="20">
        <f>Table2529303551[[#This Row],[Stock Change (t1-t0) (South)]]+Table2529303551[[#This Row],[Sales]]</f>
        <v>0</v>
      </c>
      <c r="U382" s="18">
        <f>IF(Table2529303551[[#This Row],[Regional Transfer (Real)]]=0, 0, Table2529303551[[#This Row],[Regional Transfer (Real)]]+Table2529303551[[#This Row],[Stock Level  (South)]])</f>
        <v>0</v>
      </c>
      <c r="W382" s="4" t="s">
        <v>25</v>
      </c>
      <c r="X382" s="20">
        <f t="shared" si="23"/>
        <v>98</v>
      </c>
      <c r="Y382" s="20">
        <f>X383-Table252930323652[[#This Row],[Stock Level  (West)]]</f>
        <v>-59</v>
      </c>
      <c r="Z382" s="20">
        <f>IFERROR(GETPIVOTDATA("QTY",$B$56,"PRODUCT_DESCRIPTION", $B$359, "SALES_ORDER_DATE",Table252930323652[[#This Row],[Date]], "AREA_NAME", "West"), 0)</f>
        <v>59</v>
      </c>
      <c r="AA382" s="20">
        <f>Table252930323652[[#This Row],[Stock Change (t1-t0) (West)]]+Table252930323652[[#This Row],[Sales]]</f>
        <v>0</v>
      </c>
      <c r="AB382" s="18">
        <f>IF(Table252930323652[[#This Row],[Regional Transfer (Real)]]=0, 0, Table252930323652[[#This Row],[Regional Transfer (Real)]]+Table252930323652[[#This Row],[Stock Level  (West)]])</f>
        <v>0</v>
      </c>
    </row>
    <row r="383" spans="2:28" x14ac:dyDescent="0.2">
      <c r="B383" s="4" t="s">
        <v>26</v>
      </c>
      <c r="C383" s="20">
        <f t="shared" si="20"/>
        <v>136</v>
      </c>
      <c r="D383" s="20">
        <f>C384-Table253349[[#This Row],[Stock Level  ]]</f>
        <v>-39</v>
      </c>
      <c r="E383" s="20">
        <f>IFERROR(GETPIVOTDATA("QTY",$B$56,"PRODUCT_DESCRIPTION", $B$359, "SALES_ORDER_DATE",Table253349[[#This Row],[Date]]), 0)</f>
        <v>39</v>
      </c>
      <c r="F383" s="20">
        <f>Table253349[[#This Row],[Stock Change (t1-t0)]]+Table253349[[#This Row],[Sales]]</f>
        <v>0</v>
      </c>
      <c r="G383" s="18">
        <f>IF(Table253349[[#This Row],[Purchase (Real)]]=0, 0, Table253349[[#This Row],[Purchase (Real)]]+C382)</f>
        <v>0</v>
      </c>
      <c r="I383" s="4" t="s">
        <v>26</v>
      </c>
      <c r="J383" s="20">
        <f t="shared" si="21"/>
        <v>0</v>
      </c>
      <c r="K383" s="20">
        <f>J384-Table25293450[[#This Row],[Stock Level  (North)]]</f>
        <v>0</v>
      </c>
      <c r="L383" s="20">
        <f>IFERROR(GETPIVOTDATA("QTY",$B$56,"PRODUCT_DESCRIPTION", $B$359, "SALES_ORDER_DATE",Table25293450[[#This Row],[Date]], "AREA_NAME", "North"), 0)</f>
        <v>0</v>
      </c>
      <c r="M383" s="20">
        <f>Table25293450[[#This Row],[Stock Change (t1-t0) (North)]]+Table25293450[[#This Row],[Sales]]</f>
        <v>0</v>
      </c>
      <c r="N383" s="18">
        <f>IF(Table25293450[[#This Row],[Regional Transfer (Real)]]=0, 0, Table25293450[[#This Row],[Regional Transfer (Real)]]+Table25293450[[#This Row],[Stock Level  (North)]])</f>
        <v>0</v>
      </c>
      <c r="P383" s="4" t="s">
        <v>26</v>
      </c>
      <c r="Q383" s="20">
        <f t="shared" si="22"/>
        <v>97</v>
      </c>
      <c r="R383" s="20">
        <f>Q384-Table2529303551[[#This Row],[Stock Level  (South)]]</f>
        <v>0</v>
      </c>
      <c r="S383" s="20">
        <f>IFERROR(GETPIVOTDATA("QTY",$B$56,"PRODUCT_DESCRIPTION", $B$359, "SALES_ORDER_DATE",Table2529303551[[#This Row],[Date]], "AREA_NAME", "South"), 0)</f>
        <v>0</v>
      </c>
      <c r="T383" s="20">
        <f>Table2529303551[[#This Row],[Stock Change (t1-t0) (South)]]+Table2529303551[[#This Row],[Sales]]</f>
        <v>0</v>
      </c>
      <c r="U383" s="18">
        <f>IF(Table2529303551[[#This Row],[Regional Transfer (Real)]]=0, 0, Table2529303551[[#This Row],[Regional Transfer (Real)]]+Table2529303551[[#This Row],[Stock Level  (South)]])</f>
        <v>0</v>
      </c>
      <c r="W383" s="4" t="s">
        <v>26</v>
      </c>
      <c r="X383" s="20">
        <f t="shared" si="23"/>
        <v>39</v>
      </c>
      <c r="Y383" s="20">
        <f>X384-Table252930323652[[#This Row],[Stock Level  (West)]]</f>
        <v>-39</v>
      </c>
      <c r="Z383" s="20">
        <f>IFERROR(GETPIVOTDATA("QTY",$B$56,"PRODUCT_DESCRIPTION", $B$359, "SALES_ORDER_DATE",Table252930323652[[#This Row],[Date]], "AREA_NAME", "West"), 0)</f>
        <v>39</v>
      </c>
      <c r="AA383" s="20">
        <f>Table252930323652[[#This Row],[Stock Change (t1-t0) (West)]]+Table252930323652[[#This Row],[Sales]]</f>
        <v>0</v>
      </c>
      <c r="AB383" s="18">
        <f>IF(Table252930323652[[#This Row],[Regional Transfer (Real)]]=0, 0, Table252930323652[[#This Row],[Regional Transfer (Real)]]+Table252930323652[[#This Row],[Stock Level  (West)]])</f>
        <v>0</v>
      </c>
    </row>
    <row r="384" spans="2:28" x14ac:dyDescent="0.2">
      <c r="B384" s="4" t="s">
        <v>57</v>
      </c>
      <c r="C384" s="20">
        <f t="shared" si="20"/>
        <v>97</v>
      </c>
      <c r="D384" s="20">
        <f>C385-Table253349[[#This Row],[Stock Level  ]]</f>
        <v>0</v>
      </c>
      <c r="E384" s="20">
        <f>IFERROR(GETPIVOTDATA("QTY",$B$56,"PRODUCT_DESCRIPTION", $B$359, "SALES_ORDER_DATE",Table253349[[#This Row],[Date]]), 0)</f>
        <v>0</v>
      </c>
      <c r="F384" s="20">
        <f>Table253349[[#This Row],[Stock Change (t1-t0)]]+Table253349[[#This Row],[Sales]]</f>
        <v>0</v>
      </c>
      <c r="G384" s="18">
        <f>IF(Table253349[[#This Row],[Purchase (Real)]]=0, 0, Table253349[[#This Row],[Purchase (Real)]]+C383)</f>
        <v>0</v>
      </c>
      <c r="I384" s="4" t="s">
        <v>57</v>
      </c>
      <c r="J384" s="20">
        <f t="shared" si="21"/>
        <v>0</v>
      </c>
      <c r="K384" s="20">
        <f>J385-Table25293450[[#This Row],[Stock Level  (North)]]</f>
        <v>0</v>
      </c>
      <c r="L384" s="20">
        <f>IFERROR(GETPIVOTDATA("QTY",$B$56,"PRODUCT_DESCRIPTION", $B$359, "SALES_ORDER_DATE",Table25293450[[#This Row],[Date]], "AREA_NAME", "North"), 0)</f>
        <v>0</v>
      </c>
      <c r="M384" s="20">
        <f>Table25293450[[#This Row],[Stock Change (t1-t0) (North)]]+Table25293450[[#This Row],[Sales]]</f>
        <v>0</v>
      </c>
      <c r="N384" s="18">
        <f>IF(Table25293450[[#This Row],[Regional Transfer (Real)]]=0, 0, Table25293450[[#This Row],[Regional Transfer (Real)]]+Table25293450[[#This Row],[Stock Level  (North)]])</f>
        <v>0</v>
      </c>
      <c r="P384" s="4" t="s">
        <v>57</v>
      </c>
      <c r="Q384" s="20">
        <f t="shared" si="22"/>
        <v>97</v>
      </c>
      <c r="R384" s="20">
        <f>Q385-Table2529303551[[#This Row],[Stock Level  (South)]]</f>
        <v>0</v>
      </c>
      <c r="S384" s="20">
        <f>IFERROR(GETPIVOTDATA("QTY",$B$56,"PRODUCT_DESCRIPTION", $B$359, "SALES_ORDER_DATE",Table2529303551[[#This Row],[Date]], "AREA_NAME", "South"), 0)</f>
        <v>0</v>
      </c>
      <c r="T384" s="20">
        <f>Table2529303551[[#This Row],[Stock Change (t1-t0) (South)]]+Table2529303551[[#This Row],[Sales]]</f>
        <v>0</v>
      </c>
      <c r="U384" s="18">
        <f>IF(Table2529303551[[#This Row],[Regional Transfer (Real)]]=0, 0, Table2529303551[[#This Row],[Regional Transfer (Real)]]+Table2529303551[[#This Row],[Stock Level  (South)]])</f>
        <v>0</v>
      </c>
      <c r="W384" s="4" t="s">
        <v>57</v>
      </c>
      <c r="X384" s="20">
        <f t="shared" si="23"/>
        <v>0</v>
      </c>
      <c r="Y384" s="20">
        <f>X385-Table252930323652[[#This Row],[Stock Level  (West)]]</f>
        <v>0</v>
      </c>
      <c r="Z384" s="20">
        <f>IFERROR(GETPIVOTDATA("QTY",$B$56,"PRODUCT_DESCRIPTION", $B$359, "SALES_ORDER_DATE",Table252930323652[[#This Row],[Date]], "AREA_NAME", "West"), 0)</f>
        <v>0</v>
      </c>
      <c r="AA384" s="20">
        <f>Table252930323652[[#This Row],[Stock Change (t1-t0) (West)]]+Table252930323652[[#This Row],[Sales]]</f>
        <v>0</v>
      </c>
      <c r="AB384" s="18">
        <f>IF(Table252930323652[[#This Row],[Regional Transfer (Real)]]=0, 0, Table252930323652[[#This Row],[Regional Transfer (Real)]]+Table252930323652[[#This Row],[Stock Level  (West)]])</f>
        <v>0</v>
      </c>
    </row>
    <row r="385" spans="2:28" x14ac:dyDescent="0.2">
      <c r="B385" s="4" t="s">
        <v>27</v>
      </c>
      <c r="C385" s="20">
        <f t="shared" si="20"/>
        <v>97</v>
      </c>
      <c r="D385" s="20">
        <f>C386-Table253349[[#This Row],[Stock Level  ]]</f>
        <v>806</v>
      </c>
      <c r="E385" s="20">
        <f>IFERROR(GETPIVOTDATA("QTY",$B$56,"PRODUCT_DESCRIPTION", $B$359, "SALES_ORDER_DATE",Table253349[[#This Row],[Date]]), 0)</f>
        <v>97</v>
      </c>
      <c r="F385" s="20">
        <f>Table253349[[#This Row],[Stock Change (t1-t0)]]+Table253349[[#This Row],[Sales]]</f>
        <v>903</v>
      </c>
      <c r="G385" s="18">
        <f>IF(Table253349[[#This Row],[Purchase (Real)]]=0, 0, Table253349[[#This Row],[Purchase (Real)]]+C384)</f>
        <v>1000</v>
      </c>
      <c r="I385" s="4" t="s">
        <v>27</v>
      </c>
      <c r="J385" s="20">
        <f t="shared" si="21"/>
        <v>0</v>
      </c>
      <c r="K385" s="20">
        <f>J386-Table25293450[[#This Row],[Stock Level  (North)]]</f>
        <v>0</v>
      </c>
      <c r="L385" s="20">
        <f>IFERROR(GETPIVOTDATA("QTY",$B$56,"PRODUCT_DESCRIPTION", $B$359, "SALES_ORDER_DATE",Table25293450[[#This Row],[Date]], "AREA_NAME", "North"), 0)</f>
        <v>0</v>
      </c>
      <c r="M385" s="20">
        <f>Table25293450[[#This Row],[Stock Change (t1-t0) (North)]]+Table25293450[[#This Row],[Sales]]</f>
        <v>0</v>
      </c>
      <c r="N385" s="18">
        <f>IF(Table25293450[[#This Row],[Regional Transfer (Real)]]=0, 0, Table25293450[[#This Row],[Regional Transfer (Real)]]+Table25293450[[#This Row],[Stock Level  (North)]])</f>
        <v>0</v>
      </c>
      <c r="P385" s="4" t="s">
        <v>27</v>
      </c>
      <c r="Q385" s="20">
        <f t="shared" si="22"/>
        <v>97</v>
      </c>
      <c r="R385" s="20">
        <f>Q386-Table2529303551[[#This Row],[Stock Level  (South)]]</f>
        <v>-97</v>
      </c>
      <c r="S385" s="20">
        <f>IFERROR(GETPIVOTDATA("QTY",$B$56,"PRODUCT_DESCRIPTION", $B$359, "SALES_ORDER_DATE",Table2529303551[[#This Row],[Date]], "AREA_NAME", "South"), 0)</f>
        <v>97</v>
      </c>
      <c r="T385" s="20">
        <f>Table2529303551[[#This Row],[Stock Change (t1-t0) (South)]]+Table2529303551[[#This Row],[Sales]]</f>
        <v>0</v>
      </c>
      <c r="U385" s="18">
        <f>IF(Table2529303551[[#This Row],[Regional Transfer (Real)]]=0, 0, Table2529303551[[#This Row],[Regional Transfer (Real)]]+Table2529303551[[#This Row],[Stock Level  (South)]])</f>
        <v>0</v>
      </c>
      <c r="W385" s="4" t="s">
        <v>27</v>
      </c>
      <c r="X385" s="20">
        <f t="shared" si="23"/>
        <v>0</v>
      </c>
      <c r="Y385" s="20">
        <f>X386-Table252930323652[[#This Row],[Stock Level  (West)]]</f>
        <v>0</v>
      </c>
      <c r="Z385" s="20">
        <f>IFERROR(GETPIVOTDATA("QTY",$B$56,"PRODUCT_DESCRIPTION", $B$359, "SALES_ORDER_DATE",Table252930323652[[#This Row],[Date]], "AREA_NAME", "West"), 0)</f>
        <v>0</v>
      </c>
      <c r="AA385" s="20">
        <f>Table252930323652[[#This Row],[Stock Change (t1-t0) (West)]]+Table252930323652[[#This Row],[Sales]]</f>
        <v>0</v>
      </c>
      <c r="AB385" s="18">
        <f>IF(Table252930323652[[#This Row],[Regional Transfer (Real)]]=0, 0, Table252930323652[[#This Row],[Regional Transfer (Real)]]+Table252930323652[[#This Row],[Stock Level  (West)]])</f>
        <v>0</v>
      </c>
    </row>
    <row r="386" spans="2:28" x14ac:dyDescent="0.2">
      <c r="B386" s="4" t="s">
        <v>28</v>
      </c>
      <c r="C386" s="20">
        <f t="shared" si="20"/>
        <v>903</v>
      </c>
      <c r="D386" s="20">
        <f>C387-Table253349[[#This Row],[Stock Level  ]]</f>
        <v>0</v>
      </c>
      <c r="E386" s="20">
        <f>IFERROR(GETPIVOTDATA("QTY",$B$56,"PRODUCT_DESCRIPTION", $B$359, "SALES_ORDER_DATE",Table253349[[#This Row],[Date]]), 0)</f>
        <v>0</v>
      </c>
      <c r="F386" s="20">
        <f>Table253349[[#This Row],[Stock Change (t1-t0)]]+Table253349[[#This Row],[Sales]]</f>
        <v>0</v>
      </c>
      <c r="G386" s="18">
        <f>IF(Table253349[[#This Row],[Purchase (Real)]]=0, 0, Table253349[[#This Row],[Purchase (Real)]]+C385)</f>
        <v>0</v>
      </c>
      <c r="I386" s="4" t="s">
        <v>28</v>
      </c>
      <c r="J386" s="20">
        <f t="shared" si="21"/>
        <v>0</v>
      </c>
      <c r="K386" s="20">
        <f>J387-Table25293450[[#This Row],[Stock Level  (North)]]</f>
        <v>0</v>
      </c>
      <c r="L386" s="20">
        <f>IFERROR(GETPIVOTDATA("QTY",$B$56,"PRODUCT_DESCRIPTION", $B$359, "SALES_ORDER_DATE",Table25293450[[#This Row],[Date]], "AREA_NAME", "North"), 0)</f>
        <v>0</v>
      </c>
      <c r="M386" s="20">
        <f>Table25293450[[#This Row],[Stock Change (t1-t0) (North)]]+Table25293450[[#This Row],[Sales]]</f>
        <v>0</v>
      </c>
      <c r="N386" s="18">
        <f>IF(Table25293450[[#This Row],[Regional Transfer (Real)]]=0, 0, Table25293450[[#This Row],[Regional Transfer (Real)]]+Table25293450[[#This Row],[Stock Level  (North)]])</f>
        <v>0</v>
      </c>
      <c r="P386" s="4" t="s">
        <v>28</v>
      </c>
      <c r="Q386" s="20">
        <f t="shared" si="22"/>
        <v>0</v>
      </c>
      <c r="R386" s="20">
        <f>Q387-Table2529303551[[#This Row],[Stock Level  (South)]]</f>
        <v>0</v>
      </c>
      <c r="S386" s="20">
        <f>IFERROR(GETPIVOTDATA("QTY",$B$56,"PRODUCT_DESCRIPTION", $B$359, "SALES_ORDER_DATE",Table2529303551[[#This Row],[Date]], "AREA_NAME", "South"), 0)</f>
        <v>0</v>
      </c>
      <c r="T386" s="20">
        <f>Table2529303551[[#This Row],[Stock Change (t1-t0) (South)]]+Table2529303551[[#This Row],[Sales]]</f>
        <v>0</v>
      </c>
      <c r="U386" s="18">
        <f>IF(Table2529303551[[#This Row],[Regional Transfer (Real)]]=0, 0, Table2529303551[[#This Row],[Regional Transfer (Real)]]+Table2529303551[[#This Row],[Stock Level  (South)]])</f>
        <v>0</v>
      </c>
      <c r="W386" s="4" t="s">
        <v>28</v>
      </c>
      <c r="X386" s="20">
        <f t="shared" si="23"/>
        <v>0</v>
      </c>
      <c r="Y386" s="20">
        <f>X387-Table252930323652[[#This Row],[Stock Level  (West)]]</f>
        <v>0</v>
      </c>
      <c r="Z386" s="20">
        <f>IFERROR(GETPIVOTDATA("QTY",$B$56,"PRODUCT_DESCRIPTION", $B$359, "SALES_ORDER_DATE",Table252930323652[[#This Row],[Date]], "AREA_NAME", "West"), 0)</f>
        <v>0</v>
      </c>
      <c r="AA386" s="20">
        <f>Table252930323652[[#This Row],[Stock Change (t1-t0) (West)]]+Table252930323652[[#This Row],[Sales]]</f>
        <v>0</v>
      </c>
      <c r="AB386" s="18">
        <f>IF(Table252930323652[[#This Row],[Regional Transfer (Real)]]=0, 0, Table252930323652[[#This Row],[Regional Transfer (Real)]]+Table252930323652[[#This Row],[Stock Level  (West)]])</f>
        <v>0</v>
      </c>
    </row>
    <row r="387" spans="2:28" x14ac:dyDescent="0.2">
      <c r="B387" s="4" t="s">
        <v>29</v>
      </c>
      <c r="C387" s="20">
        <f t="shared" si="20"/>
        <v>903</v>
      </c>
      <c r="D387" s="20">
        <f>C388-Table253349[[#This Row],[Stock Level  ]]</f>
        <v>0</v>
      </c>
      <c r="E387" s="20">
        <f>IFERROR(GETPIVOTDATA("QTY",$B$56,"PRODUCT_DESCRIPTION", $B$359, "SALES_ORDER_DATE",Table253349[[#This Row],[Date]]), 0)</f>
        <v>0</v>
      </c>
      <c r="F387" s="20">
        <f>Table253349[[#This Row],[Stock Change (t1-t0)]]+Table253349[[#This Row],[Sales]]</f>
        <v>0</v>
      </c>
      <c r="G387" s="18">
        <f>IF(Table253349[[#This Row],[Purchase (Real)]]=0, 0, Table253349[[#This Row],[Purchase (Real)]]+C386)</f>
        <v>0</v>
      </c>
      <c r="I387" s="4" t="s">
        <v>29</v>
      </c>
      <c r="J387" s="20">
        <f t="shared" si="21"/>
        <v>0</v>
      </c>
      <c r="K387" s="20">
        <f>J388-Table25293450[[#This Row],[Stock Level  (North)]]</f>
        <v>300</v>
      </c>
      <c r="L387" s="20">
        <f>IFERROR(GETPIVOTDATA("QTY",$B$56,"PRODUCT_DESCRIPTION", $B$359, "SALES_ORDER_DATE",Table25293450[[#This Row],[Date]], "AREA_NAME", "North"), 0)</f>
        <v>0</v>
      </c>
      <c r="M387" s="20">
        <f>Table25293450[[#This Row],[Stock Change (t1-t0) (North)]]+Table25293450[[#This Row],[Sales]]</f>
        <v>300</v>
      </c>
      <c r="N387" s="18">
        <f>IF(Table25293450[[#This Row],[Regional Transfer (Real)]]=0, 0, Table25293450[[#This Row],[Regional Transfer (Real)]]+Table25293450[[#This Row],[Stock Level  (North)]])</f>
        <v>300</v>
      </c>
      <c r="P387" s="4" t="s">
        <v>29</v>
      </c>
      <c r="Q387" s="20">
        <f t="shared" si="22"/>
        <v>0</v>
      </c>
      <c r="R387" s="20">
        <f>Q388-Table2529303551[[#This Row],[Stock Level  (South)]]</f>
        <v>200</v>
      </c>
      <c r="S387" s="20">
        <f>IFERROR(GETPIVOTDATA("QTY",$B$56,"PRODUCT_DESCRIPTION", $B$359, "SALES_ORDER_DATE",Table2529303551[[#This Row],[Date]], "AREA_NAME", "South"), 0)</f>
        <v>0</v>
      </c>
      <c r="T387" s="20">
        <f>Table2529303551[[#This Row],[Stock Change (t1-t0) (South)]]+Table2529303551[[#This Row],[Sales]]</f>
        <v>200</v>
      </c>
      <c r="U387" s="18">
        <f>IF(Table2529303551[[#This Row],[Regional Transfer (Real)]]=0, 0, Table2529303551[[#This Row],[Regional Transfer (Real)]]+Table2529303551[[#This Row],[Stock Level  (South)]])</f>
        <v>200</v>
      </c>
      <c r="W387" s="4" t="s">
        <v>29</v>
      </c>
      <c r="X387" s="20">
        <f t="shared" si="23"/>
        <v>0</v>
      </c>
      <c r="Y387" s="20">
        <f>X388-Table252930323652[[#This Row],[Stock Level  (West)]]</f>
        <v>200</v>
      </c>
      <c r="Z387" s="20">
        <f>IFERROR(GETPIVOTDATA("QTY",$B$56,"PRODUCT_DESCRIPTION", $B$359, "SALES_ORDER_DATE",Table252930323652[[#This Row],[Date]], "AREA_NAME", "West"), 0)</f>
        <v>0</v>
      </c>
      <c r="AA387" s="20">
        <f>Table252930323652[[#This Row],[Stock Change (t1-t0) (West)]]+Table252930323652[[#This Row],[Sales]]</f>
        <v>200</v>
      </c>
      <c r="AB387" s="18">
        <f>IF(Table252930323652[[#This Row],[Regional Transfer (Real)]]=0, 0, Table252930323652[[#This Row],[Regional Transfer (Real)]]+Table252930323652[[#This Row],[Stock Level  (West)]])</f>
        <v>200</v>
      </c>
    </row>
    <row r="388" spans="2:28" x14ac:dyDescent="0.2">
      <c r="B388" s="4" t="s">
        <v>30</v>
      </c>
      <c r="C388" s="20">
        <f t="shared" si="20"/>
        <v>903</v>
      </c>
      <c r="D388" s="20">
        <f>C389-Table253349[[#This Row],[Stock Level  ]]</f>
        <v>-3</v>
      </c>
      <c r="E388" s="20">
        <f>IFERROR(GETPIVOTDATA("QTY",$B$56,"PRODUCT_DESCRIPTION", $B$359, "SALES_ORDER_DATE",Table253349[[#This Row],[Date]]), 0)</f>
        <v>3</v>
      </c>
      <c r="F388" s="20">
        <f>Table253349[[#This Row],[Stock Change (t1-t0)]]+Table253349[[#This Row],[Sales]]</f>
        <v>0</v>
      </c>
      <c r="G388" s="18">
        <f>IF(Table253349[[#This Row],[Purchase (Real)]]=0, 0, Table253349[[#This Row],[Purchase (Real)]]+C387)</f>
        <v>0</v>
      </c>
      <c r="I388" s="4" t="s">
        <v>30</v>
      </c>
      <c r="J388" s="20">
        <f t="shared" si="21"/>
        <v>300</v>
      </c>
      <c r="K388" s="20">
        <f>J389-Table25293450[[#This Row],[Stock Level  (North)]]</f>
        <v>0</v>
      </c>
      <c r="L388" s="20">
        <f>IFERROR(GETPIVOTDATA("QTY",$B$56,"PRODUCT_DESCRIPTION", $B$359, "SALES_ORDER_DATE",Table25293450[[#This Row],[Date]], "AREA_NAME", "North"), 0)</f>
        <v>0</v>
      </c>
      <c r="M388" s="20">
        <f>Table25293450[[#This Row],[Stock Change (t1-t0) (North)]]+Table25293450[[#This Row],[Sales]]</f>
        <v>0</v>
      </c>
      <c r="N388" s="18">
        <f>IF(Table25293450[[#This Row],[Regional Transfer (Real)]]=0, 0, Table25293450[[#This Row],[Regional Transfer (Real)]]+Table25293450[[#This Row],[Stock Level  (North)]])</f>
        <v>0</v>
      </c>
      <c r="P388" s="4" t="s">
        <v>30</v>
      </c>
      <c r="Q388" s="20">
        <f t="shared" si="22"/>
        <v>200</v>
      </c>
      <c r="R388" s="20">
        <f>Q389-Table2529303551[[#This Row],[Stock Level  (South)]]</f>
        <v>-3</v>
      </c>
      <c r="S388" s="20">
        <f>IFERROR(GETPIVOTDATA("QTY",$B$56,"PRODUCT_DESCRIPTION", $B$359, "SALES_ORDER_DATE",Table2529303551[[#This Row],[Date]], "AREA_NAME", "South"), 0)</f>
        <v>3</v>
      </c>
      <c r="T388" s="20">
        <f>Table2529303551[[#This Row],[Stock Change (t1-t0) (South)]]+Table2529303551[[#This Row],[Sales]]</f>
        <v>0</v>
      </c>
      <c r="U388" s="18">
        <f>IF(Table2529303551[[#This Row],[Regional Transfer (Real)]]=0, 0, Table2529303551[[#This Row],[Regional Transfer (Real)]]+Table2529303551[[#This Row],[Stock Level  (South)]])</f>
        <v>0</v>
      </c>
      <c r="W388" s="4" t="s">
        <v>30</v>
      </c>
      <c r="X388" s="20">
        <f t="shared" si="23"/>
        <v>200</v>
      </c>
      <c r="Y388" s="20">
        <f>X389-Table252930323652[[#This Row],[Stock Level  (West)]]</f>
        <v>0</v>
      </c>
      <c r="Z388" s="20">
        <f>IFERROR(GETPIVOTDATA("QTY",$B$56,"PRODUCT_DESCRIPTION", $B$359, "SALES_ORDER_DATE",Table252930323652[[#This Row],[Date]], "AREA_NAME", "West"), 0)</f>
        <v>0</v>
      </c>
      <c r="AA388" s="20">
        <f>Table252930323652[[#This Row],[Stock Change (t1-t0) (West)]]+Table252930323652[[#This Row],[Sales]]</f>
        <v>0</v>
      </c>
      <c r="AB388" s="18">
        <f>IF(Table252930323652[[#This Row],[Regional Transfer (Real)]]=0, 0, Table252930323652[[#This Row],[Regional Transfer (Real)]]+Table252930323652[[#This Row],[Stock Level  (West)]])</f>
        <v>0</v>
      </c>
    </row>
    <row r="389" spans="2:28" x14ac:dyDescent="0.2">
      <c r="B389" s="4" t="s">
        <v>31</v>
      </c>
      <c r="C389" s="20">
        <f t="shared" si="20"/>
        <v>900</v>
      </c>
      <c r="D389" s="20">
        <f>C390-Table253349[[#This Row],[Stock Level  ]]</f>
        <v>-155</v>
      </c>
      <c r="E389" s="20">
        <f>IFERROR(GETPIVOTDATA("QTY",$B$56,"PRODUCT_DESCRIPTION", $B$359, "SALES_ORDER_DATE",Table253349[[#This Row],[Date]]), 0)</f>
        <v>155</v>
      </c>
      <c r="F389" s="20">
        <f>Table253349[[#This Row],[Stock Change (t1-t0)]]+Table253349[[#This Row],[Sales]]</f>
        <v>0</v>
      </c>
      <c r="G389" s="18">
        <f>IF(Table253349[[#This Row],[Purchase (Real)]]=0, 0, Table253349[[#This Row],[Purchase (Real)]]+C388)</f>
        <v>0</v>
      </c>
      <c r="I389" s="4" t="s">
        <v>31</v>
      </c>
      <c r="J389" s="20">
        <f t="shared" si="21"/>
        <v>300</v>
      </c>
      <c r="K389" s="20">
        <f>J390-Table25293450[[#This Row],[Stock Level  (North)]]</f>
        <v>0</v>
      </c>
      <c r="L389" s="20">
        <f>IFERROR(GETPIVOTDATA("QTY",$B$56,"PRODUCT_DESCRIPTION", $B$359, "SALES_ORDER_DATE",Table25293450[[#This Row],[Date]], "AREA_NAME", "North"), 0)</f>
        <v>0</v>
      </c>
      <c r="M389" s="20">
        <f>Table25293450[[#This Row],[Stock Change (t1-t0) (North)]]+Table25293450[[#This Row],[Sales]]</f>
        <v>0</v>
      </c>
      <c r="N389" s="18">
        <f>IF(Table25293450[[#This Row],[Regional Transfer (Real)]]=0, 0, Table25293450[[#This Row],[Regional Transfer (Real)]]+Table25293450[[#This Row],[Stock Level  (North)]])</f>
        <v>0</v>
      </c>
      <c r="P389" s="4" t="s">
        <v>31</v>
      </c>
      <c r="Q389" s="20">
        <f t="shared" si="22"/>
        <v>197</v>
      </c>
      <c r="R389" s="20">
        <f>Q390-Table2529303551[[#This Row],[Stock Level  (South)]]</f>
        <v>-105</v>
      </c>
      <c r="S389" s="20">
        <f>IFERROR(GETPIVOTDATA("QTY",$B$56,"PRODUCT_DESCRIPTION", $B$359, "SALES_ORDER_DATE",Table2529303551[[#This Row],[Date]], "AREA_NAME", "South"), 0)</f>
        <v>105</v>
      </c>
      <c r="T389" s="20">
        <f>Table2529303551[[#This Row],[Stock Change (t1-t0) (South)]]+Table2529303551[[#This Row],[Sales]]</f>
        <v>0</v>
      </c>
      <c r="U389" s="18">
        <f>IF(Table2529303551[[#This Row],[Regional Transfer (Real)]]=0, 0, Table2529303551[[#This Row],[Regional Transfer (Real)]]+Table2529303551[[#This Row],[Stock Level  (South)]])</f>
        <v>0</v>
      </c>
      <c r="W389" s="4" t="s">
        <v>31</v>
      </c>
      <c r="X389" s="20">
        <f t="shared" si="23"/>
        <v>200</v>
      </c>
      <c r="Y389" s="20">
        <f>X390-Table252930323652[[#This Row],[Stock Level  (West)]]</f>
        <v>-50</v>
      </c>
      <c r="Z389" s="20">
        <f>IFERROR(GETPIVOTDATA("QTY",$B$56,"PRODUCT_DESCRIPTION", $B$359, "SALES_ORDER_DATE",Table252930323652[[#This Row],[Date]], "AREA_NAME", "West"), 0)</f>
        <v>50</v>
      </c>
      <c r="AA389" s="20">
        <f>Table252930323652[[#This Row],[Stock Change (t1-t0) (West)]]+Table252930323652[[#This Row],[Sales]]</f>
        <v>0</v>
      </c>
      <c r="AB389" s="18">
        <f>IF(Table252930323652[[#This Row],[Regional Transfer (Real)]]=0, 0, Table252930323652[[#This Row],[Regional Transfer (Real)]]+Table252930323652[[#This Row],[Stock Level  (West)]])</f>
        <v>0</v>
      </c>
    </row>
    <row r="390" spans="2:28" x14ac:dyDescent="0.2">
      <c r="B390" s="4" t="s">
        <v>32</v>
      </c>
      <c r="C390" s="20">
        <f t="shared" si="20"/>
        <v>745</v>
      </c>
      <c r="D390" s="20">
        <f>C391-Table253349[[#This Row],[Stock Level  ]]</f>
        <v>-22</v>
      </c>
      <c r="E390" s="20">
        <f>IFERROR(GETPIVOTDATA("QTY",$B$56,"PRODUCT_DESCRIPTION", $B$359, "SALES_ORDER_DATE",Table253349[[#This Row],[Date]]), 0)</f>
        <v>122</v>
      </c>
      <c r="F390" s="20">
        <f>Table253349[[#This Row],[Stock Change (t1-t0)]]+Table253349[[#This Row],[Sales]]</f>
        <v>100</v>
      </c>
      <c r="G390" s="18">
        <f>IF(Table253349[[#This Row],[Purchase (Real)]]=0, 0, Table253349[[#This Row],[Purchase (Real)]]+C389)</f>
        <v>1000</v>
      </c>
      <c r="I390" s="4" t="s">
        <v>32</v>
      </c>
      <c r="J390" s="20">
        <f t="shared" si="21"/>
        <v>300</v>
      </c>
      <c r="K390" s="20">
        <f>J391-Table25293450[[#This Row],[Stock Level  (North)]]</f>
        <v>-56</v>
      </c>
      <c r="L390" s="20">
        <f>IFERROR(GETPIVOTDATA("QTY",$B$56,"PRODUCT_DESCRIPTION", $B$359, "SALES_ORDER_DATE",Table25293450[[#This Row],[Date]], "AREA_NAME", "North"), 0)</f>
        <v>56</v>
      </c>
      <c r="M390" s="20">
        <f>Table25293450[[#This Row],[Stock Change (t1-t0) (North)]]+Table25293450[[#This Row],[Sales]]</f>
        <v>0</v>
      </c>
      <c r="N390" s="18">
        <f>IF(Table25293450[[#This Row],[Regional Transfer (Real)]]=0, 0, Table25293450[[#This Row],[Regional Transfer (Real)]]+Table25293450[[#This Row],[Stock Level  (North)]])</f>
        <v>0</v>
      </c>
      <c r="P390" s="4" t="s">
        <v>32</v>
      </c>
      <c r="Q390" s="20">
        <f t="shared" si="22"/>
        <v>92</v>
      </c>
      <c r="R390" s="20">
        <f>Q391-Table2529303551[[#This Row],[Stock Level  (South)]]</f>
        <v>108</v>
      </c>
      <c r="S390" s="20">
        <f>IFERROR(GETPIVOTDATA("QTY",$B$56,"PRODUCT_DESCRIPTION", $B$359, "SALES_ORDER_DATE",Table2529303551[[#This Row],[Date]], "AREA_NAME", "South"), 0)</f>
        <v>0</v>
      </c>
      <c r="T390" s="20">
        <f>Table2529303551[[#This Row],[Stock Change (t1-t0) (South)]]+Table2529303551[[#This Row],[Sales]]</f>
        <v>108</v>
      </c>
      <c r="U390" s="18">
        <f>IF(Table2529303551[[#This Row],[Regional Transfer (Real)]]=0, 0, Table2529303551[[#This Row],[Regional Transfer (Real)]]+Table2529303551[[#This Row],[Stock Level  (South)]])</f>
        <v>200</v>
      </c>
      <c r="W390" s="4" t="s">
        <v>32</v>
      </c>
      <c r="X390" s="20">
        <f t="shared" si="23"/>
        <v>150</v>
      </c>
      <c r="Y390" s="20">
        <f>X391-Table252930323652[[#This Row],[Stock Level  (West)]]</f>
        <v>-16</v>
      </c>
      <c r="Z390" s="20">
        <f>IFERROR(GETPIVOTDATA("QTY",$B$56,"PRODUCT_DESCRIPTION", $B$359, "SALES_ORDER_DATE",Table252930323652[[#This Row],[Date]], "AREA_NAME", "West"), 0)</f>
        <v>66</v>
      </c>
      <c r="AA390" s="20">
        <f>Table252930323652[[#This Row],[Stock Change (t1-t0) (West)]]+Table252930323652[[#This Row],[Sales]]</f>
        <v>50</v>
      </c>
      <c r="AB390" s="18">
        <f>IF(Table252930323652[[#This Row],[Regional Transfer (Real)]]=0, 0, Table252930323652[[#This Row],[Regional Transfer (Real)]]+Table252930323652[[#This Row],[Stock Level  (West)]])</f>
        <v>200</v>
      </c>
    </row>
    <row r="391" spans="2:28" x14ac:dyDescent="0.2">
      <c r="B391" s="4" t="s">
        <v>33</v>
      </c>
      <c r="C391" s="20">
        <f t="shared" si="20"/>
        <v>723</v>
      </c>
      <c r="D391" s="20">
        <f>C392-Table253349[[#This Row],[Stock Level  ]]</f>
        <v>-115</v>
      </c>
      <c r="E391" s="20">
        <f>IFERROR(GETPIVOTDATA("QTY",$B$56,"PRODUCT_DESCRIPTION", $B$359, "SALES_ORDER_DATE",Table253349[[#This Row],[Date]]), 0)</f>
        <v>115</v>
      </c>
      <c r="F391" s="20">
        <f>Table253349[[#This Row],[Stock Change (t1-t0)]]+Table253349[[#This Row],[Sales]]</f>
        <v>0</v>
      </c>
      <c r="G391" s="18">
        <f>IF(Table253349[[#This Row],[Purchase (Real)]]=0, 0, Table253349[[#This Row],[Purchase (Real)]]+C390)</f>
        <v>0</v>
      </c>
      <c r="I391" s="4" t="s">
        <v>33</v>
      </c>
      <c r="J391" s="20">
        <f t="shared" si="21"/>
        <v>244</v>
      </c>
      <c r="K391" s="20">
        <f>J392-Table25293450[[#This Row],[Stock Level  (North)]]</f>
        <v>0</v>
      </c>
      <c r="L391" s="20">
        <f>IFERROR(GETPIVOTDATA("QTY",$B$56,"PRODUCT_DESCRIPTION", $B$359, "SALES_ORDER_DATE",Table25293450[[#This Row],[Date]], "AREA_NAME", "North"), 0)</f>
        <v>0</v>
      </c>
      <c r="M391" s="20">
        <f>Table25293450[[#This Row],[Stock Change (t1-t0) (North)]]+Table25293450[[#This Row],[Sales]]</f>
        <v>0</v>
      </c>
      <c r="N391" s="18">
        <f>IF(Table25293450[[#This Row],[Regional Transfer (Real)]]=0, 0, Table25293450[[#This Row],[Regional Transfer (Real)]]+Table25293450[[#This Row],[Stock Level  (North)]])</f>
        <v>0</v>
      </c>
      <c r="P391" s="4" t="s">
        <v>33</v>
      </c>
      <c r="Q391" s="20">
        <f t="shared" si="22"/>
        <v>200</v>
      </c>
      <c r="R391" s="20">
        <f>Q392-Table2529303551[[#This Row],[Stock Level  (South)]]</f>
        <v>-60</v>
      </c>
      <c r="S391" s="20">
        <f>IFERROR(GETPIVOTDATA("QTY",$B$56,"PRODUCT_DESCRIPTION", $B$359, "SALES_ORDER_DATE",Table2529303551[[#This Row],[Date]], "AREA_NAME", "South"), 0)</f>
        <v>60</v>
      </c>
      <c r="T391" s="20">
        <f>Table2529303551[[#This Row],[Stock Change (t1-t0) (South)]]+Table2529303551[[#This Row],[Sales]]</f>
        <v>0</v>
      </c>
      <c r="U391" s="18">
        <f>IF(Table2529303551[[#This Row],[Regional Transfer (Real)]]=0, 0, Table2529303551[[#This Row],[Regional Transfer (Real)]]+Table2529303551[[#This Row],[Stock Level  (South)]])</f>
        <v>0</v>
      </c>
      <c r="W391" s="4" t="s">
        <v>33</v>
      </c>
      <c r="X391" s="20">
        <f t="shared" si="23"/>
        <v>134</v>
      </c>
      <c r="Y391" s="20">
        <f>X392-Table252930323652[[#This Row],[Stock Level  (West)]]</f>
        <v>-55</v>
      </c>
      <c r="Z391" s="20">
        <f>IFERROR(GETPIVOTDATA("QTY",$B$56,"PRODUCT_DESCRIPTION", $B$359, "SALES_ORDER_DATE",Table252930323652[[#This Row],[Date]], "AREA_NAME", "West"), 0)</f>
        <v>55</v>
      </c>
      <c r="AA391" s="20">
        <f>Table252930323652[[#This Row],[Stock Change (t1-t0) (West)]]+Table252930323652[[#This Row],[Sales]]</f>
        <v>0</v>
      </c>
      <c r="AB391" s="18">
        <f>IF(Table252930323652[[#This Row],[Regional Transfer (Real)]]=0, 0, Table252930323652[[#This Row],[Regional Transfer (Real)]]+Table252930323652[[#This Row],[Stock Level  (West)]])</f>
        <v>0</v>
      </c>
    </row>
    <row r="392" spans="2:28" x14ac:dyDescent="0.2">
      <c r="B392" s="4" t="s">
        <v>34</v>
      </c>
      <c r="C392" s="20">
        <f t="shared" si="20"/>
        <v>608</v>
      </c>
      <c r="D392" s="20">
        <f>C393-Table253349[[#This Row],[Stock Level  ]]</f>
        <v>-56</v>
      </c>
      <c r="E392" s="20">
        <f>IFERROR(GETPIVOTDATA("QTY",$B$56,"PRODUCT_DESCRIPTION", $B$359, "SALES_ORDER_DATE",Table253349[[#This Row],[Date]]), 0)</f>
        <v>56</v>
      </c>
      <c r="F392" s="20">
        <f>Table253349[[#This Row],[Stock Change (t1-t0)]]+Table253349[[#This Row],[Sales]]</f>
        <v>0</v>
      </c>
      <c r="G392" s="18">
        <f>IF(Table253349[[#This Row],[Purchase (Real)]]=0, 0, Table253349[[#This Row],[Purchase (Real)]]+C391)</f>
        <v>0</v>
      </c>
      <c r="I392" s="4" t="s">
        <v>34</v>
      </c>
      <c r="J392" s="20">
        <f t="shared" si="21"/>
        <v>244</v>
      </c>
      <c r="K392" s="20">
        <f>J393-Table25293450[[#This Row],[Stock Level  (North)]]</f>
        <v>-56</v>
      </c>
      <c r="L392" s="20">
        <f>IFERROR(GETPIVOTDATA("QTY",$B$56,"PRODUCT_DESCRIPTION", $B$359, "SALES_ORDER_DATE",Table25293450[[#This Row],[Date]], "AREA_NAME", "North"), 0)</f>
        <v>56</v>
      </c>
      <c r="M392" s="20">
        <f>Table25293450[[#This Row],[Stock Change (t1-t0) (North)]]+Table25293450[[#This Row],[Sales]]</f>
        <v>0</v>
      </c>
      <c r="N392" s="18">
        <f>IF(Table25293450[[#This Row],[Regional Transfer (Real)]]=0, 0, Table25293450[[#This Row],[Regional Transfer (Real)]]+Table25293450[[#This Row],[Stock Level  (North)]])</f>
        <v>0</v>
      </c>
      <c r="P392" s="4" t="s">
        <v>34</v>
      </c>
      <c r="Q392" s="20">
        <f t="shared" si="22"/>
        <v>140</v>
      </c>
      <c r="R392" s="20">
        <f>Q393-Table2529303551[[#This Row],[Stock Level  (South)]]</f>
        <v>0</v>
      </c>
      <c r="S392" s="20">
        <f>IFERROR(GETPIVOTDATA("QTY",$B$56,"PRODUCT_DESCRIPTION", $B$359, "SALES_ORDER_DATE",Table2529303551[[#This Row],[Date]], "AREA_NAME", "South"), 0)</f>
        <v>0</v>
      </c>
      <c r="T392" s="20">
        <f>Table2529303551[[#This Row],[Stock Change (t1-t0) (South)]]+Table2529303551[[#This Row],[Sales]]</f>
        <v>0</v>
      </c>
      <c r="U392" s="18">
        <f>IF(Table2529303551[[#This Row],[Regional Transfer (Real)]]=0, 0, Table2529303551[[#This Row],[Regional Transfer (Real)]]+Table2529303551[[#This Row],[Stock Level  (South)]])</f>
        <v>0</v>
      </c>
      <c r="W392" s="4" t="s">
        <v>34</v>
      </c>
      <c r="X392" s="20">
        <f t="shared" si="23"/>
        <v>79</v>
      </c>
      <c r="Y392" s="20">
        <f>X393-Table252930323652[[#This Row],[Stock Level  (West)]]</f>
        <v>0</v>
      </c>
      <c r="Z392" s="20">
        <f>IFERROR(GETPIVOTDATA("QTY",$B$56,"PRODUCT_DESCRIPTION", $B$359, "SALES_ORDER_DATE",Table252930323652[[#This Row],[Date]], "AREA_NAME", "West"), 0)</f>
        <v>0</v>
      </c>
      <c r="AA392" s="20">
        <f>Table252930323652[[#This Row],[Stock Change (t1-t0) (West)]]+Table252930323652[[#This Row],[Sales]]</f>
        <v>0</v>
      </c>
      <c r="AB392" s="18">
        <f>IF(Table252930323652[[#This Row],[Regional Transfer (Real)]]=0, 0, Table252930323652[[#This Row],[Regional Transfer (Real)]]+Table252930323652[[#This Row],[Stock Level  (West)]])</f>
        <v>0</v>
      </c>
    </row>
    <row r="393" spans="2:28" x14ac:dyDescent="0.2">
      <c r="B393" s="4" t="s">
        <v>35</v>
      </c>
      <c r="C393" s="20">
        <f t="shared" si="20"/>
        <v>552</v>
      </c>
      <c r="D393" s="20">
        <f>C394-Table253349[[#This Row],[Stock Level  ]]</f>
        <v>-87</v>
      </c>
      <c r="E393" s="20">
        <f>IFERROR(GETPIVOTDATA("QTY",$B$56,"PRODUCT_DESCRIPTION", $B$359, "SALES_ORDER_DATE",Table253349[[#This Row],[Date]]), 0)</f>
        <v>87</v>
      </c>
      <c r="F393" s="20">
        <f>Table253349[[#This Row],[Stock Change (t1-t0)]]+Table253349[[#This Row],[Sales]]</f>
        <v>0</v>
      </c>
      <c r="G393" s="18">
        <f>IF(Table253349[[#This Row],[Purchase (Real)]]=0, 0, Table253349[[#This Row],[Purchase (Real)]]+C392)</f>
        <v>0</v>
      </c>
      <c r="I393" s="4" t="s">
        <v>35</v>
      </c>
      <c r="J393" s="20">
        <f t="shared" si="21"/>
        <v>188</v>
      </c>
      <c r="K393" s="20">
        <f>J394-Table25293450[[#This Row],[Stock Level  (North)]]</f>
        <v>56</v>
      </c>
      <c r="L393" s="20">
        <f>IFERROR(GETPIVOTDATA("QTY",$B$56,"PRODUCT_DESCRIPTION", $B$359, "SALES_ORDER_DATE",Table25293450[[#This Row],[Date]], "AREA_NAME", "North"), 0)</f>
        <v>0</v>
      </c>
      <c r="M393" s="20">
        <f>Table25293450[[#This Row],[Stock Change (t1-t0) (North)]]+Table25293450[[#This Row],[Sales]]</f>
        <v>56</v>
      </c>
      <c r="N393" s="18">
        <f>IF(Table25293450[[#This Row],[Regional Transfer (Real)]]=0, 0, Table25293450[[#This Row],[Regional Transfer (Real)]]+Table25293450[[#This Row],[Stock Level  (North)]])</f>
        <v>244</v>
      </c>
      <c r="P393" s="4" t="s">
        <v>35</v>
      </c>
      <c r="Q393" s="20">
        <f t="shared" si="22"/>
        <v>140</v>
      </c>
      <c r="R393" s="20">
        <f>Q394-Table2529303551[[#This Row],[Stock Level  (South)]]</f>
        <v>-57</v>
      </c>
      <c r="S393" s="20">
        <f>IFERROR(GETPIVOTDATA("QTY",$B$56,"PRODUCT_DESCRIPTION", $B$359, "SALES_ORDER_DATE",Table2529303551[[#This Row],[Date]], "AREA_NAME", "South"), 0)</f>
        <v>87</v>
      </c>
      <c r="T393" s="20">
        <f>Table2529303551[[#This Row],[Stock Change (t1-t0) (South)]]+Table2529303551[[#This Row],[Sales]]</f>
        <v>30</v>
      </c>
      <c r="U393" s="18">
        <f>IF(Table2529303551[[#This Row],[Regional Transfer (Real)]]=0, 0, Table2529303551[[#This Row],[Regional Transfer (Real)]]+Table2529303551[[#This Row],[Stock Level  (South)]])</f>
        <v>170</v>
      </c>
      <c r="W393" s="4" t="s">
        <v>35</v>
      </c>
      <c r="X393" s="20">
        <f t="shared" si="23"/>
        <v>79</v>
      </c>
      <c r="Y393" s="20">
        <f>X394-Table252930323652[[#This Row],[Stock Level  (West)]]</f>
        <v>59</v>
      </c>
      <c r="Z393" s="20">
        <f>IFERROR(GETPIVOTDATA("QTY",$B$56,"PRODUCT_DESCRIPTION", $B$359, "SALES_ORDER_DATE",Table252930323652[[#This Row],[Date]], "AREA_NAME", "West"), 0)</f>
        <v>0</v>
      </c>
      <c r="AA393" s="20">
        <f>Table252930323652[[#This Row],[Stock Change (t1-t0) (West)]]+Table252930323652[[#This Row],[Sales]]</f>
        <v>59</v>
      </c>
      <c r="AB393" s="18">
        <f>IF(Table252930323652[[#This Row],[Regional Transfer (Real)]]=0, 0, Table252930323652[[#This Row],[Regional Transfer (Real)]]+Table252930323652[[#This Row],[Stock Level  (West)]])</f>
        <v>138</v>
      </c>
    </row>
    <row r="394" spans="2:28" x14ac:dyDescent="0.2">
      <c r="B394" s="4" t="s">
        <v>36</v>
      </c>
      <c r="C394" s="20">
        <f t="shared" si="20"/>
        <v>465</v>
      </c>
      <c r="D394" s="20">
        <f>C395-Table253349[[#This Row],[Stock Level  ]]</f>
        <v>481</v>
      </c>
      <c r="E394" s="20">
        <f>IFERROR(GETPIVOTDATA("QTY",$B$56,"PRODUCT_DESCRIPTION", $B$359, "SALES_ORDER_DATE",Table253349[[#This Row],[Date]]), 0)</f>
        <v>54</v>
      </c>
      <c r="F394" s="20">
        <f>Table253349[[#This Row],[Stock Change (t1-t0)]]+Table253349[[#This Row],[Sales]]</f>
        <v>535</v>
      </c>
      <c r="G394" s="18">
        <f>IF(Table253349[[#This Row],[Purchase (Real)]]=0, 0, Table253349[[#This Row],[Purchase (Real)]]+C393)</f>
        <v>1087</v>
      </c>
      <c r="I394" s="4" t="s">
        <v>36</v>
      </c>
      <c r="J394" s="20">
        <f t="shared" si="21"/>
        <v>244</v>
      </c>
      <c r="K394" s="20">
        <f>J395-Table25293450[[#This Row],[Stock Level  (North)]]</f>
        <v>0</v>
      </c>
      <c r="L394" s="20">
        <f>IFERROR(GETPIVOTDATA("QTY",$B$56,"PRODUCT_DESCRIPTION", $B$359, "SALES_ORDER_DATE",Table25293450[[#This Row],[Date]], "AREA_NAME", "North"), 0)</f>
        <v>0</v>
      </c>
      <c r="M394" s="20">
        <f>Table25293450[[#This Row],[Stock Change (t1-t0) (North)]]+Table25293450[[#This Row],[Sales]]</f>
        <v>0</v>
      </c>
      <c r="N394" s="18">
        <f>IF(Table25293450[[#This Row],[Regional Transfer (Real)]]=0, 0, Table25293450[[#This Row],[Regional Transfer (Real)]]+Table25293450[[#This Row],[Stock Level  (North)]])</f>
        <v>0</v>
      </c>
      <c r="P394" s="4" t="s">
        <v>36</v>
      </c>
      <c r="Q394" s="20">
        <f t="shared" si="22"/>
        <v>83</v>
      </c>
      <c r="R394" s="20">
        <f>Q395-Table2529303551[[#This Row],[Stock Level  (South)]]</f>
        <v>-54</v>
      </c>
      <c r="S394" s="20">
        <f>IFERROR(GETPIVOTDATA("QTY",$B$56,"PRODUCT_DESCRIPTION", $B$359, "SALES_ORDER_DATE",Table2529303551[[#This Row],[Date]], "AREA_NAME", "South"), 0)</f>
        <v>54</v>
      </c>
      <c r="T394" s="20">
        <f>Table2529303551[[#This Row],[Stock Change (t1-t0) (South)]]+Table2529303551[[#This Row],[Sales]]</f>
        <v>0</v>
      </c>
      <c r="U394" s="18">
        <f>IF(Table2529303551[[#This Row],[Regional Transfer (Real)]]=0, 0, Table2529303551[[#This Row],[Regional Transfer (Real)]]+Table2529303551[[#This Row],[Stock Level  (South)]])</f>
        <v>0</v>
      </c>
      <c r="W394" s="4" t="s">
        <v>36</v>
      </c>
      <c r="X394" s="20">
        <f t="shared" si="23"/>
        <v>138</v>
      </c>
      <c r="Y394" s="20">
        <f>X395-Table252930323652[[#This Row],[Stock Level  (West)]]</f>
        <v>0</v>
      </c>
      <c r="Z394" s="20">
        <f>IFERROR(GETPIVOTDATA("QTY",$B$56,"PRODUCT_DESCRIPTION", $B$359, "SALES_ORDER_DATE",Table252930323652[[#This Row],[Date]], "AREA_NAME", "West"), 0)</f>
        <v>0</v>
      </c>
      <c r="AA394" s="20">
        <f>Table252930323652[[#This Row],[Stock Change (t1-t0) (West)]]+Table252930323652[[#This Row],[Sales]]</f>
        <v>0</v>
      </c>
      <c r="AB394" s="18">
        <f>IF(Table252930323652[[#This Row],[Regional Transfer (Real)]]=0, 0, Table252930323652[[#This Row],[Regional Transfer (Real)]]+Table252930323652[[#This Row],[Stock Level  (West)]])</f>
        <v>0</v>
      </c>
    </row>
    <row r="395" spans="2:28" x14ac:dyDescent="0.2">
      <c r="B395" s="4" t="s">
        <v>58</v>
      </c>
      <c r="C395" s="20">
        <f t="shared" si="20"/>
        <v>946</v>
      </c>
      <c r="D395" s="20">
        <f>C396-Table253349[[#This Row],[Stock Level  ]]</f>
        <v>0</v>
      </c>
      <c r="E395" s="20">
        <f>IFERROR(GETPIVOTDATA("QTY",$B$56,"PRODUCT_DESCRIPTION", $B$359, "SALES_ORDER_DATE",Table253349[[#This Row],[Date]]), 0)</f>
        <v>0</v>
      </c>
      <c r="F395" s="20">
        <f>Table253349[[#This Row],[Stock Change (t1-t0)]]+Table253349[[#This Row],[Sales]]</f>
        <v>0</v>
      </c>
      <c r="G395" s="18">
        <f>IF(Table253349[[#This Row],[Purchase (Real)]]=0, 0, Table253349[[#This Row],[Purchase (Real)]]+C394)</f>
        <v>0</v>
      </c>
      <c r="I395" s="4" t="s">
        <v>58</v>
      </c>
      <c r="J395" s="20">
        <f t="shared" si="21"/>
        <v>244</v>
      </c>
      <c r="K395" s="20">
        <f>J396-Table25293450[[#This Row],[Stock Level  (North)]]</f>
        <v>0</v>
      </c>
      <c r="L395" s="20">
        <f>IFERROR(GETPIVOTDATA("QTY",$B$56,"PRODUCT_DESCRIPTION", $B$359, "SALES_ORDER_DATE",Table25293450[[#This Row],[Date]], "AREA_NAME", "North"), 0)</f>
        <v>0</v>
      </c>
      <c r="M395" s="20">
        <f>Table25293450[[#This Row],[Stock Change (t1-t0) (North)]]+Table25293450[[#This Row],[Sales]]</f>
        <v>0</v>
      </c>
      <c r="N395" s="18">
        <f>IF(Table25293450[[#This Row],[Regional Transfer (Real)]]=0, 0, Table25293450[[#This Row],[Regional Transfer (Real)]]+Table25293450[[#This Row],[Stock Level  (North)]])</f>
        <v>0</v>
      </c>
      <c r="P395" s="4" t="s">
        <v>58</v>
      </c>
      <c r="Q395" s="20">
        <f t="shared" si="22"/>
        <v>29</v>
      </c>
      <c r="R395" s="20">
        <f>Q396-Table2529303551[[#This Row],[Stock Level  (South)]]</f>
        <v>0</v>
      </c>
      <c r="S395" s="20">
        <f>IFERROR(GETPIVOTDATA("QTY",$B$56,"PRODUCT_DESCRIPTION", $B$359, "SALES_ORDER_DATE",Table2529303551[[#This Row],[Date]], "AREA_NAME", "South"), 0)</f>
        <v>0</v>
      </c>
      <c r="T395" s="20">
        <f>Table2529303551[[#This Row],[Stock Change (t1-t0) (South)]]+Table2529303551[[#This Row],[Sales]]</f>
        <v>0</v>
      </c>
      <c r="U395" s="18">
        <f>IF(Table2529303551[[#This Row],[Regional Transfer (Real)]]=0, 0, Table2529303551[[#This Row],[Regional Transfer (Real)]]+Table2529303551[[#This Row],[Stock Level  (South)]])</f>
        <v>0</v>
      </c>
      <c r="W395" s="4" t="s">
        <v>58</v>
      </c>
      <c r="X395" s="20">
        <f t="shared" si="23"/>
        <v>138</v>
      </c>
      <c r="Y395" s="20">
        <f>X396-Table252930323652[[#This Row],[Stock Level  (West)]]</f>
        <v>0</v>
      </c>
      <c r="Z395" s="20">
        <f>IFERROR(GETPIVOTDATA("QTY",$B$56,"PRODUCT_DESCRIPTION", $B$359, "SALES_ORDER_DATE",Table252930323652[[#This Row],[Date]], "AREA_NAME", "West"), 0)</f>
        <v>0</v>
      </c>
      <c r="AA395" s="20">
        <f>Table252930323652[[#This Row],[Stock Change (t1-t0) (West)]]+Table252930323652[[#This Row],[Sales]]</f>
        <v>0</v>
      </c>
      <c r="AB395" s="18">
        <f>IF(Table252930323652[[#This Row],[Regional Transfer (Real)]]=0, 0, Table252930323652[[#This Row],[Regional Transfer (Real)]]+Table252930323652[[#This Row],[Stock Level  (West)]])</f>
        <v>0</v>
      </c>
    </row>
    <row r="396" spans="2:28" x14ac:dyDescent="0.2">
      <c r="B396" s="4" t="s">
        <v>37</v>
      </c>
      <c r="C396" s="20">
        <f t="shared" si="20"/>
        <v>946</v>
      </c>
      <c r="D396" s="20">
        <f>C397-Table253349[[#This Row],[Stock Level  ]]</f>
        <v>0</v>
      </c>
      <c r="E396" s="20">
        <f>IFERROR(GETPIVOTDATA("QTY",$B$56,"PRODUCT_DESCRIPTION", $B$359, "SALES_ORDER_DATE",Table253349[[#This Row],[Date]]), 0)</f>
        <v>0</v>
      </c>
      <c r="F396" s="20">
        <f>Table253349[[#This Row],[Stock Change (t1-t0)]]+Table253349[[#This Row],[Sales]]</f>
        <v>0</v>
      </c>
      <c r="G396" s="18">
        <f>IF(Table253349[[#This Row],[Purchase (Real)]]=0, 0, Table253349[[#This Row],[Purchase (Real)]]+C395)</f>
        <v>0</v>
      </c>
      <c r="I396" s="4" t="s">
        <v>37</v>
      </c>
      <c r="J396" s="20">
        <f t="shared" si="21"/>
        <v>244</v>
      </c>
      <c r="K396" s="20">
        <f>J397-Table25293450[[#This Row],[Stock Level  (North)]]</f>
        <v>0</v>
      </c>
      <c r="L396" s="20">
        <f>IFERROR(GETPIVOTDATA("QTY",$B$56,"PRODUCT_DESCRIPTION", $B$359, "SALES_ORDER_DATE",Table25293450[[#This Row],[Date]], "AREA_NAME", "North"), 0)</f>
        <v>0</v>
      </c>
      <c r="M396" s="20">
        <f>Table25293450[[#This Row],[Stock Change (t1-t0) (North)]]+Table25293450[[#This Row],[Sales]]</f>
        <v>0</v>
      </c>
      <c r="N396" s="18">
        <f>IF(Table25293450[[#This Row],[Regional Transfer (Real)]]=0, 0, Table25293450[[#This Row],[Regional Transfer (Real)]]+Table25293450[[#This Row],[Stock Level  (North)]])</f>
        <v>0</v>
      </c>
      <c r="P396" s="4" t="s">
        <v>37</v>
      </c>
      <c r="Q396" s="20">
        <f t="shared" si="22"/>
        <v>29</v>
      </c>
      <c r="R396" s="20">
        <f>Q397-Table2529303551[[#This Row],[Stock Level  (South)]]</f>
        <v>0</v>
      </c>
      <c r="S396" s="20">
        <f>IFERROR(GETPIVOTDATA("QTY",$B$56,"PRODUCT_DESCRIPTION", $B$359, "SALES_ORDER_DATE",Table2529303551[[#This Row],[Date]], "AREA_NAME", "South"), 0)</f>
        <v>0</v>
      </c>
      <c r="T396" s="20">
        <f>Table2529303551[[#This Row],[Stock Change (t1-t0) (South)]]+Table2529303551[[#This Row],[Sales]]</f>
        <v>0</v>
      </c>
      <c r="U396" s="18">
        <f>IF(Table2529303551[[#This Row],[Regional Transfer (Real)]]=0, 0, Table2529303551[[#This Row],[Regional Transfer (Real)]]+Table2529303551[[#This Row],[Stock Level  (South)]])</f>
        <v>0</v>
      </c>
      <c r="W396" s="4" t="s">
        <v>37</v>
      </c>
      <c r="X396" s="20">
        <f t="shared" si="23"/>
        <v>138</v>
      </c>
      <c r="Y396" s="20">
        <f>X397-Table252930323652[[#This Row],[Stock Level  (West)]]</f>
        <v>0</v>
      </c>
      <c r="Z396" s="20">
        <f>IFERROR(GETPIVOTDATA("QTY",$B$56,"PRODUCT_DESCRIPTION", $B$359, "SALES_ORDER_DATE",Table252930323652[[#This Row],[Date]], "AREA_NAME", "West"), 0)</f>
        <v>0</v>
      </c>
      <c r="AA396" s="20">
        <f>Table252930323652[[#This Row],[Stock Change (t1-t0) (West)]]+Table252930323652[[#This Row],[Sales]]</f>
        <v>0</v>
      </c>
      <c r="AB396" s="18">
        <f>IF(Table252930323652[[#This Row],[Regional Transfer (Real)]]=0, 0, Table252930323652[[#This Row],[Regional Transfer (Real)]]+Table252930323652[[#This Row],[Stock Level  (West)]])</f>
        <v>0</v>
      </c>
    </row>
    <row r="397" spans="2:28" x14ac:dyDescent="0.2">
      <c r="B397" s="4" t="s">
        <v>38</v>
      </c>
      <c r="C397" s="20">
        <f t="shared" si="20"/>
        <v>946</v>
      </c>
      <c r="D397" s="20">
        <f>C398-Table253349[[#This Row],[Stock Level  ]]</f>
        <v>0</v>
      </c>
      <c r="E397" s="20">
        <f>IFERROR(GETPIVOTDATA("QTY",$B$56,"PRODUCT_DESCRIPTION", $B$359, "SALES_ORDER_DATE",Table253349[[#This Row],[Date]]), 0)</f>
        <v>0</v>
      </c>
      <c r="F397" s="20">
        <f>Table253349[[#This Row],[Stock Change (t1-t0)]]+Table253349[[#This Row],[Sales]]</f>
        <v>0</v>
      </c>
      <c r="G397" s="18">
        <f>IF(Table253349[[#This Row],[Purchase (Real)]]=0, 0, Table253349[[#This Row],[Purchase (Real)]]+C396)</f>
        <v>0</v>
      </c>
      <c r="I397" s="4" t="s">
        <v>38</v>
      </c>
      <c r="J397" s="20">
        <f t="shared" si="21"/>
        <v>244</v>
      </c>
      <c r="K397" s="20">
        <f>J398-Table25293450[[#This Row],[Stock Level  (North)]]</f>
        <v>56</v>
      </c>
      <c r="L397" s="20">
        <f>IFERROR(GETPIVOTDATA("QTY",$B$56,"PRODUCT_DESCRIPTION", $B$359, "SALES_ORDER_DATE",Table25293450[[#This Row],[Date]], "AREA_NAME", "North"), 0)</f>
        <v>0</v>
      </c>
      <c r="M397" s="20">
        <f>Table25293450[[#This Row],[Stock Change (t1-t0) (North)]]+Table25293450[[#This Row],[Sales]]</f>
        <v>56</v>
      </c>
      <c r="N397" s="18">
        <f>IF(Table25293450[[#This Row],[Regional Transfer (Real)]]=0, 0, Table25293450[[#This Row],[Regional Transfer (Real)]]+Table25293450[[#This Row],[Stock Level  (North)]])</f>
        <v>300</v>
      </c>
      <c r="P397" s="4" t="s">
        <v>38</v>
      </c>
      <c r="Q397" s="20">
        <f t="shared" si="22"/>
        <v>29</v>
      </c>
      <c r="R397" s="20">
        <f>Q398-Table2529303551[[#This Row],[Stock Level  (South)]]</f>
        <v>171</v>
      </c>
      <c r="S397" s="20">
        <f>IFERROR(GETPIVOTDATA("QTY",$B$56,"PRODUCT_DESCRIPTION", $B$359, "SALES_ORDER_DATE",Table2529303551[[#This Row],[Date]], "AREA_NAME", "South"), 0)</f>
        <v>0</v>
      </c>
      <c r="T397" s="20">
        <f>Table2529303551[[#This Row],[Stock Change (t1-t0) (South)]]+Table2529303551[[#This Row],[Sales]]</f>
        <v>171</v>
      </c>
      <c r="U397" s="18">
        <f>IF(Table2529303551[[#This Row],[Regional Transfer (Real)]]=0, 0, Table2529303551[[#This Row],[Regional Transfer (Real)]]+Table2529303551[[#This Row],[Stock Level  (South)]])</f>
        <v>200</v>
      </c>
      <c r="W397" s="4" t="s">
        <v>38</v>
      </c>
      <c r="X397" s="20">
        <f t="shared" si="23"/>
        <v>138</v>
      </c>
      <c r="Y397" s="20">
        <f>X398-Table252930323652[[#This Row],[Stock Level  (West)]]</f>
        <v>62</v>
      </c>
      <c r="Z397" s="20">
        <f>IFERROR(GETPIVOTDATA("QTY",$B$56,"PRODUCT_DESCRIPTION", $B$359, "SALES_ORDER_DATE",Table252930323652[[#This Row],[Date]], "AREA_NAME", "West"), 0)</f>
        <v>0</v>
      </c>
      <c r="AA397" s="20">
        <f>Table252930323652[[#This Row],[Stock Change (t1-t0) (West)]]+Table252930323652[[#This Row],[Sales]]</f>
        <v>62</v>
      </c>
      <c r="AB397" s="18">
        <f>IF(Table252930323652[[#This Row],[Regional Transfer (Real)]]=0, 0, Table252930323652[[#This Row],[Regional Transfer (Real)]]+Table252930323652[[#This Row],[Stock Level  (West)]])</f>
        <v>200</v>
      </c>
    </row>
    <row r="398" spans="2:28" x14ac:dyDescent="0.2">
      <c r="B398" s="4" t="s">
        <v>39</v>
      </c>
      <c r="C398" s="20">
        <f t="shared" si="20"/>
        <v>946</v>
      </c>
      <c r="D398" s="20">
        <f>C399-Table253349[[#This Row],[Stock Level  ]]</f>
        <v>-54</v>
      </c>
      <c r="E398" s="20">
        <f>IFERROR(GETPIVOTDATA("QTY",$B$56,"PRODUCT_DESCRIPTION", $B$359, "SALES_ORDER_DATE",Table253349[[#This Row],[Date]]), 0)</f>
        <v>54</v>
      </c>
      <c r="F398" s="20">
        <f>Table253349[[#This Row],[Stock Change (t1-t0)]]+Table253349[[#This Row],[Sales]]</f>
        <v>0</v>
      </c>
      <c r="G398" s="18">
        <f>IF(Table253349[[#This Row],[Purchase (Real)]]=0, 0, Table253349[[#This Row],[Purchase (Real)]]+C397)</f>
        <v>0</v>
      </c>
      <c r="I398" s="4" t="s">
        <v>39</v>
      </c>
      <c r="J398" s="20">
        <f t="shared" si="21"/>
        <v>300</v>
      </c>
      <c r="K398" s="20">
        <f>J399-Table25293450[[#This Row],[Stock Level  (North)]]</f>
        <v>-54</v>
      </c>
      <c r="L398" s="20">
        <f>IFERROR(GETPIVOTDATA("QTY",$B$56,"PRODUCT_DESCRIPTION", $B$359, "SALES_ORDER_DATE",Table25293450[[#This Row],[Date]], "AREA_NAME", "North"), 0)</f>
        <v>54</v>
      </c>
      <c r="M398" s="20">
        <f>Table25293450[[#This Row],[Stock Change (t1-t0) (North)]]+Table25293450[[#This Row],[Sales]]</f>
        <v>0</v>
      </c>
      <c r="N398" s="18">
        <f>IF(Table25293450[[#This Row],[Regional Transfer (Real)]]=0, 0, Table25293450[[#This Row],[Regional Transfer (Real)]]+Table25293450[[#This Row],[Stock Level  (North)]])</f>
        <v>0</v>
      </c>
      <c r="P398" s="4" t="s">
        <v>39</v>
      </c>
      <c r="Q398" s="20">
        <f t="shared" si="22"/>
        <v>200</v>
      </c>
      <c r="R398" s="20">
        <f>Q399-Table2529303551[[#This Row],[Stock Level  (South)]]</f>
        <v>0</v>
      </c>
      <c r="S398" s="20">
        <f>IFERROR(GETPIVOTDATA("QTY",$B$56,"PRODUCT_DESCRIPTION", $B$359, "SALES_ORDER_DATE",Table2529303551[[#This Row],[Date]], "AREA_NAME", "South"), 0)</f>
        <v>0</v>
      </c>
      <c r="T398" s="20">
        <f>Table2529303551[[#This Row],[Stock Change (t1-t0) (South)]]+Table2529303551[[#This Row],[Sales]]</f>
        <v>0</v>
      </c>
      <c r="U398" s="18">
        <f>IF(Table2529303551[[#This Row],[Regional Transfer (Real)]]=0, 0, Table2529303551[[#This Row],[Regional Transfer (Real)]]+Table2529303551[[#This Row],[Stock Level  (South)]])</f>
        <v>0</v>
      </c>
      <c r="W398" s="4" t="s">
        <v>39</v>
      </c>
      <c r="X398" s="20">
        <f t="shared" si="23"/>
        <v>200</v>
      </c>
      <c r="Y398" s="20">
        <f>X399-Table252930323652[[#This Row],[Stock Level  (West)]]</f>
        <v>0</v>
      </c>
      <c r="Z398" s="20">
        <f>IFERROR(GETPIVOTDATA("QTY",$B$56,"PRODUCT_DESCRIPTION", $B$359, "SALES_ORDER_DATE",Table252930323652[[#This Row],[Date]], "AREA_NAME", "West"), 0)</f>
        <v>0</v>
      </c>
      <c r="AA398" s="20">
        <f>Table252930323652[[#This Row],[Stock Change (t1-t0) (West)]]+Table252930323652[[#This Row],[Sales]]</f>
        <v>0</v>
      </c>
      <c r="AB398" s="18">
        <f>IF(Table252930323652[[#This Row],[Regional Transfer (Real)]]=0, 0, Table252930323652[[#This Row],[Regional Transfer (Real)]]+Table252930323652[[#This Row],[Stock Level  (West)]])</f>
        <v>0</v>
      </c>
    </row>
    <row r="399" spans="2:28" x14ac:dyDescent="0.2">
      <c r="B399" s="4" t="s">
        <v>40</v>
      </c>
      <c r="C399" s="20">
        <f t="shared" si="20"/>
        <v>892</v>
      </c>
      <c r="D399" s="20">
        <f>C400-Table253349[[#This Row],[Stock Level  ]]</f>
        <v>-90</v>
      </c>
      <c r="E399" s="20">
        <f>IFERROR(GETPIVOTDATA("QTY",$B$56,"PRODUCT_DESCRIPTION", $B$359, "SALES_ORDER_DATE",Table253349[[#This Row],[Date]]), 0)</f>
        <v>90</v>
      </c>
      <c r="F399" s="20">
        <f>Table253349[[#This Row],[Stock Change (t1-t0)]]+Table253349[[#This Row],[Sales]]</f>
        <v>0</v>
      </c>
      <c r="G399" s="18">
        <f>IF(Table253349[[#This Row],[Purchase (Real)]]=0, 0, Table253349[[#This Row],[Purchase (Real)]]+C398)</f>
        <v>0</v>
      </c>
      <c r="I399" s="4" t="s">
        <v>40</v>
      </c>
      <c r="J399" s="20">
        <f t="shared" si="21"/>
        <v>246</v>
      </c>
      <c r="K399" s="20">
        <f>J400-Table25293450[[#This Row],[Stock Level  (North)]]</f>
        <v>-51</v>
      </c>
      <c r="L399" s="20">
        <f>IFERROR(GETPIVOTDATA("QTY",$B$56,"PRODUCT_DESCRIPTION", $B$359, "SALES_ORDER_DATE",Table25293450[[#This Row],[Date]], "AREA_NAME", "North"), 0)</f>
        <v>51</v>
      </c>
      <c r="M399" s="20">
        <f>Table25293450[[#This Row],[Stock Change (t1-t0) (North)]]+Table25293450[[#This Row],[Sales]]</f>
        <v>0</v>
      </c>
      <c r="N399" s="18">
        <f>IF(Table25293450[[#This Row],[Regional Transfer (Real)]]=0, 0, Table25293450[[#This Row],[Regional Transfer (Real)]]+Table25293450[[#This Row],[Stock Level  (North)]])</f>
        <v>0</v>
      </c>
      <c r="P399" s="4" t="s">
        <v>40</v>
      </c>
      <c r="Q399" s="20">
        <f t="shared" si="22"/>
        <v>200</v>
      </c>
      <c r="R399" s="20">
        <f>Q400-Table2529303551[[#This Row],[Stock Level  (South)]]</f>
        <v>-39</v>
      </c>
      <c r="S399" s="20">
        <f>IFERROR(GETPIVOTDATA("QTY",$B$56,"PRODUCT_DESCRIPTION", $B$359, "SALES_ORDER_DATE",Table2529303551[[#This Row],[Date]], "AREA_NAME", "South"), 0)</f>
        <v>39</v>
      </c>
      <c r="T399" s="20">
        <f>Table2529303551[[#This Row],[Stock Change (t1-t0) (South)]]+Table2529303551[[#This Row],[Sales]]</f>
        <v>0</v>
      </c>
      <c r="U399" s="18">
        <f>IF(Table2529303551[[#This Row],[Regional Transfer (Real)]]=0, 0, Table2529303551[[#This Row],[Regional Transfer (Real)]]+Table2529303551[[#This Row],[Stock Level  (South)]])</f>
        <v>0</v>
      </c>
      <c r="W399" s="4" t="s">
        <v>40</v>
      </c>
      <c r="X399" s="20">
        <f t="shared" si="23"/>
        <v>200</v>
      </c>
      <c r="Y399" s="20">
        <f>X400-Table252930323652[[#This Row],[Stock Level  (West)]]</f>
        <v>0</v>
      </c>
      <c r="Z399" s="20">
        <f>IFERROR(GETPIVOTDATA("QTY",$B$56,"PRODUCT_DESCRIPTION", $B$359, "SALES_ORDER_DATE",Table252930323652[[#This Row],[Date]], "AREA_NAME", "West"), 0)</f>
        <v>0</v>
      </c>
      <c r="AA399" s="20">
        <f>Table252930323652[[#This Row],[Stock Change (t1-t0) (West)]]+Table252930323652[[#This Row],[Sales]]</f>
        <v>0</v>
      </c>
      <c r="AB399" s="18">
        <f>IF(Table252930323652[[#This Row],[Regional Transfer (Real)]]=0, 0, Table252930323652[[#This Row],[Regional Transfer (Real)]]+Table252930323652[[#This Row],[Stock Level  (West)]])</f>
        <v>0</v>
      </c>
    </row>
    <row r="400" spans="2:28" x14ac:dyDescent="0.2">
      <c r="B400" s="4" t="s">
        <v>41</v>
      </c>
      <c r="C400" s="20">
        <f t="shared" si="20"/>
        <v>802</v>
      </c>
      <c r="D400" s="20">
        <f>C401-Table253349[[#This Row],[Stock Level  ]]</f>
        <v>-94</v>
      </c>
      <c r="E400" s="20">
        <f>IFERROR(GETPIVOTDATA("QTY",$B$56,"PRODUCT_DESCRIPTION", $B$359, "SALES_ORDER_DATE",Table253349[[#This Row],[Date]]), 0)</f>
        <v>94</v>
      </c>
      <c r="F400" s="20">
        <f>Table253349[[#This Row],[Stock Change (t1-t0)]]+Table253349[[#This Row],[Sales]]</f>
        <v>0</v>
      </c>
      <c r="G400" s="18">
        <f>IF(Table253349[[#This Row],[Purchase (Real)]]=0, 0, Table253349[[#This Row],[Purchase (Real)]]+C399)</f>
        <v>0</v>
      </c>
      <c r="I400" s="4" t="s">
        <v>41</v>
      </c>
      <c r="J400" s="20">
        <f t="shared" si="21"/>
        <v>195</v>
      </c>
      <c r="K400" s="20">
        <f>J401-Table25293450[[#This Row],[Stock Level  (North)]]</f>
        <v>61</v>
      </c>
      <c r="L400" s="20">
        <f>IFERROR(GETPIVOTDATA("QTY",$B$56,"PRODUCT_DESCRIPTION", $B$359, "SALES_ORDER_DATE",Table25293450[[#This Row],[Date]], "AREA_NAME", "North"), 0)</f>
        <v>44</v>
      </c>
      <c r="M400" s="20">
        <f>Table25293450[[#This Row],[Stock Change (t1-t0) (North)]]+Table25293450[[#This Row],[Sales]]</f>
        <v>105</v>
      </c>
      <c r="N400" s="18">
        <f>IF(Table25293450[[#This Row],[Regional Transfer (Real)]]=0, 0, Table25293450[[#This Row],[Regional Transfer (Real)]]+Table25293450[[#This Row],[Stock Level  (North)]])</f>
        <v>300</v>
      </c>
      <c r="P400" s="4" t="s">
        <v>41</v>
      </c>
      <c r="Q400" s="20">
        <f t="shared" si="22"/>
        <v>161</v>
      </c>
      <c r="R400" s="20">
        <f>Q401-Table2529303551[[#This Row],[Stock Level  (South)]]</f>
        <v>-11</v>
      </c>
      <c r="S400" s="20">
        <f>IFERROR(GETPIVOTDATA("QTY",$B$56,"PRODUCT_DESCRIPTION", $B$359, "SALES_ORDER_DATE",Table2529303551[[#This Row],[Date]], "AREA_NAME", "South"), 0)</f>
        <v>50</v>
      </c>
      <c r="T400" s="20">
        <f>Table2529303551[[#This Row],[Stock Change (t1-t0) (South)]]+Table2529303551[[#This Row],[Sales]]</f>
        <v>39</v>
      </c>
      <c r="U400" s="18">
        <f>IF(Table2529303551[[#This Row],[Regional Transfer (Real)]]=0, 0, Table2529303551[[#This Row],[Regional Transfer (Real)]]+Table2529303551[[#This Row],[Stock Level  (South)]])</f>
        <v>200</v>
      </c>
      <c r="W400" s="4" t="s">
        <v>41</v>
      </c>
      <c r="X400" s="20">
        <f t="shared" si="23"/>
        <v>200</v>
      </c>
      <c r="Y400" s="20">
        <f>X401-Table252930323652[[#This Row],[Stock Level  (West)]]</f>
        <v>0</v>
      </c>
      <c r="Z400" s="20">
        <f>IFERROR(GETPIVOTDATA("QTY",$B$56,"PRODUCT_DESCRIPTION", $B$359, "SALES_ORDER_DATE",Table252930323652[[#This Row],[Date]], "AREA_NAME", "West"), 0)</f>
        <v>0</v>
      </c>
      <c r="AA400" s="20">
        <f>Table252930323652[[#This Row],[Stock Change (t1-t0) (West)]]+Table252930323652[[#This Row],[Sales]]</f>
        <v>0</v>
      </c>
      <c r="AB400" s="18">
        <f>IF(Table252930323652[[#This Row],[Regional Transfer (Real)]]=0, 0, Table252930323652[[#This Row],[Regional Transfer (Real)]]+Table252930323652[[#This Row],[Stock Level  (West)]])</f>
        <v>0</v>
      </c>
    </row>
    <row r="401" spans="2:28" x14ac:dyDescent="0.2">
      <c r="B401" s="4" t="s">
        <v>42</v>
      </c>
      <c r="C401" s="20">
        <f t="shared" si="20"/>
        <v>708</v>
      </c>
      <c r="D401" s="20">
        <f>C402-Table253349[[#This Row],[Stock Level  ]]</f>
        <v>-70</v>
      </c>
      <c r="E401" s="20">
        <f>IFERROR(GETPIVOTDATA("QTY",$B$56,"PRODUCT_DESCRIPTION", $B$359, "SALES_ORDER_DATE",Table253349[[#This Row],[Date]]), 0)</f>
        <v>70</v>
      </c>
      <c r="F401" s="20">
        <f>Table253349[[#This Row],[Stock Change (t1-t0)]]+Table253349[[#This Row],[Sales]]</f>
        <v>0</v>
      </c>
      <c r="G401" s="18">
        <f>IF(Table253349[[#This Row],[Purchase (Real)]]=0, 0, Table253349[[#This Row],[Purchase (Real)]]+C400)</f>
        <v>0</v>
      </c>
      <c r="I401" s="4" t="s">
        <v>42</v>
      </c>
      <c r="J401" s="20">
        <f t="shared" si="21"/>
        <v>256</v>
      </c>
      <c r="K401" s="20">
        <f>J402-Table25293450[[#This Row],[Stock Level  (North)]]</f>
        <v>-70</v>
      </c>
      <c r="L401" s="20">
        <f>IFERROR(GETPIVOTDATA("QTY",$B$56,"PRODUCT_DESCRIPTION", $B$359, "SALES_ORDER_DATE",Table25293450[[#This Row],[Date]], "AREA_NAME", "North"), 0)</f>
        <v>70</v>
      </c>
      <c r="M401" s="20">
        <f>Table25293450[[#This Row],[Stock Change (t1-t0) (North)]]+Table25293450[[#This Row],[Sales]]</f>
        <v>0</v>
      </c>
      <c r="N401" s="18">
        <f>IF(Table25293450[[#This Row],[Regional Transfer (Real)]]=0, 0, Table25293450[[#This Row],[Regional Transfer (Real)]]+Table25293450[[#This Row],[Stock Level  (North)]])</f>
        <v>0</v>
      </c>
      <c r="P401" s="4" t="s">
        <v>42</v>
      </c>
      <c r="Q401" s="20">
        <f t="shared" si="22"/>
        <v>150</v>
      </c>
      <c r="R401" s="20">
        <f>Q402-Table2529303551[[#This Row],[Stock Level  (South)]]</f>
        <v>0</v>
      </c>
      <c r="S401" s="20">
        <f>IFERROR(GETPIVOTDATA("QTY",$B$56,"PRODUCT_DESCRIPTION", $B$359, "SALES_ORDER_DATE",Table2529303551[[#This Row],[Date]], "AREA_NAME", "South"), 0)</f>
        <v>0</v>
      </c>
      <c r="T401" s="20">
        <f>Table2529303551[[#This Row],[Stock Change (t1-t0) (South)]]+Table2529303551[[#This Row],[Sales]]</f>
        <v>0</v>
      </c>
      <c r="U401" s="18">
        <f>IF(Table2529303551[[#This Row],[Regional Transfer (Real)]]=0, 0, Table2529303551[[#This Row],[Regional Transfer (Real)]]+Table2529303551[[#This Row],[Stock Level  (South)]])</f>
        <v>0</v>
      </c>
      <c r="W401" s="4" t="s">
        <v>42</v>
      </c>
      <c r="X401" s="20">
        <f t="shared" si="23"/>
        <v>200</v>
      </c>
      <c r="Y401" s="20">
        <f>X402-Table252930323652[[#This Row],[Stock Level  (West)]]</f>
        <v>0</v>
      </c>
      <c r="Z401" s="20">
        <f>IFERROR(GETPIVOTDATA("QTY",$B$56,"PRODUCT_DESCRIPTION", $B$359, "SALES_ORDER_DATE",Table252930323652[[#This Row],[Date]], "AREA_NAME", "West"), 0)</f>
        <v>0</v>
      </c>
      <c r="AA401" s="20">
        <f>Table252930323652[[#This Row],[Stock Change (t1-t0) (West)]]+Table252930323652[[#This Row],[Sales]]</f>
        <v>0</v>
      </c>
      <c r="AB401" s="18">
        <f>IF(Table252930323652[[#This Row],[Regional Transfer (Real)]]=0, 0, Table252930323652[[#This Row],[Regional Transfer (Real)]]+Table252930323652[[#This Row],[Stock Level  (West)]])</f>
        <v>0</v>
      </c>
    </row>
    <row r="402" spans="2:28" x14ac:dyDescent="0.2">
      <c r="B402" s="4" t="s">
        <v>43</v>
      </c>
      <c r="C402" s="20">
        <f t="shared" si="20"/>
        <v>638</v>
      </c>
      <c r="D402" s="20">
        <f>C403-Table253349[[#This Row],[Stock Level  ]]</f>
        <v>-150</v>
      </c>
      <c r="E402" s="20">
        <f>IFERROR(GETPIVOTDATA("QTY",$B$56,"PRODUCT_DESCRIPTION", $B$359, "SALES_ORDER_DATE",Table253349[[#This Row],[Date]]), 0)</f>
        <v>150</v>
      </c>
      <c r="F402" s="20">
        <f>Table253349[[#This Row],[Stock Change (t1-t0)]]+Table253349[[#This Row],[Sales]]</f>
        <v>0</v>
      </c>
      <c r="G402" s="18">
        <f>IF(Table253349[[#This Row],[Purchase (Real)]]=0, 0, Table253349[[#This Row],[Purchase (Real)]]+C401)</f>
        <v>0</v>
      </c>
      <c r="I402" s="4" t="s">
        <v>43</v>
      </c>
      <c r="J402" s="20">
        <f t="shared" si="21"/>
        <v>186</v>
      </c>
      <c r="K402" s="20">
        <f>J403-Table25293450[[#This Row],[Stock Level  (North)]]</f>
        <v>-111</v>
      </c>
      <c r="L402" s="20">
        <f>IFERROR(GETPIVOTDATA("QTY",$B$56,"PRODUCT_DESCRIPTION", $B$359, "SALES_ORDER_DATE",Table25293450[[#This Row],[Date]], "AREA_NAME", "North"), 0)</f>
        <v>111</v>
      </c>
      <c r="M402" s="20">
        <f>Table25293450[[#This Row],[Stock Change (t1-t0) (North)]]+Table25293450[[#This Row],[Sales]]</f>
        <v>0</v>
      </c>
      <c r="N402" s="18">
        <f>IF(Table25293450[[#This Row],[Regional Transfer (Real)]]=0, 0, Table25293450[[#This Row],[Regional Transfer (Real)]]+Table25293450[[#This Row],[Stock Level  (North)]])</f>
        <v>0</v>
      </c>
      <c r="P402" s="4" t="s">
        <v>43</v>
      </c>
      <c r="Q402" s="20">
        <f t="shared" si="22"/>
        <v>150</v>
      </c>
      <c r="R402" s="20">
        <f>Q403-Table2529303551[[#This Row],[Stock Level  (South)]]</f>
        <v>-39</v>
      </c>
      <c r="S402" s="20">
        <f>IFERROR(GETPIVOTDATA("QTY",$B$56,"PRODUCT_DESCRIPTION", $B$359, "SALES_ORDER_DATE",Table2529303551[[#This Row],[Date]], "AREA_NAME", "South"), 0)</f>
        <v>39</v>
      </c>
      <c r="T402" s="20">
        <f>Table2529303551[[#This Row],[Stock Change (t1-t0) (South)]]+Table2529303551[[#This Row],[Sales]]</f>
        <v>0</v>
      </c>
      <c r="U402" s="18">
        <f>IF(Table2529303551[[#This Row],[Regional Transfer (Real)]]=0, 0, Table2529303551[[#This Row],[Regional Transfer (Real)]]+Table2529303551[[#This Row],[Stock Level  (South)]])</f>
        <v>0</v>
      </c>
      <c r="W402" s="4" t="s">
        <v>43</v>
      </c>
      <c r="X402" s="20">
        <f t="shared" si="23"/>
        <v>200</v>
      </c>
      <c r="Y402" s="20">
        <f>X403-Table252930323652[[#This Row],[Stock Level  (West)]]</f>
        <v>0</v>
      </c>
      <c r="Z402" s="20">
        <f>IFERROR(GETPIVOTDATA("QTY",$B$56,"PRODUCT_DESCRIPTION", $B$359, "SALES_ORDER_DATE",Table252930323652[[#This Row],[Date]], "AREA_NAME", "West"), 0)</f>
        <v>0</v>
      </c>
      <c r="AA402" s="20">
        <f>Table252930323652[[#This Row],[Stock Change (t1-t0) (West)]]+Table252930323652[[#This Row],[Sales]]</f>
        <v>0</v>
      </c>
      <c r="AB402" s="18">
        <f>IF(Table252930323652[[#This Row],[Regional Transfer (Real)]]=0, 0, Table252930323652[[#This Row],[Regional Transfer (Real)]]+Table252930323652[[#This Row],[Stock Level  (West)]])</f>
        <v>0</v>
      </c>
    </row>
    <row r="403" spans="2:28" x14ac:dyDescent="0.2">
      <c r="B403" s="4" t="s">
        <v>44</v>
      </c>
      <c r="C403" s="20">
        <f t="shared" si="20"/>
        <v>488</v>
      </c>
      <c r="D403" s="20">
        <f>C404-Table253349[[#This Row],[Stock Level  ]]</f>
        <v>512</v>
      </c>
      <c r="E403" s="20">
        <f>IFERROR(GETPIVOTDATA("QTY",$B$56,"PRODUCT_DESCRIPTION", $B$359, "SALES_ORDER_DATE",Table253349[[#This Row],[Date]]), 0)</f>
        <v>0</v>
      </c>
      <c r="F403" s="20">
        <f>Table253349[[#This Row],[Stock Change (t1-t0)]]+Table253349[[#This Row],[Sales]]</f>
        <v>512</v>
      </c>
      <c r="G403" s="18">
        <f>IF(Table253349[[#This Row],[Purchase (Real)]]=0, 0, Table253349[[#This Row],[Purchase (Real)]]+C402)</f>
        <v>1150</v>
      </c>
      <c r="I403" s="4" t="s">
        <v>44</v>
      </c>
      <c r="J403" s="20">
        <f t="shared" si="21"/>
        <v>75</v>
      </c>
      <c r="K403" s="20">
        <f>J404-Table25293450[[#This Row],[Stock Level  (North)]]</f>
        <v>74</v>
      </c>
      <c r="L403" s="20">
        <f>IFERROR(GETPIVOTDATA("QTY",$B$56,"PRODUCT_DESCRIPTION", $B$359, "SALES_ORDER_DATE",Table25293450[[#This Row],[Date]], "AREA_NAME", "North"), 0)</f>
        <v>0</v>
      </c>
      <c r="M403" s="20">
        <f>Table25293450[[#This Row],[Stock Change (t1-t0) (North)]]+Table25293450[[#This Row],[Sales]]</f>
        <v>74</v>
      </c>
      <c r="N403" s="18">
        <f>IF(Table25293450[[#This Row],[Regional Transfer (Real)]]=0, 0, Table25293450[[#This Row],[Regional Transfer (Real)]]+Table25293450[[#This Row],[Stock Level  (North)]])</f>
        <v>149</v>
      </c>
      <c r="P403" s="4" t="s">
        <v>44</v>
      </c>
      <c r="Q403" s="20">
        <f t="shared" si="22"/>
        <v>111</v>
      </c>
      <c r="R403" s="20">
        <f>Q404-Table2529303551[[#This Row],[Stock Level  (South)]]</f>
        <v>28</v>
      </c>
      <c r="S403" s="20">
        <f>IFERROR(GETPIVOTDATA("QTY",$B$56,"PRODUCT_DESCRIPTION", $B$359, "SALES_ORDER_DATE",Table2529303551[[#This Row],[Date]], "AREA_NAME", "South"), 0)</f>
        <v>0</v>
      </c>
      <c r="T403" s="20">
        <f>Table2529303551[[#This Row],[Stock Change (t1-t0) (South)]]+Table2529303551[[#This Row],[Sales]]</f>
        <v>28</v>
      </c>
      <c r="U403" s="18">
        <f>IF(Table2529303551[[#This Row],[Regional Transfer (Real)]]=0, 0, Table2529303551[[#This Row],[Regional Transfer (Real)]]+Table2529303551[[#This Row],[Stock Level  (South)]])</f>
        <v>139</v>
      </c>
      <c r="W403" s="4" t="s">
        <v>44</v>
      </c>
      <c r="X403" s="20">
        <f t="shared" si="23"/>
        <v>200</v>
      </c>
      <c r="Y403" s="20">
        <f>X404-Table252930323652[[#This Row],[Stock Level  (West)]]</f>
        <v>0</v>
      </c>
      <c r="Z403" s="20">
        <f>IFERROR(GETPIVOTDATA("QTY",$B$56,"PRODUCT_DESCRIPTION", $B$359, "SALES_ORDER_DATE",Table252930323652[[#This Row],[Date]], "AREA_NAME", "West"), 0)</f>
        <v>0</v>
      </c>
      <c r="AA403" s="20">
        <f>Table252930323652[[#This Row],[Stock Change (t1-t0) (West)]]+Table252930323652[[#This Row],[Sales]]</f>
        <v>0</v>
      </c>
      <c r="AB403" s="18">
        <f>IF(Table252930323652[[#This Row],[Regional Transfer (Real)]]=0, 0, Table252930323652[[#This Row],[Regional Transfer (Real)]]+Table252930323652[[#This Row],[Stock Level  (West)]])</f>
        <v>0</v>
      </c>
    </row>
    <row r="404" spans="2:28" x14ac:dyDescent="0.2">
      <c r="B404" s="4" t="s">
        <v>45</v>
      </c>
      <c r="C404" s="20">
        <f t="shared" si="20"/>
        <v>1000</v>
      </c>
      <c r="D404" s="20">
        <f>C405-Table253349[[#This Row],[Stock Level  ]]</f>
        <v>-50</v>
      </c>
      <c r="E404" s="20">
        <f>IFERROR(GETPIVOTDATA("QTY",$B$56,"PRODUCT_DESCRIPTION", $B$359, "SALES_ORDER_DATE",Table253349[[#This Row],[Date]]), 0)</f>
        <v>50</v>
      </c>
      <c r="F404" s="20">
        <f>Table253349[[#This Row],[Stock Change (t1-t0)]]+Table253349[[#This Row],[Sales]]</f>
        <v>0</v>
      </c>
      <c r="G404" s="18">
        <f>IF(Table253349[[#This Row],[Purchase (Real)]]=0, 0, Table253349[[#This Row],[Purchase (Real)]]+C403)</f>
        <v>0</v>
      </c>
      <c r="I404" s="4" t="s">
        <v>45</v>
      </c>
      <c r="J404" s="20">
        <f t="shared" si="21"/>
        <v>149</v>
      </c>
      <c r="K404" s="20">
        <f>J405-Table25293450[[#This Row],[Stock Level  (North)]]</f>
        <v>0</v>
      </c>
      <c r="L404" s="20">
        <f>IFERROR(GETPIVOTDATA("QTY",$B$56,"PRODUCT_DESCRIPTION", $B$359, "SALES_ORDER_DATE",Table25293450[[#This Row],[Date]], "AREA_NAME", "North"), 0)</f>
        <v>0</v>
      </c>
      <c r="M404" s="20">
        <f>Table25293450[[#This Row],[Stock Change (t1-t0) (North)]]+Table25293450[[#This Row],[Sales]]</f>
        <v>0</v>
      </c>
      <c r="N404" s="18">
        <f>IF(Table25293450[[#This Row],[Regional Transfer (Real)]]=0, 0, Table25293450[[#This Row],[Regional Transfer (Real)]]+Table25293450[[#This Row],[Stock Level  (North)]])</f>
        <v>0</v>
      </c>
      <c r="P404" s="4" t="s">
        <v>45</v>
      </c>
      <c r="Q404" s="20">
        <f t="shared" si="22"/>
        <v>139</v>
      </c>
      <c r="R404" s="20">
        <f>Q405-Table2529303551[[#This Row],[Stock Level  (South)]]</f>
        <v>-50</v>
      </c>
      <c r="S404" s="20">
        <f>IFERROR(GETPIVOTDATA("QTY",$B$56,"PRODUCT_DESCRIPTION", $B$359, "SALES_ORDER_DATE",Table2529303551[[#This Row],[Date]], "AREA_NAME", "South"), 0)</f>
        <v>50</v>
      </c>
      <c r="T404" s="20">
        <f>Table2529303551[[#This Row],[Stock Change (t1-t0) (South)]]+Table2529303551[[#This Row],[Sales]]</f>
        <v>0</v>
      </c>
      <c r="U404" s="18">
        <f>IF(Table2529303551[[#This Row],[Regional Transfer (Real)]]=0, 0, Table2529303551[[#This Row],[Regional Transfer (Real)]]+Table2529303551[[#This Row],[Stock Level  (South)]])</f>
        <v>0</v>
      </c>
      <c r="W404" s="4" t="s">
        <v>45</v>
      </c>
      <c r="X404" s="20">
        <f t="shared" si="23"/>
        <v>200</v>
      </c>
      <c r="Y404" s="20">
        <f>X405-Table252930323652[[#This Row],[Stock Level  (West)]]</f>
        <v>0</v>
      </c>
      <c r="Z404" s="20">
        <f>IFERROR(GETPIVOTDATA("QTY",$B$56,"PRODUCT_DESCRIPTION", $B$359, "SALES_ORDER_DATE",Table252930323652[[#This Row],[Date]], "AREA_NAME", "West"), 0)</f>
        <v>0</v>
      </c>
      <c r="AA404" s="20">
        <f>Table252930323652[[#This Row],[Stock Change (t1-t0) (West)]]+Table252930323652[[#This Row],[Sales]]</f>
        <v>0</v>
      </c>
      <c r="AB404" s="18">
        <f>IF(Table252930323652[[#This Row],[Regional Transfer (Real)]]=0, 0, Table252930323652[[#This Row],[Regional Transfer (Real)]]+Table252930323652[[#This Row],[Stock Level  (West)]])</f>
        <v>0</v>
      </c>
    </row>
    <row r="405" spans="2:28" x14ac:dyDescent="0.2">
      <c r="B405" s="4" t="s">
        <v>46</v>
      </c>
      <c r="C405" s="20">
        <f t="shared" si="20"/>
        <v>950</v>
      </c>
      <c r="D405" s="20">
        <f>C406-Table253349[[#This Row],[Stock Level  ]]</f>
        <v>-58</v>
      </c>
      <c r="E405" s="20">
        <f>IFERROR(GETPIVOTDATA("QTY",$B$56,"PRODUCT_DESCRIPTION", $B$359, "SALES_ORDER_DATE",Table253349[[#This Row],[Date]]), 0)</f>
        <v>58</v>
      </c>
      <c r="F405" s="20">
        <f>Table253349[[#This Row],[Stock Change (t1-t0)]]+Table253349[[#This Row],[Sales]]</f>
        <v>0</v>
      </c>
      <c r="G405" s="18">
        <f>IF(Table253349[[#This Row],[Purchase (Real)]]=0, 0, Table253349[[#This Row],[Purchase (Real)]]+C404)</f>
        <v>0</v>
      </c>
      <c r="I405" s="4" t="s">
        <v>46</v>
      </c>
      <c r="J405" s="20">
        <f t="shared" si="21"/>
        <v>149</v>
      </c>
      <c r="K405" s="20">
        <f>J406-Table25293450[[#This Row],[Stock Level  (North)]]</f>
        <v>0</v>
      </c>
      <c r="L405" s="20">
        <f>IFERROR(GETPIVOTDATA("QTY",$B$56,"PRODUCT_DESCRIPTION", $B$359, "SALES_ORDER_DATE",Table25293450[[#This Row],[Date]], "AREA_NAME", "North"), 0)</f>
        <v>0</v>
      </c>
      <c r="M405" s="20">
        <f>Table25293450[[#This Row],[Stock Change (t1-t0) (North)]]+Table25293450[[#This Row],[Sales]]</f>
        <v>0</v>
      </c>
      <c r="N405" s="18">
        <f>IF(Table25293450[[#This Row],[Regional Transfer (Real)]]=0, 0, Table25293450[[#This Row],[Regional Transfer (Real)]]+Table25293450[[#This Row],[Stock Level  (North)]])</f>
        <v>0</v>
      </c>
      <c r="P405" s="4" t="s">
        <v>46</v>
      </c>
      <c r="Q405" s="20">
        <f t="shared" si="22"/>
        <v>89</v>
      </c>
      <c r="R405" s="20">
        <f>Q406-Table2529303551[[#This Row],[Stock Level  (South)]]</f>
        <v>-58</v>
      </c>
      <c r="S405" s="20">
        <f>IFERROR(GETPIVOTDATA("QTY",$B$56,"PRODUCT_DESCRIPTION", $B$359, "SALES_ORDER_DATE",Table2529303551[[#This Row],[Date]], "AREA_NAME", "South"), 0)</f>
        <v>58</v>
      </c>
      <c r="T405" s="20">
        <f>Table2529303551[[#This Row],[Stock Change (t1-t0) (South)]]+Table2529303551[[#This Row],[Sales]]</f>
        <v>0</v>
      </c>
      <c r="U405" s="18">
        <f>IF(Table2529303551[[#This Row],[Regional Transfer (Real)]]=0, 0, Table2529303551[[#This Row],[Regional Transfer (Real)]]+Table2529303551[[#This Row],[Stock Level  (South)]])</f>
        <v>0</v>
      </c>
      <c r="W405" s="4" t="s">
        <v>46</v>
      </c>
      <c r="X405" s="20">
        <f t="shared" si="23"/>
        <v>200</v>
      </c>
      <c r="Y405" s="20">
        <f>X406-Table252930323652[[#This Row],[Stock Level  (West)]]</f>
        <v>0</v>
      </c>
      <c r="Z405" s="20">
        <f>IFERROR(GETPIVOTDATA("QTY",$B$56,"PRODUCT_DESCRIPTION", $B$359, "SALES_ORDER_DATE",Table252930323652[[#This Row],[Date]], "AREA_NAME", "West"), 0)</f>
        <v>0</v>
      </c>
      <c r="AA405" s="20">
        <f>Table252930323652[[#This Row],[Stock Change (t1-t0) (West)]]+Table252930323652[[#This Row],[Sales]]</f>
        <v>0</v>
      </c>
      <c r="AB405" s="18">
        <f>IF(Table252930323652[[#This Row],[Regional Transfer (Real)]]=0, 0, Table252930323652[[#This Row],[Regional Transfer (Real)]]+Table252930323652[[#This Row],[Stock Level  (West)]])</f>
        <v>0</v>
      </c>
    </row>
    <row r="406" spans="2:28" x14ac:dyDescent="0.2">
      <c r="B406" s="4" t="s">
        <v>59</v>
      </c>
      <c r="C406" s="20">
        <f t="shared" si="20"/>
        <v>892</v>
      </c>
      <c r="D406" s="20">
        <v>0</v>
      </c>
      <c r="E406" s="20">
        <f>IFERROR(GETPIVOTDATA("QTY",$B$56,"PRODUCT_DESCRIPTION", $B$359, "SALES_ORDER_DATE",Table253349[[#This Row],[Date]]), 0)</f>
        <v>0</v>
      </c>
      <c r="F406" s="20">
        <f>Table253349[[#This Row],[Stock Change (t1-t0)]]+Table253349[[#This Row],[Sales]]</f>
        <v>0</v>
      </c>
      <c r="G406" s="18">
        <f>IF(Table253349[[#This Row],[Purchase (Real)]]=0, 0, Table253349[[#This Row],[Purchase (Real)]]+C405)</f>
        <v>0</v>
      </c>
      <c r="I406" s="4" t="s">
        <v>59</v>
      </c>
      <c r="J406" s="20">
        <f t="shared" si="21"/>
        <v>149</v>
      </c>
      <c r="K406" s="20">
        <v>0</v>
      </c>
      <c r="L406" s="20">
        <f>IFERROR(GETPIVOTDATA("QTY",$B$56,"PRODUCT_DESCRIPTION", $B$359, "SALES_ORDER_DATE",Table25293450[[#This Row],[Date]], "AREA_NAME", "North"), 0)</f>
        <v>0</v>
      </c>
      <c r="M406" s="20">
        <f>Table25293450[[#This Row],[Stock Change (t1-t0) (North)]]+Table25293450[[#This Row],[Sales]]</f>
        <v>0</v>
      </c>
      <c r="N406" s="18">
        <f>IF(Table25293450[[#This Row],[Regional Transfer (Real)]]=0, 0, Table25293450[[#This Row],[Regional Transfer (Real)]]+Table25293450[[#This Row],[Stock Level  (North)]])</f>
        <v>0</v>
      </c>
      <c r="P406" s="4" t="s">
        <v>59</v>
      </c>
      <c r="Q406" s="20">
        <f t="shared" si="22"/>
        <v>31</v>
      </c>
      <c r="R406" s="20">
        <v>0</v>
      </c>
      <c r="S406" s="20">
        <f>IFERROR(GETPIVOTDATA("QTY",$B$56,"PRODUCT_DESCRIPTION", $B$359, "SALES_ORDER_DATE",Table2529303551[[#This Row],[Date]], "AREA_NAME", "South"), 0)</f>
        <v>0</v>
      </c>
      <c r="T406" s="20">
        <f>Table2529303551[[#This Row],[Stock Change (t1-t0) (South)]]+Table2529303551[[#This Row],[Sales]]</f>
        <v>0</v>
      </c>
      <c r="U406" s="18">
        <f>IF(Table2529303551[[#This Row],[Regional Transfer (Real)]]=0, 0, Table2529303551[[#This Row],[Regional Transfer (Real)]]+Table2529303551[[#This Row],[Stock Level  (South)]])</f>
        <v>0</v>
      </c>
      <c r="W406" s="4" t="s">
        <v>59</v>
      </c>
      <c r="X406" s="20">
        <f t="shared" si="23"/>
        <v>200</v>
      </c>
      <c r="Y406" s="20">
        <v>0</v>
      </c>
      <c r="Z406" s="20">
        <f>IFERROR(GETPIVOTDATA("QTY",$B$56,"PRODUCT_DESCRIPTION", $B$359, "SALES_ORDER_DATE",Table252930323652[[#This Row],[Date]], "AREA_NAME", "West"), 0)</f>
        <v>0</v>
      </c>
      <c r="AA406" s="20">
        <f>Table252930323652[[#This Row],[Stock Change (t1-t0) (West)]]+Table252930323652[[#This Row],[Sales]]</f>
        <v>0</v>
      </c>
      <c r="AB406" s="18">
        <f>IF(Table252930323652[[#This Row],[Regional Transfer (Real)]]=0, 0, Table252930323652[[#This Row],[Regional Transfer (Real)]]+Table252930323652[[#This Row],[Stock Level  (West)]])</f>
        <v>0</v>
      </c>
    </row>
    <row r="407" spans="2:28" x14ac:dyDescent="0.2">
      <c r="B407" s="4" t="s">
        <v>91</v>
      </c>
      <c r="F407" s="11">
        <f>SUBTOTAL(109,Table253349[Purchase (Real)])</f>
        <v>3100</v>
      </c>
      <c r="G407" s="11"/>
      <c r="I407" s="4" t="s">
        <v>91</v>
      </c>
      <c r="M407" cm="1">
        <f t="array" ref="M407">COUNT(IF(Table25293450[Regional Transfer (Real)]&lt;&gt;0, Table25293450[Regional Transfer (Real)]))</f>
        <v>10</v>
      </c>
      <c r="N407" s="11"/>
      <c r="P407" s="4" t="s">
        <v>91</v>
      </c>
      <c r="T407" cm="1">
        <f t="array" ref="T407">COUNT(IF(T363:T406&lt;&gt;0, Table2529303551[Regional Transfer (Real)]))</f>
        <v>11</v>
      </c>
      <c r="U407" s="11"/>
      <c r="W407" s="4" t="s">
        <v>91</v>
      </c>
      <c r="AA407" cm="1">
        <f t="array" ref="AA407">COUNT(IF(AA363:AA406&lt;&gt;0, Table252930323652[Regional Transfer (Real)]))</f>
        <v>7</v>
      </c>
      <c r="AB407" s="11"/>
    </row>
    <row r="411" spans="2:28" x14ac:dyDescent="0.2">
      <c r="B411" s="38"/>
      <c r="C411" s="38"/>
      <c r="D411" s="38"/>
      <c r="E411" s="38"/>
      <c r="F411" s="38"/>
      <c r="G411" s="38"/>
    </row>
    <row r="412" spans="2:28" x14ac:dyDescent="0.2">
      <c r="B412" s="38"/>
      <c r="C412" s="38"/>
      <c r="D412" s="38"/>
      <c r="E412" s="38"/>
      <c r="F412" s="38"/>
      <c r="G412" s="38"/>
    </row>
    <row r="413" spans="2:28" x14ac:dyDescent="0.2">
      <c r="B413" s="41" t="s">
        <v>132</v>
      </c>
      <c r="C413" s="41" t="s">
        <v>114</v>
      </c>
      <c r="D413" s="41" t="s">
        <v>95</v>
      </c>
      <c r="E413" s="41" t="s">
        <v>61</v>
      </c>
      <c r="F413" s="41" t="s">
        <v>136</v>
      </c>
      <c r="G413" s="41" t="s">
        <v>137</v>
      </c>
      <c r="I413" s="1" t="s">
        <v>138</v>
      </c>
      <c r="J413" s="1" t="s">
        <v>0</v>
      </c>
      <c r="R413" t="s">
        <v>95</v>
      </c>
      <c r="S413" t="str">
        <f>Dashboard!D7</f>
        <v>Butter</v>
      </c>
    </row>
    <row r="414" spans="2:28" x14ac:dyDescent="0.2">
      <c r="B414" s="118">
        <v>1</v>
      </c>
      <c r="C414" s="119">
        <v>1</v>
      </c>
      <c r="D414" s="38" t="s">
        <v>1</v>
      </c>
      <c r="E414" s="120" t="s">
        <v>54</v>
      </c>
      <c r="F414" s="43">
        <v>600</v>
      </c>
      <c r="G414" s="43">
        <v>600</v>
      </c>
      <c r="I414" s="1" t="s">
        <v>8</v>
      </c>
      <c r="J414" t="s">
        <v>1</v>
      </c>
      <c r="K414" t="s">
        <v>2</v>
      </c>
      <c r="L414" t="s">
        <v>3</v>
      </c>
      <c r="M414" t="s">
        <v>4</v>
      </c>
      <c r="N414" t="s">
        <v>5</v>
      </c>
      <c r="O414" t="s">
        <v>6</v>
      </c>
      <c r="P414" t="s">
        <v>7</v>
      </c>
      <c r="R414" t="s">
        <v>60</v>
      </c>
      <c r="S414">
        <f>GETPIVOTDATA("Real Purchase",$I$433,"Product",$S$413)</f>
        <v>6</v>
      </c>
    </row>
    <row r="415" spans="2:28" x14ac:dyDescent="0.2">
      <c r="B415" s="118">
        <v>2</v>
      </c>
      <c r="C415" s="119">
        <v>1</v>
      </c>
      <c r="D415" s="38" t="s">
        <v>1</v>
      </c>
      <c r="E415" s="120" t="s">
        <v>17</v>
      </c>
      <c r="F415" s="43">
        <v>447</v>
      </c>
      <c r="G415" s="43">
        <v>600</v>
      </c>
      <c r="I415" s="2" t="s">
        <v>54</v>
      </c>
      <c r="J415">
        <v>600</v>
      </c>
      <c r="K415">
        <v>600</v>
      </c>
      <c r="L415">
        <v>600</v>
      </c>
      <c r="M415">
        <v>600</v>
      </c>
      <c r="N415">
        <v>600</v>
      </c>
      <c r="O415">
        <v>600</v>
      </c>
      <c r="P415">
        <v>3600</v>
      </c>
      <c r="R415" t="s">
        <v>265</v>
      </c>
      <c r="S415">
        <v>1</v>
      </c>
    </row>
    <row r="416" spans="2:28" x14ac:dyDescent="0.2">
      <c r="B416" s="118">
        <v>3</v>
      </c>
      <c r="C416" s="119">
        <v>1</v>
      </c>
      <c r="D416" s="38" t="s">
        <v>1</v>
      </c>
      <c r="E416" s="120" t="s">
        <v>27</v>
      </c>
      <c r="F416" s="43">
        <v>296</v>
      </c>
      <c r="G416" s="43">
        <v>600</v>
      </c>
      <c r="I416" s="2" t="s">
        <v>17</v>
      </c>
      <c r="J416">
        <v>447</v>
      </c>
      <c r="K416">
        <v>349</v>
      </c>
      <c r="L416">
        <v>355</v>
      </c>
      <c r="M416">
        <v>432</v>
      </c>
      <c r="N416">
        <v>594</v>
      </c>
      <c r="O416">
        <v>450</v>
      </c>
      <c r="P416">
        <v>2627</v>
      </c>
      <c r="R416" t="s">
        <v>266</v>
      </c>
      <c r="S416">
        <v>1</v>
      </c>
    </row>
    <row r="417" spans="2:19" x14ac:dyDescent="0.2">
      <c r="B417" s="118">
        <v>3</v>
      </c>
      <c r="C417" s="119">
        <v>6</v>
      </c>
      <c r="D417" s="38" t="s">
        <v>1</v>
      </c>
      <c r="E417" s="120" t="s">
        <v>32</v>
      </c>
      <c r="F417" s="43">
        <v>195</v>
      </c>
      <c r="G417" s="43">
        <v>600</v>
      </c>
      <c r="I417" s="2" t="s">
        <v>27</v>
      </c>
      <c r="J417">
        <v>296</v>
      </c>
      <c r="K417">
        <v>367</v>
      </c>
      <c r="L417">
        <v>264</v>
      </c>
      <c r="M417">
        <v>332</v>
      </c>
      <c r="N417">
        <v>874</v>
      </c>
      <c r="O417">
        <v>903</v>
      </c>
      <c r="P417">
        <v>3036</v>
      </c>
      <c r="R417" t="s">
        <v>267</v>
      </c>
      <c r="S417">
        <v>3</v>
      </c>
    </row>
    <row r="418" spans="2:19" x14ac:dyDescent="0.2">
      <c r="B418" s="118">
        <v>3</v>
      </c>
      <c r="C418" s="119">
        <v>10</v>
      </c>
      <c r="D418" s="38" t="s">
        <v>1</v>
      </c>
      <c r="E418" s="120" t="s">
        <v>36</v>
      </c>
      <c r="F418" s="43">
        <v>143</v>
      </c>
      <c r="G418" s="43">
        <v>632</v>
      </c>
      <c r="I418" s="2" t="s">
        <v>32</v>
      </c>
      <c r="J418">
        <v>195</v>
      </c>
      <c r="K418">
        <v>87</v>
      </c>
      <c r="L418">
        <v>50</v>
      </c>
      <c r="M418">
        <v>110</v>
      </c>
      <c r="N418">
        <v>224</v>
      </c>
      <c r="O418">
        <v>100</v>
      </c>
      <c r="P418">
        <v>766</v>
      </c>
      <c r="R418" t="s">
        <v>268</v>
      </c>
      <c r="S418">
        <v>1</v>
      </c>
    </row>
    <row r="419" spans="2:19" x14ac:dyDescent="0.2">
      <c r="B419" s="118">
        <v>4</v>
      </c>
      <c r="C419" s="119">
        <v>8</v>
      </c>
      <c r="D419" s="38" t="s">
        <v>1</v>
      </c>
      <c r="E419" s="120" t="s">
        <v>44</v>
      </c>
      <c r="F419" s="43">
        <v>202</v>
      </c>
      <c r="G419" s="43">
        <v>657</v>
      </c>
      <c r="I419" s="2" t="s">
        <v>36</v>
      </c>
      <c r="J419">
        <v>143</v>
      </c>
      <c r="K419">
        <v>96</v>
      </c>
      <c r="L419">
        <v>71</v>
      </c>
      <c r="M419">
        <v>193</v>
      </c>
      <c r="N419">
        <v>364</v>
      </c>
      <c r="O419">
        <v>535</v>
      </c>
      <c r="P419">
        <v>1402</v>
      </c>
    </row>
    <row r="420" spans="2:19" x14ac:dyDescent="0.2">
      <c r="B420" s="118">
        <v>1</v>
      </c>
      <c r="C420" s="119">
        <v>1</v>
      </c>
      <c r="D420" s="38" t="s">
        <v>2</v>
      </c>
      <c r="E420" s="120" t="s">
        <v>54</v>
      </c>
      <c r="F420" s="43">
        <v>600</v>
      </c>
      <c r="G420" s="43">
        <v>600</v>
      </c>
      <c r="I420" s="2" t="s">
        <v>44</v>
      </c>
      <c r="J420">
        <v>202</v>
      </c>
      <c r="K420">
        <v>82</v>
      </c>
      <c r="L420">
        <v>73</v>
      </c>
      <c r="M420">
        <v>109</v>
      </c>
      <c r="N420">
        <v>399</v>
      </c>
      <c r="O420">
        <v>512</v>
      </c>
      <c r="P420">
        <v>1377</v>
      </c>
    </row>
    <row r="421" spans="2:19" x14ac:dyDescent="0.2">
      <c r="B421" s="118">
        <v>2</v>
      </c>
      <c r="C421" s="119">
        <v>1</v>
      </c>
      <c r="D421" s="38" t="s">
        <v>2</v>
      </c>
      <c r="E421" s="120" t="s">
        <v>17</v>
      </c>
      <c r="F421" s="43">
        <v>349</v>
      </c>
      <c r="G421" s="43">
        <v>600</v>
      </c>
      <c r="I421" s="2" t="s">
        <v>7</v>
      </c>
      <c r="J421">
        <v>1883</v>
      </c>
      <c r="K421">
        <v>1581</v>
      </c>
      <c r="L421">
        <v>1413</v>
      </c>
      <c r="M421">
        <v>1776</v>
      </c>
      <c r="N421">
        <v>3055</v>
      </c>
      <c r="O421">
        <v>3100</v>
      </c>
      <c r="P421">
        <v>12808</v>
      </c>
    </row>
    <row r="422" spans="2:19" x14ac:dyDescent="0.2">
      <c r="B422" s="118">
        <v>3</v>
      </c>
      <c r="C422" s="119">
        <v>1</v>
      </c>
      <c r="D422" s="38" t="s">
        <v>2</v>
      </c>
      <c r="E422" s="120" t="s">
        <v>27</v>
      </c>
      <c r="F422" s="43">
        <v>367</v>
      </c>
      <c r="G422" s="43">
        <v>600</v>
      </c>
    </row>
    <row r="423" spans="2:19" x14ac:dyDescent="0.2">
      <c r="B423" s="118">
        <v>3</v>
      </c>
      <c r="C423" s="119">
        <v>6</v>
      </c>
      <c r="D423" s="38" t="s">
        <v>2</v>
      </c>
      <c r="E423" s="120" t="s">
        <v>32</v>
      </c>
      <c r="F423" s="43">
        <v>87</v>
      </c>
      <c r="G423" s="43">
        <v>600</v>
      </c>
      <c r="I423" s="1" t="s">
        <v>175</v>
      </c>
      <c r="J423" s="1" t="s">
        <v>0</v>
      </c>
      <c r="R423" s="11"/>
    </row>
    <row r="424" spans="2:19" x14ac:dyDescent="0.2">
      <c r="B424" s="118">
        <v>3</v>
      </c>
      <c r="C424" s="119">
        <v>10</v>
      </c>
      <c r="D424" s="38" t="s">
        <v>2</v>
      </c>
      <c r="E424" s="120" t="s">
        <v>36</v>
      </c>
      <c r="F424" s="43">
        <v>96</v>
      </c>
      <c r="G424" s="43">
        <v>600</v>
      </c>
      <c r="I424" s="1" t="s">
        <v>8</v>
      </c>
      <c r="J424" t="s">
        <v>1</v>
      </c>
      <c r="K424" t="s">
        <v>2</v>
      </c>
      <c r="L424" t="s">
        <v>3</v>
      </c>
      <c r="M424" t="s">
        <v>4</v>
      </c>
      <c r="N424" t="s">
        <v>5</v>
      </c>
      <c r="O424" t="s">
        <v>6</v>
      </c>
      <c r="P424" t="s">
        <v>7</v>
      </c>
      <c r="R424" s="11"/>
    </row>
    <row r="425" spans="2:19" x14ac:dyDescent="0.2">
      <c r="B425" s="118">
        <v>4</v>
      </c>
      <c r="C425" s="119">
        <v>8</v>
      </c>
      <c r="D425" s="38" t="s">
        <v>2</v>
      </c>
      <c r="E425" s="120" t="s">
        <v>44</v>
      </c>
      <c r="F425" s="43">
        <v>82</v>
      </c>
      <c r="G425" s="43">
        <v>600</v>
      </c>
      <c r="I425" s="2" t="s">
        <v>54</v>
      </c>
      <c r="J425">
        <v>600</v>
      </c>
      <c r="K425">
        <v>600</v>
      </c>
      <c r="L425">
        <v>600</v>
      </c>
      <c r="M425">
        <v>600</v>
      </c>
      <c r="N425">
        <v>600</v>
      </c>
      <c r="O425">
        <v>600</v>
      </c>
      <c r="P425">
        <v>3600</v>
      </c>
      <c r="R425" s="11"/>
    </row>
    <row r="426" spans="2:19" x14ac:dyDescent="0.2">
      <c r="B426" s="118">
        <v>1</v>
      </c>
      <c r="C426" s="119">
        <v>1</v>
      </c>
      <c r="D426" s="38" t="s">
        <v>3</v>
      </c>
      <c r="E426" s="120" t="s">
        <v>54</v>
      </c>
      <c r="F426" s="43">
        <v>600</v>
      </c>
      <c r="G426" s="43">
        <v>600</v>
      </c>
      <c r="I426" s="2" t="s">
        <v>17</v>
      </c>
      <c r="J426">
        <v>600</v>
      </c>
      <c r="K426">
        <v>600</v>
      </c>
      <c r="L426">
        <v>600</v>
      </c>
      <c r="M426">
        <v>600</v>
      </c>
      <c r="N426">
        <v>600</v>
      </c>
      <c r="O426">
        <v>600</v>
      </c>
      <c r="P426">
        <v>3600</v>
      </c>
      <c r="R426" s="11"/>
    </row>
    <row r="427" spans="2:19" x14ac:dyDescent="0.2">
      <c r="B427" s="118">
        <v>2</v>
      </c>
      <c r="C427" s="119">
        <v>1</v>
      </c>
      <c r="D427" s="38" t="s">
        <v>3</v>
      </c>
      <c r="E427" s="120" t="s">
        <v>17</v>
      </c>
      <c r="F427" s="43">
        <v>355</v>
      </c>
      <c r="G427" s="43">
        <v>600</v>
      </c>
      <c r="I427" s="2" t="s">
        <v>27</v>
      </c>
      <c r="J427">
        <v>600</v>
      </c>
      <c r="K427">
        <v>600</v>
      </c>
      <c r="L427">
        <v>600</v>
      </c>
      <c r="M427">
        <v>600</v>
      </c>
      <c r="N427">
        <v>1000</v>
      </c>
      <c r="O427">
        <v>1000</v>
      </c>
      <c r="P427">
        <v>4400</v>
      </c>
    </row>
    <row r="428" spans="2:19" x14ac:dyDescent="0.2">
      <c r="B428" s="118">
        <v>3</v>
      </c>
      <c r="C428" s="119">
        <v>1</v>
      </c>
      <c r="D428" s="38" t="s">
        <v>3</v>
      </c>
      <c r="E428" s="120" t="s">
        <v>27</v>
      </c>
      <c r="F428" s="43">
        <v>264</v>
      </c>
      <c r="G428" s="43">
        <v>600</v>
      </c>
      <c r="I428" s="2" t="s">
        <v>32</v>
      </c>
      <c r="J428">
        <v>600</v>
      </c>
      <c r="K428">
        <v>600</v>
      </c>
      <c r="L428">
        <v>600</v>
      </c>
      <c r="M428">
        <v>600</v>
      </c>
      <c r="N428">
        <v>1000</v>
      </c>
      <c r="O428">
        <v>1000</v>
      </c>
      <c r="P428">
        <v>4400</v>
      </c>
    </row>
    <row r="429" spans="2:19" x14ac:dyDescent="0.2">
      <c r="B429" s="118">
        <v>3</v>
      </c>
      <c r="C429" s="119">
        <v>6</v>
      </c>
      <c r="D429" s="38" t="s">
        <v>3</v>
      </c>
      <c r="E429" s="120" t="s">
        <v>32</v>
      </c>
      <c r="F429" s="43">
        <v>50</v>
      </c>
      <c r="G429" s="43">
        <v>600</v>
      </c>
      <c r="I429" s="2" t="s">
        <v>36</v>
      </c>
      <c r="J429">
        <v>632</v>
      </c>
      <c r="K429">
        <v>600</v>
      </c>
      <c r="L429">
        <v>600</v>
      </c>
      <c r="M429">
        <v>751</v>
      </c>
      <c r="N429">
        <v>1131</v>
      </c>
      <c r="O429">
        <v>1087</v>
      </c>
      <c r="P429">
        <v>4801</v>
      </c>
    </row>
    <row r="430" spans="2:19" x14ac:dyDescent="0.2">
      <c r="B430" s="118">
        <v>3</v>
      </c>
      <c r="C430" s="119">
        <v>10</v>
      </c>
      <c r="D430" s="38" t="s">
        <v>3</v>
      </c>
      <c r="E430" s="120" t="s">
        <v>36</v>
      </c>
      <c r="F430" s="43">
        <v>71</v>
      </c>
      <c r="G430" s="43">
        <v>600</v>
      </c>
      <c r="I430" s="2" t="s">
        <v>44</v>
      </c>
      <c r="J430">
        <v>657</v>
      </c>
      <c r="K430">
        <v>600</v>
      </c>
      <c r="L430">
        <v>652</v>
      </c>
      <c r="M430">
        <v>600</v>
      </c>
      <c r="N430">
        <v>1045</v>
      </c>
      <c r="O430">
        <v>1150</v>
      </c>
      <c r="P430">
        <v>4704</v>
      </c>
    </row>
    <row r="431" spans="2:19" x14ac:dyDescent="0.2">
      <c r="B431" s="118">
        <v>4</v>
      </c>
      <c r="C431" s="119">
        <v>8</v>
      </c>
      <c r="D431" s="38" t="s">
        <v>3</v>
      </c>
      <c r="E431" s="120" t="s">
        <v>44</v>
      </c>
      <c r="F431" s="43">
        <v>73</v>
      </c>
      <c r="G431" s="43">
        <v>652</v>
      </c>
      <c r="I431" s="2" t="s">
        <v>7</v>
      </c>
      <c r="J431">
        <v>3689</v>
      </c>
      <c r="K431">
        <v>3600</v>
      </c>
      <c r="L431">
        <v>3652</v>
      </c>
      <c r="M431">
        <v>3751</v>
      </c>
      <c r="N431">
        <v>5376</v>
      </c>
      <c r="O431">
        <v>5437</v>
      </c>
      <c r="P431">
        <v>25505</v>
      </c>
    </row>
    <row r="432" spans="2:19" x14ac:dyDescent="0.2">
      <c r="B432" s="118">
        <v>1</v>
      </c>
      <c r="C432" s="119">
        <v>1</v>
      </c>
      <c r="D432" s="38" t="s">
        <v>4</v>
      </c>
      <c r="E432" s="120" t="s">
        <v>54</v>
      </c>
      <c r="F432" s="43">
        <v>600</v>
      </c>
      <c r="G432" s="43">
        <v>600</v>
      </c>
    </row>
    <row r="433" spans="2:16" x14ac:dyDescent="0.2">
      <c r="B433" s="118">
        <v>2</v>
      </c>
      <c r="C433" s="119">
        <v>1</v>
      </c>
      <c r="D433" s="38" t="s">
        <v>4</v>
      </c>
      <c r="E433" s="120" t="s">
        <v>17</v>
      </c>
      <c r="F433" s="43">
        <v>432</v>
      </c>
      <c r="G433" s="43">
        <v>600</v>
      </c>
      <c r="J433" s="1" t="s">
        <v>0</v>
      </c>
    </row>
    <row r="434" spans="2:16" x14ac:dyDescent="0.2">
      <c r="B434" s="118">
        <v>3</v>
      </c>
      <c r="C434" s="119">
        <v>1</v>
      </c>
      <c r="D434" s="38" t="s">
        <v>4</v>
      </c>
      <c r="E434" s="120" t="s">
        <v>27</v>
      </c>
      <c r="F434" s="43">
        <v>332</v>
      </c>
      <c r="G434" s="43">
        <v>600</v>
      </c>
      <c r="J434" t="s">
        <v>1</v>
      </c>
      <c r="K434" t="s">
        <v>2</v>
      </c>
      <c r="L434" t="s">
        <v>3</v>
      </c>
      <c r="M434" t="s">
        <v>4</v>
      </c>
      <c r="N434" t="s">
        <v>5</v>
      </c>
      <c r="O434" t="s">
        <v>6</v>
      </c>
      <c r="P434" t="s">
        <v>7</v>
      </c>
    </row>
    <row r="435" spans="2:16" x14ac:dyDescent="0.2">
      <c r="B435" s="118">
        <v>3</v>
      </c>
      <c r="C435" s="119">
        <v>6</v>
      </c>
      <c r="D435" s="38" t="s">
        <v>4</v>
      </c>
      <c r="E435" s="120" t="s">
        <v>32</v>
      </c>
      <c r="F435" s="43">
        <v>110</v>
      </c>
      <c r="G435" s="43">
        <v>600</v>
      </c>
      <c r="I435" t="s">
        <v>197</v>
      </c>
      <c r="J435">
        <v>6</v>
      </c>
      <c r="K435">
        <v>6</v>
      </c>
      <c r="L435">
        <v>6</v>
      </c>
      <c r="M435">
        <v>6</v>
      </c>
      <c r="N435">
        <v>6</v>
      </c>
      <c r="O435">
        <v>6</v>
      </c>
      <c r="P435">
        <v>36</v>
      </c>
    </row>
    <row r="436" spans="2:16" x14ac:dyDescent="0.2">
      <c r="B436" s="118">
        <v>3</v>
      </c>
      <c r="C436" s="119">
        <v>10</v>
      </c>
      <c r="D436" s="38" t="s">
        <v>4</v>
      </c>
      <c r="E436" s="120" t="s">
        <v>36</v>
      </c>
      <c r="F436" s="43">
        <v>193</v>
      </c>
      <c r="G436" s="43">
        <v>751</v>
      </c>
    </row>
    <row r="437" spans="2:16" x14ac:dyDescent="0.2">
      <c r="B437" s="118">
        <v>4</v>
      </c>
      <c r="C437" s="119">
        <v>8</v>
      </c>
      <c r="D437" s="38" t="s">
        <v>4</v>
      </c>
      <c r="E437" s="120" t="s">
        <v>44</v>
      </c>
      <c r="F437" s="43">
        <v>109</v>
      </c>
      <c r="G437" s="43">
        <v>600</v>
      </c>
    </row>
    <row r="438" spans="2:16" x14ac:dyDescent="0.2">
      <c r="B438" s="118">
        <v>1</v>
      </c>
      <c r="C438" s="119">
        <v>1</v>
      </c>
      <c r="D438" s="38" t="s">
        <v>5</v>
      </c>
      <c r="E438" s="120" t="s">
        <v>54</v>
      </c>
      <c r="F438" s="43">
        <v>600</v>
      </c>
      <c r="G438" s="43">
        <v>600</v>
      </c>
    </row>
    <row r="439" spans="2:16" x14ac:dyDescent="0.2">
      <c r="B439" s="118">
        <v>2</v>
      </c>
      <c r="C439" s="119">
        <v>1</v>
      </c>
      <c r="D439" s="38" t="s">
        <v>5</v>
      </c>
      <c r="E439" s="120" t="s">
        <v>17</v>
      </c>
      <c r="F439" s="43">
        <v>594</v>
      </c>
      <c r="G439" s="43">
        <v>600</v>
      </c>
    </row>
    <row r="440" spans="2:16" x14ac:dyDescent="0.2">
      <c r="B440" s="118">
        <v>3</v>
      </c>
      <c r="C440" s="119">
        <v>1</v>
      </c>
      <c r="D440" s="38" t="s">
        <v>5</v>
      </c>
      <c r="E440" s="120" t="s">
        <v>27</v>
      </c>
      <c r="F440" s="43">
        <v>874</v>
      </c>
      <c r="G440" s="43">
        <v>1000</v>
      </c>
    </row>
    <row r="441" spans="2:16" x14ac:dyDescent="0.2">
      <c r="B441" s="118">
        <v>3</v>
      </c>
      <c r="C441" s="119">
        <v>6</v>
      </c>
      <c r="D441" s="38" t="s">
        <v>5</v>
      </c>
      <c r="E441" s="120" t="s">
        <v>32</v>
      </c>
      <c r="F441" s="43">
        <v>224</v>
      </c>
      <c r="G441" s="43">
        <v>1000</v>
      </c>
    </row>
    <row r="442" spans="2:16" x14ac:dyDescent="0.2">
      <c r="B442" s="118">
        <v>3</v>
      </c>
      <c r="C442" s="119">
        <v>10</v>
      </c>
      <c r="D442" s="38" t="s">
        <v>5</v>
      </c>
      <c r="E442" s="120" t="s">
        <v>36</v>
      </c>
      <c r="F442" s="43">
        <v>364</v>
      </c>
      <c r="G442" s="43">
        <v>1131</v>
      </c>
    </row>
    <row r="443" spans="2:16" x14ac:dyDescent="0.2">
      <c r="B443" s="118">
        <v>4</v>
      </c>
      <c r="C443" s="119">
        <v>8</v>
      </c>
      <c r="D443" s="38" t="s">
        <v>5</v>
      </c>
      <c r="E443" s="120" t="s">
        <v>44</v>
      </c>
      <c r="F443" s="43">
        <v>399</v>
      </c>
      <c r="G443" s="43">
        <v>1045</v>
      </c>
    </row>
    <row r="444" spans="2:16" x14ac:dyDescent="0.2">
      <c r="B444" s="118">
        <v>1</v>
      </c>
      <c r="C444" s="119">
        <v>1</v>
      </c>
      <c r="D444" s="38" t="s">
        <v>6</v>
      </c>
      <c r="E444" s="120" t="s">
        <v>54</v>
      </c>
      <c r="F444" s="43">
        <v>600</v>
      </c>
      <c r="G444" s="43">
        <v>600</v>
      </c>
    </row>
    <row r="445" spans="2:16" x14ac:dyDescent="0.2">
      <c r="B445" s="118">
        <v>2</v>
      </c>
      <c r="C445" s="119">
        <v>1</v>
      </c>
      <c r="D445" s="38" t="s">
        <v>6</v>
      </c>
      <c r="E445" s="120" t="s">
        <v>17</v>
      </c>
      <c r="F445" s="43">
        <v>450</v>
      </c>
      <c r="G445" s="43">
        <v>600</v>
      </c>
    </row>
    <row r="446" spans="2:16" x14ac:dyDescent="0.2">
      <c r="B446" s="118">
        <v>3</v>
      </c>
      <c r="C446" s="119">
        <v>1</v>
      </c>
      <c r="D446" s="38" t="s">
        <v>6</v>
      </c>
      <c r="E446" s="120" t="s">
        <v>27</v>
      </c>
      <c r="F446" s="43">
        <v>903</v>
      </c>
      <c r="G446" s="43">
        <v>1000</v>
      </c>
    </row>
    <row r="447" spans="2:16" x14ac:dyDescent="0.2">
      <c r="B447" s="118">
        <v>3</v>
      </c>
      <c r="C447" s="119">
        <v>6</v>
      </c>
      <c r="D447" s="38" t="s">
        <v>6</v>
      </c>
      <c r="E447" s="120" t="s">
        <v>32</v>
      </c>
      <c r="F447" s="43">
        <v>100</v>
      </c>
      <c r="G447" s="43">
        <v>1000</v>
      </c>
    </row>
    <row r="448" spans="2:16" x14ac:dyDescent="0.2">
      <c r="B448" s="118">
        <v>3</v>
      </c>
      <c r="C448" s="119">
        <v>10</v>
      </c>
      <c r="D448" s="38" t="s">
        <v>6</v>
      </c>
      <c r="E448" s="120" t="s">
        <v>36</v>
      </c>
      <c r="F448" s="43">
        <v>535</v>
      </c>
      <c r="G448" s="43">
        <v>1087</v>
      </c>
    </row>
    <row r="449" spans="2:7" x14ac:dyDescent="0.2">
      <c r="B449" s="118">
        <v>4</v>
      </c>
      <c r="C449" s="119">
        <v>8</v>
      </c>
      <c r="D449" s="38" t="s">
        <v>6</v>
      </c>
      <c r="E449" s="120" t="s">
        <v>44</v>
      </c>
      <c r="F449" s="43">
        <v>512</v>
      </c>
      <c r="G449" s="43">
        <v>1150</v>
      </c>
    </row>
    <row r="450" spans="2:7" x14ac:dyDescent="0.2">
      <c r="B450" s="118"/>
      <c r="C450" s="119"/>
      <c r="D450" s="38"/>
      <c r="E450" s="120"/>
      <c r="F450" s="43"/>
      <c r="G450" s="43"/>
    </row>
    <row r="451" spans="2:7" x14ac:dyDescent="0.2">
      <c r="B451" s="126"/>
      <c r="C451" s="127"/>
      <c r="D451" s="38"/>
      <c r="E451" s="120"/>
      <c r="F451" s="128"/>
      <c r="G451" s="128"/>
    </row>
    <row r="452" spans="2:7" x14ac:dyDescent="0.2">
      <c r="B452" s="72"/>
      <c r="C452" s="73"/>
      <c r="E452" s="4"/>
      <c r="F452" s="74"/>
      <c r="G452" s="74"/>
    </row>
    <row r="453" spans="2:7" x14ac:dyDescent="0.2">
      <c r="B453" s="72"/>
      <c r="C453" s="73"/>
      <c r="E453" s="4"/>
      <c r="F453" s="74"/>
      <c r="G453" s="74"/>
    </row>
    <row r="454" spans="2:7" x14ac:dyDescent="0.2">
      <c r="B454" s="72"/>
      <c r="C454" s="73"/>
      <c r="E454" s="4"/>
      <c r="F454" s="74"/>
      <c r="G454" s="74"/>
    </row>
    <row r="455" spans="2:7" x14ac:dyDescent="0.2">
      <c r="B455" s="72"/>
      <c r="C455" s="73"/>
      <c r="E455" s="4"/>
      <c r="F455" s="74"/>
      <c r="G455" s="74"/>
    </row>
    <row r="456" spans="2:7" x14ac:dyDescent="0.2">
      <c r="B456" s="72"/>
      <c r="C456" s="73"/>
      <c r="E456" s="4"/>
      <c r="F456" s="74"/>
      <c r="G456" s="74"/>
    </row>
    <row r="457" spans="2:7" x14ac:dyDescent="0.2">
      <c r="B457" s="72"/>
      <c r="C457" s="73"/>
      <c r="E457" s="4"/>
      <c r="F457" s="74"/>
      <c r="G457" s="74"/>
    </row>
    <row r="458" spans="2:7" x14ac:dyDescent="0.2">
      <c r="B458" s="72"/>
      <c r="C458" s="73"/>
      <c r="E458" s="4"/>
      <c r="F458" s="74"/>
      <c r="G458" s="74"/>
    </row>
    <row r="459" spans="2:7" x14ac:dyDescent="0.2">
      <c r="B459" s="72"/>
      <c r="C459" s="73"/>
      <c r="E459" s="4"/>
      <c r="F459" s="74"/>
      <c r="G459" s="74"/>
    </row>
    <row r="465" spans="2:23" x14ac:dyDescent="0.2">
      <c r="B465" t="s">
        <v>61</v>
      </c>
      <c r="C465" t="s">
        <v>95</v>
      </c>
      <c r="D465" t="s">
        <v>96</v>
      </c>
      <c r="E465" t="s">
        <v>134</v>
      </c>
      <c r="F465" s="3"/>
      <c r="G465" s="1" t="s">
        <v>135</v>
      </c>
      <c r="H465" s="1" t="s">
        <v>0</v>
      </c>
      <c r="P465" t="s">
        <v>96</v>
      </c>
      <c r="Q465" s="3" t="s">
        <v>1</v>
      </c>
      <c r="R465" s="3" t="s">
        <v>2</v>
      </c>
      <c r="S465" s="3" t="s">
        <v>3</v>
      </c>
      <c r="T465" s="3" t="s">
        <v>4</v>
      </c>
      <c r="U465" s="3" t="s">
        <v>5</v>
      </c>
      <c r="V465" s="3" t="s">
        <v>6</v>
      </c>
      <c r="W465" s="3" t="s">
        <v>186</v>
      </c>
    </row>
    <row r="466" spans="2:23" x14ac:dyDescent="0.2">
      <c r="B466" s="2" t="s">
        <v>55</v>
      </c>
      <c r="C466" t="s">
        <v>1</v>
      </c>
      <c r="D466" t="s">
        <v>48</v>
      </c>
      <c r="E466">
        <v>100</v>
      </c>
      <c r="G466" s="1" t="s">
        <v>8</v>
      </c>
      <c r="H466" t="s">
        <v>1</v>
      </c>
      <c r="I466" t="s">
        <v>2</v>
      </c>
      <c r="J466" t="s">
        <v>3</v>
      </c>
      <c r="K466" t="s">
        <v>4</v>
      </c>
      <c r="L466" t="s">
        <v>5</v>
      </c>
      <c r="M466" t="s">
        <v>6</v>
      </c>
      <c r="N466" t="s">
        <v>7</v>
      </c>
      <c r="P466" t="s">
        <v>48</v>
      </c>
      <c r="Q466">
        <f>COUNTIF(H468:H480, "&lt;&gt;0")</f>
        <v>9</v>
      </c>
      <c r="R466">
        <f>COUNTIF(I468:I480, "&lt;&gt;0")</f>
        <v>8</v>
      </c>
      <c r="S466">
        <f t="shared" ref="S466:V466" si="24">COUNTIF(J468:J480, "&lt;&gt;0")</f>
        <v>9</v>
      </c>
      <c r="T466">
        <f t="shared" si="24"/>
        <v>10</v>
      </c>
      <c r="U466">
        <f>COUNTIF(L468:L480, "&lt;&gt;0")</f>
        <v>11</v>
      </c>
      <c r="V466">
        <f t="shared" si="24"/>
        <v>10</v>
      </c>
      <c r="W466" s="18">
        <f>AVERAGE(Table4[[#This Row],[Butter]:[Yoghurt]])</f>
        <v>9.5</v>
      </c>
    </row>
    <row r="467" spans="2:23" x14ac:dyDescent="0.2">
      <c r="B467" s="2" t="s">
        <v>11</v>
      </c>
      <c r="C467" t="s">
        <v>1</v>
      </c>
      <c r="D467" t="s">
        <v>48</v>
      </c>
      <c r="E467">
        <v>95</v>
      </c>
      <c r="G467" s="2" t="s">
        <v>48</v>
      </c>
      <c r="H467">
        <v>663</v>
      </c>
      <c r="I467">
        <v>338</v>
      </c>
      <c r="J467">
        <v>474</v>
      </c>
      <c r="K467">
        <v>832</v>
      </c>
      <c r="L467">
        <v>1581</v>
      </c>
      <c r="M467">
        <v>989</v>
      </c>
      <c r="N467">
        <v>4877</v>
      </c>
      <c r="P467" t="s">
        <v>49</v>
      </c>
      <c r="Q467">
        <f t="shared" ref="Q467:V467" si="25">COUNTIF(H482:H494, "&lt;&gt;0")</f>
        <v>9</v>
      </c>
      <c r="R467">
        <f>COUNTIF(I482:I494, "&lt;&gt;0")</f>
        <v>7</v>
      </c>
      <c r="S467">
        <f t="shared" si="25"/>
        <v>9</v>
      </c>
      <c r="T467">
        <f t="shared" si="25"/>
        <v>8</v>
      </c>
      <c r="U467">
        <f t="shared" si="25"/>
        <v>8</v>
      </c>
      <c r="V467">
        <f t="shared" si="25"/>
        <v>11</v>
      </c>
      <c r="W467" s="18">
        <f>AVERAGE(Table4[[#This Row],[Butter]:[Yoghurt]])</f>
        <v>8.6666666666666661</v>
      </c>
    </row>
    <row r="468" spans="2:23" x14ac:dyDescent="0.2">
      <c r="B468" s="2" t="s">
        <v>14</v>
      </c>
      <c r="C468" t="s">
        <v>1</v>
      </c>
      <c r="D468" t="s">
        <v>48</v>
      </c>
      <c r="E468">
        <v>29</v>
      </c>
      <c r="G468" s="5" t="s">
        <v>55</v>
      </c>
      <c r="H468">
        <v>100</v>
      </c>
      <c r="I468">
        <v>100</v>
      </c>
      <c r="J468">
        <v>100</v>
      </c>
      <c r="K468">
        <v>100</v>
      </c>
      <c r="L468">
        <v>100</v>
      </c>
      <c r="M468">
        <v>100</v>
      </c>
      <c r="N468">
        <v>600</v>
      </c>
      <c r="P468" t="s">
        <v>50</v>
      </c>
      <c r="Q468">
        <f t="shared" ref="Q468:V468" si="26">COUNTIF(H496:H506, "&lt;&gt;0")</f>
        <v>8</v>
      </c>
      <c r="R468">
        <f>COUNTIF(I496:I506, "&lt;&gt;0")</f>
        <v>10</v>
      </c>
      <c r="S468">
        <f t="shared" si="26"/>
        <v>10</v>
      </c>
      <c r="T468">
        <f t="shared" si="26"/>
        <v>9</v>
      </c>
      <c r="U468">
        <f t="shared" si="26"/>
        <v>5</v>
      </c>
      <c r="V468">
        <f t="shared" si="26"/>
        <v>7</v>
      </c>
      <c r="W468" s="18">
        <f>AVERAGE(Table4[[#This Row],[Butter]:[Yoghurt]])</f>
        <v>8.1666666666666661</v>
      </c>
    </row>
    <row r="469" spans="2:23" x14ac:dyDescent="0.2">
      <c r="B469" s="2" t="s">
        <v>17</v>
      </c>
      <c r="C469" t="s">
        <v>1</v>
      </c>
      <c r="D469" t="s">
        <v>48</v>
      </c>
      <c r="E469">
        <v>0</v>
      </c>
      <c r="G469" s="5" t="s">
        <v>11</v>
      </c>
      <c r="H469">
        <v>95</v>
      </c>
      <c r="I469">
        <v>0</v>
      </c>
      <c r="J469">
        <v>0</v>
      </c>
      <c r="K469">
        <v>100</v>
      </c>
      <c r="L469">
        <v>100</v>
      </c>
      <c r="M469">
        <v>100</v>
      </c>
      <c r="N469">
        <v>395</v>
      </c>
      <c r="P469" t="s">
        <v>185</v>
      </c>
      <c r="Q469" s="22">
        <f>SUBTOTAL(101,Table4[Butter])</f>
        <v>8.6666666666666661</v>
      </c>
      <c r="R469" s="22">
        <f>SUBTOTAL(101,Table4[Cheese])</f>
        <v>8.3333333333333339</v>
      </c>
      <c r="S469" s="22">
        <f>SUBTOTAL(101,Table4[Cream])</f>
        <v>9.3333333333333339</v>
      </c>
      <c r="T469" s="22">
        <f>SUBTOTAL(101,Table4[Ice Cream])</f>
        <v>9</v>
      </c>
      <c r="U469" s="22">
        <f>SUBTOTAL(101,Table4[Milk])</f>
        <v>8</v>
      </c>
      <c r="V469" s="22">
        <f>SUBTOTAL(101,Table4[Yoghurt])</f>
        <v>9.3333333333333339</v>
      </c>
      <c r="W469" s="18">
        <f>AVERAGE(Table4[[Butter]:[Yoghurt]])</f>
        <v>8.7777777777777786</v>
      </c>
    </row>
    <row r="470" spans="2:23" x14ac:dyDescent="0.2">
      <c r="B470" s="2" t="s">
        <v>20</v>
      </c>
      <c r="C470" t="s">
        <v>1</v>
      </c>
      <c r="D470" t="s">
        <v>48</v>
      </c>
      <c r="E470">
        <v>100</v>
      </c>
      <c r="G470" s="5" t="s">
        <v>14</v>
      </c>
      <c r="H470">
        <v>29</v>
      </c>
      <c r="I470">
        <v>0</v>
      </c>
      <c r="J470">
        <v>47</v>
      </c>
      <c r="K470">
        <v>80</v>
      </c>
      <c r="L470">
        <v>70</v>
      </c>
      <c r="M470">
        <v>50</v>
      </c>
      <c r="N470">
        <v>276</v>
      </c>
    </row>
    <row r="471" spans="2:23" x14ac:dyDescent="0.2">
      <c r="B471" s="2" t="s">
        <v>23</v>
      </c>
      <c r="C471" t="s">
        <v>1</v>
      </c>
      <c r="D471" t="s">
        <v>48</v>
      </c>
      <c r="E471">
        <v>28</v>
      </c>
      <c r="G471" s="5" t="s">
        <v>17</v>
      </c>
      <c r="H471">
        <v>0</v>
      </c>
      <c r="I471">
        <v>33</v>
      </c>
      <c r="J471">
        <v>12</v>
      </c>
      <c r="K471">
        <v>22</v>
      </c>
      <c r="L471">
        <v>0</v>
      </c>
      <c r="M471">
        <v>0</v>
      </c>
      <c r="N471">
        <v>67</v>
      </c>
      <c r="T471" s="3"/>
      <c r="U471" s="3"/>
      <c r="V471" s="3"/>
    </row>
    <row r="472" spans="2:23" x14ac:dyDescent="0.2">
      <c r="B472" s="2" t="s">
        <v>26</v>
      </c>
      <c r="C472" t="s">
        <v>1</v>
      </c>
      <c r="D472" t="s">
        <v>48</v>
      </c>
      <c r="E472">
        <v>66</v>
      </c>
      <c r="G472" s="5" t="s">
        <v>20</v>
      </c>
      <c r="H472">
        <v>100</v>
      </c>
      <c r="I472">
        <v>37</v>
      </c>
      <c r="J472">
        <v>39</v>
      </c>
      <c r="K472">
        <v>100</v>
      </c>
      <c r="L472">
        <v>300</v>
      </c>
      <c r="M472">
        <v>100</v>
      </c>
      <c r="N472">
        <v>676</v>
      </c>
      <c r="P472" t="s">
        <v>195</v>
      </c>
      <c r="Q472" t="s">
        <v>254</v>
      </c>
      <c r="R472" t="s">
        <v>255</v>
      </c>
      <c r="S472" t="s">
        <v>245</v>
      </c>
      <c r="T472" s="11"/>
      <c r="U472" s="11"/>
      <c r="V472" s="11"/>
    </row>
    <row r="473" spans="2:23" x14ac:dyDescent="0.2">
      <c r="B473" s="2" t="s">
        <v>29</v>
      </c>
      <c r="C473" t="s">
        <v>1</v>
      </c>
      <c r="D473" t="s">
        <v>48</v>
      </c>
      <c r="E473">
        <v>108</v>
      </c>
      <c r="G473" s="5" t="s">
        <v>23</v>
      </c>
      <c r="H473">
        <v>28</v>
      </c>
      <c r="I473">
        <v>20</v>
      </c>
      <c r="J473">
        <v>25</v>
      </c>
      <c r="K473">
        <v>47</v>
      </c>
      <c r="L473">
        <v>94</v>
      </c>
      <c r="M473">
        <v>48</v>
      </c>
      <c r="N473">
        <v>262</v>
      </c>
      <c r="P473" t="s">
        <v>95</v>
      </c>
      <c r="Q473" t="str">
        <f>Dashboard!D7</f>
        <v>Butter</v>
      </c>
      <c r="T473" s="11"/>
      <c r="U473" s="11"/>
      <c r="V473" s="11"/>
    </row>
    <row r="474" spans="2:23" x14ac:dyDescent="0.2">
      <c r="B474" s="123" t="s">
        <v>32</v>
      </c>
      <c r="C474" t="s">
        <v>1</v>
      </c>
      <c r="D474" t="s">
        <v>48</v>
      </c>
      <c r="E474">
        <v>0</v>
      </c>
      <c r="G474" s="5" t="s">
        <v>26</v>
      </c>
      <c r="H474">
        <v>66</v>
      </c>
      <c r="I474">
        <v>24</v>
      </c>
      <c r="J474">
        <v>64</v>
      </c>
      <c r="K474">
        <v>34</v>
      </c>
      <c r="L474">
        <v>0</v>
      </c>
      <c r="M474">
        <v>0</v>
      </c>
      <c r="N474">
        <v>188</v>
      </c>
      <c r="P474" t="s">
        <v>96</v>
      </c>
      <c r="Q474" t="str">
        <f>Dashboard!D9</f>
        <v>South</v>
      </c>
      <c r="T474" s="11"/>
      <c r="U474" s="11"/>
      <c r="V474" s="11"/>
    </row>
    <row r="475" spans="2:23" x14ac:dyDescent="0.2">
      <c r="B475" s="2" t="s">
        <v>35</v>
      </c>
      <c r="C475" t="s">
        <v>1</v>
      </c>
      <c r="D475" t="s">
        <v>48</v>
      </c>
      <c r="E475">
        <v>57</v>
      </c>
      <c r="G475" s="5" t="s">
        <v>29</v>
      </c>
      <c r="H475">
        <v>108</v>
      </c>
      <c r="I475">
        <v>118</v>
      </c>
      <c r="J475">
        <v>100</v>
      </c>
      <c r="K475">
        <v>182</v>
      </c>
      <c r="L475">
        <v>300</v>
      </c>
      <c r="M475">
        <v>300</v>
      </c>
      <c r="N475">
        <v>1108</v>
      </c>
      <c r="P475" t="s">
        <v>189</v>
      </c>
      <c r="Q475" s="70">
        <f>44/Q476</f>
        <v>4.8888888888888893</v>
      </c>
    </row>
    <row r="476" spans="2:23" x14ac:dyDescent="0.2">
      <c r="B476" s="2" t="s">
        <v>38</v>
      </c>
      <c r="C476" t="s">
        <v>1</v>
      </c>
      <c r="D476" t="s">
        <v>48</v>
      </c>
      <c r="E476">
        <v>80</v>
      </c>
      <c r="G476" s="5" t="s">
        <v>32</v>
      </c>
      <c r="H476">
        <v>0</v>
      </c>
      <c r="I476">
        <v>0</v>
      </c>
      <c r="J476">
        <v>0</v>
      </c>
      <c r="K476">
        <v>0</v>
      </c>
      <c r="L476">
        <v>136</v>
      </c>
      <c r="M476">
        <v>0</v>
      </c>
      <c r="N476">
        <v>136</v>
      </c>
      <c r="P476" t="s">
        <v>187</v>
      </c>
      <c r="Q476" s="71">
        <f>VLOOKUP(Q474, Table4[#All], MATCH(Q473, Table4[#Headers], 0), 0)</f>
        <v>9</v>
      </c>
      <c r="T476" s="3"/>
      <c r="U476" s="3"/>
      <c r="V476" s="3"/>
    </row>
    <row r="477" spans="2:23" x14ac:dyDescent="0.2">
      <c r="B477" s="2" t="s">
        <v>41</v>
      </c>
      <c r="C477" t="s">
        <v>1</v>
      </c>
      <c r="D477" t="s">
        <v>48</v>
      </c>
      <c r="E477">
        <v>0</v>
      </c>
      <c r="G477" s="5" t="s">
        <v>35</v>
      </c>
      <c r="H477">
        <v>57</v>
      </c>
      <c r="I477">
        <v>3</v>
      </c>
      <c r="J477">
        <v>34</v>
      </c>
      <c r="K477">
        <v>67</v>
      </c>
      <c r="L477">
        <v>158</v>
      </c>
      <c r="M477">
        <v>56</v>
      </c>
      <c r="N477">
        <v>375</v>
      </c>
      <c r="P477" t="s">
        <v>165</v>
      </c>
      <c r="Q477" s="56">
        <f>HLOOKUP(Q473, Table4[[#All],[Butter]:[Yoghurt]], 5, 0)</f>
        <v>8.6666666666666661</v>
      </c>
      <c r="T477" s="11"/>
      <c r="U477" s="11"/>
      <c r="V477" s="11"/>
    </row>
    <row r="478" spans="2:23" x14ac:dyDescent="0.2">
      <c r="B478" s="2" t="s">
        <v>44</v>
      </c>
      <c r="C478" t="s">
        <v>1</v>
      </c>
      <c r="D478" t="s">
        <v>48</v>
      </c>
      <c r="E478">
        <v>0</v>
      </c>
      <c r="G478" s="5" t="s">
        <v>38</v>
      </c>
      <c r="H478">
        <v>80</v>
      </c>
      <c r="I478">
        <v>3</v>
      </c>
      <c r="J478">
        <v>53</v>
      </c>
      <c r="K478">
        <v>100</v>
      </c>
      <c r="L478">
        <v>231</v>
      </c>
      <c r="M478">
        <v>56</v>
      </c>
      <c r="N478">
        <v>523</v>
      </c>
      <c r="P478" t="s">
        <v>178</v>
      </c>
      <c r="Q478" s="70">
        <f>Q476-Q477</f>
        <v>0.33333333333333393</v>
      </c>
      <c r="R478" s="56">
        <f>ABS(Table5[[#This Row],[Value]])</f>
        <v>0.33333333333333393</v>
      </c>
      <c r="S478" t="str" cm="1">
        <f t="array" ref="S478">_xlfn.IFS(Table5[[#This Row],[Value]]&gt;=1, "Higher than product average", Table5[[#This Row],[Value]]&gt;=0, "Same as product average", Table5[[#This Row],[Value]]&lt;0, "Lower than product average")</f>
        <v>Same as product average</v>
      </c>
      <c r="T478" s="11"/>
      <c r="U478" s="11"/>
      <c r="V478" s="11"/>
    </row>
    <row r="479" spans="2:23" x14ac:dyDescent="0.2">
      <c r="B479" s="2" t="s">
        <v>55</v>
      </c>
      <c r="C479" t="s">
        <v>1</v>
      </c>
      <c r="D479" t="s">
        <v>49</v>
      </c>
      <c r="E479">
        <v>100</v>
      </c>
      <c r="G479" s="5" t="s">
        <v>41</v>
      </c>
      <c r="H479">
        <v>0</v>
      </c>
      <c r="I479">
        <v>0</v>
      </c>
      <c r="J479">
        <v>0</v>
      </c>
      <c r="K479">
        <v>0</v>
      </c>
      <c r="L479">
        <v>76</v>
      </c>
      <c r="M479">
        <v>105</v>
      </c>
      <c r="N479">
        <v>181</v>
      </c>
      <c r="P479" t="s">
        <v>188</v>
      </c>
      <c r="Q479" s="56">
        <f>VLOOKUP(Q474, Table4[], 8, 0)</f>
        <v>8.6666666666666661</v>
      </c>
      <c r="T479" s="11"/>
      <c r="U479" s="11"/>
      <c r="V479" s="11"/>
    </row>
    <row r="480" spans="2:23" x14ac:dyDescent="0.2">
      <c r="B480" s="2" t="s">
        <v>11</v>
      </c>
      <c r="C480" t="s">
        <v>1</v>
      </c>
      <c r="D480" t="s">
        <v>49</v>
      </c>
      <c r="E480">
        <v>68</v>
      </c>
      <c r="G480" s="5" t="s">
        <v>44</v>
      </c>
      <c r="H480">
        <v>0</v>
      </c>
      <c r="I480">
        <v>0</v>
      </c>
      <c r="J480">
        <v>0</v>
      </c>
      <c r="K480">
        <v>0</v>
      </c>
      <c r="L480">
        <v>16</v>
      </c>
      <c r="M480">
        <v>74</v>
      </c>
      <c r="N480">
        <v>90</v>
      </c>
      <c r="P480" t="s">
        <v>178</v>
      </c>
      <c r="Q480" s="70">
        <f>Q476-Q479</f>
        <v>0.33333333333333393</v>
      </c>
      <c r="R480" s="56">
        <f>ABS(Table5[[#This Row],[Value]])</f>
        <v>0.33333333333333393</v>
      </c>
      <c r="S480" t="str" cm="1">
        <f t="array" ref="S480">_xlfn.IFS(Table5[[#This Row],[Value]]&gt;=1, "Higher than regional average", Table5[[#This Row],[Value]]&gt;=0, "Same as regional average", Table5[[#This Row],[Value]]&lt;0, "Lower than regional average")</f>
        <v>Same as regional average</v>
      </c>
    </row>
    <row r="481" spans="2:24" x14ac:dyDescent="0.2">
      <c r="B481" s="2" t="s">
        <v>14</v>
      </c>
      <c r="C481" t="s">
        <v>1</v>
      </c>
      <c r="D481" t="s">
        <v>49</v>
      </c>
      <c r="E481">
        <v>54</v>
      </c>
      <c r="G481" s="2" t="s">
        <v>49</v>
      </c>
      <c r="H481">
        <v>642</v>
      </c>
      <c r="I481">
        <v>305</v>
      </c>
      <c r="J481">
        <v>435</v>
      </c>
      <c r="K481">
        <v>425</v>
      </c>
      <c r="L481">
        <v>804</v>
      </c>
      <c r="M481">
        <v>1023</v>
      </c>
      <c r="N481">
        <v>3634</v>
      </c>
      <c r="P481">
        <v>1</v>
      </c>
      <c r="Q481">
        <f>VLOOKUP($Q$474&amp;Table5[[#This Row],[Column1]], Table65[#All], MATCH($Q$473, Table65[#Headers], 0), 0)</f>
        <v>3</v>
      </c>
    </row>
    <row r="482" spans="2:24" x14ac:dyDescent="0.2">
      <c r="B482" s="2" t="s">
        <v>17</v>
      </c>
      <c r="C482" t="s">
        <v>1</v>
      </c>
      <c r="D482" t="s">
        <v>49</v>
      </c>
      <c r="E482">
        <v>0</v>
      </c>
      <c r="G482" s="5" t="s">
        <v>55</v>
      </c>
      <c r="H482">
        <v>100</v>
      </c>
      <c r="I482">
        <v>100</v>
      </c>
      <c r="J482">
        <v>100</v>
      </c>
      <c r="K482">
        <v>100</v>
      </c>
      <c r="L482">
        <v>100</v>
      </c>
      <c r="M482">
        <v>100</v>
      </c>
      <c r="N482">
        <v>600</v>
      </c>
      <c r="P482">
        <v>2</v>
      </c>
      <c r="Q482">
        <f>VLOOKUP($Q$474&amp;Table5[[#This Row],[Column1]], Table65[#All], MATCH($Q$473, Table65[#Headers], 0), 0)</f>
        <v>3</v>
      </c>
    </row>
    <row r="483" spans="2:24" x14ac:dyDescent="0.2">
      <c r="B483" s="2" t="s">
        <v>20</v>
      </c>
      <c r="C483" t="s">
        <v>1</v>
      </c>
      <c r="D483" t="s">
        <v>49</v>
      </c>
      <c r="E483">
        <v>88</v>
      </c>
      <c r="G483" s="5" t="s">
        <v>11</v>
      </c>
      <c r="H483">
        <v>68</v>
      </c>
      <c r="I483">
        <v>19</v>
      </c>
      <c r="J483">
        <v>54</v>
      </c>
      <c r="K483">
        <v>0</v>
      </c>
      <c r="L483">
        <v>65</v>
      </c>
      <c r="M483">
        <v>100</v>
      </c>
      <c r="N483">
        <v>306</v>
      </c>
      <c r="P483">
        <v>3</v>
      </c>
      <c r="Q483">
        <f>VLOOKUP($Q$474&amp;Table5[[#This Row],[Column1]], Table65[#All], MATCH($Q$473, Table65[#Headers], 0), 0)</f>
        <v>2</v>
      </c>
    </row>
    <row r="484" spans="2:24" x14ac:dyDescent="0.2">
      <c r="B484" s="2" t="s">
        <v>23</v>
      </c>
      <c r="C484" t="s">
        <v>1</v>
      </c>
      <c r="D484" t="s">
        <v>49</v>
      </c>
      <c r="E484">
        <v>40</v>
      </c>
      <c r="G484" s="5" t="s">
        <v>14</v>
      </c>
      <c r="H484">
        <v>54</v>
      </c>
      <c r="I484">
        <v>0</v>
      </c>
      <c r="J484">
        <v>53</v>
      </c>
      <c r="K484">
        <v>48</v>
      </c>
      <c r="L484">
        <v>24</v>
      </c>
      <c r="M484">
        <v>50</v>
      </c>
      <c r="N484">
        <v>229</v>
      </c>
      <c r="P484">
        <v>4</v>
      </c>
      <c r="Q484">
        <f>VLOOKUP($Q$474&amp;Table5[[#This Row],[Column1]], Table65[#All], MATCH($Q$473, Table65[#Headers], 0), 0)</f>
        <v>1</v>
      </c>
    </row>
    <row r="485" spans="2:24" x14ac:dyDescent="0.2">
      <c r="B485" s="2" t="s">
        <v>26</v>
      </c>
      <c r="C485" t="s">
        <v>1</v>
      </c>
      <c r="D485" t="s">
        <v>49</v>
      </c>
      <c r="E485">
        <v>48</v>
      </c>
      <c r="G485" s="5" t="s">
        <v>17</v>
      </c>
      <c r="H485">
        <v>0</v>
      </c>
      <c r="I485">
        <v>0</v>
      </c>
      <c r="J485">
        <v>18</v>
      </c>
      <c r="K485">
        <v>4</v>
      </c>
      <c r="L485">
        <v>0</v>
      </c>
      <c r="M485">
        <v>0</v>
      </c>
      <c r="N485">
        <v>22</v>
      </c>
    </row>
    <row r="486" spans="2:24" x14ac:dyDescent="0.2">
      <c r="B486" s="2" t="s">
        <v>29</v>
      </c>
      <c r="C486" t="s">
        <v>1</v>
      </c>
      <c r="D486" t="s">
        <v>49</v>
      </c>
      <c r="E486">
        <v>99</v>
      </c>
      <c r="G486" s="5" t="s">
        <v>20</v>
      </c>
      <c r="H486">
        <v>88</v>
      </c>
      <c r="I486">
        <v>51</v>
      </c>
      <c r="J486">
        <v>41</v>
      </c>
      <c r="K486">
        <v>100</v>
      </c>
      <c r="L486">
        <v>100</v>
      </c>
      <c r="M486">
        <v>100</v>
      </c>
      <c r="N486">
        <v>480</v>
      </c>
      <c r="P486" t="s">
        <v>269</v>
      </c>
      <c r="Q486" t="s">
        <v>96</v>
      </c>
      <c r="R486" t="s">
        <v>132</v>
      </c>
      <c r="S486" t="s">
        <v>1</v>
      </c>
      <c r="T486" t="s">
        <v>2</v>
      </c>
      <c r="U486" t="s">
        <v>3</v>
      </c>
      <c r="V486" t="s">
        <v>4</v>
      </c>
      <c r="W486" t="s">
        <v>5</v>
      </c>
      <c r="X486" t="s">
        <v>6</v>
      </c>
    </row>
    <row r="487" spans="2:24" x14ac:dyDescent="0.2">
      <c r="B487" s="2" t="s">
        <v>32</v>
      </c>
      <c r="C487" t="s">
        <v>1</v>
      </c>
      <c r="D487" t="s">
        <v>49</v>
      </c>
      <c r="E487">
        <v>0</v>
      </c>
      <c r="G487" s="5" t="s">
        <v>23</v>
      </c>
      <c r="H487">
        <v>40</v>
      </c>
      <c r="I487">
        <v>0</v>
      </c>
      <c r="J487">
        <v>0</v>
      </c>
      <c r="K487">
        <v>0</v>
      </c>
      <c r="L487">
        <v>0</v>
      </c>
      <c r="M487">
        <v>97</v>
      </c>
      <c r="N487">
        <v>137</v>
      </c>
      <c r="P487" s="3" t="str">
        <f>Table65[[#This Row],[Region]]&amp;Table65[[#This Row],[Round]]</f>
        <v>North1</v>
      </c>
      <c r="Q487" t="s">
        <v>48</v>
      </c>
      <c r="R487">
        <v>1</v>
      </c>
      <c r="S487">
        <f t="shared" ref="S487:X487" si="27">COUNTIF(H468:H470, "&lt;&gt;0")</f>
        <v>3</v>
      </c>
      <c r="T487">
        <f t="shared" si="27"/>
        <v>1</v>
      </c>
      <c r="U487">
        <f t="shared" si="27"/>
        <v>2</v>
      </c>
      <c r="V487">
        <f t="shared" si="27"/>
        <v>3</v>
      </c>
      <c r="W487">
        <f t="shared" si="27"/>
        <v>3</v>
      </c>
      <c r="X487">
        <f t="shared" si="27"/>
        <v>3</v>
      </c>
    </row>
    <row r="488" spans="2:24" x14ac:dyDescent="0.2">
      <c r="B488" s="2" t="s">
        <v>35</v>
      </c>
      <c r="C488" t="s">
        <v>1</v>
      </c>
      <c r="D488" t="s">
        <v>49</v>
      </c>
      <c r="E488">
        <v>96</v>
      </c>
      <c r="G488" s="5" t="s">
        <v>26</v>
      </c>
      <c r="H488">
        <v>48</v>
      </c>
      <c r="I488">
        <v>19</v>
      </c>
      <c r="J488">
        <v>52</v>
      </c>
      <c r="K488">
        <v>17</v>
      </c>
      <c r="L488">
        <v>0</v>
      </c>
      <c r="M488">
        <v>0</v>
      </c>
      <c r="N488">
        <v>136</v>
      </c>
      <c r="P488" s="3" t="str">
        <f>Table65[[#This Row],[Region]]&amp;Table65[[#This Row],[Round]]</f>
        <v>North2</v>
      </c>
      <c r="Q488" t="s">
        <v>48</v>
      </c>
      <c r="R488">
        <v>2</v>
      </c>
      <c r="S488">
        <f t="shared" ref="S488:X488" si="28">COUNTIF(H471:H474, "&lt;&gt;0")</f>
        <v>3</v>
      </c>
      <c r="T488">
        <f t="shared" si="28"/>
        <v>4</v>
      </c>
      <c r="U488">
        <f t="shared" si="28"/>
        <v>4</v>
      </c>
      <c r="V488">
        <f t="shared" si="28"/>
        <v>4</v>
      </c>
      <c r="W488">
        <f t="shared" si="28"/>
        <v>2</v>
      </c>
      <c r="X488">
        <f t="shared" si="28"/>
        <v>2</v>
      </c>
    </row>
    <row r="489" spans="2:24" x14ac:dyDescent="0.2">
      <c r="B489" s="2" t="s">
        <v>38</v>
      </c>
      <c r="C489" t="s">
        <v>1</v>
      </c>
      <c r="D489" t="s">
        <v>49</v>
      </c>
      <c r="E489">
        <v>49</v>
      </c>
      <c r="G489" s="5" t="s">
        <v>29</v>
      </c>
      <c r="H489">
        <v>99</v>
      </c>
      <c r="I489">
        <v>77</v>
      </c>
      <c r="J489">
        <v>89</v>
      </c>
      <c r="K489">
        <v>75</v>
      </c>
      <c r="L489">
        <v>262</v>
      </c>
      <c r="M489">
        <v>200</v>
      </c>
      <c r="N489">
        <v>802</v>
      </c>
      <c r="P489" s="3" t="str">
        <f>Table65[[#This Row],[Region]]&amp;Table65[[#This Row],[Round]]</f>
        <v>North3</v>
      </c>
      <c r="Q489" t="s">
        <v>48</v>
      </c>
      <c r="R489">
        <v>3</v>
      </c>
      <c r="S489">
        <f t="shared" ref="S489:X489" si="29">COUNTIF(H475:H477, "&lt;&gt;0")</f>
        <v>2</v>
      </c>
      <c r="T489">
        <f t="shared" si="29"/>
        <v>2</v>
      </c>
      <c r="U489">
        <f t="shared" si="29"/>
        <v>2</v>
      </c>
      <c r="V489">
        <f t="shared" si="29"/>
        <v>2</v>
      </c>
      <c r="W489">
        <f t="shared" si="29"/>
        <v>3</v>
      </c>
      <c r="X489">
        <f t="shared" si="29"/>
        <v>2</v>
      </c>
    </row>
    <row r="490" spans="2:24" x14ac:dyDescent="0.2">
      <c r="B490" s="2" t="s">
        <v>41</v>
      </c>
      <c r="C490" t="s">
        <v>1</v>
      </c>
      <c r="D490" t="s">
        <v>49</v>
      </c>
      <c r="E490">
        <v>0</v>
      </c>
      <c r="G490" s="5" t="s">
        <v>32</v>
      </c>
      <c r="H490">
        <v>0</v>
      </c>
      <c r="I490">
        <v>0</v>
      </c>
      <c r="J490">
        <v>0</v>
      </c>
      <c r="K490">
        <v>0</v>
      </c>
      <c r="L490">
        <v>75</v>
      </c>
      <c r="M490">
        <v>108</v>
      </c>
      <c r="N490">
        <v>183</v>
      </c>
      <c r="P490" s="3" t="str">
        <f>Table65[[#This Row],[Region]]&amp;Table65[[#This Row],[Round]]</f>
        <v>North4</v>
      </c>
      <c r="Q490" t="s">
        <v>48</v>
      </c>
      <c r="R490">
        <v>4</v>
      </c>
      <c r="S490">
        <f t="shared" ref="S490:X490" si="30">COUNTIF(H478:H480, "&lt;&gt;0")</f>
        <v>1</v>
      </c>
      <c r="T490">
        <f t="shared" si="30"/>
        <v>1</v>
      </c>
      <c r="U490">
        <f t="shared" si="30"/>
        <v>1</v>
      </c>
      <c r="V490">
        <f t="shared" si="30"/>
        <v>1</v>
      </c>
      <c r="W490">
        <f t="shared" si="30"/>
        <v>3</v>
      </c>
      <c r="X490">
        <f t="shared" si="30"/>
        <v>3</v>
      </c>
    </row>
    <row r="491" spans="2:24" x14ac:dyDescent="0.2">
      <c r="B491" s="2" t="s">
        <v>44</v>
      </c>
      <c r="C491" t="s">
        <v>1</v>
      </c>
      <c r="D491" t="s">
        <v>49</v>
      </c>
      <c r="E491">
        <v>0</v>
      </c>
      <c r="G491" s="5" t="s">
        <v>35</v>
      </c>
      <c r="H491">
        <v>96</v>
      </c>
      <c r="I491">
        <v>19</v>
      </c>
      <c r="J491">
        <v>13</v>
      </c>
      <c r="K491">
        <v>38</v>
      </c>
      <c r="L491">
        <v>0</v>
      </c>
      <c r="M491">
        <v>30</v>
      </c>
      <c r="N491">
        <v>196</v>
      </c>
      <c r="P491" s="3" t="str">
        <f>Table65[[#This Row],[Region]]&amp;Table65[[#This Row],[Round]]</f>
        <v>South1</v>
      </c>
      <c r="Q491" t="s">
        <v>49</v>
      </c>
      <c r="R491" s="21">
        <v>1</v>
      </c>
      <c r="S491">
        <f t="shared" ref="S491:X491" si="31">COUNTIF(H482:H484, "&lt;&gt;0")</f>
        <v>3</v>
      </c>
      <c r="T491">
        <f t="shared" si="31"/>
        <v>2</v>
      </c>
      <c r="U491">
        <f t="shared" si="31"/>
        <v>3</v>
      </c>
      <c r="V491">
        <f t="shared" si="31"/>
        <v>2</v>
      </c>
      <c r="W491">
        <f t="shared" si="31"/>
        <v>3</v>
      </c>
      <c r="X491">
        <f t="shared" si="31"/>
        <v>3</v>
      </c>
    </row>
    <row r="492" spans="2:24" x14ac:dyDescent="0.2">
      <c r="B492" s="2" t="s">
        <v>55</v>
      </c>
      <c r="C492" t="s">
        <v>1</v>
      </c>
      <c r="D492" t="s">
        <v>50</v>
      </c>
      <c r="E492">
        <v>100</v>
      </c>
      <c r="G492" s="5" t="s">
        <v>38</v>
      </c>
      <c r="H492">
        <v>49</v>
      </c>
      <c r="I492">
        <v>20</v>
      </c>
      <c r="J492">
        <v>15</v>
      </c>
      <c r="K492">
        <v>43</v>
      </c>
      <c r="L492">
        <v>114</v>
      </c>
      <c r="M492">
        <v>171</v>
      </c>
      <c r="N492">
        <v>412</v>
      </c>
      <c r="P492" s="3" t="str">
        <f>Table65[[#This Row],[Region]]&amp;Table65[[#This Row],[Round]]</f>
        <v>South2</v>
      </c>
      <c r="Q492" t="s">
        <v>49</v>
      </c>
      <c r="R492">
        <v>2</v>
      </c>
      <c r="S492">
        <f t="shared" ref="S492:X492" si="32">COUNTIF(H485:H488, "&lt;&gt;0")</f>
        <v>3</v>
      </c>
      <c r="T492">
        <f t="shared" si="32"/>
        <v>2</v>
      </c>
      <c r="U492">
        <f t="shared" si="32"/>
        <v>3</v>
      </c>
      <c r="V492">
        <f t="shared" si="32"/>
        <v>3</v>
      </c>
      <c r="W492">
        <f t="shared" si="32"/>
        <v>1</v>
      </c>
      <c r="X492">
        <f t="shared" si="32"/>
        <v>2</v>
      </c>
    </row>
    <row r="493" spans="2:24" x14ac:dyDescent="0.2">
      <c r="B493" s="2" t="s">
        <v>11</v>
      </c>
      <c r="C493" t="s">
        <v>1</v>
      </c>
      <c r="D493" t="s">
        <v>50</v>
      </c>
      <c r="E493">
        <v>27</v>
      </c>
      <c r="G493" s="5" t="s">
        <v>41</v>
      </c>
      <c r="H493">
        <v>0</v>
      </c>
      <c r="I493">
        <v>0</v>
      </c>
      <c r="J493">
        <v>0</v>
      </c>
      <c r="K493">
        <v>0</v>
      </c>
      <c r="L493">
        <v>64</v>
      </c>
      <c r="M493">
        <v>39</v>
      </c>
      <c r="N493">
        <v>103</v>
      </c>
      <c r="P493" s="3" t="str">
        <f>Table65[[#This Row],[Region]]&amp;Table65[[#This Row],[Round]]</f>
        <v>South3</v>
      </c>
      <c r="Q493" t="s">
        <v>49</v>
      </c>
      <c r="R493">
        <v>3</v>
      </c>
      <c r="S493">
        <f t="shared" ref="S493:X493" si="33">COUNTIF(H489:H491, "&lt;&gt;0")</f>
        <v>2</v>
      </c>
      <c r="T493">
        <f t="shared" si="33"/>
        <v>2</v>
      </c>
      <c r="U493">
        <f t="shared" si="33"/>
        <v>2</v>
      </c>
      <c r="V493">
        <f t="shared" si="33"/>
        <v>2</v>
      </c>
      <c r="W493">
        <f t="shared" si="33"/>
        <v>2</v>
      </c>
      <c r="X493">
        <f t="shared" si="33"/>
        <v>3</v>
      </c>
    </row>
    <row r="494" spans="2:24" x14ac:dyDescent="0.2">
      <c r="B494" s="2" t="s">
        <v>14</v>
      </c>
      <c r="C494" t="s">
        <v>1</v>
      </c>
      <c r="D494" t="s">
        <v>50</v>
      </c>
      <c r="E494">
        <v>27</v>
      </c>
      <c r="G494" s="5" t="s">
        <v>44</v>
      </c>
      <c r="H494">
        <v>0</v>
      </c>
      <c r="I494">
        <v>0</v>
      </c>
      <c r="J494">
        <v>0</v>
      </c>
      <c r="K494">
        <v>0</v>
      </c>
      <c r="L494">
        <v>0</v>
      </c>
      <c r="M494">
        <v>28</v>
      </c>
      <c r="N494">
        <v>28</v>
      </c>
      <c r="P494" s="3" t="str">
        <f>Table65[[#This Row],[Region]]&amp;Table65[[#This Row],[Round]]</f>
        <v>South4</v>
      </c>
      <c r="Q494" t="s">
        <v>49</v>
      </c>
      <c r="R494">
        <v>4</v>
      </c>
      <c r="S494">
        <f t="shared" ref="S494:X494" si="34">COUNTIF(H492:H494, "&lt;&gt;0")</f>
        <v>1</v>
      </c>
      <c r="T494">
        <f t="shared" si="34"/>
        <v>1</v>
      </c>
      <c r="U494">
        <f t="shared" si="34"/>
        <v>1</v>
      </c>
      <c r="V494">
        <f t="shared" si="34"/>
        <v>1</v>
      </c>
      <c r="W494">
        <f t="shared" si="34"/>
        <v>2</v>
      </c>
      <c r="X494">
        <f t="shared" si="34"/>
        <v>3</v>
      </c>
    </row>
    <row r="495" spans="2:24" x14ac:dyDescent="0.2">
      <c r="B495" s="2" t="s">
        <v>17</v>
      </c>
      <c r="C495" t="s">
        <v>1</v>
      </c>
      <c r="D495" t="s">
        <v>50</v>
      </c>
      <c r="E495">
        <v>0</v>
      </c>
      <c r="G495" s="2" t="s">
        <v>50</v>
      </c>
      <c r="H495">
        <v>376</v>
      </c>
      <c r="I495">
        <v>856</v>
      </c>
      <c r="J495">
        <v>431</v>
      </c>
      <c r="K495">
        <v>410</v>
      </c>
      <c r="L495">
        <v>271</v>
      </c>
      <c r="M495">
        <v>576</v>
      </c>
      <c r="N495">
        <v>2920</v>
      </c>
      <c r="P495" s="3" t="str">
        <f>Table65[[#This Row],[Region]]&amp;Table65[[#This Row],[Round]]</f>
        <v>West1</v>
      </c>
      <c r="Q495" t="s">
        <v>50</v>
      </c>
      <c r="R495">
        <v>1</v>
      </c>
      <c r="S495">
        <f t="shared" ref="S495:X495" si="35">COUNTIF(H496:H498, "&lt;&gt;0")</f>
        <v>3</v>
      </c>
      <c r="T495">
        <f t="shared" si="35"/>
        <v>3</v>
      </c>
      <c r="U495">
        <f t="shared" si="35"/>
        <v>3</v>
      </c>
      <c r="V495">
        <f t="shared" si="35"/>
        <v>2</v>
      </c>
      <c r="W495">
        <f t="shared" si="35"/>
        <v>3</v>
      </c>
      <c r="X495">
        <f t="shared" si="35"/>
        <v>1</v>
      </c>
    </row>
    <row r="496" spans="2:24" x14ac:dyDescent="0.2">
      <c r="B496" s="2" t="s">
        <v>20</v>
      </c>
      <c r="C496" t="s">
        <v>1</v>
      </c>
      <c r="D496" t="s">
        <v>50</v>
      </c>
      <c r="E496">
        <v>30</v>
      </c>
      <c r="G496" s="5" t="s">
        <v>55</v>
      </c>
      <c r="H496">
        <v>100</v>
      </c>
      <c r="I496">
        <v>100</v>
      </c>
      <c r="J496">
        <v>100</v>
      </c>
      <c r="K496">
        <v>100</v>
      </c>
      <c r="L496">
        <v>100</v>
      </c>
      <c r="M496">
        <v>100</v>
      </c>
      <c r="N496">
        <v>600</v>
      </c>
      <c r="P496" s="3" t="str">
        <f>Table65[[#This Row],[Region]]&amp;Table65[[#This Row],[Round]]</f>
        <v>West2</v>
      </c>
      <c r="Q496" t="s">
        <v>50</v>
      </c>
      <c r="R496">
        <v>2</v>
      </c>
      <c r="S496">
        <f t="shared" ref="S496:X496" si="36">COUNTIF(H499:H502, "&lt;&gt;0")</f>
        <v>2</v>
      </c>
      <c r="T496">
        <f t="shared" si="36"/>
        <v>4</v>
      </c>
      <c r="U496">
        <f t="shared" si="36"/>
        <v>4</v>
      </c>
      <c r="V496">
        <f t="shared" si="36"/>
        <v>4</v>
      </c>
      <c r="W496">
        <f t="shared" si="36"/>
        <v>1</v>
      </c>
      <c r="X496">
        <f t="shared" si="36"/>
        <v>2</v>
      </c>
    </row>
    <row r="497" spans="2:24" x14ac:dyDescent="0.2">
      <c r="B497" s="2" t="s">
        <v>23</v>
      </c>
      <c r="C497" t="s">
        <v>1</v>
      </c>
      <c r="D497" t="s">
        <v>50</v>
      </c>
      <c r="E497">
        <v>0</v>
      </c>
      <c r="G497" s="5" t="s">
        <v>11</v>
      </c>
      <c r="H497">
        <v>27</v>
      </c>
      <c r="I497">
        <v>81</v>
      </c>
      <c r="J497">
        <v>51</v>
      </c>
      <c r="K497">
        <v>0</v>
      </c>
      <c r="L497">
        <v>35</v>
      </c>
      <c r="M497">
        <v>0</v>
      </c>
      <c r="N497">
        <v>194</v>
      </c>
      <c r="P497" s="3" t="str">
        <f>Table65[[#This Row],[Region]]&amp;Table65[[#This Row],[Round]]</f>
        <v>West3</v>
      </c>
      <c r="Q497" t="s">
        <v>50</v>
      </c>
      <c r="R497">
        <v>3</v>
      </c>
      <c r="S497">
        <f t="shared" ref="S497:X497" si="37">COUNTIF(H503:H505, "&lt;&gt;0")</f>
        <v>2</v>
      </c>
      <c r="T497">
        <f t="shared" si="37"/>
        <v>2</v>
      </c>
      <c r="U497">
        <f t="shared" si="37"/>
        <v>2</v>
      </c>
      <c r="V497">
        <f t="shared" si="37"/>
        <v>2</v>
      </c>
      <c r="W497">
        <f t="shared" si="37"/>
        <v>1</v>
      </c>
      <c r="X497">
        <f t="shared" si="37"/>
        <v>3</v>
      </c>
    </row>
    <row r="498" spans="2:24" x14ac:dyDescent="0.2">
      <c r="B498" s="2" t="s">
        <v>26</v>
      </c>
      <c r="C498" t="s">
        <v>1</v>
      </c>
      <c r="D498" t="s">
        <v>50</v>
      </c>
      <c r="E498">
        <v>47</v>
      </c>
      <c r="G498" s="5" t="s">
        <v>14</v>
      </c>
      <c r="H498">
        <v>27</v>
      </c>
      <c r="I498">
        <v>100</v>
      </c>
      <c r="J498">
        <v>51</v>
      </c>
      <c r="K498">
        <v>36</v>
      </c>
      <c r="L498">
        <v>6</v>
      </c>
      <c r="M498">
        <v>0</v>
      </c>
      <c r="N498">
        <v>220</v>
      </c>
      <c r="P498" s="3" t="str">
        <f>Table65[[#This Row],[Region]]&amp;Table65[[#This Row],[Round]]</f>
        <v>West4</v>
      </c>
      <c r="Q498" t="s">
        <v>50</v>
      </c>
      <c r="R498">
        <v>4</v>
      </c>
      <c r="S498">
        <f t="shared" ref="S498:X498" si="38">COUNTIF(H506, "&lt;&gt;0")</f>
        <v>1</v>
      </c>
      <c r="T498">
        <f t="shared" si="38"/>
        <v>1</v>
      </c>
      <c r="U498">
        <f t="shared" si="38"/>
        <v>1</v>
      </c>
      <c r="V498">
        <f t="shared" si="38"/>
        <v>1</v>
      </c>
      <c r="W498">
        <f t="shared" si="38"/>
        <v>0</v>
      </c>
      <c r="X498">
        <f t="shared" si="38"/>
        <v>1</v>
      </c>
    </row>
    <row r="499" spans="2:24" x14ac:dyDescent="0.2">
      <c r="B499" s="2" t="s">
        <v>29</v>
      </c>
      <c r="C499" t="s">
        <v>1</v>
      </c>
      <c r="D499" t="s">
        <v>50</v>
      </c>
      <c r="E499">
        <v>89</v>
      </c>
      <c r="G499" s="5" t="s">
        <v>17</v>
      </c>
      <c r="H499">
        <v>0</v>
      </c>
      <c r="I499">
        <v>67</v>
      </c>
      <c r="J499">
        <v>14</v>
      </c>
      <c r="K499">
        <v>10</v>
      </c>
      <c r="L499">
        <v>0</v>
      </c>
      <c r="M499">
        <v>0</v>
      </c>
      <c r="N499">
        <v>91</v>
      </c>
    </row>
    <row r="500" spans="2:24" x14ac:dyDescent="0.2">
      <c r="B500" s="2" t="s">
        <v>32</v>
      </c>
      <c r="C500" t="s">
        <v>1</v>
      </c>
      <c r="D500" t="s">
        <v>50</v>
      </c>
      <c r="E500">
        <v>0</v>
      </c>
      <c r="G500" s="5" t="s">
        <v>20</v>
      </c>
      <c r="H500">
        <v>30</v>
      </c>
      <c r="I500">
        <v>79</v>
      </c>
      <c r="J500">
        <v>37</v>
      </c>
      <c r="K500">
        <v>78</v>
      </c>
      <c r="L500">
        <v>100</v>
      </c>
      <c r="M500">
        <v>56</v>
      </c>
      <c r="N500">
        <v>380</v>
      </c>
    </row>
    <row r="501" spans="2:24" x14ac:dyDescent="0.2">
      <c r="B501" s="2" t="s">
        <v>35</v>
      </c>
      <c r="C501" t="s">
        <v>1</v>
      </c>
      <c r="D501" t="s">
        <v>50</v>
      </c>
      <c r="E501">
        <v>42</v>
      </c>
      <c r="G501" s="5" t="s">
        <v>23</v>
      </c>
      <c r="H501">
        <v>0</v>
      </c>
      <c r="I501">
        <v>81</v>
      </c>
      <c r="J501">
        <v>37</v>
      </c>
      <c r="K501">
        <v>39</v>
      </c>
      <c r="L501">
        <v>0</v>
      </c>
      <c r="M501">
        <v>49</v>
      </c>
      <c r="N501">
        <v>206</v>
      </c>
    </row>
    <row r="502" spans="2:24" x14ac:dyDescent="0.2">
      <c r="B502" s="2" t="s">
        <v>38</v>
      </c>
      <c r="C502" t="s">
        <v>1</v>
      </c>
      <c r="D502" t="s">
        <v>50</v>
      </c>
      <c r="E502">
        <v>14</v>
      </c>
      <c r="G502" s="5" t="s">
        <v>26</v>
      </c>
      <c r="H502">
        <v>47</v>
      </c>
      <c r="I502">
        <v>38</v>
      </c>
      <c r="J502">
        <v>60</v>
      </c>
      <c r="K502">
        <v>17</v>
      </c>
      <c r="L502">
        <v>0</v>
      </c>
      <c r="M502">
        <v>0</v>
      </c>
      <c r="N502">
        <v>162</v>
      </c>
    </row>
    <row r="503" spans="2:24" x14ac:dyDescent="0.2">
      <c r="B503" s="2" t="s">
        <v>55</v>
      </c>
      <c r="C503" t="s">
        <v>2</v>
      </c>
      <c r="D503" t="s">
        <v>48</v>
      </c>
      <c r="E503">
        <v>100</v>
      </c>
      <c r="G503" s="5" t="s">
        <v>29</v>
      </c>
      <c r="H503">
        <v>89</v>
      </c>
      <c r="I503">
        <v>172</v>
      </c>
      <c r="J503">
        <v>75</v>
      </c>
      <c r="K503">
        <v>75</v>
      </c>
      <c r="L503">
        <v>30</v>
      </c>
      <c r="M503">
        <v>200</v>
      </c>
      <c r="N503">
        <v>641</v>
      </c>
    </row>
    <row r="504" spans="2:24" x14ac:dyDescent="0.2">
      <c r="B504" s="2" t="s">
        <v>11</v>
      </c>
      <c r="C504" t="s">
        <v>2</v>
      </c>
      <c r="D504" t="s">
        <v>48</v>
      </c>
      <c r="E504">
        <v>0</v>
      </c>
      <c r="G504" s="5" t="s">
        <v>32</v>
      </c>
      <c r="H504">
        <v>0</v>
      </c>
      <c r="I504">
        <v>0</v>
      </c>
      <c r="J504">
        <v>0</v>
      </c>
      <c r="K504">
        <v>0</v>
      </c>
      <c r="L504">
        <v>0</v>
      </c>
      <c r="M504">
        <v>50</v>
      </c>
      <c r="N504">
        <v>50</v>
      </c>
    </row>
    <row r="505" spans="2:24" x14ac:dyDescent="0.2">
      <c r="B505" s="2" t="s">
        <v>14</v>
      </c>
      <c r="C505" t="s">
        <v>2</v>
      </c>
      <c r="D505" t="s">
        <v>48</v>
      </c>
      <c r="E505">
        <v>0</v>
      </c>
      <c r="G505" s="5" t="s">
        <v>35</v>
      </c>
      <c r="H505">
        <v>42</v>
      </c>
      <c r="I505">
        <v>65</v>
      </c>
      <c r="J505">
        <v>3</v>
      </c>
      <c r="K505">
        <v>5</v>
      </c>
      <c r="L505">
        <v>0</v>
      </c>
      <c r="M505">
        <v>59</v>
      </c>
      <c r="N505">
        <v>174</v>
      </c>
    </row>
    <row r="506" spans="2:24" x14ac:dyDescent="0.2">
      <c r="B506" s="2" t="s">
        <v>17</v>
      </c>
      <c r="C506" t="s">
        <v>2</v>
      </c>
      <c r="D506" t="s">
        <v>48</v>
      </c>
      <c r="E506">
        <v>33</v>
      </c>
      <c r="G506" s="5" t="s">
        <v>38</v>
      </c>
      <c r="H506">
        <v>14</v>
      </c>
      <c r="I506">
        <v>73</v>
      </c>
      <c r="J506">
        <v>3</v>
      </c>
      <c r="K506">
        <v>50</v>
      </c>
      <c r="L506">
        <v>0</v>
      </c>
      <c r="M506">
        <v>62</v>
      </c>
      <c r="N506">
        <v>202</v>
      </c>
    </row>
    <row r="507" spans="2:24" x14ac:dyDescent="0.2">
      <c r="B507" s="2" t="s">
        <v>20</v>
      </c>
      <c r="C507" t="s">
        <v>2</v>
      </c>
      <c r="D507" t="s">
        <v>48</v>
      </c>
      <c r="E507">
        <v>37</v>
      </c>
      <c r="G507" s="2" t="s">
        <v>7</v>
      </c>
      <c r="H507">
        <v>1681</v>
      </c>
      <c r="I507">
        <v>1499</v>
      </c>
      <c r="J507">
        <v>1340</v>
      </c>
      <c r="K507">
        <v>1667</v>
      </c>
      <c r="L507">
        <v>2656</v>
      </c>
      <c r="M507">
        <v>2588</v>
      </c>
      <c r="N507">
        <v>11431</v>
      </c>
    </row>
    <row r="508" spans="2:24" x14ac:dyDescent="0.2">
      <c r="B508" s="2" t="s">
        <v>23</v>
      </c>
      <c r="C508" t="s">
        <v>2</v>
      </c>
      <c r="D508" t="s">
        <v>48</v>
      </c>
      <c r="E508">
        <v>20</v>
      </c>
    </row>
    <row r="509" spans="2:24" x14ac:dyDescent="0.2">
      <c r="B509" s="2" t="s">
        <v>26</v>
      </c>
      <c r="C509" t="s">
        <v>2</v>
      </c>
      <c r="D509" t="s">
        <v>48</v>
      </c>
      <c r="E509">
        <v>24</v>
      </c>
    </row>
    <row r="510" spans="2:24" x14ac:dyDescent="0.2">
      <c r="B510" s="2" t="s">
        <v>29</v>
      </c>
      <c r="C510" t="s">
        <v>2</v>
      </c>
      <c r="D510" t="s">
        <v>48</v>
      </c>
      <c r="E510">
        <v>118</v>
      </c>
    </row>
    <row r="511" spans="2:24" x14ac:dyDescent="0.2">
      <c r="B511" s="2" t="s">
        <v>32</v>
      </c>
      <c r="C511" t="s">
        <v>2</v>
      </c>
      <c r="D511" t="s">
        <v>48</v>
      </c>
      <c r="E511">
        <v>0</v>
      </c>
    </row>
    <row r="512" spans="2:24" x14ac:dyDescent="0.2">
      <c r="B512" s="2" t="s">
        <v>35</v>
      </c>
      <c r="C512" t="s">
        <v>2</v>
      </c>
      <c r="D512" t="s">
        <v>48</v>
      </c>
      <c r="E512">
        <v>3</v>
      </c>
    </row>
    <row r="513" spans="2:5" x14ac:dyDescent="0.2">
      <c r="B513" s="2" t="s">
        <v>38</v>
      </c>
      <c r="C513" t="s">
        <v>2</v>
      </c>
      <c r="D513" t="s">
        <v>48</v>
      </c>
      <c r="E513">
        <v>3</v>
      </c>
    </row>
    <row r="514" spans="2:5" x14ac:dyDescent="0.2">
      <c r="B514" s="2" t="s">
        <v>41</v>
      </c>
      <c r="C514" t="s">
        <v>2</v>
      </c>
      <c r="D514" t="s">
        <v>48</v>
      </c>
      <c r="E514">
        <v>0</v>
      </c>
    </row>
    <row r="515" spans="2:5" x14ac:dyDescent="0.2">
      <c r="B515" s="2" t="s">
        <v>44</v>
      </c>
      <c r="C515" t="s">
        <v>2</v>
      </c>
      <c r="D515" t="s">
        <v>48</v>
      </c>
      <c r="E515">
        <v>0</v>
      </c>
    </row>
    <row r="516" spans="2:5" x14ac:dyDescent="0.2">
      <c r="B516" s="2" t="s">
        <v>55</v>
      </c>
      <c r="C516" t="s">
        <v>2</v>
      </c>
      <c r="D516" t="s">
        <v>49</v>
      </c>
      <c r="E516">
        <v>100</v>
      </c>
    </row>
    <row r="517" spans="2:5" x14ac:dyDescent="0.2">
      <c r="B517" s="2" t="s">
        <v>11</v>
      </c>
      <c r="C517" t="s">
        <v>2</v>
      </c>
      <c r="D517" t="s">
        <v>49</v>
      </c>
      <c r="E517">
        <v>19</v>
      </c>
    </row>
    <row r="518" spans="2:5" x14ac:dyDescent="0.2">
      <c r="B518" s="2" t="s">
        <v>14</v>
      </c>
      <c r="C518" t="s">
        <v>2</v>
      </c>
      <c r="D518" t="s">
        <v>49</v>
      </c>
      <c r="E518">
        <v>0</v>
      </c>
    </row>
    <row r="519" spans="2:5" x14ac:dyDescent="0.2">
      <c r="B519" s="2" t="s">
        <v>17</v>
      </c>
      <c r="C519" t="s">
        <v>2</v>
      </c>
      <c r="D519" t="s">
        <v>49</v>
      </c>
      <c r="E519">
        <v>0</v>
      </c>
    </row>
    <row r="520" spans="2:5" x14ac:dyDescent="0.2">
      <c r="B520" s="2" t="s">
        <v>20</v>
      </c>
      <c r="C520" t="s">
        <v>2</v>
      </c>
      <c r="D520" t="s">
        <v>49</v>
      </c>
      <c r="E520">
        <v>51</v>
      </c>
    </row>
    <row r="521" spans="2:5" x14ac:dyDescent="0.2">
      <c r="B521" s="2" t="s">
        <v>23</v>
      </c>
      <c r="C521" t="s">
        <v>2</v>
      </c>
      <c r="D521" t="s">
        <v>49</v>
      </c>
      <c r="E521">
        <v>0</v>
      </c>
    </row>
    <row r="522" spans="2:5" x14ac:dyDescent="0.2">
      <c r="B522" s="2" t="s">
        <v>26</v>
      </c>
      <c r="C522" t="s">
        <v>2</v>
      </c>
      <c r="D522" t="s">
        <v>49</v>
      </c>
      <c r="E522">
        <v>19</v>
      </c>
    </row>
    <row r="523" spans="2:5" x14ac:dyDescent="0.2">
      <c r="B523" s="2" t="s">
        <v>29</v>
      </c>
      <c r="C523" t="s">
        <v>2</v>
      </c>
      <c r="D523" t="s">
        <v>49</v>
      </c>
      <c r="E523">
        <v>77</v>
      </c>
    </row>
    <row r="524" spans="2:5" x14ac:dyDescent="0.2">
      <c r="B524" s="2" t="s">
        <v>32</v>
      </c>
      <c r="C524" t="s">
        <v>2</v>
      </c>
      <c r="D524" t="s">
        <v>49</v>
      </c>
      <c r="E524">
        <v>0</v>
      </c>
    </row>
    <row r="525" spans="2:5" x14ac:dyDescent="0.2">
      <c r="B525" s="2" t="s">
        <v>35</v>
      </c>
      <c r="C525" t="s">
        <v>2</v>
      </c>
      <c r="D525" t="s">
        <v>49</v>
      </c>
      <c r="E525">
        <v>19</v>
      </c>
    </row>
    <row r="526" spans="2:5" x14ac:dyDescent="0.2">
      <c r="B526" s="2" t="s">
        <v>38</v>
      </c>
      <c r="C526" t="s">
        <v>2</v>
      </c>
      <c r="D526" t="s">
        <v>49</v>
      </c>
      <c r="E526">
        <v>20</v>
      </c>
    </row>
    <row r="527" spans="2:5" x14ac:dyDescent="0.2">
      <c r="B527" s="2" t="s">
        <v>41</v>
      </c>
      <c r="C527" t="s">
        <v>2</v>
      </c>
      <c r="D527" t="s">
        <v>49</v>
      </c>
      <c r="E527">
        <v>0</v>
      </c>
    </row>
    <row r="528" spans="2:5" x14ac:dyDescent="0.2">
      <c r="B528" s="2" t="s">
        <v>44</v>
      </c>
      <c r="C528" t="s">
        <v>2</v>
      </c>
      <c r="D528" t="s">
        <v>49</v>
      </c>
      <c r="E528">
        <v>0</v>
      </c>
    </row>
    <row r="529" spans="2:5" x14ac:dyDescent="0.2">
      <c r="B529" s="2" t="s">
        <v>55</v>
      </c>
      <c r="C529" t="s">
        <v>2</v>
      </c>
      <c r="D529" t="s">
        <v>50</v>
      </c>
      <c r="E529">
        <v>100</v>
      </c>
    </row>
    <row r="530" spans="2:5" x14ac:dyDescent="0.2">
      <c r="B530" s="2" t="s">
        <v>11</v>
      </c>
      <c r="C530" t="s">
        <v>2</v>
      </c>
      <c r="D530" t="s">
        <v>50</v>
      </c>
      <c r="E530">
        <v>81</v>
      </c>
    </row>
    <row r="531" spans="2:5" x14ac:dyDescent="0.2">
      <c r="B531" s="2" t="s">
        <v>14</v>
      </c>
      <c r="C531" t="s">
        <v>2</v>
      </c>
      <c r="D531" t="s">
        <v>50</v>
      </c>
      <c r="E531">
        <v>100</v>
      </c>
    </row>
    <row r="532" spans="2:5" x14ac:dyDescent="0.2">
      <c r="B532" s="2" t="s">
        <v>17</v>
      </c>
      <c r="C532" t="s">
        <v>2</v>
      </c>
      <c r="D532" t="s">
        <v>50</v>
      </c>
      <c r="E532">
        <v>67</v>
      </c>
    </row>
    <row r="533" spans="2:5" x14ac:dyDescent="0.2">
      <c r="B533" s="2" t="s">
        <v>20</v>
      </c>
      <c r="C533" t="s">
        <v>2</v>
      </c>
      <c r="D533" t="s">
        <v>50</v>
      </c>
      <c r="E533">
        <v>79</v>
      </c>
    </row>
    <row r="534" spans="2:5" x14ac:dyDescent="0.2">
      <c r="B534" s="2" t="s">
        <v>23</v>
      </c>
      <c r="C534" t="s">
        <v>2</v>
      </c>
      <c r="D534" t="s">
        <v>50</v>
      </c>
      <c r="E534">
        <v>81</v>
      </c>
    </row>
    <row r="535" spans="2:5" x14ac:dyDescent="0.2">
      <c r="B535" s="2" t="s">
        <v>26</v>
      </c>
      <c r="C535" t="s">
        <v>2</v>
      </c>
      <c r="D535" t="s">
        <v>50</v>
      </c>
      <c r="E535">
        <v>38</v>
      </c>
    </row>
    <row r="536" spans="2:5" x14ac:dyDescent="0.2">
      <c r="B536" s="2" t="s">
        <v>29</v>
      </c>
      <c r="C536" t="s">
        <v>2</v>
      </c>
      <c r="D536" t="s">
        <v>50</v>
      </c>
      <c r="E536">
        <v>172</v>
      </c>
    </row>
    <row r="537" spans="2:5" x14ac:dyDescent="0.2">
      <c r="B537" s="2" t="s">
        <v>32</v>
      </c>
      <c r="C537" t="s">
        <v>2</v>
      </c>
      <c r="D537" t="s">
        <v>50</v>
      </c>
      <c r="E537">
        <v>0</v>
      </c>
    </row>
    <row r="538" spans="2:5" x14ac:dyDescent="0.2">
      <c r="B538" s="2" t="s">
        <v>35</v>
      </c>
      <c r="C538" t="s">
        <v>2</v>
      </c>
      <c r="D538" t="s">
        <v>50</v>
      </c>
      <c r="E538">
        <v>65</v>
      </c>
    </row>
    <row r="539" spans="2:5" x14ac:dyDescent="0.2">
      <c r="B539" s="2" t="s">
        <v>38</v>
      </c>
      <c r="C539" t="s">
        <v>2</v>
      </c>
      <c r="D539" t="s">
        <v>50</v>
      </c>
      <c r="E539">
        <v>73</v>
      </c>
    </row>
    <row r="540" spans="2:5" x14ac:dyDescent="0.2">
      <c r="B540" s="2" t="s">
        <v>55</v>
      </c>
      <c r="C540" t="s">
        <v>3</v>
      </c>
      <c r="D540" t="s">
        <v>48</v>
      </c>
      <c r="E540">
        <v>100</v>
      </c>
    </row>
    <row r="541" spans="2:5" x14ac:dyDescent="0.2">
      <c r="B541" s="2" t="s">
        <v>11</v>
      </c>
      <c r="C541" t="s">
        <v>3</v>
      </c>
      <c r="D541" t="s">
        <v>48</v>
      </c>
      <c r="E541">
        <v>0</v>
      </c>
    </row>
    <row r="542" spans="2:5" x14ac:dyDescent="0.2">
      <c r="B542" s="2" t="s">
        <v>14</v>
      </c>
      <c r="C542" t="s">
        <v>3</v>
      </c>
      <c r="D542" t="s">
        <v>48</v>
      </c>
      <c r="E542">
        <v>47</v>
      </c>
    </row>
    <row r="543" spans="2:5" x14ac:dyDescent="0.2">
      <c r="B543" s="2" t="s">
        <v>17</v>
      </c>
      <c r="C543" t="s">
        <v>3</v>
      </c>
      <c r="D543" t="s">
        <v>48</v>
      </c>
      <c r="E543">
        <v>12</v>
      </c>
    </row>
    <row r="544" spans="2:5" x14ac:dyDescent="0.2">
      <c r="B544" s="2" t="s">
        <v>20</v>
      </c>
      <c r="C544" t="s">
        <v>3</v>
      </c>
      <c r="D544" t="s">
        <v>48</v>
      </c>
      <c r="E544">
        <v>39</v>
      </c>
    </row>
    <row r="545" spans="2:5" x14ac:dyDescent="0.2">
      <c r="B545" s="2" t="s">
        <v>23</v>
      </c>
      <c r="C545" t="s">
        <v>3</v>
      </c>
      <c r="D545" t="s">
        <v>48</v>
      </c>
      <c r="E545">
        <v>25</v>
      </c>
    </row>
    <row r="546" spans="2:5" x14ac:dyDescent="0.2">
      <c r="B546" s="2" t="s">
        <v>26</v>
      </c>
      <c r="C546" t="s">
        <v>3</v>
      </c>
      <c r="D546" t="s">
        <v>48</v>
      </c>
      <c r="E546">
        <v>64</v>
      </c>
    </row>
    <row r="547" spans="2:5" x14ac:dyDescent="0.2">
      <c r="B547" s="2" t="s">
        <v>29</v>
      </c>
      <c r="C547" t="s">
        <v>3</v>
      </c>
      <c r="D547" t="s">
        <v>48</v>
      </c>
      <c r="E547">
        <v>100</v>
      </c>
    </row>
    <row r="548" spans="2:5" x14ac:dyDescent="0.2">
      <c r="B548" s="2" t="s">
        <v>32</v>
      </c>
      <c r="C548" t="s">
        <v>3</v>
      </c>
      <c r="D548" t="s">
        <v>48</v>
      </c>
      <c r="E548">
        <v>0</v>
      </c>
    </row>
    <row r="549" spans="2:5" x14ac:dyDescent="0.2">
      <c r="B549" s="2" t="s">
        <v>35</v>
      </c>
      <c r="C549" t="s">
        <v>3</v>
      </c>
      <c r="D549" t="s">
        <v>48</v>
      </c>
      <c r="E549">
        <v>34</v>
      </c>
    </row>
    <row r="550" spans="2:5" x14ac:dyDescent="0.2">
      <c r="B550" s="2" t="s">
        <v>38</v>
      </c>
      <c r="C550" t="s">
        <v>3</v>
      </c>
      <c r="D550" t="s">
        <v>48</v>
      </c>
      <c r="E550">
        <v>53</v>
      </c>
    </row>
    <row r="551" spans="2:5" x14ac:dyDescent="0.2">
      <c r="B551" s="2" t="s">
        <v>41</v>
      </c>
      <c r="C551" t="s">
        <v>3</v>
      </c>
      <c r="D551" t="s">
        <v>48</v>
      </c>
      <c r="E551">
        <v>0</v>
      </c>
    </row>
    <row r="552" spans="2:5" x14ac:dyDescent="0.2">
      <c r="B552" s="2" t="s">
        <v>44</v>
      </c>
      <c r="C552" t="s">
        <v>3</v>
      </c>
      <c r="D552" t="s">
        <v>48</v>
      </c>
      <c r="E552">
        <v>0</v>
      </c>
    </row>
    <row r="553" spans="2:5" x14ac:dyDescent="0.2">
      <c r="B553" s="2" t="s">
        <v>55</v>
      </c>
      <c r="C553" t="s">
        <v>3</v>
      </c>
      <c r="D553" t="s">
        <v>49</v>
      </c>
      <c r="E553">
        <v>100</v>
      </c>
    </row>
    <row r="554" spans="2:5" x14ac:dyDescent="0.2">
      <c r="B554" s="2" t="s">
        <v>11</v>
      </c>
      <c r="C554" t="s">
        <v>3</v>
      </c>
      <c r="D554" t="s">
        <v>49</v>
      </c>
      <c r="E554">
        <v>54</v>
      </c>
    </row>
    <row r="555" spans="2:5" x14ac:dyDescent="0.2">
      <c r="B555" s="2" t="s">
        <v>14</v>
      </c>
      <c r="C555" t="s">
        <v>3</v>
      </c>
      <c r="D555" t="s">
        <v>49</v>
      </c>
      <c r="E555">
        <v>53</v>
      </c>
    </row>
    <row r="556" spans="2:5" x14ac:dyDescent="0.2">
      <c r="B556" s="2" t="s">
        <v>17</v>
      </c>
      <c r="C556" t="s">
        <v>3</v>
      </c>
      <c r="D556" t="s">
        <v>49</v>
      </c>
      <c r="E556">
        <v>18</v>
      </c>
    </row>
    <row r="557" spans="2:5" x14ac:dyDescent="0.2">
      <c r="B557" s="2" t="s">
        <v>20</v>
      </c>
      <c r="C557" t="s">
        <v>3</v>
      </c>
      <c r="D557" t="s">
        <v>49</v>
      </c>
      <c r="E557">
        <v>41</v>
      </c>
    </row>
    <row r="558" spans="2:5" x14ac:dyDescent="0.2">
      <c r="B558" s="2" t="s">
        <v>23</v>
      </c>
      <c r="C558" t="s">
        <v>3</v>
      </c>
      <c r="D558" t="s">
        <v>49</v>
      </c>
      <c r="E558">
        <v>0</v>
      </c>
    </row>
    <row r="559" spans="2:5" x14ac:dyDescent="0.2">
      <c r="B559" s="2" t="s">
        <v>26</v>
      </c>
      <c r="C559" t="s">
        <v>3</v>
      </c>
      <c r="D559" t="s">
        <v>49</v>
      </c>
      <c r="E559">
        <v>52</v>
      </c>
    </row>
    <row r="560" spans="2:5" x14ac:dyDescent="0.2">
      <c r="B560" s="2" t="s">
        <v>29</v>
      </c>
      <c r="C560" t="s">
        <v>3</v>
      </c>
      <c r="D560" t="s">
        <v>49</v>
      </c>
      <c r="E560">
        <v>89</v>
      </c>
    </row>
    <row r="561" spans="2:5" x14ac:dyDescent="0.2">
      <c r="B561" s="2" t="s">
        <v>32</v>
      </c>
      <c r="C561" t="s">
        <v>3</v>
      </c>
      <c r="D561" t="s">
        <v>49</v>
      </c>
      <c r="E561">
        <v>0</v>
      </c>
    </row>
    <row r="562" spans="2:5" x14ac:dyDescent="0.2">
      <c r="B562" s="2" t="s">
        <v>35</v>
      </c>
      <c r="C562" t="s">
        <v>3</v>
      </c>
      <c r="D562" t="s">
        <v>49</v>
      </c>
      <c r="E562">
        <v>13</v>
      </c>
    </row>
    <row r="563" spans="2:5" x14ac:dyDescent="0.2">
      <c r="B563" s="2" t="s">
        <v>38</v>
      </c>
      <c r="C563" t="s">
        <v>3</v>
      </c>
      <c r="D563" t="s">
        <v>49</v>
      </c>
      <c r="E563">
        <v>15</v>
      </c>
    </row>
    <row r="564" spans="2:5" x14ac:dyDescent="0.2">
      <c r="B564" s="2" t="s">
        <v>41</v>
      </c>
      <c r="C564" t="s">
        <v>3</v>
      </c>
      <c r="D564" t="s">
        <v>49</v>
      </c>
      <c r="E564">
        <v>0</v>
      </c>
    </row>
    <row r="565" spans="2:5" x14ac:dyDescent="0.2">
      <c r="B565" s="2" t="s">
        <v>44</v>
      </c>
      <c r="C565" t="s">
        <v>3</v>
      </c>
      <c r="D565" t="s">
        <v>49</v>
      </c>
      <c r="E565">
        <v>0</v>
      </c>
    </row>
    <row r="566" spans="2:5" x14ac:dyDescent="0.2">
      <c r="B566" s="2" t="s">
        <v>55</v>
      </c>
      <c r="C566" t="s">
        <v>3</v>
      </c>
      <c r="D566" t="s">
        <v>50</v>
      </c>
      <c r="E566">
        <v>100</v>
      </c>
    </row>
    <row r="567" spans="2:5" x14ac:dyDescent="0.2">
      <c r="B567" s="2" t="s">
        <v>11</v>
      </c>
      <c r="C567" t="s">
        <v>3</v>
      </c>
      <c r="D567" t="s">
        <v>50</v>
      </c>
      <c r="E567">
        <v>51</v>
      </c>
    </row>
    <row r="568" spans="2:5" x14ac:dyDescent="0.2">
      <c r="B568" s="2" t="s">
        <v>14</v>
      </c>
      <c r="C568" t="s">
        <v>3</v>
      </c>
      <c r="D568" t="s">
        <v>50</v>
      </c>
      <c r="E568">
        <v>51</v>
      </c>
    </row>
    <row r="569" spans="2:5" x14ac:dyDescent="0.2">
      <c r="B569" s="2" t="s">
        <v>17</v>
      </c>
      <c r="C569" t="s">
        <v>3</v>
      </c>
      <c r="D569" t="s">
        <v>50</v>
      </c>
      <c r="E569">
        <v>14</v>
      </c>
    </row>
    <row r="570" spans="2:5" x14ac:dyDescent="0.2">
      <c r="B570" s="2" t="s">
        <v>20</v>
      </c>
      <c r="C570" t="s">
        <v>3</v>
      </c>
      <c r="D570" t="s">
        <v>50</v>
      </c>
      <c r="E570">
        <v>37</v>
      </c>
    </row>
    <row r="571" spans="2:5" x14ac:dyDescent="0.2">
      <c r="B571" s="2" t="s">
        <v>23</v>
      </c>
      <c r="C571" t="s">
        <v>3</v>
      </c>
      <c r="D571" t="s">
        <v>50</v>
      </c>
      <c r="E571">
        <v>37</v>
      </c>
    </row>
    <row r="572" spans="2:5" x14ac:dyDescent="0.2">
      <c r="B572" s="2" t="s">
        <v>26</v>
      </c>
      <c r="C572" t="s">
        <v>3</v>
      </c>
      <c r="D572" t="s">
        <v>50</v>
      </c>
      <c r="E572">
        <v>60</v>
      </c>
    </row>
    <row r="573" spans="2:5" x14ac:dyDescent="0.2">
      <c r="B573" s="2" t="s">
        <v>29</v>
      </c>
      <c r="C573" t="s">
        <v>3</v>
      </c>
      <c r="D573" t="s">
        <v>50</v>
      </c>
      <c r="E573">
        <v>75</v>
      </c>
    </row>
    <row r="574" spans="2:5" x14ac:dyDescent="0.2">
      <c r="B574" s="2" t="s">
        <v>32</v>
      </c>
      <c r="C574" t="s">
        <v>3</v>
      </c>
      <c r="D574" t="s">
        <v>50</v>
      </c>
      <c r="E574">
        <v>0</v>
      </c>
    </row>
    <row r="575" spans="2:5" x14ac:dyDescent="0.2">
      <c r="B575" s="2" t="s">
        <v>35</v>
      </c>
      <c r="C575" t="s">
        <v>3</v>
      </c>
      <c r="D575" t="s">
        <v>50</v>
      </c>
      <c r="E575">
        <v>3</v>
      </c>
    </row>
    <row r="576" spans="2:5" x14ac:dyDescent="0.2">
      <c r="B576" s="2" t="s">
        <v>38</v>
      </c>
      <c r="C576" t="s">
        <v>3</v>
      </c>
      <c r="D576" t="s">
        <v>50</v>
      </c>
      <c r="E576">
        <v>3</v>
      </c>
    </row>
    <row r="577" spans="2:5" x14ac:dyDescent="0.2">
      <c r="B577" s="2" t="s">
        <v>55</v>
      </c>
      <c r="C577" t="s">
        <v>4</v>
      </c>
      <c r="D577" t="s">
        <v>48</v>
      </c>
      <c r="E577">
        <v>100</v>
      </c>
    </row>
    <row r="578" spans="2:5" x14ac:dyDescent="0.2">
      <c r="B578" s="2" t="s">
        <v>11</v>
      </c>
      <c r="C578" t="s">
        <v>4</v>
      </c>
      <c r="D578" t="s">
        <v>48</v>
      </c>
      <c r="E578">
        <v>100</v>
      </c>
    </row>
    <row r="579" spans="2:5" x14ac:dyDescent="0.2">
      <c r="B579" s="2" t="s">
        <v>14</v>
      </c>
      <c r="C579" t="s">
        <v>4</v>
      </c>
      <c r="D579" t="s">
        <v>48</v>
      </c>
      <c r="E579">
        <v>80</v>
      </c>
    </row>
    <row r="580" spans="2:5" x14ac:dyDescent="0.2">
      <c r="B580" s="2" t="s">
        <v>17</v>
      </c>
      <c r="C580" t="s">
        <v>4</v>
      </c>
      <c r="D580" t="s">
        <v>48</v>
      </c>
      <c r="E580">
        <v>22</v>
      </c>
    </row>
    <row r="581" spans="2:5" x14ac:dyDescent="0.2">
      <c r="B581" s="2" t="s">
        <v>20</v>
      </c>
      <c r="C581" t="s">
        <v>4</v>
      </c>
      <c r="D581" t="s">
        <v>48</v>
      </c>
      <c r="E581">
        <v>100</v>
      </c>
    </row>
    <row r="582" spans="2:5" x14ac:dyDescent="0.2">
      <c r="B582" s="2" t="s">
        <v>23</v>
      </c>
      <c r="C582" t="s">
        <v>4</v>
      </c>
      <c r="D582" t="s">
        <v>48</v>
      </c>
      <c r="E582">
        <v>47</v>
      </c>
    </row>
    <row r="583" spans="2:5" x14ac:dyDescent="0.2">
      <c r="B583" s="2" t="s">
        <v>26</v>
      </c>
      <c r="C583" t="s">
        <v>4</v>
      </c>
      <c r="D583" t="s">
        <v>48</v>
      </c>
      <c r="E583">
        <v>34</v>
      </c>
    </row>
    <row r="584" spans="2:5" x14ac:dyDescent="0.2">
      <c r="B584" s="2" t="s">
        <v>29</v>
      </c>
      <c r="C584" t="s">
        <v>4</v>
      </c>
      <c r="D584" t="s">
        <v>48</v>
      </c>
      <c r="E584">
        <v>182</v>
      </c>
    </row>
    <row r="585" spans="2:5" x14ac:dyDescent="0.2">
      <c r="B585" s="2" t="s">
        <v>32</v>
      </c>
      <c r="C585" t="s">
        <v>4</v>
      </c>
      <c r="D585" t="s">
        <v>48</v>
      </c>
      <c r="E585">
        <v>0</v>
      </c>
    </row>
    <row r="586" spans="2:5" x14ac:dyDescent="0.2">
      <c r="B586" s="2" t="s">
        <v>35</v>
      </c>
      <c r="C586" t="s">
        <v>4</v>
      </c>
      <c r="D586" t="s">
        <v>48</v>
      </c>
      <c r="E586">
        <v>67</v>
      </c>
    </row>
    <row r="587" spans="2:5" x14ac:dyDescent="0.2">
      <c r="B587" s="2" t="s">
        <v>38</v>
      </c>
      <c r="C587" t="s">
        <v>4</v>
      </c>
      <c r="D587" t="s">
        <v>48</v>
      </c>
      <c r="E587">
        <v>100</v>
      </c>
    </row>
    <row r="588" spans="2:5" x14ac:dyDescent="0.2">
      <c r="B588" s="2" t="s">
        <v>41</v>
      </c>
      <c r="C588" t="s">
        <v>4</v>
      </c>
      <c r="D588" t="s">
        <v>48</v>
      </c>
      <c r="E588">
        <v>0</v>
      </c>
    </row>
    <row r="589" spans="2:5" x14ac:dyDescent="0.2">
      <c r="B589" s="2" t="s">
        <v>44</v>
      </c>
      <c r="C589" t="s">
        <v>4</v>
      </c>
      <c r="D589" t="s">
        <v>48</v>
      </c>
      <c r="E589">
        <v>0</v>
      </c>
    </row>
    <row r="590" spans="2:5" x14ac:dyDescent="0.2">
      <c r="B590" s="2" t="s">
        <v>55</v>
      </c>
      <c r="C590" t="s">
        <v>4</v>
      </c>
      <c r="D590" t="s">
        <v>49</v>
      </c>
      <c r="E590">
        <v>100</v>
      </c>
    </row>
    <row r="591" spans="2:5" x14ac:dyDescent="0.2">
      <c r="B591" s="2" t="s">
        <v>11</v>
      </c>
      <c r="C591" t="s">
        <v>4</v>
      </c>
      <c r="D591" t="s">
        <v>49</v>
      </c>
      <c r="E591">
        <v>0</v>
      </c>
    </row>
    <row r="592" spans="2:5" x14ac:dyDescent="0.2">
      <c r="B592" s="2" t="s">
        <v>14</v>
      </c>
      <c r="C592" t="s">
        <v>4</v>
      </c>
      <c r="D592" t="s">
        <v>49</v>
      </c>
      <c r="E592">
        <v>48</v>
      </c>
    </row>
    <row r="593" spans="2:5" x14ac:dyDescent="0.2">
      <c r="B593" s="2" t="s">
        <v>17</v>
      </c>
      <c r="C593" t="s">
        <v>4</v>
      </c>
      <c r="D593" t="s">
        <v>49</v>
      </c>
      <c r="E593">
        <v>4</v>
      </c>
    </row>
    <row r="594" spans="2:5" x14ac:dyDescent="0.2">
      <c r="B594" s="2" t="s">
        <v>20</v>
      </c>
      <c r="C594" t="s">
        <v>4</v>
      </c>
      <c r="D594" t="s">
        <v>49</v>
      </c>
      <c r="E594">
        <v>100</v>
      </c>
    </row>
    <row r="595" spans="2:5" x14ac:dyDescent="0.2">
      <c r="B595" s="2" t="s">
        <v>23</v>
      </c>
      <c r="C595" t="s">
        <v>4</v>
      </c>
      <c r="D595" t="s">
        <v>49</v>
      </c>
      <c r="E595">
        <v>0</v>
      </c>
    </row>
    <row r="596" spans="2:5" x14ac:dyDescent="0.2">
      <c r="B596" s="2" t="s">
        <v>26</v>
      </c>
      <c r="C596" t="s">
        <v>4</v>
      </c>
      <c r="D596" t="s">
        <v>49</v>
      </c>
      <c r="E596">
        <v>17</v>
      </c>
    </row>
    <row r="597" spans="2:5" x14ac:dyDescent="0.2">
      <c r="B597" s="2" t="s">
        <v>29</v>
      </c>
      <c r="C597" t="s">
        <v>4</v>
      </c>
      <c r="D597" t="s">
        <v>49</v>
      </c>
      <c r="E597">
        <v>75</v>
      </c>
    </row>
    <row r="598" spans="2:5" x14ac:dyDescent="0.2">
      <c r="B598" s="2" t="s">
        <v>32</v>
      </c>
      <c r="C598" t="s">
        <v>4</v>
      </c>
      <c r="D598" t="s">
        <v>49</v>
      </c>
      <c r="E598">
        <v>0</v>
      </c>
    </row>
    <row r="599" spans="2:5" x14ac:dyDescent="0.2">
      <c r="B599" s="2" t="s">
        <v>35</v>
      </c>
      <c r="C599" t="s">
        <v>4</v>
      </c>
      <c r="D599" t="s">
        <v>49</v>
      </c>
      <c r="E599">
        <v>38</v>
      </c>
    </row>
    <row r="600" spans="2:5" x14ac:dyDescent="0.2">
      <c r="B600" s="2" t="s">
        <v>38</v>
      </c>
      <c r="C600" t="s">
        <v>4</v>
      </c>
      <c r="D600" t="s">
        <v>49</v>
      </c>
      <c r="E600">
        <v>43</v>
      </c>
    </row>
    <row r="601" spans="2:5" x14ac:dyDescent="0.2">
      <c r="B601" s="2" t="s">
        <v>41</v>
      </c>
      <c r="C601" t="s">
        <v>4</v>
      </c>
      <c r="D601" t="s">
        <v>49</v>
      </c>
      <c r="E601">
        <v>0</v>
      </c>
    </row>
    <row r="602" spans="2:5" x14ac:dyDescent="0.2">
      <c r="B602" s="2" t="s">
        <v>44</v>
      </c>
      <c r="C602" t="s">
        <v>4</v>
      </c>
      <c r="D602" t="s">
        <v>49</v>
      </c>
      <c r="E602">
        <v>0</v>
      </c>
    </row>
    <row r="603" spans="2:5" x14ac:dyDescent="0.2">
      <c r="B603" s="2" t="s">
        <v>55</v>
      </c>
      <c r="C603" t="s">
        <v>4</v>
      </c>
      <c r="D603" t="s">
        <v>50</v>
      </c>
      <c r="E603">
        <v>100</v>
      </c>
    </row>
    <row r="604" spans="2:5" x14ac:dyDescent="0.2">
      <c r="B604" s="2" t="s">
        <v>11</v>
      </c>
      <c r="C604" t="s">
        <v>4</v>
      </c>
      <c r="D604" t="s">
        <v>50</v>
      </c>
      <c r="E604">
        <v>0</v>
      </c>
    </row>
    <row r="605" spans="2:5" x14ac:dyDescent="0.2">
      <c r="B605" s="2" t="s">
        <v>14</v>
      </c>
      <c r="C605" t="s">
        <v>4</v>
      </c>
      <c r="D605" t="s">
        <v>50</v>
      </c>
      <c r="E605">
        <v>36</v>
      </c>
    </row>
    <row r="606" spans="2:5" x14ac:dyDescent="0.2">
      <c r="B606" s="2" t="s">
        <v>17</v>
      </c>
      <c r="C606" t="s">
        <v>4</v>
      </c>
      <c r="D606" t="s">
        <v>50</v>
      </c>
      <c r="E606">
        <v>10</v>
      </c>
    </row>
    <row r="607" spans="2:5" x14ac:dyDescent="0.2">
      <c r="B607" s="2" t="s">
        <v>20</v>
      </c>
      <c r="C607" t="s">
        <v>4</v>
      </c>
      <c r="D607" t="s">
        <v>50</v>
      </c>
      <c r="E607">
        <v>78</v>
      </c>
    </row>
    <row r="608" spans="2:5" x14ac:dyDescent="0.2">
      <c r="B608" s="2" t="s">
        <v>23</v>
      </c>
      <c r="C608" t="s">
        <v>4</v>
      </c>
      <c r="D608" t="s">
        <v>50</v>
      </c>
      <c r="E608">
        <v>39</v>
      </c>
    </row>
    <row r="609" spans="2:5" x14ac:dyDescent="0.2">
      <c r="B609" s="2" t="s">
        <v>26</v>
      </c>
      <c r="C609" t="s">
        <v>4</v>
      </c>
      <c r="D609" t="s">
        <v>50</v>
      </c>
      <c r="E609">
        <v>17</v>
      </c>
    </row>
    <row r="610" spans="2:5" x14ac:dyDescent="0.2">
      <c r="B610" s="2" t="s">
        <v>29</v>
      </c>
      <c r="C610" t="s">
        <v>4</v>
      </c>
      <c r="D610" t="s">
        <v>50</v>
      </c>
      <c r="E610">
        <v>75</v>
      </c>
    </row>
    <row r="611" spans="2:5" x14ac:dyDescent="0.2">
      <c r="B611" s="2" t="s">
        <v>32</v>
      </c>
      <c r="C611" t="s">
        <v>4</v>
      </c>
      <c r="D611" t="s">
        <v>50</v>
      </c>
      <c r="E611">
        <v>0</v>
      </c>
    </row>
    <row r="612" spans="2:5" x14ac:dyDescent="0.2">
      <c r="B612" s="2" t="s">
        <v>35</v>
      </c>
      <c r="C612" t="s">
        <v>4</v>
      </c>
      <c r="D612" t="s">
        <v>50</v>
      </c>
      <c r="E612">
        <v>5</v>
      </c>
    </row>
    <row r="613" spans="2:5" x14ac:dyDescent="0.2">
      <c r="B613" s="2" t="s">
        <v>38</v>
      </c>
      <c r="C613" t="s">
        <v>4</v>
      </c>
      <c r="D613" t="s">
        <v>50</v>
      </c>
      <c r="E613">
        <v>50</v>
      </c>
    </row>
    <row r="614" spans="2:5" x14ac:dyDescent="0.2">
      <c r="B614" s="2" t="s">
        <v>55</v>
      </c>
      <c r="C614" t="s">
        <v>5</v>
      </c>
      <c r="D614" t="s">
        <v>48</v>
      </c>
      <c r="E614">
        <v>100</v>
      </c>
    </row>
    <row r="615" spans="2:5" x14ac:dyDescent="0.2">
      <c r="B615" s="2" t="s">
        <v>11</v>
      </c>
      <c r="C615" t="s">
        <v>5</v>
      </c>
      <c r="D615" t="s">
        <v>48</v>
      </c>
      <c r="E615">
        <v>100</v>
      </c>
    </row>
    <row r="616" spans="2:5" x14ac:dyDescent="0.2">
      <c r="B616" s="2" t="s">
        <v>14</v>
      </c>
      <c r="C616" t="s">
        <v>5</v>
      </c>
      <c r="D616" t="s">
        <v>48</v>
      </c>
      <c r="E616">
        <v>70</v>
      </c>
    </row>
    <row r="617" spans="2:5" x14ac:dyDescent="0.2">
      <c r="B617" s="2" t="s">
        <v>17</v>
      </c>
      <c r="C617" t="s">
        <v>5</v>
      </c>
      <c r="D617" t="s">
        <v>48</v>
      </c>
      <c r="E617">
        <v>0</v>
      </c>
    </row>
    <row r="618" spans="2:5" x14ac:dyDescent="0.2">
      <c r="B618" s="2" t="s">
        <v>20</v>
      </c>
      <c r="C618" t="s">
        <v>5</v>
      </c>
      <c r="D618" t="s">
        <v>48</v>
      </c>
      <c r="E618">
        <v>300</v>
      </c>
    </row>
    <row r="619" spans="2:5" x14ac:dyDescent="0.2">
      <c r="B619" s="2" t="s">
        <v>23</v>
      </c>
      <c r="C619" t="s">
        <v>5</v>
      </c>
      <c r="D619" t="s">
        <v>48</v>
      </c>
      <c r="E619">
        <v>94</v>
      </c>
    </row>
    <row r="620" spans="2:5" x14ac:dyDescent="0.2">
      <c r="B620" s="2" t="s">
        <v>26</v>
      </c>
      <c r="C620" t="s">
        <v>5</v>
      </c>
      <c r="D620" t="s">
        <v>48</v>
      </c>
      <c r="E620">
        <v>0</v>
      </c>
    </row>
    <row r="621" spans="2:5" x14ac:dyDescent="0.2">
      <c r="B621" s="2" t="s">
        <v>29</v>
      </c>
      <c r="C621" t="s">
        <v>5</v>
      </c>
      <c r="D621" t="s">
        <v>48</v>
      </c>
      <c r="E621">
        <v>300</v>
      </c>
    </row>
    <row r="622" spans="2:5" x14ac:dyDescent="0.2">
      <c r="B622" s="2" t="s">
        <v>32</v>
      </c>
      <c r="C622" t="s">
        <v>5</v>
      </c>
      <c r="D622" t="s">
        <v>48</v>
      </c>
      <c r="E622">
        <v>136</v>
      </c>
    </row>
    <row r="623" spans="2:5" x14ac:dyDescent="0.2">
      <c r="B623" s="2" t="s">
        <v>35</v>
      </c>
      <c r="C623" t="s">
        <v>5</v>
      </c>
      <c r="D623" t="s">
        <v>48</v>
      </c>
      <c r="E623">
        <v>158</v>
      </c>
    </row>
    <row r="624" spans="2:5" x14ac:dyDescent="0.2">
      <c r="B624" s="2" t="s">
        <v>38</v>
      </c>
      <c r="C624" t="s">
        <v>5</v>
      </c>
      <c r="D624" t="s">
        <v>48</v>
      </c>
      <c r="E624">
        <v>231</v>
      </c>
    </row>
    <row r="625" spans="2:5" x14ac:dyDescent="0.2">
      <c r="B625" s="2" t="s">
        <v>41</v>
      </c>
      <c r="C625" t="s">
        <v>5</v>
      </c>
      <c r="D625" t="s">
        <v>48</v>
      </c>
      <c r="E625">
        <v>76</v>
      </c>
    </row>
    <row r="626" spans="2:5" x14ac:dyDescent="0.2">
      <c r="B626" s="2" t="s">
        <v>44</v>
      </c>
      <c r="C626" t="s">
        <v>5</v>
      </c>
      <c r="D626" t="s">
        <v>48</v>
      </c>
      <c r="E626">
        <v>16</v>
      </c>
    </row>
    <row r="627" spans="2:5" x14ac:dyDescent="0.2">
      <c r="B627" s="2" t="s">
        <v>55</v>
      </c>
      <c r="C627" t="s">
        <v>5</v>
      </c>
      <c r="D627" t="s">
        <v>49</v>
      </c>
      <c r="E627">
        <v>100</v>
      </c>
    </row>
    <row r="628" spans="2:5" x14ac:dyDescent="0.2">
      <c r="B628" s="2" t="s">
        <v>11</v>
      </c>
      <c r="C628" t="s">
        <v>5</v>
      </c>
      <c r="D628" t="s">
        <v>49</v>
      </c>
      <c r="E628">
        <v>65</v>
      </c>
    </row>
    <row r="629" spans="2:5" x14ac:dyDescent="0.2">
      <c r="B629" s="2" t="s">
        <v>14</v>
      </c>
      <c r="C629" t="s">
        <v>5</v>
      </c>
      <c r="D629" t="s">
        <v>49</v>
      </c>
      <c r="E629">
        <v>24</v>
      </c>
    </row>
    <row r="630" spans="2:5" x14ac:dyDescent="0.2">
      <c r="B630" s="2" t="s">
        <v>17</v>
      </c>
      <c r="C630" t="s">
        <v>5</v>
      </c>
      <c r="D630" t="s">
        <v>49</v>
      </c>
      <c r="E630">
        <v>0</v>
      </c>
    </row>
    <row r="631" spans="2:5" x14ac:dyDescent="0.2">
      <c r="B631" s="2" t="s">
        <v>20</v>
      </c>
      <c r="C631" t="s">
        <v>5</v>
      </c>
      <c r="D631" t="s">
        <v>49</v>
      </c>
      <c r="E631">
        <v>100</v>
      </c>
    </row>
    <row r="632" spans="2:5" x14ac:dyDescent="0.2">
      <c r="B632" s="2" t="s">
        <v>23</v>
      </c>
      <c r="C632" t="s">
        <v>5</v>
      </c>
      <c r="D632" t="s">
        <v>49</v>
      </c>
      <c r="E632">
        <v>0</v>
      </c>
    </row>
    <row r="633" spans="2:5" x14ac:dyDescent="0.2">
      <c r="B633" s="2" t="s">
        <v>26</v>
      </c>
      <c r="C633" t="s">
        <v>5</v>
      </c>
      <c r="D633" t="s">
        <v>49</v>
      </c>
      <c r="E633">
        <v>0</v>
      </c>
    </row>
    <row r="634" spans="2:5" x14ac:dyDescent="0.2">
      <c r="B634" s="2" t="s">
        <v>29</v>
      </c>
      <c r="C634" t="s">
        <v>5</v>
      </c>
      <c r="D634" t="s">
        <v>49</v>
      </c>
      <c r="E634">
        <v>262</v>
      </c>
    </row>
    <row r="635" spans="2:5" x14ac:dyDescent="0.2">
      <c r="B635" s="2" t="s">
        <v>32</v>
      </c>
      <c r="C635" t="s">
        <v>5</v>
      </c>
      <c r="D635" t="s">
        <v>49</v>
      </c>
      <c r="E635">
        <v>75</v>
      </c>
    </row>
    <row r="636" spans="2:5" x14ac:dyDescent="0.2">
      <c r="B636" s="2" t="s">
        <v>35</v>
      </c>
      <c r="C636" t="s">
        <v>5</v>
      </c>
      <c r="D636" t="s">
        <v>49</v>
      </c>
      <c r="E636">
        <v>0</v>
      </c>
    </row>
    <row r="637" spans="2:5" x14ac:dyDescent="0.2">
      <c r="B637" s="2" t="s">
        <v>38</v>
      </c>
      <c r="C637" t="s">
        <v>5</v>
      </c>
      <c r="D637" t="s">
        <v>49</v>
      </c>
      <c r="E637">
        <v>114</v>
      </c>
    </row>
    <row r="638" spans="2:5" x14ac:dyDescent="0.2">
      <c r="B638" s="2" t="s">
        <v>41</v>
      </c>
      <c r="C638" t="s">
        <v>5</v>
      </c>
      <c r="D638" t="s">
        <v>49</v>
      </c>
      <c r="E638">
        <v>64</v>
      </c>
    </row>
    <row r="639" spans="2:5" x14ac:dyDescent="0.2">
      <c r="B639" s="2" t="s">
        <v>44</v>
      </c>
      <c r="C639" t="s">
        <v>5</v>
      </c>
      <c r="D639" t="s">
        <v>49</v>
      </c>
      <c r="E639">
        <v>0</v>
      </c>
    </row>
    <row r="640" spans="2:5" x14ac:dyDescent="0.2">
      <c r="B640" s="2" t="s">
        <v>55</v>
      </c>
      <c r="C640" t="s">
        <v>5</v>
      </c>
      <c r="D640" t="s">
        <v>50</v>
      </c>
      <c r="E640">
        <v>100</v>
      </c>
    </row>
    <row r="641" spans="2:5" x14ac:dyDescent="0.2">
      <c r="B641" s="2" t="s">
        <v>11</v>
      </c>
      <c r="C641" t="s">
        <v>5</v>
      </c>
      <c r="D641" t="s">
        <v>50</v>
      </c>
      <c r="E641">
        <v>35</v>
      </c>
    </row>
    <row r="642" spans="2:5" x14ac:dyDescent="0.2">
      <c r="B642" s="2" t="s">
        <v>14</v>
      </c>
      <c r="C642" t="s">
        <v>5</v>
      </c>
      <c r="D642" t="s">
        <v>50</v>
      </c>
      <c r="E642">
        <v>6</v>
      </c>
    </row>
    <row r="643" spans="2:5" x14ac:dyDescent="0.2">
      <c r="B643" s="2" t="s">
        <v>17</v>
      </c>
      <c r="C643" t="s">
        <v>5</v>
      </c>
      <c r="D643" t="s">
        <v>50</v>
      </c>
      <c r="E643">
        <v>0</v>
      </c>
    </row>
    <row r="644" spans="2:5" x14ac:dyDescent="0.2">
      <c r="B644" s="2" t="s">
        <v>20</v>
      </c>
      <c r="C644" t="s">
        <v>5</v>
      </c>
      <c r="D644" t="s">
        <v>50</v>
      </c>
      <c r="E644">
        <v>100</v>
      </c>
    </row>
    <row r="645" spans="2:5" x14ac:dyDescent="0.2">
      <c r="B645" s="2" t="s">
        <v>23</v>
      </c>
      <c r="C645" t="s">
        <v>5</v>
      </c>
      <c r="D645" t="s">
        <v>50</v>
      </c>
      <c r="E645">
        <v>0</v>
      </c>
    </row>
    <row r="646" spans="2:5" x14ac:dyDescent="0.2">
      <c r="B646" s="2" t="s">
        <v>26</v>
      </c>
      <c r="C646" t="s">
        <v>5</v>
      </c>
      <c r="D646" t="s">
        <v>50</v>
      </c>
      <c r="E646">
        <v>0</v>
      </c>
    </row>
    <row r="647" spans="2:5" x14ac:dyDescent="0.2">
      <c r="B647" s="2" t="s">
        <v>29</v>
      </c>
      <c r="C647" t="s">
        <v>5</v>
      </c>
      <c r="D647" t="s">
        <v>50</v>
      </c>
      <c r="E647">
        <v>30</v>
      </c>
    </row>
    <row r="648" spans="2:5" x14ac:dyDescent="0.2">
      <c r="B648" s="2" t="s">
        <v>32</v>
      </c>
      <c r="C648" t="s">
        <v>5</v>
      </c>
      <c r="D648" t="s">
        <v>50</v>
      </c>
      <c r="E648">
        <v>0</v>
      </c>
    </row>
    <row r="649" spans="2:5" x14ac:dyDescent="0.2">
      <c r="B649" s="2" t="s">
        <v>35</v>
      </c>
      <c r="C649" t="s">
        <v>5</v>
      </c>
      <c r="D649" t="s">
        <v>50</v>
      </c>
      <c r="E649">
        <v>0</v>
      </c>
    </row>
    <row r="650" spans="2:5" x14ac:dyDescent="0.2">
      <c r="B650" s="2" t="s">
        <v>38</v>
      </c>
      <c r="C650" t="s">
        <v>5</v>
      </c>
      <c r="D650" t="s">
        <v>50</v>
      </c>
      <c r="E650">
        <v>0</v>
      </c>
    </row>
    <row r="651" spans="2:5" x14ac:dyDescent="0.2">
      <c r="B651" s="2" t="s">
        <v>55</v>
      </c>
      <c r="C651" t="s">
        <v>6</v>
      </c>
      <c r="D651" t="s">
        <v>48</v>
      </c>
      <c r="E651">
        <v>100</v>
      </c>
    </row>
    <row r="652" spans="2:5" x14ac:dyDescent="0.2">
      <c r="B652" s="2" t="s">
        <v>11</v>
      </c>
      <c r="C652" t="s">
        <v>6</v>
      </c>
      <c r="D652" t="s">
        <v>48</v>
      </c>
      <c r="E652">
        <v>100</v>
      </c>
    </row>
    <row r="653" spans="2:5" x14ac:dyDescent="0.2">
      <c r="B653" s="2" t="s">
        <v>14</v>
      </c>
      <c r="C653" t="s">
        <v>6</v>
      </c>
      <c r="D653" t="s">
        <v>48</v>
      </c>
      <c r="E653">
        <v>50</v>
      </c>
    </row>
    <row r="654" spans="2:5" x14ac:dyDescent="0.2">
      <c r="B654" s="2" t="s">
        <v>17</v>
      </c>
      <c r="C654" t="s">
        <v>6</v>
      </c>
      <c r="D654" t="s">
        <v>48</v>
      </c>
      <c r="E654">
        <v>0</v>
      </c>
    </row>
    <row r="655" spans="2:5" x14ac:dyDescent="0.2">
      <c r="B655" s="2" t="s">
        <v>20</v>
      </c>
      <c r="C655" t="s">
        <v>6</v>
      </c>
      <c r="D655" t="s">
        <v>48</v>
      </c>
      <c r="E655">
        <v>100</v>
      </c>
    </row>
    <row r="656" spans="2:5" x14ac:dyDescent="0.2">
      <c r="B656" s="2" t="s">
        <v>23</v>
      </c>
      <c r="C656" t="s">
        <v>6</v>
      </c>
      <c r="D656" t="s">
        <v>48</v>
      </c>
      <c r="E656">
        <v>48</v>
      </c>
    </row>
    <row r="657" spans="2:5" x14ac:dyDescent="0.2">
      <c r="B657" s="2" t="s">
        <v>26</v>
      </c>
      <c r="C657" t="s">
        <v>6</v>
      </c>
      <c r="D657" t="s">
        <v>48</v>
      </c>
      <c r="E657">
        <v>0</v>
      </c>
    </row>
    <row r="658" spans="2:5" x14ac:dyDescent="0.2">
      <c r="B658" s="2" t="s">
        <v>29</v>
      </c>
      <c r="C658" t="s">
        <v>6</v>
      </c>
      <c r="D658" t="s">
        <v>48</v>
      </c>
      <c r="E658">
        <v>300</v>
      </c>
    </row>
    <row r="659" spans="2:5" x14ac:dyDescent="0.2">
      <c r="B659" s="2" t="s">
        <v>32</v>
      </c>
      <c r="C659" t="s">
        <v>6</v>
      </c>
      <c r="D659" t="s">
        <v>48</v>
      </c>
      <c r="E659">
        <v>0</v>
      </c>
    </row>
    <row r="660" spans="2:5" x14ac:dyDescent="0.2">
      <c r="B660" s="2" t="s">
        <v>35</v>
      </c>
      <c r="C660" t="s">
        <v>6</v>
      </c>
      <c r="D660" t="s">
        <v>48</v>
      </c>
      <c r="E660">
        <v>56</v>
      </c>
    </row>
    <row r="661" spans="2:5" x14ac:dyDescent="0.2">
      <c r="B661" s="2" t="s">
        <v>38</v>
      </c>
      <c r="C661" t="s">
        <v>6</v>
      </c>
      <c r="D661" t="s">
        <v>48</v>
      </c>
      <c r="E661">
        <v>56</v>
      </c>
    </row>
    <row r="662" spans="2:5" x14ac:dyDescent="0.2">
      <c r="B662" s="2" t="s">
        <v>41</v>
      </c>
      <c r="C662" t="s">
        <v>6</v>
      </c>
      <c r="D662" t="s">
        <v>48</v>
      </c>
      <c r="E662">
        <v>105</v>
      </c>
    </row>
    <row r="663" spans="2:5" x14ac:dyDescent="0.2">
      <c r="B663" s="2" t="s">
        <v>44</v>
      </c>
      <c r="C663" t="s">
        <v>6</v>
      </c>
      <c r="D663" t="s">
        <v>48</v>
      </c>
      <c r="E663">
        <v>74</v>
      </c>
    </row>
    <row r="664" spans="2:5" x14ac:dyDescent="0.2">
      <c r="B664" s="2" t="s">
        <v>55</v>
      </c>
      <c r="C664" t="s">
        <v>6</v>
      </c>
      <c r="D664" t="s">
        <v>49</v>
      </c>
      <c r="E664">
        <v>100</v>
      </c>
    </row>
    <row r="665" spans="2:5" x14ac:dyDescent="0.2">
      <c r="B665" s="2" t="s">
        <v>11</v>
      </c>
      <c r="C665" t="s">
        <v>6</v>
      </c>
      <c r="D665" t="s">
        <v>49</v>
      </c>
      <c r="E665">
        <v>100</v>
      </c>
    </row>
    <row r="666" spans="2:5" x14ac:dyDescent="0.2">
      <c r="B666" s="2" t="s">
        <v>14</v>
      </c>
      <c r="C666" t="s">
        <v>6</v>
      </c>
      <c r="D666" t="s">
        <v>49</v>
      </c>
      <c r="E666">
        <v>50</v>
      </c>
    </row>
    <row r="667" spans="2:5" x14ac:dyDescent="0.2">
      <c r="B667" s="2" t="s">
        <v>17</v>
      </c>
      <c r="C667" t="s">
        <v>6</v>
      </c>
      <c r="D667" t="s">
        <v>49</v>
      </c>
      <c r="E667">
        <v>0</v>
      </c>
    </row>
    <row r="668" spans="2:5" x14ac:dyDescent="0.2">
      <c r="B668" s="2" t="s">
        <v>20</v>
      </c>
      <c r="C668" t="s">
        <v>6</v>
      </c>
      <c r="D668" t="s">
        <v>49</v>
      </c>
      <c r="E668">
        <v>100</v>
      </c>
    </row>
    <row r="669" spans="2:5" x14ac:dyDescent="0.2">
      <c r="B669" s="2" t="s">
        <v>23</v>
      </c>
      <c r="C669" t="s">
        <v>6</v>
      </c>
      <c r="D669" t="s">
        <v>49</v>
      </c>
      <c r="E669">
        <v>97</v>
      </c>
    </row>
    <row r="670" spans="2:5" x14ac:dyDescent="0.2">
      <c r="B670" s="2" t="s">
        <v>26</v>
      </c>
      <c r="C670" t="s">
        <v>6</v>
      </c>
      <c r="D670" t="s">
        <v>49</v>
      </c>
      <c r="E670">
        <v>0</v>
      </c>
    </row>
    <row r="671" spans="2:5" x14ac:dyDescent="0.2">
      <c r="B671" s="2" t="s">
        <v>29</v>
      </c>
      <c r="C671" t="s">
        <v>6</v>
      </c>
      <c r="D671" t="s">
        <v>49</v>
      </c>
      <c r="E671">
        <v>200</v>
      </c>
    </row>
    <row r="672" spans="2:5" x14ac:dyDescent="0.2">
      <c r="B672" s="2" t="s">
        <v>32</v>
      </c>
      <c r="C672" t="s">
        <v>6</v>
      </c>
      <c r="D672" t="s">
        <v>49</v>
      </c>
      <c r="E672">
        <v>108</v>
      </c>
    </row>
    <row r="673" spans="2:5" x14ac:dyDescent="0.2">
      <c r="B673" s="2" t="s">
        <v>35</v>
      </c>
      <c r="C673" t="s">
        <v>6</v>
      </c>
      <c r="D673" t="s">
        <v>49</v>
      </c>
      <c r="E673">
        <v>30</v>
      </c>
    </row>
    <row r="674" spans="2:5" x14ac:dyDescent="0.2">
      <c r="B674" s="2" t="s">
        <v>38</v>
      </c>
      <c r="C674" t="s">
        <v>6</v>
      </c>
      <c r="D674" t="s">
        <v>49</v>
      </c>
      <c r="E674">
        <v>171</v>
      </c>
    </row>
    <row r="675" spans="2:5" x14ac:dyDescent="0.2">
      <c r="B675" s="2" t="s">
        <v>41</v>
      </c>
      <c r="C675" t="s">
        <v>6</v>
      </c>
      <c r="D675" t="s">
        <v>49</v>
      </c>
      <c r="E675">
        <v>39</v>
      </c>
    </row>
    <row r="676" spans="2:5" x14ac:dyDescent="0.2">
      <c r="B676" s="2" t="s">
        <v>44</v>
      </c>
      <c r="C676" t="s">
        <v>6</v>
      </c>
      <c r="D676" t="s">
        <v>49</v>
      </c>
      <c r="E676">
        <v>28</v>
      </c>
    </row>
    <row r="677" spans="2:5" x14ac:dyDescent="0.2">
      <c r="B677" s="2" t="s">
        <v>55</v>
      </c>
      <c r="C677" t="s">
        <v>6</v>
      </c>
      <c r="D677" t="s">
        <v>50</v>
      </c>
      <c r="E677">
        <v>100</v>
      </c>
    </row>
    <row r="678" spans="2:5" x14ac:dyDescent="0.2">
      <c r="B678" s="2" t="s">
        <v>11</v>
      </c>
      <c r="C678" t="s">
        <v>6</v>
      </c>
      <c r="D678" t="s">
        <v>50</v>
      </c>
      <c r="E678">
        <v>0</v>
      </c>
    </row>
    <row r="679" spans="2:5" x14ac:dyDescent="0.2">
      <c r="B679" s="2" t="s">
        <v>14</v>
      </c>
      <c r="C679" t="s">
        <v>6</v>
      </c>
      <c r="D679" t="s">
        <v>50</v>
      </c>
      <c r="E679">
        <v>0</v>
      </c>
    </row>
    <row r="680" spans="2:5" x14ac:dyDescent="0.2">
      <c r="B680" s="2" t="s">
        <v>17</v>
      </c>
      <c r="C680" t="s">
        <v>6</v>
      </c>
      <c r="D680" t="s">
        <v>50</v>
      </c>
      <c r="E680">
        <v>0</v>
      </c>
    </row>
    <row r="681" spans="2:5" x14ac:dyDescent="0.2">
      <c r="B681" s="2" t="s">
        <v>20</v>
      </c>
      <c r="C681" t="s">
        <v>6</v>
      </c>
      <c r="D681" t="s">
        <v>50</v>
      </c>
      <c r="E681">
        <v>56</v>
      </c>
    </row>
    <row r="682" spans="2:5" x14ac:dyDescent="0.2">
      <c r="B682" s="2" t="s">
        <v>23</v>
      </c>
      <c r="C682" t="s">
        <v>6</v>
      </c>
      <c r="D682" t="s">
        <v>50</v>
      </c>
      <c r="E682">
        <v>49</v>
      </c>
    </row>
    <row r="683" spans="2:5" x14ac:dyDescent="0.2">
      <c r="B683" s="2" t="s">
        <v>26</v>
      </c>
      <c r="C683" t="s">
        <v>6</v>
      </c>
      <c r="D683" t="s">
        <v>50</v>
      </c>
      <c r="E683">
        <v>0</v>
      </c>
    </row>
    <row r="684" spans="2:5" x14ac:dyDescent="0.2">
      <c r="B684" s="2" t="s">
        <v>29</v>
      </c>
      <c r="C684" t="s">
        <v>6</v>
      </c>
      <c r="D684" t="s">
        <v>50</v>
      </c>
      <c r="E684">
        <v>200</v>
      </c>
    </row>
    <row r="685" spans="2:5" x14ac:dyDescent="0.2">
      <c r="B685" s="2" t="s">
        <v>32</v>
      </c>
      <c r="C685" t="s">
        <v>6</v>
      </c>
      <c r="D685" t="s">
        <v>50</v>
      </c>
      <c r="E685">
        <v>50</v>
      </c>
    </row>
    <row r="686" spans="2:5" x14ac:dyDescent="0.2">
      <c r="B686" s="2" t="s">
        <v>35</v>
      </c>
      <c r="C686" t="s">
        <v>6</v>
      </c>
      <c r="D686" t="s">
        <v>50</v>
      </c>
      <c r="E686">
        <v>59</v>
      </c>
    </row>
    <row r="687" spans="2:5" x14ac:dyDescent="0.2">
      <c r="B687" s="2" t="s">
        <v>38</v>
      </c>
      <c r="C687" t="s">
        <v>6</v>
      </c>
      <c r="D687" t="s">
        <v>50</v>
      </c>
      <c r="E687">
        <v>62</v>
      </c>
    </row>
  </sheetData>
  <sheetProtection sheet="1" objects="1" scenarios="1"/>
  <mergeCells count="36">
    <mergeCell ref="B306:AB306"/>
    <mergeCell ref="B307:AB307"/>
    <mergeCell ref="B309:G309"/>
    <mergeCell ref="I309:N309"/>
    <mergeCell ref="P309:U309"/>
    <mergeCell ref="W309:AB309"/>
    <mergeCell ref="B358:AB358"/>
    <mergeCell ref="B359:AB359"/>
    <mergeCell ref="B361:G361"/>
    <mergeCell ref="I361:N361"/>
    <mergeCell ref="P361:U361"/>
    <mergeCell ref="W361:AB361"/>
    <mergeCell ref="B255:AB255"/>
    <mergeCell ref="B256:AB256"/>
    <mergeCell ref="B258:G258"/>
    <mergeCell ref="I258:N258"/>
    <mergeCell ref="P258:U258"/>
    <mergeCell ref="W258:AB258"/>
    <mergeCell ref="B204:AB204"/>
    <mergeCell ref="B205:AB205"/>
    <mergeCell ref="B207:G207"/>
    <mergeCell ref="I207:N207"/>
    <mergeCell ref="P207:U207"/>
    <mergeCell ref="W207:AB207"/>
    <mergeCell ref="B153:AB153"/>
    <mergeCell ref="B154:AB154"/>
    <mergeCell ref="B156:G156"/>
    <mergeCell ref="I156:N156"/>
    <mergeCell ref="P156:U156"/>
    <mergeCell ref="W156:AB156"/>
    <mergeCell ref="B105:G105"/>
    <mergeCell ref="I105:N105"/>
    <mergeCell ref="P105:U105"/>
    <mergeCell ref="W105:AB105"/>
    <mergeCell ref="B102:AB102"/>
    <mergeCell ref="B103:AB103"/>
  </mergeCells>
  <phoneticPr fontId="5" type="noConversion"/>
  <pageMargins left="0.7" right="0.7" top="0.75" bottom="0.75" header="0.3" footer="0.3"/>
  <pageSetup paperSize="9" orientation="portrait" r:id="rId7"/>
  <tableParts count="30">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X201"/>
  <sheetViews>
    <sheetView showGridLines="0" tabSelected="1" topLeftCell="A93" zoomScale="119" zoomScaleNormal="66" workbookViewId="0"/>
  </sheetViews>
  <sheetFormatPr baseColWidth="10" defaultColWidth="8.83203125" defaultRowHeight="16" x14ac:dyDescent="0.2"/>
  <cols>
    <col min="1" max="1" width="3.5" customWidth="1"/>
    <col min="2" max="2" width="13.1640625" bestFit="1" customWidth="1"/>
    <col min="3" max="3" width="10.83203125" bestFit="1" customWidth="1"/>
    <col min="4" max="4" width="14.6640625" bestFit="1" customWidth="1"/>
    <col min="5" max="5" width="13" bestFit="1" customWidth="1"/>
    <col min="6" max="6" width="22" style="65" bestFit="1" customWidth="1"/>
    <col min="7" max="7" width="16" customWidth="1"/>
    <col min="8" max="8" width="15" bestFit="1" customWidth="1"/>
    <col min="9" max="9" width="16.33203125" bestFit="1" customWidth="1"/>
    <col min="10" max="10" width="27.33203125" bestFit="1" customWidth="1"/>
    <col min="11" max="11" width="29" bestFit="1" customWidth="1"/>
    <col min="12" max="12" width="28.5" bestFit="1" customWidth="1"/>
    <col min="13" max="13" width="13.6640625" bestFit="1" customWidth="1"/>
    <col min="14" max="14" width="18.6640625" customWidth="1"/>
    <col min="15" max="15" width="22.33203125" customWidth="1"/>
    <col min="16" max="16" width="18.33203125" customWidth="1"/>
    <col min="17" max="17" width="21.1640625" customWidth="1"/>
    <col min="18" max="18" width="21.1640625" bestFit="1" customWidth="1"/>
    <col min="19" max="19" width="17.83203125" customWidth="1"/>
    <col min="20" max="20" width="15" bestFit="1" customWidth="1"/>
    <col min="21" max="21" width="10.83203125" bestFit="1" customWidth="1"/>
    <col min="22" max="22" width="36.6640625" bestFit="1" customWidth="1"/>
    <col min="23" max="23" width="51.1640625" customWidth="1"/>
    <col min="24" max="24" width="27.5" customWidth="1"/>
    <col min="25" max="25" width="21.83203125" bestFit="1" customWidth="1"/>
    <col min="26" max="26" width="20.5" bestFit="1" customWidth="1"/>
    <col min="27" max="27" width="11.5" bestFit="1" customWidth="1"/>
    <col min="28" max="28" width="15" bestFit="1" customWidth="1"/>
    <col min="29" max="29" width="10.83203125" bestFit="1" customWidth="1"/>
    <col min="30" max="30" width="15" bestFit="1" customWidth="1"/>
    <col min="31" max="31" width="10.83203125" bestFit="1" customWidth="1"/>
    <col min="32" max="32" width="15" bestFit="1" customWidth="1"/>
    <col min="33" max="33" width="19" bestFit="1" customWidth="1"/>
    <col min="34" max="34" width="23.33203125" bestFit="1" customWidth="1"/>
    <col min="35" max="35" width="10.83203125" bestFit="1" customWidth="1"/>
    <col min="36" max="36" width="15" bestFit="1" customWidth="1"/>
    <col min="37" max="37" width="10.83203125" bestFit="1" customWidth="1"/>
    <col min="38" max="38" width="15" bestFit="1" customWidth="1"/>
    <col min="39" max="39" width="10.83203125" bestFit="1" customWidth="1"/>
    <col min="40" max="40" width="15" bestFit="1" customWidth="1"/>
    <col min="41" max="41" width="14.6640625" bestFit="1" customWidth="1"/>
    <col min="42" max="42" width="19" bestFit="1" customWidth="1"/>
    <col min="43" max="43" width="10.83203125" bestFit="1" customWidth="1"/>
    <col min="44" max="44" width="15" bestFit="1" customWidth="1"/>
    <col min="45" max="45" width="10.83203125" bestFit="1" customWidth="1"/>
    <col min="46" max="46" width="15" bestFit="1" customWidth="1"/>
    <col min="47" max="47" width="10.83203125" bestFit="1" customWidth="1"/>
    <col min="48" max="48" width="15" bestFit="1" customWidth="1"/>
    <col min="49" max="49" width="17.5" bestFit="1" customWidth="1"/>
    <col min="50" max="50" width="21.83203125" bestFit="1" customWidth="1"/>
    <col min="51" max="51" width="9.5" bestFit="1" customWidth="1"/>
    <col min="52" max="52" width="17.6640625" bestFit="1" customWidth="1"/>
    <col min="53" max="53" width="20.83203125" bestFit="1" customWidth="1"/>
    <col min="54" max="54" width="8" bestFit="1" customWidth="1"/>
    <col min="55" max="55" width="17.6640625" bestFit="1" customWidth="1"/>
    <col min="56" max="56" width="20.83203125" bestFit="1" customWidth="1"/>
    <col min="57" max="57" width="8" bestFit="1" customWidth="1"/>
    <col min="58" max="58" width="17.6640625" bestFit="1" customWidth="1"/>
    <col min="59" max="59" width="20.83203125" bestFit="1" customWidth="1"/>
    <col min="60" max="60" width="11.33203125" bestFit="1" customWidth="1"/>
    <col min="61" max="61" width="22.1640625" bestFit="1" customWidth="1"/>
    <col min="62" max="62" width="25.33203125" bestFit="1" customWidth="1"/>
    <col min="63" max="63" width="11.1640625" bestFit="1" customWidth="1"/>
    <col min="64" max="64" width="17.6640625" bestFit="1" customWidth="1"/>
    <col min="65" max="65" width="20.83203125" bestFit="1" customWidth="1"/>
    <col min="66" max="66" width="8" bestFit="1" customWidth="1"/>
    <col min="67" max="67" width="17.6640625" bestFit="1" customWidth="1"/>
    <col min="68" max="68" width="20.83203125" bestFit="1" customWidth="1"/>
    <col min="69" max="69" width="8" bestFit="1" customWidth="1"/>
    <col min="70" max="70" width="17.6640625" bestFit="1" customWidth="1"/>
    <col min="71" max="71" width="20.83203125" bestFit="1" customWidth="1"/>
    <col min="72" max="72" width="14.5" bestFit="1" customWidth="1"/>
    <col min="73" max="73" width="25.1640625" bestFit="1" customWidth="1"/>
    <col min="74" max="74" width="28.5" bestFit="1" customWidth="1"/>
    <col min="75" max="75" width="8" bestFit="1" customWidth="1"/>
    <col min="76" max="76" width="17.6640625" bestFit="1" customWidth="1"/>
    <col min="77" max="77" width="19.1640625" bestFit="1" customWidth="1"/>
    <col min="78" max="78" width="20.83203125" bestFit="1" customWidth="1"/>
    <col min="79" max="79" width="11.33203125" bestFit="1" customWidth="1"/>
    <col min="80" max="80" width="22.1640625" bestFit="1" customWidth="1"/>
    <col min="81" max="81" width="23.5" bestFit="1" customWidth="1"/>
    <col min="82" max="82" width="25.33203125" bestFit="1" customWidth="1"/>
    <col min="83" max="83" width="11.1640625" bestFit="1" customWidth="1"/>
    <col min="84" max="84" width="17.6640625" bestFit="1" customWidth="1"/>
    <col min="85" max="85" width="19.1640625" bestFit="1" customWidth="1"/>
    <col min="86" max="86" width="20.83203125" bestFit="1" customWidth="1"/>
    <col min="87" max="87" width="8" bestFit="1" customWidth="1"/>
    <col min="88" max="88" width="17.6640625" bestFit="1" customWidth="1"/>
    <col min="89" max="89" width="19.1640625" bestFit="1" customWidth="1"/>
    <col min="90" max="90" width="20.83203125" bestFit="1" customWidth="1"/>
    <col min="91" max="91" width="8" bestFit="1" customWidth="1"/>
    <col min="92" max="92" width="17.6640625" bestFit="1" customWidth="1"/>
    <col min="93" max="93" width="19.1640625" bestFit="1" customWidth="1"/>
    <col min="94" max="94" width="20.83203125" bestFit="1" customWidth="1"/>
    <col min="95" max="95" width="14.5" bestFit="1" customWidth="1"/>
    <col min="96" max="96" width="25.1640625" bestFit="1" customWidth="1"/>
    <col min="97" max="97" width="26.6640625" bestFit="1" customWidth="1"/>
    <col min="98" max="98" width="28.5" bestFit="1" customWidth="1"/>
    <col min="99" max="99" width="22.1640625" bestFit="1" customWidth="1"/>
    <col min="100" max="100" width="28.5" bestFit="1" customWidth="1"/>
    <col min="101" max="101" width="23.5" bestFit="1" customWidth="1"/>
    <col min="102" max="102" width="25.33203125" bestFit="1" customWidth="1"/>
    <col min="103" max="103" width="11.1640625" bestFit="1" customWidth="1"/>
    <col min="104" max="104" width="17.6640625" bestFit="1" customWidth="1"/>
    <col min="105" max="105" width="22.6640625" bestFit="1" customWidth="1"/>
    <col min="106" max="106" width="19.1640625" bestFit="1" customWidth="1"/>
    <col min="107" max="107" width="20.83203125" bestFit="1" customWidth="1"/>
    <col min="108" max="108" width="8" bestFit="1" customWidth="1"/>
    <col min="109" max="109" width="17.6640625" bestFit="1" customWidth="1"/>
    <col min="110" max="110" width="22.6640625" bestFit="1" customWidth="1"/>
    <col min="111" max="111" width="19.1640625" bestFit="1" customWidth="1"/>
    <col min="112" max="112" width="20.83203125" bestFit="1" customWidth="1"/>
    <col min="113" max="113" width="8" bestFit="1" customWidth="1"/>
    <col min="114" max="114" width="17.6640625" bestFit="1" customWidth="1"/>
    <col min="115" max="115" width="22.6640625" bestFit="1" customWidth="1"/>
    <col min="116" max="116" width="19.1640625" bestFit="1" customWidth="1"/>
    <col min="117" max="117" width="20.83203125" bestFit="1" customWidth="1"/>
    <col min="118" max="118" width="14.5" bestFit="1" customWidth="1"/>
    <col min="119" max="119" width="25.1640625" bestFit="1" customWidth="1"/>
    <col min="120" max="120" width="31.6640625" bestFit="1" customWidth="1"/>
    <col min="121" max="121" width="26.6640625" bestFit="1" customWidth="1"/>
    <col min="122" max="122" width="28.5" bestFit="1" customWidth="1"/>
    <col min="123" max="123" width="11.1640625" bestFit="1" customWidth="1"/>
    <col min="124" max="124" width="17.6640625" bestFit="1" customWidth="1"/>
    <col min="125" max="125" width="15.5" bestFit="1" customWidth="1"/>
    <col min="126" max="126" width="22.6640625" bestFit="1" customWidth="1"/>
    <col min="127" max="127" width="19.1640625" bestFit="1" customWidth="1"/>
    <col min="128" max="128" width="20.83203125" bestFit="1" customWidth="1"/>
    <col min="129" max="129" width="8" bestFit="1" customWidth="1"/>
    <col min="130" max="130" width="17.6640625" bestFit="1" customWidth="1"/>
    <col min="131" max="131" width="15.5" bestFit="1" customWidth="1"/>
    <col min="132" max="132" width="22.6640625" bestFit="1" customWidth="1"/>
    <col min="133" max="133" width="19.1640625" bestFit="1" customWidth="1"/>
    <col min="134" max="134" width="20.83203125" bestFit="1" customWidth="1"/>
    <col min="135" max="135" width="8" bestFit="1" customWidth="1"/>
    <col min="136" max="136" width="17.6640625" bestFit="1" customWidth="1"/>
    <col min="137" max="137" width="15.5" bestFit="1" customWidth="1"/>
    <col min="138" max="138" width="22.6640625" bestFit="1" customWidth="1"/>
    <col min="139" max="139" width="19.1640625" bestFit="1" customWidth="1"/>
    <col min="140" max="140" width="20.83203125" bestFit="1" customWidth="1"/>
    <col min="141" max="141" width="14.5" bestFit="1" customWidth="1"/>
    <col min="142" max="142" width="25.1640625" bestFit="1" customWidth="1"/>
    <col min="143" max="143" width="23" bestFit="1" customWidth="1"/>
    <col min="144" max="144" width="31.6640625" bestFit="1" customWidth="1"/>
    <col min="145" max="145" width="26.6640625" bestFit="1" customWidth="1"/>
    <col min="146" max="146" width="28.5" bestFit="1" customWidth="1"/>
    <col min="147" max="147" width="22.6640625" bestFit="1" customWidth="1"/>
    <col min="148" max="148" width="19.1640625" bestFit="1" customWidth="1"/>
    <col min="149" max="149" width="20.83203125" bestFit="1" customWidth="1"/>
    <col min="150" max="150" width="8" bestFit="1" customWidth="1"/>
    <col min="151" max="151" width="17.6640625" bestFit="1" customWidth="1"/>
    <col min="152" max="152" width="13.6640625" bestFit="1" customWidth="1"/>
    <col min="153" max="153" width="15.5" bestFit="1" customWidth="1"/>
    <col min="154" max="154" width="22.6640625" bestFit="1" customWidth="1"/>
    <col min="155" max="155" width="19.1640625" bestFit="1" customWidth="1"/>
    <col min="156" max="156" width="20.83203125" bestFit="1" customWidth="1"/>
    <col min="157" max="157" width="8" bestFit="1" customWidth="1"/>
    <col min="158" max="158" width="17.6640625" bestFit="1" customWidth="1"/>
    <col min="159" max="159" width="13.6640625" bestFit="1" customWidth="1"/>
    <col min="160" max="160" width="15.5" bestFit="1" customWidth="1"/>
    <col min="161" max="161" width="22.6640625" bestFit="1" customWidth="1"/>
    <col min="162" max="162" width="19.1640625" bestFit="1" customWidth="1"/>
    <col min="163" max="163" width="20.83203125" bestFit="1" customWidth="1"/>
    <col min="164" max="164" width="14.5" bestFit="1" customWidth="1"/>
    <col min="165" max="165" width="25.1640625" bestFit="1" customWidth="1"/>
    <col min="166" max="166" width="21.1640625" bestFit="1" customWidth="1"/>
    <col min="167" max="167" width="23" bestFit="1" customWidth="1"/>
    <col min="168" max="168" width="31.6640625" bestFit="1" customWidth="1"/>
    <col min="169" max="169" width="26.6640625" bestFit="1" customWidth="1"/>
    <col min="170" max="170" width="28.5" bestFit="1" customWidth="1"/>
    <col min="171" max="171" width="14.5" bestFit="1" customWidth="1"/>
    <col min="172" max="172" width="20.1640625" bestFit="1" customWidth="1"/>
    <col min="173" max="173" width="20" bestFit="1" customWidth="1"/>
    <col min="174" max="174" width="16.33203125" bestFit="1" customWidth="1"/>
    <col min="175" max="175" width="17.83203125" bestFit="1" customWidth="1"/>
    <col min="176" max="176" width="25.33203125" bestFit="1" customWidth="1"/>
    <col min="177" max="177" width="22.1640625" bestFit="1" customWidth="1"/>
    <col min="178" max="178" width="23.83203125" bestFit="1" customWidth="1"/>
    <col min="179" max="179" width="14.5" bestFit="1" customWidth="1"/>
    <col min="180" max="180" width="20.1640625" bestFit="1" customWidth="1"/>
    <col min="181" max="181" width="20" bestFit="1" customWidth="1"/>
    <col min="182" max="182" width="16.33203125" bestFit="1" customWidth="1"/>
    <col min="183" max="183" width="17.83203125" bestFit="1" customWidth="1"/>
    <col min="184" max="184" width="25.33203125" bestFit="1" customWidth="1"/>
    <col min="185" max="185" width="22.1640625" bestFit="1" customWidth="1"/>
    <col min="186" max="186" width="23.83203125" bestFit="1" customWidth="1"/>
    <col min="187" max="187" width="23" bestFit="1" customWidth="1"/>
    <col min="188" max="188" width="28.5" bestFit="1" customWidth="1"/>
    <col min="189" max="189" width="28.33203125" bestFit="1" customWidth="1"/>
    <col min="190" max="190" width="24.5" bestFit="1" customWidth="1"/>
    <col min="191" max="191" width="26" bestFit="1" customWidth="1"/>
    <col min="192" max="192" width="35.6640625" bestFit="1" customWidth="1"/>
    <col min="193" max="193" width="30.33203125" bestFit="1" customWidth="1"/>
    <col min="194" max="194" width="32.1640625" bestFit="1" customWidth="1"/>
    <col min="195" max="195" width="18.1640625" bestFit="1" customWidth="1"/>
    <col min="196" max="196" width="15.5" bestFit="1" customWidth="1"/>
    <col min="197" max="197" width="20.5" bestFit="1" customWidth="1"/>
    <col min="198" max="198" width="23" bestFit="1" customWidth="1"/>
    <col min="199" max="199" width="18.5" bestFit="1" customWidth="1"/>
    <col min="200" max="200" width="15.1640625" bestFit="1" customWidth="1"/>
    <col min="201" max="201" width="17.5" bestFit="1" customWidth="1"/>
    <col min="202" max="202" width="24.5" bestFit="1" customWidth="1"/>
  </cols>
  <sheetData>
    <row r="3" spans="2:50" x14ac:dyDescent="0.2">
      <c r="B3" s="9"/>
      <c r="C3" s="9" t="s">
        <v>98</v>
      </c>
      <c r="D3" s="9"/>
      <c r="E3" s="9"/>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row>
    <row r="4" spans="2:50" ht="15" x14ac:dyDescent="0.2">
      <c r="B4" s="9"/>
      <c r="C4" s="9" t="s">
        <v>1</v>
      </c>
      <c r="D4" s="9"/>
      <c r="E4" s="9"/>
      <c r="F4" s="9"/>
      <c r="G4" s="9"/>
      <c r="H4" s="9"/>
      <c r="I4" s="9" t="s">
        <v>237</v>
      </c>
      <c r="J4" s="9" t="s">
        <v>167</v>
      </c>
      <c r="K4" s="9" t="s">
        <v>2</v>
      </c>
      <c r="L4" s="9"/>
      <c r="M4" s="9"/>
      <c r="N4" s="9"/>
      <c r="O4" s="9"/>
      <c r="P4" s="9"/>
      <c r="Q4" s="9" t="s">
        <v>238</v>
      </c>
      <c r="R4" s="9" t="s">
        <v>168</v>
      </c>
      <c r="S4" s="9" t="s">
        <v>3</v>
      </c>
      <c r="T4" s="9"/>
      <c r="U4" s="9"/>
      <c r="V4" s="9"/>
      <c r="W4" s="9"/>
      <c r="X4" s="9"/>
      <c r="Y4" s="9" t="s">
        <v>239</v>
      </c>
      <c r="Z4" s="9" t="s">
        <v>169</v>
      </c>
      <c r="AA4" s="9" t="s">
        <v>4</v>
      </c>
      <c r="AB4" s="9"/>
      <c r="AC4" s="9"/>
      <c r="AD4" s="9"/>
      <c r="AE4" s="9"/>
      <c r="AF4" s="9"/>
      <c r="AG4" s="9" t="s">
        <v>240</v>
      </c>
      <c r="AH4" s="9" t="s">
        <v>170</v>
      </c>
      <c r="AI4" s="9" t="s">
        <v>5</v>
      </c>
      <c r="AJ4" s="9"/>
      <c r="AK4" s="9"/>
      <c r="AL4" s="9"/>
      <c r="AM4" s="9"/>
      <c r="AN4" s="9"/>
      <c r="AO4" s="9" t="s">
        <v>241</v>
      </c>
      <c r="AP4" s="9" t="s">
        <v>171</v>
      </c>
      <c r="AQ4" s="9" t="s">
        <v>6</v>
      </c>
      <c r="AR4" s="9"/>
      <c r="AS4" s="9"/>
      <c r="AT4" s="9"/>
      <c r="AU4" s="9"/>
      <c r="AV4" s="9"/>
      <c r="AW4" s="9" t="s">
        <v>242</v>
      </c>
      <c r="AX4" s="9" t="s">
        <v>172</v>
      </c>
    </row>
    <row r="5" spans="2:50" ht="15" x14ac:dyDescent="0.2">
      <c r="B5" s="9"/>
      <c r="C5" s="9" t="s">
        <v>48</v>
      </c>
      <c r="D5" s="9"/>
      <c r="E5" s="9" t="s">
        <v>49</v>
      </c>
      <c r="F5" s="9"/>
      <c r="G5" s="9" t="s">
        <v>50</v>
      </c>
      <c r="H5" s="9"/>
      <c r="I5" s="9"/>
      <c r="J5" s="9"/>
      <c r="K5" s="9" t="s">
        <v>48</v>
      </c>
      <c r="L5" s="9"/>
      <c r="M5" s="9" t="s">
        <v>49</v>
      </c>
      <c r="N5" s="9"/>
      <c r="O5" s="9" t="s">
        <v>50</v>
      </c>
      <c r="P5" s="9"/>
      <c r="Q5" s="9"/>
      <c r="R5" s="9"/>
      <c r="S5" s="9" t="s">
        <v>48</v>
      </c>
      <c r="T5" s="9"/>
      <c r="U5" s="9" t="s">
        <v>49</v>
      </c>
      <c r="V5" s="9"/>
      <c r="W5" s="9" t="s">
        <v>50</v>
      </c>
      <c r="X5" s="9"/>
      <c r="Y5" s="9"/>
      <c r="Z5" s="9"/>
      <c r="AA5" s="9" t="s">
        <v>48</v>
      </c>
      <c r="AB5" s="9"/>
      <c r="AC5" s="9" t="s">
        <v>49</v>
      </c>
      <c r="AD5" s="9"/>
      <c r="AE5" s="9" t="s">
        <v>50</v>
      </c>
      <c r="AF5" s="9"/>
      <c r="AG5" s="9"/>
      <c r="AH5" s="9"/>
      <c r="AI5" s="9" t="s">
        <v>48</v>
      </c>
      <c r="AJ5" s="9"/>
      <c r="AK5" s="9" t="s">
        <v>49</v>
      </c>
      <c r="AL5" s="9"/>
      <c r="AM5" s="9" t="s">
        <v>50</v>
      </c>
      <c r="AN5" s="9"/>
      <c r="AO5" s="9"/>
      <c r="AP5" s="9"/>
      <c r="AQ5" s="9" t="s">
        <v>48</v>
      </c>
      <c r="AR5" s="9"/>
      <c r="AS5" s="9" t="s">
        <v>49</v>
      </c>
      <c r="AT5" s="9"/>
      <c r="AU5" s="9" t="s">
        <v>50</v>
      </c>
      <c r="AV5" s="9"/>
      <c r="AW5" s="9"/>
      <c r="AX5" s="9"/>
    </row>
    <row r="6" spans="2:50" ht="15" x14ac:dyDescent="0.2">
      <c r="B6" s="9" t="s">
        <v>8</v>
      </c>
      <c r="C6" s="9" t="s">
        <v>113</v>
      </c>
      <c r="D6" s="9" t="s">
        <v>173</v>
      </c>
      <c r="E6" s="9" t="s">
        <v>113</v>
      </c>
      <c r="F6" s="9" t="s">
        <v>173</v>
      </c>
      <c r="G6" s="9" t="s">
        <v>113</v>
      </c>
      <c r="H6" s="9" t="s">
        <v>173</v>
      </c>
      <c r="I6" s="9"/>
      <c r="J6" s="9"/>
      <c r="K6" s="9" t="s">
        <v>113</v>
      </c>
      <c r="L6" s="9" t="s">
        <v>173</v>
      </c>
      <c r="M6" s="9" t="s">
        <v>113</v>
      </c>
      <c r="N6" s="9" t="s">
        <v>173</v>
      </c>
      <c r="O6" s="9" t="s">
        <v>113</v>
      </c>
      <c r="P6" s="9" t="s">
        <v>173</v>
      </c>
      <c r="Q6" s="9"/>
      <c r="R6" s="9"/>
      <c r="S6" s="9" t="s">
        <v>113</v>
      </c>
      <c r="T6" s="9" t="s">
        <v>173</v>
      </c>
      <c r="U6" s="9" t="s">
        <v>113</v>
      </c>
      <c r="V6" s="9" t="s">
        <v>173</v>
      </c>
      <c r="W6" s="9" t="s">
        <v>113</v>
      </c>
      <c r="X6" s="9" t="s">
        <v>173</v>
      </c>
      <c r="Y6" s="9"/>
      <c r="Z6" s="9"/>
      <c r="AA6" s="9" t="s">
        <v>113</v>
      </c>
      <c r="AB6" s="9" t="s">
        <v>173</v>
      </c>
      <c r="AC6" s="9" t="s">
        <v>113</v>
      </c>
      <c r="AD6" s="9" t="s">
        <v>173</v>
      </c>
      <c r="AE6" s="9" t="s">
        <v>113</v>
      </c>
      <c r="AF6" s="9" t="s">
        <v>173</v>
      </c>
      <c r="AG6" s="9"/>
      <c r="AH6" s="9"/>
      <c r="AI6" s="9" t="s">
        <v>113</v>
      </c>
      <c r="AJ6" s="9" t="s">
        <v>173</v>
      </c>
      <c r="AK6" s="9" t="s">
        <v>113</v>
      </c>
      <c r="AL6" s="9" t="s">
        <v>173</v>
      </c>
      <c r="AM6" s="9" t="s">
        <v>113</v>
      </c>
      <c r="AN6" s="9" t="s">
        <v>173</v>
      </c>
      <c r="AO6" s="9"/>
      <c r="AP6" s="9"/>
      <c r="AQ6" s="9" t="s">
        <v>113</v>
      </c>
      <c r="AR6" s="9" t="s">
        <v>173</v>
      </c>
      <c r="AS6" s="9" t="s">
        <v>113</v>
      </c>
      <c r="AT6" s="9" t="s">
        <v>173</v>
      </c>
      <c r="AU6" s="9" t="s">
        <v>113</v>
      </c>
      <c r="AV6" s="9" t="s">
        <v>173</v>
      </c>
      <c r="AW6" s="9"/>
      <c r="AX6" s="9"/>
    </row>
    <row r="7" spans="2:50" ht="15" x14ac:dyDescent="0.2">
      <c r="B7" s="19" t="s">
        <v>9</v>
      </c>
      <c r="C7" s="9">
        <v>63</v>
      </c>
      <c r="D7" s="9">
        <v>65.87</v>
      </c>
      <c r="E7" s="9">
        <v>10</v>
      </c>
      <c r="F7" s="9">
        <v>65.87</v>
      </c>
      <c r="G7" s="9">
        <v>27</v>
      </c>
      <c r="H7" s="9">
        <v>65.87</v>
      </c>
      <c r="I7" s="9">
        <v>100</v>
      </c>
      <c r="J7" s="9">
        <v>65.87</v>
      </c>
      <c r="K7" s="9">
        <v>0</v>
      </c>
      <c r="L7" s="9">
        <v>0</v>
      </c>
      <c r="M7" s="9">
        <v>0</v>
      </c>
      <c r="N7" s="9">
        <v>0</v>
      </c>
      <c r="O7" s="9">
        <v>63</v>
      </c>
      <c r="P7" s="9">
        <v>90.95</v>
      </c>
      <c r="Q7" s="9">
        <v>63</v>
      </c>
      <c r="R7" s="9">
        <v>90.95</v>
      </c>
      <c r="S7" s="9">
        <v>0</v>
      </c>
      <c r="T7" s="9">
        <v>0</v>
      </c>
      <c r="U7" s="9">
        <v>25</v>
      </c>
      <c r="V7" s="9">
        <v>79.28</v>
      </c>
      <c r="W7" s="9">
        <v>24</v>
      </c>
      <c r="X7" s="9">
        <v>79.28</v>
      </c>
      <c r="Y7" s="9">
        <v>49</v>
      </c>
      <c r="Z7" s="9">
        <v>79.28</v>
      </c>
      <c r="AA7" s="9">
        <v>100</v>
      </c>
      <c r="AB7" s="9">
        <v>47.47</v>
      </c>
      <c r="AC7" s="9">
        <v>0</v>
      </c>
      <c r="AD7" s="9">
        <v>0</v>
      </c>
      <c r="AE7" s="9">
        <v>0</v>
      </c>
      <c r="AF7" s="9">
        <v>0</v>
      </c>
      <c r="AG7" s="9">
        <v>100</v>
      </c>
      <c r="AH7" s="9">
        <v>47.47</v>
      </c>
      <c r="AI7" s="9">
        <v>100</v>
      </c>
      <c r="AJ7" s="9">
        <v>25.25</v>
      </c>
      <c r="AK7" s="9">
        <v>0</v>
      </c>
      <c r="AL7" s="9">
        <v>0</v>
      </c>
      <c r="AM7" s="9">
        <v>0</v>
      </c>
      <c r="AN7" s="9">
        <v>0</v>
      </c>
      <c r="AO7" s="9">
        <v>100</v>
      </c>
      <c r="AP7" s="9">
        <v>25.25</v>
      </c>
      <c r="AQ7" s="9">
        <v>100</v>
      </c>
      <c r="AR7" s="9">
        <v>28.43</v>
      </c>
      <c r="AS7" s="9">
        <v>0</v>
      </c>
      <c r="AT7" s="9">
        <v>0</v>
      </c>
      <c r="AU7" s="9">
        <v>0</v>
      </c>
      <c r="AV7" s="9">
        <v>0</v>
      </c>
      <c r="AW7" s="9">
        <v>100</v>
      </c>
      <c r="AX7" s="9">
        <v>28.43</v>
      </c>
    </row>
    <row r="8" spans="2:50" ht="15" x14ac:dyDescent="0.2">
      <c r="B8" s="19" t="s">
        <v>10</v>
      </c>
      <c r="C8" s="9">
        <v>32</v>
      </c>
      <c r="D8" s="9">
        <v>65.87</v>
      </c>
      <c r="E8" s="9">
        <v>58</v>
      </c>
      <c r="F8" s="9">
        <v>65.87</v>
      </c>
      <c r="G8" s="9">
        <v>0</v>
      </c>
      <c r="H8" s="9">
        <v>0</v>
      </c>
      <c r="I8" s="9">
        <v>90</v>
      </c>
      <c r="J8" s="9">
        <v>65.87</v>
      </c>
      <c r="K8" s="9">
        <v>0</v>
      </c>
      <c r="L8" s="9">
        <v>0</v>
      </c>
      <c r="M8" s="9">
        <v>19</v>
      </c>
      <c r="N8" s="9">
        <v>90.95</v>
      </c>
      <c r="O8" s="9">
        <v>18</v>
      </c>
      <c r="P8" s="9">
        <v>90.95</v>
      </c>
      <c r="Q8" s="9">
        <v>37</v>
      </c>
      <c r="R8" s="9">
        <v>90.95</v>
      </c>
      <c r="S8" s="9">
        <v>0</v>
      </c>
      <c r="T8" s="9">
        <v>0</v>
      </c>
      <c r="U8" s="9">
        <v>29</v>
      </c>
      <c r="V8" s="9">
        <v>79.28</v>
      </c>
      <c r="W8" s="9">
        <v>27</v>
      </c>
      <c r="X8" s="9">
        <v>79.28</v>
      </c>
      <c r="Y8" s="9">
        <v>56</v>
      </c>
      <c r="Z8" s="9">
        <v>79.28</v>
      </c>
      <c r="AA8" s="9">
        <v>0</v>
      </c>
      <c r="AB8" s="9">
        <v>0</v>
      </c>
      <c r="AC8" s="9">
        <v>0</v>
      </c>
      <c r="AD8" s="9">
        <v>0</v>
      </c>
      <c r="AE8" s="9">
        <v>0</v>
      </c>
      <c r="AF8" s="9">
        <v>0</v>
      </c>
      <c r="AG8" s="9">
        <v>0</v>
      </c>
      <c r="AH8" s="9">
        <v>0</v>
      </c>
      <c r="AI8" s="9">
        <v>0</v>
      </c>
      <c r="AJ8" s="9">
        <v>0</v>
      </c>
      <c r="AK8" s="9">
        <v>65</v>
      </c>
      <c r="AL8" s="9">
        <v>25.25</v>
      </c>
      <c r="AM8" s="9">
        <v>35</v>
      </c>
      <c r="AN8" s="9">
        <v>25.25</v>
      </c>
      <c r="AO8" s="9">
        <v>100</v>
      </c>
      <c r="AP8" s="9">
        <v>25.25</v>
      </c>
      <c r="AQ8" s="9">
        <v>0</v>
      </c>
      <c r="AR8" s="9">
        <v>0</v>
      </c>
      <c r="AS8" s="9">
        <v>100</v>
      </c>
      <c r="AT8" s="9">
        <v>28.43</v>
      </c>
      <c r="AU8" s="9">
        <v>0</v>
      </c>
      <c r="AV8" s="9">
        <v>0</v>
      </c>
      <c r="AW8" s="9">
        <v>100</v>
      </c>
      <c r="AX8" s="9">
        <v>28.43</v>
      </c>
    </row>
    <row r="9" spans="2:50" ht="15" x14ac:dyDescent="0.2">
      <c r="B9" s="19" t="s">
        <v>11</v>
      </c>
      <c r="C9" s="9">
        <v>0</v>
      </c>
      <c r="D9" s="9">
        <v>0</v>
      </c>
      <c r="E9" s="9">
        <v>0</v>
      </c>
      <c r="F9" s="9">
        <v>0</v>
      </c>
      <c r="G9" s="9">
        <v>0</v>
      </c>
      <c r="H9" s="9">
        <v>0</v>
      </c>
      <c r="I9" s="9">
        <v>0</v>
      </c>
      <c r="J9" s="9">
        <v>0</v>
      </c>
      <c r="K9" s="9">
        <v>0</v>
      </c>
      <c r="L9" s="9">
        <v>0</v>
      </c>
      <c r="M9" s="9">
        <v>0</v>
      </c>
      <c r="N9" s="9">
        <v>0</v>
      </c>
      <c r="O9" s="9">
        <v>19</v>
      </c>
      <c r="P9" s="9">
        <v>90.95</v>
      </c>
      <c r="Q9" s="9">
        <v>19</v>
      </c>
      <c r="R9" s="9">
        <v>90.95</v>
      </c>
      <c r="S9" s="9">
        <v>0</v>
      </c>
      <c r="T9" s="9">
        <v>0</v>
      </c>
      <c r="U9" s="9">
        <v>0</v>
      </c>
      <c r="V9" s="9">
        <v>0</v>
      </c>
      <c r="W9" s="9">
        <v>0</v>
      </c>
      <c r="X9" s="9">
        <v>0</v>
      </c>
      <c r="Y9" s="9">
        <v>0</v>
      </c>
      <c r="Z9" s="9">
        <v>0</v>
      </c>
      <c r="AA9" s="9">
        <v>0</v>
      </c>
      <c r="AB9" s="9">
        <v>0</v>
      </c>
      <c r="AC9" s="9">
        <v>0</v>
      </c>
      <c r="AD9" s="9">
        <v>0</v>
      </c>
      <c r="AE9" s="9">
        <v>36</v>
      </c>
      <c r="AF9" s="9">
        <v>47.47</v>
      </c>
      <c r="AG9" s="9">
        <v>36</v>
      </c>
      <c r="AH9" s="9">
        <v>47.47</v>
      </c>
      <c r="AI9" s="9">
        <v>0</v>
      </c>
      <c r="AJ9" s="9">
        <v>0</v>
      </c>
      <c r="AK9" s="9">
        <v>35</v>
      </c>
      <c r="AL9" s="9">
        <v>25.25</v>
      </c>
      <c r="AM9" s="9">
        <v>30</v>
      </c>
      <c r="AN9" s="9">
        <v>25.25</v>
      </c>
      <c r="AO9" s="9">
        <v>65</v>
      </c>
      <c r="AP9" s="9">
        <v>25.25</v>
      </c>
      <c r="AQ9" s="9">
        <v>0</v>
      </c>
      <c r="AR9" s="9">
        <v>0</v>
      </c>
      <c r="AS9" s="9">
        <v>0</v>
      </c>
      <c r="AT9" s="9">
        <v>0</v>
      </c>
      <c r="AU9" s="9">
        <v>0</v>
      </c>
      <c r="AV9" s="9">
        <v>0</v>
      </c>
      <c r="AW9" s="9">
        <v>0</v>
      </c>
      <c r="AX9" s="9">
        <v>0</v>
      </c>
    </row>
    <row r="10" spans="2:50" ht="15" x14ac:dyDescent="0.2">
      <c r="B10" s="19" t="s">
        <v>12</v>
      </c>
      <c r="C10" s="9">
        <v>31</v>
      </c>
      <c r="D10" s="9">
        <v>65.87</v>
      </c>
      <c r="E10" s="9">
        <v>0</v>
      </c>
      <c r="F10" s="9">
        <v>0</v>
      </c>
      <c r="G10" s="9">
        <v>0</v>
      </c>
      <c r="H10" s="9">
        <v>0</v>
      </c>
      <c r="I10" s="9">
        <v>31</v>
      </c>
      <c r="J10" s="9">
        <v>65.87</v>
      </c>
      <c r="K10" s="9">
        <v>0</v>
      </c>
      <c r="L10" s="9">
        <v>0</v>
      </c>
      <c r="M10" s="9">
        <v>0</v>
      </c>
      <c r="N10" s="9">
        <v>0</v>
      </c>
      <c r="O10" s="9">
        <v>62</v>
      </c>
      <c r="P10" s="9">
        <v>90.95</v>
      </c>
      <c r="Q10" s="9">
        <v>62</v>
      </c>
      <c r="R10" s="9">
        <v>90.95</v>
      </c>
      <c r="S10" s="9">
        <v>26</v>
      </c>
      <c r="T10" s="9">
        <v>79.28</v>
      </c>
      <c r="U10" s="9">
        <v>30</v>
      </c>
      <c r="V10" s="9">
        <v>79.28</v>
      </c>
      <c r="W10" s="9">
        <v>26</v>
      </c>
      <c r="X10" s="9">
        <v>79.28</v>
      </c>
      <c r="Y10" s="9">
        <v>82</v>
      </c>
      <c r="Z10" s="9">
        <v>79.28</v>
      </c>
      <c r="AA10" s="9">
        <v>48</v>
      </c>
      <c r="AB10" s="9">
        <v>47.47</v>
      </c>
      <c r="AC10" s="9">
        <v>0</v>
      </c>
      <c r="AD10" s="9">
        <v>0</v>
      </c>
      <c r="AE10" s="9">
        <v>0</v>
      </c>
      <c r="AF10" s="9">
        <v>0</v>
      </c>
      <c r="AG10" s="9">
        <v>48</v>
      </c>
      <c r="AH10" s="9">
        <v>47.47</v>
      </c>
      <c r="AI10" s="9">
        <v>100</v>
      </c>
      <c r="AJ10" s="9">
        <v>25.25</v>
      </c>
      <c r="AK10" s="9">
        <v>0</v>
      </c>
      <c r="AL10" s="9">
        <v>0</v>
      </c>
      <c r="AM10" s="9">
        <v>0</v>
      </c>
      <c r="AN10" s="9">
        <v>0</v>
      </c>
      <c r="AO10" s="9">
        <v>100</v>
      </c>
      <c r="AP10" s="9">
        <v>25.25</v>
      </c>
      <c r="AQ10" s="9">
        <v>100</v>
      </c>
      <c r="AR10" s="9">
        <v>28.43</v>
      </c>
      <c r="AS10" s="9">
        <v>0</v>
      </c>
      <c r="AT10" s="9">
        <v>0</v>
      </c>
      <c r="AU10" s="9">
        <v>0</v>
      </c>
      <c r="AV10" s="9">
        <v>0</v>
      </c>
      <c r="AW10" s="9">
        <v>100</v>
      </c>
      <c r="AX10" s="9">
        <v>28.43</v>
      </c>
    </row>
    <row r="11" spans="2:50" ht="15" x14ac:dyDescent="0.2">
      <c r="B11" s="19" t="s">
        <v>13</v>
      </c>
      <c r="C11" s="9">
        <v>0</v>
      </c>
      <c r="D11" s="9">
        <v>0</v>
      </c>
      <c r="E11" s="9">
        <v>59</v>
      </c>
      <c r="F11" s="9">
        <v>65.87</v>
      </c>
      <c r="G11" s="9">
        <v>30</v>
      </c>
      <c r="H11" s="9">
        <v>65.87</v>
      </c>
      <c r="I11" s="9">
        <v>89</v>
      </c>
      <c r="J11" s="9">
        <v>65.87</v>
      </c>
      <c r="K11" s="9">
        <v>0</v>
      </c>
      <c r="L11" s="9">
        <v>0</v>
      </c>
      <c r="M11" s="9">
        <v>0</v>
      </c>
      <c r="N11" s="9">
        <v>0</v>
      </c>
      <c r="O11" s="9">
        <v>19</v>
      </c>
      <c r="P11" s="9">
        <v>90.95</v>
      </c>
      <c r="Q11" s="9">
        <v>19</v>
      </c>
      <c r="R11" s="9">
        <v>90.95</v>
      </c>
      <c r="S11" s="9">
        <v>21</v>
      </c>
      <c r="T11" s="9">
        <v>79.28</v>
      </c>
      <c r="U11" s="9">
        <v>23</v>
      </c>
      <c r="V11" s="9">
        <v>79.28</v>
      </c>
      <c r="W11" s="9">
        <v>25</v>
      </c>
      <c r="X11" s="9">
        <v>79.28</v>
      </c>
      <c r="Y11" s="9">
        <v>69</v>
      </c>
      <c r="Z11" s="9">
        <v>79.28</v>
      </c>
      <c r="AA11" s="9">
        <v>32</v>
      </c>
      <c r="AB11" s="9">
        <v>47.47</v>
      </c>
      <c r="AC11" s="9">
        <v>48</v>
      </c>
      <c r="AD11" s="9">
        <v>47.47</v>
      </c>
      <c r="AE11" s="9">
        <v>0</v>
      </c>
      <c r="AF11" s="9">
        <v>0</v>
      </c>
      <c r="AG11" s="9">
        <v>80</v>
      </c>
      <c r="AH11" s="9">
        <v>47.47</v>
      </c>
      <c r="AI11" s="9">
        <v>0</v>
      </c>
      <c r="AJ11" s="9">
        <v>0</v>
      </c>
      <c r="AK11" s="9">
        <v>65</v>
      </c>
      <c r="AL11" s="9">
        <v>25.25</v>
      </c>
      <c r="AM11" s="9">
        <v>0</v>
      </c>
      <c r="AN11" s="9">
        <v>0</v>
      </c>
      <c r="AO11" s="9">
        <v>65</v>
      </c>
      <c r="AP11" s="9">
        <v>25.25</v>
      </c>
      <c r="AQ11" s="9">
        <v>0</v>
      </c>
      <c r="AR11" s="9">
        <v>0</v>
      </c>
      <c r="AS11" s="9">
        <v>100</v>
      </c>
      <c r="AT11" s="9">
        <v>28.43</v>
      </c>
      <c r="AU11" s="9">
        <v>0</v>
      </c>
      <c r="AV11" s="9">
        <v>0</v>
      </c>
      <c r="AW11" s="9">
        <v>100</v>
      </c>
      <c r="AX11" s="9">
        <v>28.43</v>
      </c>
    </row>
    <row r="12" spans="2:50" ht="15" x14ac:dyDescent="0.2">
      <c r="B12" s="19" t="s">
        <v>14</v>
      </c>
      <c r="C12" s="9">
        <v>31</v>
      </c>
      <c r="D12" s="9">
        <v>65.87</v>
      </c>
      <c r="E12" s="9">
        <v>0</v>
      </c>
      <c r="F12" s="9">
        <v>0</v>
      </c>
      <c r="G12" s="9">
        <v>27</v>
      </c>
      <c r="H12" s="9">
        <v>65.87</v>
      </c>
      <c r="I12" s="9">
        <v>58</v>
      </c>
      <c r="J12" s="9">
        <v>65.87</v>
      </c>
      <c r="K12" s="9">
        <v>23</v>
      </c>
      <c r="L12" s="9">
        <v>90.95</v>
      </c>
      <c r="M12" s="9">
        <v>0</v>
      </c>
      <c r="N12" s="9">
        <v>0</v>
      </c>
      <c r="O12" s="9">
        <v>0</v>
      </c>
      <c r="P12" s="9">
        <v>0</v>
      </c>
      <c r="Q12" s="9">
        <v>23</v>
      </c>
      <c r="R12" s="9">
        <v>90.95</v>
      </c>
      <c r="S12" s="9">
        <v>0</v>
      </c>
      <c r="T12" s="9">
        <v>0</v>
      </c>
      <c r="U12" s="9">
        <v>40</v>
      </c>
      <c r="V12" s="9">
        <v>79.28</v>
      </c>
      <c r="W12" s="9">
        <v>9</v>
      </c>
      <c r="X12" s="9">
        <v>79.28</v>
      </c>
      <c r="Y12" s="9">
        <v>49</v>
      </c>
      <c r="Z12" s="9">
        <v>79.28</v>
      </c>
      <c r="AA12" s="9">
        <v>20</v>
      </c>
      <c r="AB12" s="9">
        <v>47.47</v>
      </c>
      <c r="AC12" s="9">
        <v>0</v>
      </c>
      <c r="AD12" s="9">
        <v>0</v>
      </c>
      <c r="AE12" s="9">
        <v>0</v>
      </c>
      <c r="AF12" s="9">
        <v>0</v>
      </c>
      <c r="AG12" s="9">
        <v>20</v>
      </c>
      <c r="AH12" s="9">
        <v>47.47</v>
      </c>
      <c r="AI12" s="9">
        <v>0</v>
      </c>
      <c r="AJ12" s="9">
        <v>0</v>
      </c>
      <c r="AK12" s="9">
        <v>0</v>
      </c>
      <c r="AL12" s="9">
        <v>0</v>
      </c>
      <c r="AM12" s="9">
        <v>70</v>
      </c>
      <c r="AN12" s="9">
        <v>25.25</v>
      </c>
      <c r="AO12" s="9">
        <v>70</v>
      </c>
      <c r="AP12" s="9">
        <v>25.25</v>
      </c>
      <c r="AQ12" s="9">
        <v>0</v>
      </c>
      <c r="AR12" s="9">
        <v>0</v>
      </c>
      <c r="AS12" s="9">
        <v>0</v>
      </c>
      <c r="AT12" s="9">
        <v>0</v>
      </c>
      <c r="AU12" s="9">
        <v>0</v>
      </c>
      <c r="AV12" s="9">
        <v>0</v>
      </c>
      <c r="AW12" s="9">
        <v>0</v>
      </c>
      <c r="AX12" s="9">
        <v>0</v>
      </c>
    </row>
    <row r="13" spans="2:50" ht="15" x14ac:dyDescent="0.2">
      <c r="B13" s="19" t="s">
        <v>15</v>
      </c>
      <c r="C13" s="9">
        <v>31</v>
      </c>
      <c r="D13" s="9">
        <v>65.87</v>
      </c>
      <c r="E13" s="9">
        <v>24</v>
      </c>
      <c r="F13" s="9">
        <v>65.87</v>
      </c>
      <c r="G13" s="9">
        <v>0</v>
      </c>
      <c r="H13" s="9">
        <v>0</v>
      </c>
      <c r="I13" s="9">
        <v>55</v>
      </c>
      <c r="J13" s="9">
        <v>65.87</v>
      </c>
      <c r="K13" s="9">
        <v>26</v>
      </c>
      <c r="L13" s="9">
        <v>90.95</v>
      </c>
      <c r="M13" s="9">
        <v>0</v>
      </c>
      <c r="N13" s="9">
        <v>0</v>
      </c>
      <c r="O13" s="9">
        <v>17</v>
      </c>
      <c r="P13" s="9">
        <v>90.95</v>
      </c>
      <c r="Q13" s="9">
        <v>43</v>
      </c>
      <c r="R13" s="9">
        <v>90.95</v>
      </c>
      <c r="S13" s="9">
        <v>27</v>
      </c>
      <c r="T13" s="9">
        <v>79.28</v>
      </c>
      <c r="U13" s="9">
        <v>0</v>
      </c>
      <c r="V13" s="9">
        <v>0</v>
      </c>
      <c r="W13" s="9">
        <v>0</v>
      </c>
      <c r="X13" s="9">
        <v>0</v>
      </c>
      <c r="Y13" s="9">
        <v>27</v>
      </c>
      <c r="Z13" s="9">
        <v>79.28</v>
      </c>
      <c r="AA13" s="9">
        <v>80</v>
      </c>
      <c r="AB13" s="9">
        <v>47.47</v>
      </c>
      <c r="AC13" s="9">
        <v>20</v>
      </c>
      <c r="AD13" s="9">
        <v>47.47</v>
      </c>
      <c r="AE13" s="9">
        <v>0</v>
      </c>
      <c r="AF13" s="9">
        <v>0</v>
      </c>
      <c r="AG13" s="9">
        <v>100</v>
      </c>
      <c r="AH13" s="9">
        <v>47.47</v>
      </c>
      <c r="AI13" s="9">
        <v>70</v>
      </c>
      <c r="AJ13" s="9">
        <v>25.25</v>
      </c>
      <c r="AK13" s="9">
        <v>0</v>
      </c>
      <c r="AL13" s="9">
        <v>0</v>
      </c>
      <c r="AM13" s="9">
        <v>0</v>
      </c>
      <c r="AN13" s="9">
        <v>0</v>
      </c>
      <c r="AO13" s="9">
        <v>70</v>
      </c>
      <c r="AP13" s="9">
        <v>25.25</v>
      </c>
      <c r="AQ13" s="9">
        <v>50</v>
      </c>
      <c r="AR13" s="9">
        <v>28.43</v>
      </c>
      <c r="AS13" s="9">
        <v>0</v>
      </c>
      <c r="AT13" s="9">
        <v>0</v>
      </c>
      <c r="AU13" s="9">
        <v>0</v>
      </c>
      <c r="AV13" s="9">
        <v>0</v>
      </c>
      <c r="AW13" s="9">
        <v>50</v>
      </c>
      <c r="AX13" s="9">
        <v>28.43</v>
      </c>
    </row>
    <row r="14" spans="2:50" ht="15" x14ac:dyDescent="0.2">
      <c r="B14" s="19" t="s">
        <v>16</v>
      </c>
      <c r="C14" s="9">
        <v>0</v>
      </c>
      <c r="D14" s="9">
        <v>0</v>
      </c>
      <c r="E14" s="9">
        <v>24</v>
      </c>
      <c r="F14" s="9">
        <v>65.87</v>
      </c>
      <c r="G14" s="9">
        <v>0</v>
      </c>
      <c r="H14" s="9">
        <v>0</v>
      </c>
      <c r="I14" s="9">
        <v>24</v>
      </c>
      <c r="J14" s="9">
        <v>65.87</v>
      </c>
      <c r="K14" s="9">
        <v>0</v>
      </c>
      <c r="L14" s="9">
        <v>0</v>
      </c>
      <c r="M14" s="9">
        <v>0</v>
      </c>
      <c r="N14" s="9">
        <v>0</v>
      </c>
      <c r="O14" s="9">
        <v>83</v>
      </c>
      <c r="P14" s="9">
        <v>90.95</v>
      </c>
      <c r="Q14" s="9">
        <v>83</v>
      </c>
      <c r="R14" s="9">
        <v>90.95</v>
      </c>
      <c r="S14" s="9">
        <v>0</v>
      </c>
      <c r="T14" s="9">
        <v>0</v>
      </c>
      <c r="U14" s="9">
        <v>0</v>
      </c>
      <c r="V14" s="9">
        <v>0</v>
      </c>
      <c r="W14" s="9">
        <v>23</v>
      </c>
      <c r="X14" s="9">
        <v>79.28</v>
      </c>
      <c r="Y14" s="9">
        <v>23</v>
      </c>
      <c r="Z14" s="9">
        <v>79.28</v>
      </c>
      <c r="AA14" s="9">
        <v>0</v>
      </c>
      <c r="AB14" s="9">
        <v>0</v>
      </c>
      <c r="AC14" s="9">
        <v>0</v>
      </c>
      <c r="AD14" s="9">
        <v>0</v>
      </c>
      <c r="AE14" s="9">
        <v>48</v>
      </c>
      <c r="AF14" s="9">
        <v>47.47</v>
      </c>
      <c r="AG14" s="9">
        <v>48</v>
      </c>
      <c r="AH14" s="9">
        <v>47.47</v>
      </c>
      <c r="AI14" s="9">
        <v>0</v>
      </c>
      <c r="AJ14" s="9">
        <v>0</v>
      </c>
      <c r="AK14" s="9">
        <v>24</v>
      </c>
      <c r="AL14" s="9">
        <v>25.25</v>
      </c>
      <c r="AM14" s="9">
        <v>0</v>
      </c>
      <c r="AN14" s="9">
        <v>0</v>
      </c>
      <c r="AO14" s="9">
        <v>24</v>
      </c>
      <c r="AP14" s="9">
        <v>25.25</v>
      </c>
      <c r="AQ14" s="9">
        <v>0</v>
      </c>
      <c r="AR14" s="9">
        <v>0</v>
      </c>
      <c r="AS14" s="9">
        <v>0</v>
      </c>
      <c r="AT14" s="9">
        <v>0</v>
      </c>
      <c r="AU14" s="9">
        <v>0</v>
      </c>
      <c r="AV14" s="9">
        <v>0</v>
      </c>
      <c r="AW14" s="9">
        <v>0</v>
      </c>
      <c r="AX14" s="9">
        <v>0</v>
      </c>
    </row>
    <row r="15" spans="2:50" ht="15" x14ac:dyDescent="0.2">
      <c r="B15" s="19" t="s">
        <v>17</v>
      </c>
      <c r="C15" s="9">
        <v>36</v>
      </c>
      <c r="D15" s="9">
        <v>67</v>
      </c>
      <c r="E15" s="9">
        <v>11</v>
      </c>
      <c r="F15" s="9">
        <v>67</v>
      </c>
      <c r="G15" s="9">
        <v>0</v>
      </c>
      <c r="H15" s="9">
        <v>0</v>
      </c>
      <c r="I15" s="9">
        <v>47</v>
      </c>
      <c r="J15" s="9">
        <v>67</v>
      </c>
      <c r="K15" s="9">
        <v>0</v>
      </c>
      <c r="L15" s="9">
        <v>0</v>
      </c>
      <c r="M15" s="9">
        <v>25</v>
      </c>
      <c r="N15" s="9">
        <v>92</v>
      </c>
      <c r="O15" s="9">
        <v>0</v>
      </c>
      <c r="P15" s="9">
        <v>0</v>
      </c>
      <c r="Q15" s="9">
        <v>25</v>
      </c>
      <c r="R15" s="9">
        <v>92</v>
      </c>
      <c r="S15" s="9">
        <v>0</v>
      </c>
      <c r="T15" s="9">
        <v>0</v>
      </c>
      <c r="U15" s="9">
        <v>0</v>
      </c>
      <c r="V15" s="9">
        <v>0</v>
      </c>
      <c r="W15" s="9">
        <v>19</v>
      </c>
      <c r="X15" s="9">
        <v>81</v>
      </c>
      <c r="Y15" s="9">
        <v>19</v>
      </c>
      <c r="Z15" s="9">
        <v>81</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56</v>
      </c>
      <c r="AV15" s="9">
        <v>30</v>
      </c>
      <c r="AW15" s="9">
        <v>56</v>
      </c>
      <c r="AX15" s="9">
        <v>30</v>
      </c>
    </row>
    <row r="16" spans="2:50" ht="15" x14ac:dyDescent="0.2">
      <c r="B16" s="19" t="s">
        <v>18</v>
      </c>
      <c r="C16" s="9">
        <v>0</v>
      </c>
      <c r="D16" s="9">
        <v>0</v>
      </c>
      <c r="E16" s="9">
        <v>24</v>
      </c>
      <c r="F16" s="9">
        <v>67</v>
      </c>
      <c r="G16" s="9">
        <v>0</v>
      </c>
      <c r="H16" s="9">
        <v>0</v>
      </c>
      <c r="I16" s="9">
        <v>24</v>
      </c>
      <c r="J16" s="9">
        <v>67</v>
      </c>
      <c r="K16" s="9">
        <v>0</v>
      </c>
      <c r="L16" s="9">
        <v>0</v>
      </c>
      <c r="M16" s="9">
        <v>26</v>
      </c>
      <c r="N16" s="9">
        <v>92</v>
      </c>
      <c r="O16" s="9">
        <v>42</v>
      </c>
      <c r="P16" s="9">
        <v>92</v>
      </c>
      <c r="Q16" s="9">
        <v>68</v>
      </c>
      <c r="R16" s="9">
        <v>92</v>
      </c>
      <c r="S16" s="9">
        <v>24</v>
      </c>
      <c r="T16" s="9">
        <v>81</v>
      </c>
      <c r="U16" s="9">
        <v>0</v>
      </c>
      <c r="V16" s="9">
        <v>0</v>
      </c>
      <c r="W16" s="9">
        <v>0</v>
      </c>
      <c r="X16" s="9">
        <v>0</v>
      </c>
      <c r="Y16" s="9">
        <v>24</v>
      </c>
      <c r="Z16" s="9">
        <v>81</v>
      </c>
      <c r="AA16" s="9">
        <v>0</v>
      </c>
      <c r="AB16" s="9">
        <v>0</v>
      </c>
      <c r="AC16" s="9">
        <v>84</v>
      </c>
      <c r="AD16" s="9">
        <v>49</v>
      </c>
      <c r="AE16" s="9">
        <v>0</v>
      </c>
      <c r="AF16" s="9">
        <v>0</v>
      </c>
      <c r="AG16" s="9">
        <v>84</v>
      </c>
      <c r="AH16" s="9">
        <v>49</v>
      </c>
      <c r="AI16" s="9">
        <v>0</v>
      </c>
      <c r="AJ16" s="9">
        <v>0</v>
      </c>
      <c r="AK16" s="9">
        <v>0</v>
      </c>
      <c r="AL16" s="9">
        <v>0</v>
      </c>
      <c r="AM16" s="9">
        <v>6</v>
      </c>
      <c r="AN16" s="9">
        <v>27</v>
      </c>
      <c r="AO16" s="9">
        <v>6</v>
      </c>
      <c r="AP16" s="9">
        <v>27</v>
      </c>
      <c r="AQ16" s="9">
        <v>0</v>
      </c>
      <c r="AR16" s="9">
        <v>0</v>
      </c>
      <c r="AS16" s="9">
        <v>50</v>
      </c>
      <c r="AT16" s="9">
        <v>30</v>
      </c>
      <c r="AU16" s="9">
        <v>0</v>
      </c>
      <c r="AV16" s="9">
        <v>0</v>
      </c>
      <c r="AW16" s="9">
        <v>50</v>
      </c>
      <c r="AX16" s="9">
        <v>30</v>
      </c>
    </row>
    <row r="17" spans="2:50" ht="15" x14ac:dyDescent="0.2">
      <c r="B17" s="19" t="s">
        <v>19</v>
      </c>
      <c r="C17" s="9">
        <v>0</v>
      </c>
      <c r="D17" s="9">
        <v>0</v>
      </c>
      <c r="E17" s="9">
        <v>0</v>
      </c>
      <c r="F17" s="9">
        <v>0</v>
      </c>
      <c r="G17" s="9">
        <v>0</v>
      </c>
      <c r="H17" s="9">
        <v>0</v>
      </c>
      <c r="I17" s="9">
        <v>0</v>
      </c>
      <c r="J17" s="9">
        <v>0</v>
      </c>
      <c r="K17" s="9">
        <v>21</v>
      </c>
      <c r="L17" s="9">
        <v>92</v>
      </c>
      <c r="M17" s="9">
        <v>0</v>
      </c>
      <c r="N17" s="9">
        <v>0</v>
      </c>
      <c r="O17" s="9">
        <v>4</v>
      </c>
      <c r="P17" s="9">
        <v>92</v>
      </c>
      <c r="Q17" s="9">
        <v>25</v>
      </c>
      <c r="R17" s="9">
        <v>92</v>
      </c>
      <c r="S17" s="9">
        <v>0</v>
      </c>
      <c r="T17" s="9">
        <v>0</v>
      </c>
      <c r="U17" s="9">
        <v>19</v>
      </c>
      <c r="V17" s="9">
        <v>81</v>
      </c>
      <c r="W17" s="9">
        <v>0</v>
      </c>
      <c r="X17" s="9">
        <v>0</v>
      </c>
      <c r="Y17" s="9">
        <v>19</v>
      </c>
      <c r="Z17" s="9">
        <v>81</v>
      </c>
      <c r="AA17" s="9">
        <v>22</v>
      </c>
      <c r="AB17" s="9">
        <v>49</v>
      </c>
      <c r="AC17" s="9">
        <v>0</v>
      </c>
      <c r="AD17" s="9">
        <v>0</v>
      </c>
      <c r="AE17" s="9">
        <v>40</v>
      </c>
      <c r="AF17" s="9">
        <v>49</v>
      </c>
      <c r="AG17" s="9">
        <v>62</v>
      </c>
      <c r="AH17" s="9">
        <v>49</v>
      </c>
      <c r="AI17" s="9">
        <v>0</v>
      </c>
      <c r="AJ17" s="9">
        <v>0</v>
      </c>
      <c r="AK17" s="9">
        <v>0</v>
      </c>
      <c r="AL17" s="9">
        <v>0</v>
      </c>
      <c r="AM17" s="9">
        <v>0</v>
      </c>
      <c r="AN17" s="9">
        <v>0</v>
      </c>
      <c r="AO17" s="9">
        <v>0</v>
      </c>
      <c r="AP17" s="9">
        <v>0</v>
      </c>
      <c r="AQ17" s="9">
        <v>0</v>
      </c>
      <c r="AR17" s="9">
        <v>0</v>
      </c>
      <c r="AS17" s="9">
        <v>0</v>
      </c>
      <c r="AT17" s="9">
        <v>0</v>
      </c>
      <c r="AU17" s="9">
        <v>0</v>
      </c>
      <c r="AV17" s="9">
        <v>0</v>
      </c>
      <c r="AW17" s="9">
        <v>0</v>
      </c>
      <c r="AX17" s="9">
        <v>0</v>
      </c>
    </row>
    <row r="18" spans="2:50" ht="15" x14ac:dyDescent="0.2">
      <c r="B18" s="19" t="s">
        <v>20</v>
      </c>
      <c r="C18" s="9">
        <v>0</v>
      </c>
      <c r="D18" s="9">
        <v>0</v>
      </c>
      <c r="E18" s="9">
        <v>0</v>
      </c>
      <c r="F18" s="9">
        <v>0</v>
      </c>
      <c r="G18" s="9">
        <v>0</v>
      </c>
      <c r="H18" s="9">
        <v>0</v>
      </c>
      <c r="I18" s="9">
        <v>0</v>
      </c>
      <c r="J18" s="9">
        <v>0</v>
      </c>
      <c r="K18" s="9">
        <v>20</v>
      </c>
      <c r="L18" s="9">
        <v>92</v>
      </c>
      <c r="M18" s="9">
        <v>0</v>
      </c>
      <c r="N18" s="9">
        <v>0</v>
      </c>
      <c r="O18" s="9">
        <v>1</v>
      </c>
      <c r="P18" s="9">
        <v>92</v>
      </c>
      <c r="Q18" s="9">
        <v>21</v>
      </c>
      <c r="R18" s="9">
        <v>92</v>
      </c>
      <c r="S18" s="9">
        <v>0</v>
      </c>
      <c r="T18" s="9">
        <v>0</v>
      </c>
      <c r="U18" s="9">
        <v>0</v>
      </c>
      <c r="V18" s="9">
        <v>0</v>
      </c>
      <c r="W18" s="9">
        <v>37</v>
      </c>
      <c r="X18" s="9">
        <v>81</v>
      </c>
      <c r="Y18" s="9">
        <v>37</v>
      </c>
      <c r="Z18" s="9">
        <v>81</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row>
    <row r="19" spans="2:50" ht="15" x14ac:dyDescent="0.2">
      <c r="B19" s="19" t="s">
        <v>21</v>
      </c>
      <c r="C19" s="9">
        <v>28</v>
      </c>
      <c r="D19" s="9">
        <v>68</v>
      </c>
      <c r="E19" s="9">
        <v>40</v>
      </c>
      <c r="F19" s="9">
        <v>68</v>
      </c>
      <c r="G19" s="9">
        <v>0</v>
      </c>
      <c r="H19" s="9">
        <v>0</v>
      </c>
      <c r="I19" s="9">
        <v>68</v>
      </c>
      <c r="J19" s="9">
        <v>68</v>
      </c>
      <c r="K19" s="9">
        <v>0</v>
      </c>
      <c r="L19" s="9">
        <v>0</v>
      </c>
      <c r="M19" s="9">
        <v>0</v>
      </c>
      <c r="N19" s="9">
        <v>0</v>
      </c>
      <c r="O19" s="9">
        <v>38</v>
      </c>
      <c r="P19" s="9">
        <v>93</v>
      </c>
      <c r="Q19" s="9">
        <v>38</v>
      </c>
      <c r="R19" s="9">
        <v>93</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81</v>
      </c>
      <c r="AJ19" s="9">
        <v>28</v>
      </c>
      <c r="AK19" s="9">
        <v>0</v>
      </c>
      <c r="AL19" s="9">
        <v>0</v>
      </c>
      <c r="AM19" s="9">
        <v>0</v>
      </c>
      <c r="AN19" s="9">
        <v>0</v>
      </c>
      <c r="AO19" s="9">
        <v>81</v>
      </c>
      <c r="AP19" s="9">
        <v>28</v>
      </c>
      <c r="AQ19" s="9">
        <v>49</v>
      </c>
      <c r="AR19" s="9">
        <v>31</v>
      </c>
      <c r="AS19" s="9">
        <v>0</v>
      </c>
      <c r="AT19" s="9">
        <v>0</v>
      </c>
      <c r="AU19" s="9">
        <v>51</v>
      </c>
      <c r="AV19" s="9">
        <v>31</v>
      </c>
      <c r="AW19" s="9">
        <v>100</v>
      </c>
      <c r="AX19" s="9">
        <v>31</v>
      </c>
    </row>
    <row r="20" spans="2:50" ht="15" x14ac:dyDescent="0.2">
      <c r="B20" s="19" t="s">
        <v>22</v>
      </c>
      <c r="C20" s="9">
        <v>0</v>
      </c>
      <c r="D20" s="9">
        <v>0</v>
      </c>
      <c r="E20" s="9">
        <v>0</v>
      </c>
      <c r="F20" s="9">
        <v>0</v>
      </c>
      <c r="G20" s="9">
        <v>0</v>
      </c>
      <c r="H20" s="9">
        <v>0</v>
      </c>
      <c r="I20" s="9">
        <v>0</v>
      </c>
      <c r="J20" s="9">
        <v>0</v>
      </c>
      <c r="K20" s="9">
        <v>0</v>
      </c>
      <c r="L20" s="9">
        <v>0</v>
      </c>
      <c r="M20" s="9">
        <v>0</v>
      </c>
      <c r="N20" s="9">
        <v>0</v>
      </c>
      <c r="O20" s="9">
        <v>42</v>
      </c>
      <c r="P20" s="9">
        <v>93</v>
      </c>
      <c r="Q20" s="9">
        <v>42</v>
      </c>
      <c r="R20" s="9">
        <v>93</v>
      </c>
      <c r="S20" s="9">
        <v>25</v>
      </c>
      <c r="T20" s="9">
        <v>82</v>
      </c>
      <c r="U20" s="9">
        <v>0</v>
      </c>
      <c r="V20" s="9">
        <v>0</v>
      </c>
      <c r="W20" s="9">
        <v>0</v>
      </c>
      <c r="X20" s="9">
        <v>0</v>
      </c>
      <c r="Y20" s="9">
        <v>25</v>
      </c>
      <c r="Z20" s="9">
        <v>82</v>
      </c>
      <c r="AA20" s="9">
        <v>47</v>
      </c>
      <c r="AB20" s="9">
        <v>50</v>
      </c>
      <c r="AC20" s="9">
        <v>0</v>
      </c>
      <c r="AD20" s="9">
        <v>0</v>
      </c>
      <c r="AE20" s="9">
        <v>39</v>
      </c>
      <c r="AF20" s="9">
        <v>50</v>
      </c>
      <c r="AG20" s="9">
        <v>86</v>
      </c>
      <c r="AH20" s="9">
        <v>50</v>
      </c>
      <c r="AI20" s="9">
        <v>219</v>
      </c>
      <c r="AJ20" s="9">
        <v>28</v>
      </c>
      <c r="AK20" s="9">
        <v>0</v>
      </c>
      <c r="AL20" s="9">
        <v>0</v>
      </c>
      <c r="AM20" s="9">
        <v>0</v>
      </c>
      <c r="AN20" s="9">
        <v>0</v>
      </c>
      <c r="AO20" s="9">
        <v>219</v>
      </c>
      <c r="AP20" s="9">
        <v>28</v>
      </c>
      <c r="AQ20" s="9">
        <v>0</v>
      </c>
      <c r="AR20" s="9">
        <v>0</v>
      </c>
      <c r="AS20" s="9">
        <v>100</v>
      </c>
      <c r="AT20" s="9">
        <v>31</v>
      </c>
      <c r="AU20" s="9">
        <v>0</v>
      </c>
      <c r="AV20" s="9">
        <v>0</v>
      </c>
      <c r="AW20" s="9">
        <v>100</v>
      </c>
      <c r="AX20" s="9">
        <v>31</v>
      </c>
    </row>
    <row r="21" spans="2:50" ht="15" x14ac:dyDescent="0.2">
      <c r="B21" s="19" t="s">
        <v>23</v>
      </c>
      <c r="C21" s="9">
        <v>0</v>
      </c>
      <c r="D21" s="9">
        <v>0</v>
      </c>
      <c r="E21" s="9">
        <v>0</v>
      </c>
      <c r="F21" s="9">
        <v>0</v>
      </c>
      <c r="G21" s="9">
        <v>0</v>
      </c>
      <c r="H21" s="9">
        <v>0</v>
      </c>
      <c r="I21" s="9">
        <v>0</v>
      </c>
      <c r="J21" s="9">
        <v>0</v>
      </c>
      <c r="K21" s="9">
        <v>0</v>
      </c>
      <c r="L21" s="9">
        <v>0</v>
      </c>
      <c r="M21" s="9">
        <v>0</v>
      </c>
      <c r="N21" s="9">
        <v>0</v>
      </c>
      <c r="O21" s="9">
        <v>19</v>
      </c>
      <c r="P21" s="9">
        <v>93</v>
      </c>
      <c r="Q21" s="9">
        <v>19</v>
      </c>
      <c r="R21" s="9">
        <v>93</v>
      </c>
      <c r="S21" s="9">
        <v>27</v>
      </c>
      <c r="T21" s="9">
        <v>82</v>
      </c>
      <c r="U21" s="9">
        <v>0</v>
      </c>
      <c r="V21" s="9">
        <v>0</v>
      </c>
      <c r="W21" s="9">
        <v>22</v>
      </c>
      <c r="X21" s="9">
        <v>82</v>
      </c>
      <c r="Y21" s="9">
        <v>49</v>
      </c>
      <c r="Z21" s="9">
        <v>82</v>
      </c>
      <c r="AA21" s="9">
        <v>34</v>
      </c>
      <c r="AB21" s="9">
        <v>50</v>
      </c>
      <c r="AC21" s="9">
        <v>0</v>
      </c>
      <c r="AD21" s="9">
        <v>0</v>
      </c>
      <c r="AE21" s="9">
        <v>0</v>
      </c>
      <c r="AF21" s="9">
        <v>0</v>
      </c>
      <c r="AG21" s="9">
        <v>34</v>
      </c>
      <c r="AH21" s="9">
        <v>50</v>
      </c>
      <c r="AI21" s="9">
        <v>0</v>
      </c>
      <c r="AJ21" s="9">
        <v>0</v>
      </c>
      <c r="AK21" s="9">
        <v>0</v>
      </c>
      <c r="AL21" s="9">
        <v>0</v>
      </c>
      <c r="AM21" s="9">
        <v>74</v>
      </c>
      <c r="AN21" s="9">
        <v>28</v>
      </c>
      <c r="AO21" s="9">
        <v>74</v>
      </c>
      <c r="AP21" s="9">
        <v>28</v>
      </c>
      <c r="AQ21" s="9">
        <v>0</v>
      </c>
      <c r="AR21" s="9">
        <v>0</v>
      </c>
      <c r="AS21" s="9">
        <v>0</v>
      </c>
      <c r="AT21" s="9">
        <v>0</v>
      </c>
      <c r="AU21" s="9">
        <v>0</v>
      </c>
      <c r="AV21" s="9">
        <v>0</v>
      </c>
      <c r="AW21" s="9">
        <v>0</v>
      </c>
      <c r="AX21" s="9">
        <v>0</v>
      </c>
    </row>
    <row r="22" spans="2:50" ht="15" x14ac:dyDescent="0.2">
      <c r="B22" s="19" t="s">
        <v>24</v>
      </c>
      <c r="C22" s="9">
        <v>35</v>
      </c>
      <c r="D22" s="9">
        <v>68</v>
      </c>
      <c r="E22" s="9">
        <v>0</v>
      </c>
      <c r="F22" s="9">
        <v>0</v>
      </c>
      <c r="G22" s="9">
        <v>36</v>
      </c>
      <c r="H22" s="9">
        <v>68</v>
      </c>
      <c r="I22" s="9">
        <v>71</v>
      </c>
      <c r="J22" s="9">
        <v>68</v>
      </c>
      <c r="K22" s="9">
        <v>26</v>
      </c>
      <c r="L22" s="9">
        <v>93</v>
      </c>
      <c r="M22" s="9">
        <v>0</v>
      </c>
      <c r="N22" s="9">
        <v>0</v>
      </c>
      <c r="O22" s="9">
        <v>45</v>
      </c>
      <c r="P22" s="9">
        <v>93</v>
      </c>
      <c r="Q22" s="9">
        <v>71</v>
      </c>
      <c r="R22" s="9">
        <v>93</v>
      </c>
      <c r="S22" s="9">
        <v>23</v>
      </c>
      <c r="T22" s="9">
        <v>82</v>
      </c>
      <c r="U22" s="9">
        <v>0</v>
      </c>
      <c r="V22" s="9">
        <v>0</v>
      </c>
      <c r="W22" s="9">
        <v>0</v>
      </c>
      <c r="X22" s="9">
        <v>0</v>
      </c>
      <c r="Y22" s="9">
        <v>23</v>
      </c>
      <c r="Z22" s="9">
        <v>82</v>
      </c>
      <c r="AA22" s="9">
        <v>34</v>
      </c>
      <c r="AB22" s="9">
        <v>50</v>
      </c>
      <c r="AC22" s="9">
        <v>0</v>
      </c>
      <c r="AD22" s="9">
        <v>0</v>
      </c>
      <c r="AE22" s="9">
        <v>0</v>
      </c>
      <c r="AF22" s="9">
        <v>0</v>
      </c>
      <c r="AG22" s="9">
        <v>34</v>
      </c>
      <c r="AH22" s="9">
        <v>50</v>
      </c>
      <c r="AI22" s="9">
        <v>69</v>
      </c>
      <c r="AJ22" s="9">
        <v>28</v>
      </c>
      <c r="AK22" s="9">
        <v>0</v>
      </c>
      <c r="AL22" s="9">
        <v>0</v>
      </c>
      <c r="AM22" s="9">
        <v>0</v>
      </c>
      <c r="AN22" s="9">
        <v>0</v>
      </c>
      <c r="AO22" s="9">
        <v>69</v>
      </c>
      <c r="AP22" s="9">
        <v>28</v>
      </c>
      <c r="AQ22" s="9">
        <v>99</v>
      </c>
      <c r="AR22" s="9">
        <v>31</v>
      </c>
      <c r="AS22" s="9">
        <v>0</v>
      </c>
      <c r="AT22" s="9">
        <v>0</v>
      </c>
      <c r="AU22" s="9">
        <v>0</v>
      </c>
      <c r="AV22" s="9">
        <v>0</v>
      </c>
      <c r="AW22" s="9">
        <v>99</v>
      </c>
      <c r="AX22" s="9">
        <v>31</v>
      </c>
    </row>
    <row r="23" spans="2:50" ht="15" x14ac:dyDescent="0.2">
      <c r="B23" s="19" t="s">
        <v>25</v>
      </c>
      <c r="C23" s="9">
        <v>51</v>
      </c>
      <c r="D23" s="9">
        <v>68</v>
      </c>
      <c r="E23" s="9">
        <v>35</v>
      </c>
      <c r="F23" s="9">
        <v>68</v>
      </c>
      <c r="G23" s="9">
        <v>0</v>
      </c>
      <c r="H23" s="9">
        <v>0</v>
      </c>
      <c r="I23" s="9">
        <v>86</v>
      </c>
      <c r="J23" s="9">
        <v>68</v>
      </c>
      <c r="K23" s="9">
        <v>0</v>
      </c>
      <c r="L23" s="9">
        <v>0</v>
      </c>
      <c r="M23" s="9">
        <v>0</v>
      </c>
      <c r="N23" s="9">
        <v>0</v>
      </c>
      <c r="O23" s="9">
        <v>36</v>
      </c>
      <c r="P23" s="9">
        <v>93</v>
      </c>
      <c r="Q23" s="9">
        <v>36</v>
      </c>
      <c r="R23" s="9">
        <v>93</v>
      </c>
      <c r="S23" s="9">
        <v>0</v>
      </c>
      <c r="T23" s="9">
        <v>0</v>
      </c>
      <c r="U23" s="9">
        <v>23</v>
      </c>
      <c r="V23" s="9">
        <v>82</v>
      </c>
      <c r="W23" s="9">
        <v>21</v>
      </c>
      <c r="X23" s="9">
        <v>82</v>
      </c>
      <c r="Y23" s="9">
        <v>44</v>
      </c>
      <c r="Z23" s="9">
        <v>82</v>
      </c>
      <c r="AA23" s="9">
        <v>32</v>
      </c>
      <c r="AB23" s="9">
        <v>50</v>
      </c>
      <c r="AC23" s="9">
        <v>0</v>
      </c>
      <c r="AD23" s="9">
        <v>0</v>
      </c>
      <c r="AE23" s="9">
        <v>0</v>
      </c>
      <c r="AF23" s="9">
        <v>0</v>
      </c>
      <c r="AG23" s="9">
        <v>32</v>
      </c>
      <c r="AH23" s="9">
        <v>50</v>
      </c>
      <c r="AI23" s="9">
        <v>25</v>
      </c>
      <c r="AJ23" s="9">
        <v>28</v>
      </c>
      <c r="AK23" s="9">
        <v>0</v>
      </c>
      <c r="AL23" s="9">
        <v>0</v>
      </c>
      <c r="AM23" s="9">
        <v>0</v>
      </c>
      <c r="AN23" s="9">
        <v>0</v>
      </c>
      <c r="AO23" s="9">
        <v>25</v>
      </c>
      <c r="AP23" s="9">
        <v>28</v>
      </c>
      <c r="AQ23" s="9">
        <v>0</v>
      </c>
      <c r="AR23" s="9">
        <v>0</v>
      </c>
      <c r="AS23" s="9">
        <v>0</v>
      </c>
      <c r="AT23" s="9">
        <v>0</v>
      </c>
      <c r="AU23" s="9">
        <v>59</v>
      </c>
      <c r="AV23" s="9">
        <v>31</v>
      </c>
      <c r="AW23" s="9">
        <v>59</v>
      </c>
      <c r="AX23" s="9">
        <v>31</v>
      </c>
    </row>
    <row r="24" spans="2:50" ht="15" x14ac:dyDescent="0.2">
      <c r="B24" s="19" t="s">
        <v>26</v>
      </c>
      <c r="C24" s="9">
        <v>0</v>
      </c>
      <c r="D24" s="9">
        <v>0</v>
      </c>
      <c r="E24" s="9">
        <v>0</v>
      </c>
      <c r="F24" s="9">
        <v>0</v>
      </c>
      <c r="G24" s="9">
        <v>0</v>
      </c>
      <c r="H24" s="9">
        <v>0</v>
      </c>
      <c r="I24" s="9">
        <v>0</v>
      </c>
      <c r="J24" s="9">
        <v>0</v>
      </c>
      <c r="K24" s="9">
        <v>22</v>
      </c>
      <c r="L24" s="9">
        <v>94</v>
      </c>
      <c r="M24" s="9">
        <v>0</v>
      </c>
      <c r="N24" s="9">
        <v>0</v>
      </c>
      <c r="O24" s="9">
        <v>0</v>
      </c>
      <c r="P24" s="9">
        <v>0</v>
      </c>
      <c r="Q24" s="9">
        <v>22</v>
      </c>
      <c r="R24" s="9">
        <v>94</v>
      </c>
      <c r="S24" s="9">
        <v>24</v>
      </c>
      <c r="T24" s="9">
        <v>83</v>
      </c>
      <c r="U24" s="9">
        <v>0</v>
      </c>
      <c r="V24" s="9">
        <v>0</v>
      </c>
      <c r="W24" s="9">
        <v>0</v>
      </c>
      <c r="X24" s="9">
        <v>0</v>
      </c>
      <c r="Y24" s="9">
        <v>24</v>
      </c>
      <c r="Z24" s="9">
        <v>83</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39</v>
      </c>
      <c r="AV24" s="9">
        <v>32</v>
      </c>
      <c r="AW24" s="9">
        <v>39</v>
      </c>
      <c r="AX24" s="9">
        <v>32</v>
      </c>
    </row>
    <row r="25" spans="2:50" ht="15" x14ac:dyDescent="0.2">
      <c r="B25" s="19" t="s">
        <v>27</v>
      </c>
      <c r="C25" s="9">
        <v>28</v>
      </c>
      <c r="D25" s="9">
        <v>69</v>
      </c>
      <c r="E25" s="9">
        <v>50</v>
      </c>
      <c r="F25" s="9">
        <v>69</v>
      </c>
      <c r="G25" s="9">
        <v>35</v>
      </c>
      <c r="H25" s="9">
        <v>69</v>
      </c>
      <c r="I25" s="9">
        <v>113</v>
      </c>
      <c r="J25" s="9">
        <v>69</v>
      </c>
      <c r="K25" s="9">
        <v>0</v>
      </c>
      <c r="L25" s="9">
        <v>0</v>
      </c>
      <c r="M25" s="9">
        <v>0</v>
      </c>
      <c r="N25" s="9">
        <v>0</v>
      </c>
      <c r="O25" s="9">
        <v>20</v>
      </c>
      <c r="P25" s="9">
        <v>94</v>
      </c>
      <c r="Q25" s="9">
        <v>20</v>
      </c>
      <c r="R25" s="9">
        <v>94</v>
      </c>
      <c r="S25" s="9">
        <v>0</v>
      </c>
      <c r="T25" s="9">
        <v>0</v>
      </c>
      <c r="U25" s="9">
        <v>28</v>
      </c>
      <c r="V25" s="9">
        <v>83</v>
      </c>
      <c r="W25" s="9">
        <v>0</v>
      </c>
      <c r="X25" s="9">
        <v>0</v>
      </c>
      <c r="Y25" s="9">
        <v>28</v>
      </c>
      <c r="Z25" s="9">
        <v>83</v>
      </c>
      <c r="AA25" s="9">
        <v>0</v>
      </c>
      <c r="AB25" s="9">
        <v>0</v>
      </c>
      <c r="AC25" s="9">
        <v>0</v>
      </c>
      <c r="AD25" s="9">
        <v>0</v>
      </c>
      <c r="AE25" s="9">
        <v>0</v>
      </c>
      <c r="AF25" s="9">
        <v>0</v>
      </c>
      <c r="AG25" s="9">
        <v>0</v>
      </c>
      <c r="AH25" s="9">
        <v>0</v>
      </c>
      <c r="AI25" s="9">
        <v>0</v>
      </c>
      <c r="AJ25" s="9">
        <v>0</v>
      </c>
      <c r="AK25" s="9">
        <v>0</v>
      </c>
      <c r="AL25" s="9">
        <v>0</v>
      </c>
      <c r="AM25" s="9">
        <v>26</v>
      </c>
      <c r="AN25" s="9">
        <v>29</v>
      </c>
      <c r="AO25" s="9">
        <v>26</v>
      </c>
      <c r="AP25" s="9">
        <v>29</v>
      </c>
      <c r="AQ25" s="9">
        <v>0</v>
      </c>
      <c r="AR25" s="9">
        <v>0</v>
      </c>
      <c r="AS25" s="9">
        <v>97</v>
      </c>
      <c r="AT25" s="9">
        <v>32</v>
      </c>
      <c r="AU25" s="9">
        <v>0</v>
      </c>
      <c r="AV25" s="9">
        <v>0</v>
      </c>
      <c r="AW25" s="9">
        <v>97</v>
      </c>
      <c r="AX25" s="9">
        <v>32</v>
      </c>
    </row>
    <row r="26" spans="2:50" ht="15" x14ac:dyDescent="0.2">
      <c r="B26" s="19" t="s">
        <v>28</v>
      </c>
      <c r="C26" s="9">
        <v>0</v>
      </c>
      <c r="D26" s="9">
        <v>0</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34</v>
      </c>
      <c r="AB26" s="9">
        <v>51</v>
      </c>
      <c r="AC26" s="9">
        <v>0</v>
      </c>
      <c r="AD26" s="9">
        <v>0</v>
      </c>
      <c r="AE26" s="9">
        <v>0</v>
      </c>
      <c r="AF26" s="9">
        <v>0</v>
      </c>
      <c r="AG26" s="9">
        <v>34</v>
      </c>
      <c r="AH26" s="9">
        <v>51</v>
      </c>
      <c r="AI26" s="9">
        <v>0</v>
      </c>
      <c r="AJ26" s="9">
        <v>0</v>
      </c>
      <c r="AK26" s="9">
        <v>62</v>
      </c>
      <c r="AL26" s="9">
        <v>29</v>
      </c>
      <c r="AM26" s="9">
        <v>0</v>
      </c>
      <c r="AN26" s="9">
        <v>0</v>
      </c>
      <c r="AO26" s="9">
        <v>62</v>
      </c>
      <c r="AP26" s="9">
        <v>29</v>
      </c>
      <c r="AQ26" s="9">
        <v>0</v>
      </c>
      <c r="AR26" s="9">
        <v>0</v>
      </c>
      <c r="AS26" s="9">
        <v>0</v>
      </c>
      <c r="AT26" s="9">
        <v>0</v>
      </c>
      <c r="AU26" s="9">
        <v>0</v>
      </c>
      <c r="AV26" s="9">
        <v>0</v>
      </c>
      <c r="AW26" s="9">
        <v>0</v>
      </c>
      <c r="AX26" s="9">
        <v>0</v>
      </c>
    </row>
    <row r="27" spans="2:50" ht="15" x14ac:dyDescent="0.2">
      <c r="B27" s="19" t="s">
        <v>29</v>
      </c>
      <c r="C27" s="9">
        <v>0</v>
      </c>
      <c r="D27" s="9">
        <v>0</v>
      </c>
      <c r="E27" s="9">
        <v>0</v>
      </c>
      <c r="F27" s="9">
        <v>0</v>
      </c>
      <c r="G27" s="9">
        <v>0</v>
      </c>
      <c r="H27" s="9">
        <v>0</v>
      </c>
      <c r="I27" s="9">
        <v>0</v>
      </c>
      <c r="J27" s="9">
        <v>0</v>
      </c>
      <c r="K27" s="9">
        <v>0</v>
      </c>
      <c r="L27" s="9">
        <v>0</v>
      </c>
      <c r="M27" s="9">
        <v>0</v>
      </c>
      <c r="N27" s="9">
        <v>0</v>
      </c>
      <c r="O27" s="9">
        <v>18</v>
      </c>
      <c r="P27" s="9">
        <v>94</v>
      </c>
      <c r="Q27" s="9">
        <v>18</v>
      </c>
      <c r="R27" s="9">
        <v>94</v>
      </c>
      <c r="S27" s="9">
        <v>0</v>
      </c>
      <c r="T27" s="9">
        <v>0</v>
      </c>
      <c r="U27" s="9">
        <v>22</v>
      </c>
      <c r="V27" s="9">
        <v>83</v>
      </c>
      <c r="W27" s="9">
        <v>0</v>
      </c>
      <c r="X27" s="9">
        <v>0</v>
      </c>
      <c r="Y27" s="9">
        <v>22</v>
      </c>
      <c r="Z27" s="9">
        <v>83</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row>
    <row r="28" spans="2:50" ht="15" x14ac:dyDescent="0.2">
      <c r="B28" s="19" t="s">
        <v>30</v>
      </c>
      <c r="C28" s="9">
        <v>49</v>
      </c>
      <c r="D28" s="9">
        <v>70</v>
      </c>
      <c r="E28" s="9">
        <v>33</v>
      </c>
      <c r="F28" s="9">
        <v>70</v>
      </c>
      <c r="G28" s="9">
        <v>0</v>
      </c>
      <c r="H28" s="9">
        <v>0</v>
      </c>
      <c r="I28" s="9">
        <v>82</v>
      </c>
      <c r="J28" s="9">
        <v>70</v>
      </c>
      <c r="K28" s="9">
        <v>0</v>
      </c>
      <c r="L28" s="9">
        <v>0</v>
      </c>
      <c r="M28" s="9">
        <v>18</v>
      </c>
      <c r="N28" s="9">
        <v>95</v>
      </c>
      <c r="O28" s="9">
        <v>31</v>
      </c>
      <c r="P28" s="9">
        <v>95</v>
      </c>
      <c r="Q28" s="9">
        <v>49</v>
      </c>
      <c r="R28" s="9">
        <v>95</v>
      </c>
      <c r="S28" s="9">
        <v>0</v>
      </c>
      <c r="T28" s="9">
        <v>0</v>
      </c>
      <c r="U28" s="9">
        <v>0</v>
      </c>
      <c r="V28" s="9">
        <v>0</v>
      </c>
      <c r="W28" s="9">
        <v>0</v>
      </c>
      <c r="X28" s="9">
        <v>0</v>
      </c>
      <c r="Y28" s="9">
        <v>0</v>
      </c>
      <c r="Z28" s="9">
        <v>0</v>
      </c>
      <c r="AA28" s="9">
        <v>32</v>
      </c>
      <c r="AB28" s="9">
        <v>52</v>
      </c>
      <c r="AC28" s="9">
        <v>44</v>
      </c>
      <c r="AD28" s="9">
        <v>52</v>
      </c>
      <c r="AE28" s="9">
        <v>0</v>
      </c>
      <c r="AF28" s="9">
        <v>0</v>
      </c>
      <c r="AG28" s="9">
        <v>76</v>
      </c>
      <c r="AH28" s="9">
        <v>52</v>
      </c>
      <c r="AI28" s="9">
        <v>136</v>
      </c>
      <c r="AJ28" s="9">
        <v>30</v>
      </c>
      <c r="AK28" s="9">
        <v>0</v>
      </c>
      <c r="AL28" s="9">
        <v>0</v>
      </c>
      <c r="AM28" s="9">
        <v>0</v>
      </c>
      <c r="AN28" s="9">
        <v>0</v>
      </c>
      <c r="AO28" s="9">
        <v>136</v>
      </c>
      <c r="AP28" s="9">
        <v>30</v>
      </c>
      <c r="AQ28" s="9">
        <v>0</v>
      </c>
      <c r="AR28" s="9">
        <v>0</v>
      </c>
      <c r="AS28" s="9">
        <v>3</v>
      </c>
      <c r="AT28" s="9">
        <v>33</v>
      </c>
      <c r="AU28" s="9">
        <v>0</v>
      </c>
      <c r="AV28" s="9">
        <v>0</v>
      </c>
      <c r="AW28" s="9">
        <v>3</v>
      </c>
      <c r="AX28" s="9">
        <v>33</v>
      </c>
    </row>
    <row r="29" spans="2:50" ht="15" x14ac:dyDescent="0.2">
      <c r="B29" s="19" t="s">
        <v>31</v>
      </c>
      <c r="C29" s="9">
        <v>0</v>
      </c>
      <c r="D29" s="9">
        <v>0</v>
      </c>
      <c r="E29" s="9">
        <v>57</v>
      </c>
      <c r="F29" s="9">
        <v>70</v>
      </c>
      <c r="G29" s="9">
        <v>31</v>
      </c>
      <c r="H29" s="9">
        <v>70</v>
      </c>
      <c r="I29" s="9">
        <v>88</v>
      </c>
      <c r="J29" s="9">
        <v>70</v>
      </c>
      <c r="K29" s="9">
        <v>0</v>
      </c>
      <c r="L29" s="9">
        <v>0</v>
      </c>
      <c r="M29" s="9">
        <v>0</v>
      </c>
      <c r="N29" s="9">
        <v>0</v>
      </c>
      <c r="O29" s="9">
        <v>43</v>
      </c>
      <c r="P29" s="9">
        <v>95</v>
      </c>
      <c r="Q29" s="9">
        <v>43</v>
      </c>
      <c r="R29" s="9">
        <v>95</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0</v>
      </c>
      <c r="AK29" s="9">
        <v>75</v>
      </c>
      <c r="AL29" s="9">
        <v>30</v>
      </c>
      <c r="AM29" s="9">
        <v>0</v>
      </c>
      <c r="AN29" s="9">
        <v>0</v>
      </c>
      <c r="AO29" s="9">
        <v>75</v>
      </c>
      <c r="AP29" s="9">
        <v>30</v>
      </c>
      <c r="AQ29" s="9">
        <v>0</v>
      </c>
      <c r="AR29" s="9">
        <v>0</v>
      </c>
      <c r="AS29" s="9">
        <v>105</v>
      </c>
      <c r="AT29" s="9">
        <v>33</v>
      </c>
      <c r="AU29" s="9">
        <v>50</v>
      </c>
      <c r="AV29" s="9">
        <v>33</v>
      </c>
      <c r="AW29" s="9">
        <v>155</v>
      </c>
      <c r="AX29" s="9">
        <v>33</v>
      </c>
    </row>
    <row r="30" spans="2:50" ht="15" x14ac:dyDescent="0.2">
      <c r="B30" s="19" t="s">
        <v>32</v>
      </c>
      <c r="C30" s="9">
        <v>0</v>
      </c>
      <c r="D30" s="9">
        <v>0</v>
      </c>
      <c r="E30" s="9">
        <v>0</v>
      </c>
      <c r="F30" s="9">
        <v>0</v>
      </c>
      <c r="G30" s="9">
        <v>0</v>
      </c>
      <c r="H30" s="9">
        <v>0</v>
      </c>
      <c r="I30" s="9">
        <v>0</v>
      </c>
      <c r="J30" s="9">
        <v>0</v>
      </c>
      <c r="K30" s="9">
        <v>0</v>
      </c>
      <c r="L30" s="9">
        <v>0</v>
      </c>
      <c r="M30" s="9">
        <v>0</v>
      </c>
      <c r="N30" s="9">
        <v>0</v>
      </c>
      <c r="O30" s="9">
        <v>0</v>
      </c>
      <c r="P30" s="9">
        <v>0</v>
      </c>
      <c r="Q30" s="9">
        <v>0</v>
      </c>
      <c r="R30" s="9">
        <v>0</v>
      </c>
      <c r="S30" s="9">
        <v>22</v>
      </c>
      <c r="T30" s="9">
        <v>84</v>
      </c>
      <c r="U30" s="9">
        <v>0</v>
      </c>
      <c r="V30" s="9">
        <v>0</v>
      </c>
      <c r="W30" s="9">
        <v>0</v>
      </c>
      <c r="X30" s="9">
        <v>0</v>
      </c>
      <c r="Y30" s="9">
        <v>22</v>
      </c>
      <c r="Z30" s="9">
        <v>84</v>
      </c>
      <c r="AA30" s="9">
        <v>42</v>
      </c>
      <c r="AB30" s="9">
        <v>52</v>
      </c>
      <c r="AC30" s="9">
        <v>0</v>
      </c>
      <c r="AD30" s="9">
        <v>0</v>
      </c>
      <c r="AE30" s="9">
        <v>0</v>
      </c>
      <c r="AF30" s="9">
        <v>0</v>
      </c>
      <c r="AG30" s="9">
        <v>42</v>
      </c>
      <c r="AH30" s="9">
        <v>52</v>
      </c>
      <c r="AI30" s="9">
        <v>51</v>
      </c>
      <c r="AJ30" s="9">
        <v>30</v>
      </c>
      <c r="AK30" s="9">
        <v>0</v>
      </c>
      <c r="AL30" s="9">
        <v>0</v>
      </c>
      <c r="AM30" s="9">
        <v>0</v>
      </c>
      <c r="AN30" s="9">
        <v>0</v>
      </c>
      <c r="AO30" s="9">
        <v>51</v>
      </c>
      <c r="AP30" s="9">
        <v>30</v>
      </c>
      <c r="AQ30" s="9">
        <v>56</v>
      </c>
      <c r="AR30" s="9">
        <v>33</v>
      </c>
      <c r="AS30" s="9">
        <v>0</v>
      </c>
      <c r="AT30" s="9">
        <v>0</v>
      </c>
      <c r="AU30" s="9">
        <v>66</v>
      </c>
      <c r="AV30" s="9">
        <v>33</v>
      </c>
      <c r="AW30" s="9">
        <v>122</v>
      </c>
      <c r="AX30" s="9">
        <v>33</v>
      </c>
    </row>
    <row r="31" spans="2:50" ht="15" x14ac:dyDescent="0.2">
      <c r="B31" s="19" t="s">
        <v>33</v>
      </c>
      <c r="C31" s="9">
        <v>0</v>
      </c>
      <c r="D31" s="9">
        <v>0</v>
      </c>
      <c r="E31" s="9">
        <v>23</v>
      </c>
      <c r="F31" s="9">
        <v>70</v>
      </c>
      <c r="G31" s="9">
        <v>0</v>
      </c>
      <c r="H31" s="9">
        <v>0</v>
      </c>
      <c r="I31" s="9">
        <v>23</v>
      </c>
      <c r="J31" s="9">
        <v>70</v>
      </c>
      <c r="K31" s="9">
        <v>0</v>
      </c>
      <c r="L31" s="9">
        <v>0</v>
      </c>
      <c r="M31" s="9">
        <v>0</v>
      </c>
      <c r="N31" s="9">
        <v>0</v>
      </c>
      <c r="O31" s="9">
        <v>15</v>
      </c>
      <c r="P31" s="9">
        <v>95</v>
      </c>
      <c r="Q31" s="9">
        <v>15</v>
      </c>
      <c r="R31" s="9">
        <v>95</v>
      </c>
      <c r="S31" s="9">
        <v>49</v>
      </c>
      <c r="T31" s="9">
        <v>84</v>
      </c>
      <c r="U31" s="9">
        <v>0</v>
      </c>
      <c r="V31" s="9">
        <v>0</v>
      </c>
      <c r="W31" s="9">
        <v>0</v>
      </c>
      <c r="X31" s="9">
        <v>0</v>
      </c>
      <c r="Y31" s="9">
        <v>49</v>
      </c>
      <c r="Z31" s="9">
        <v>84</v>
      </c>
      <c r="AA31" s="9">
        <v>0</v>
      </c>
      <c r="AB31" s="9">
        <v>0</v>
      </c>
      <c r="AC31" s="9">
        <v>0</v>
      </c>
      <c r="AD31" s="9">
        <v>0</v>
      </c>
      <c r="AE31" s="9">
        <v>0</v>
      </c>
      <c r="AF31" s="9">
        <v>0</v>
      </c>
      <c r="AG31" s="9">
        <v>0</v>
      </c>
      <c r="AH31" s="9">
        <v>0</v>
      </c>
      <c r="AI31" s="9">
        <v>50</v>
      </c>
      <c r="AJ31" s="9">
        <v>30</v>
      </c>
      <c r="AK31" s="9">
        <v>0</v>
      </c>
      <c r="AL31" s="9">
        <v>0</v>
      </c>
      <c r="AM31" s="9">
        <v>0</v>
      </c>
      <c r="AN31" s="9">
        <v>0</v>
      </c>
      <c r="AO31" s="9">
        <v>50</v>
      </c>
      <c r="AP31" s="9">
        <v>30</v>
      </c>
      <c r="AQ31" s="9">
        <v>0</v>
      </c>
      <c r="AR31" s="9">
        <v>0</v>
      </c>
      <c r="AS31" s="9">
        <v>60</v>
      </c>
      <c r="AT31" s="9">
        <v>33</v>
      </c>
      <c r="AU31" s="9">
        <v>55</v>
      </c>
      <c r="AV31" s="9">
        <v>33</v>
      </c>
      <c r="AW31" s="9">
        <v>115</v>
      </c>
      <c r="AX31" s="9">
        <v>33</v>
      </c>
    </row>
    <row r="32" spans="2:50" ht="15" x14ac:dyDescent="0.2">
      <c r="B32" s="19" t="s">
        <v>34</v>
      </c>
      <c r="C32" s="9">
        <v>0</v>
      </c>
      <c r="D32" s="9">
        <v>0</v>
      </c>
      <c r="E32" s="9">
        <v>0</v>
      </c>
      <c r="F32" s="9">
        <v>0</v>
      </c>
      <c r="G32" s="9">
        <v>0</v>
      </c>
      <c r="H32" s="9">
        <v>0</v>
      </c>
      <c r="I32" s="9">
        <v>0</v>
      </c>
      <c r="J32" s="9">
        <v>0</v>
      </c>
      <c r="K32" s="9">
        <v>0</v>
      </c>
      <c r="L32" s="9">
        <v>0</v>
      </c>
      <c r="M32" s="9">
        <v>17</v>
      </c>
      <c r="N32" s="9">
        <v>95</v>
      </c>
      <c r="O32" s="9">
        <v>21</v>
      </c>
      <c r="P32" s="9">
        <v>95</v>
      </c>
      <c r="Q32" s="9">
        <v>38</v>
      </c>
      <c r="R32" s="9">
        <v>95</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57</v>
      </c>
      <c r="AJ32" s="9">
        <v>30</v>
      </c>
      <c r="AK32" s="9">
        <v>0</v>
      </c>
      <c r="AL32" s="9">
        <v>0</v>
      </c>
      <c r="AM32" s="9">
        <v>0</v>
      </c>
      <c r="AN32" s="9">
        <v>0</v>
      </c>
      <c r="AO32" s="9">
        <v>57</v>
      </c>
      <c r="AP32" s="9">
        <v>30</v>
      </c>
      <c r="AQ32" s="9">
        <v>56</v>
      </c>
      <c r="AR32" s="9">
        <v>33</v>
      </c>
      <c r="AS32" s="9">
        <v>0</v>
      </c>
      <c r="AT32" s="9">
        <v>0</v>
      </c>
      <c r="AU32" s="9">
        <v>0</v>
      </c>
      <c r="AV32" s="9">
        <v>0</v>
      </c>
      <c r="AW32" s="9">
        <v>56</v>
      </c>
      <c r="AX32" s="9">
        <v>33</v>
      </c>
    </row>
    <row r="33" spans="2:50" ht="15" x14ac:dyDescent="0.2">
      <c r="B33" s="19" t="s">
        <v>35</v>
      </c>
      <c r="C33" s="9">
        <v>32</v>
      </c>
      <c r="D33" s="9">
        <v>70</v>
      </c>
      <c r="E33" s="9">
        <v>0</v>
      </c>
      <c r="F33" s="9">
        <v>0</v>
      </c>
      <c r="G33" s="9">
        <v>0</v>
      </c>
      <c r="H33" s="9">
        <v>0</v>
      </c>
      <c r="I33" s="9">
        <v>32</v>
      </c>
      <c r="J33" s="9">
        <v>70</v>
      </c>
      <c r="K33" s="9">
        <v>0</v>
      </c>
      <c r="L33" s="9">
        <v>0</v>
      </c>
      <c r="M33" s="9">
        <v>0</v>
      </c>
      <c r="N33" s="9">
        <v>0</v>
      </c>
      <c r="O33" s="9">
        <v>0</v>
      </c>
      <c r="P33" s="9">
        <v>0</v>
      </c>
      <c r="Q33" s="9">
        <v>0</v>
      </c>
      <c r="R33" s="9">
        <v>0</v>
      </c>
      <c r="S33" s="9">
        <v>0</v>
      </c>
      <c r="T33" s="9">
        <v>0</v>
      </c>
      <c r="U33" s="9">
        <v>0</v>
      </c>
      <c r="V33" s="9">
        <v>0</v>
      </c>
      <c r="W33" s="9">
        <v>0</v>
      </c>
      <c r="X33" s="9">
        <v>0</v>
      </c>
      <c r="Y33" s="9">
        <v>0</v>
      </c>
      <c r="Z33" s="9">
        <v>0</v>
      </c>
      <c r="AA33" s="9">
        <v>75</v>
      </c>
      <c r="AB33" s="9">
        <v>52</v>
      </c>
      <c r="AC33" s="9">
        <v>29</v>
      </c>
      <c r="AD33" s="9">
        <v>52</v>
      </c>
      <c r="AE33" s="9">
        <v>47</v>
      </c>
      <c r="AF33" s="9">
        <v>52</v>
      </c>
      <c r="AG33" s="9">
        <v>151</v>
      </c>
      <c r="AH33" s="9">
        <v>52</v>
      </c>
      <c r="AI33" s="9">
        <v>80</v>
      </c>
      <c r="AJ33" s="9">
        <v>30</v>
      </c>
      <c r="AK33" s="9">
        <v>51</v>
      </c>
      <c r="AL33" s="9">
        <v>30</v>
      </c>
      <c r="AM33" s="9">
        <v>0</v>
      </c>
      <c r="AN33" s="9">
        <v>0</v>
      </c>
      <c r="AO33" s="9">
        <v>131</v>
      </c>
      <c r="AP33" s="9">
        <v>30</v>
      </c>
      <c r="AQ33" s="9">
        <v>0</v>
      </c>
      <c r="AR33" s="9">
        <v>0</v>
      </c>
      <c r="AS33" s="9">
        <v>87</v>
      </c>
      <c r="AT33" s="9">
        <v>33</v>
      </c>
      <c r="AU33" s="9">
        <v>0</v>
      </c>
      <c r="AV33" s="9">
        <v>0</v>
      </c>
      <c r="AW33" s="9">
        <v>87</v>
      </c>
      <c r="AX33" s="9">
        <v>33</v>
      </c>
    </row>
    <row r="34" spans="2:50" ht="15" x14ac:dyDescent="0.2">
      <c r="B34" s="19" t="s">
        <v>36</v>
      </c>
      <c r="C34" s="9">
        <v>0</v>
      </c>
      <c r="D34" s="9">
        <v>0</v>
      </c>
      <c r="E34" s="9">
        <v>28</v>
      </c>
      <c r="F34" s="9">
        <v>70</v>
      </c>
      <c r="G34" s="9">
        <v>0</v>
      </c>
      <c r="H34" s="9">
        <v>0</v>
      </c>
      <c r="I34" s="9">
        <v>28</v>
      </c>
      <c r="J34" s="9">
        <v>70</v>
      </c>
      <c r="K34" s="9">
        <v>0</v>
      </c>
      <c r="L34" s="9">
        <v>0</v>
      </c>
      <c r="M34" s="9">
        <v>0</v>
      </c>
      <c r="N34" s="9">
        <v>0</v>
      </c>
      <c r="O34" s="9">
        <v>0</v>
      </c>
      <c r="P34" s="9">
        <v>0</v>
      </c>
      <c r="Q34" s="9">
        <v>0</v>
      </c>
      <c r="R34" s="9">
        <v>0</v>
      </c>
      <c r="S34" s="9">
        <v>21</v>
      </c>
      <c r="T34" s="9">
        <v>84</v>
      </c>
      <c r="U34" s="9">
        <v>0</v>
      </c>
      <c r="V34" s="9">
        <v>0</v>
      </c>
      <c r="W34" s="9">
        <v>0</v>
      </c>
      <c r="X34" s="9">
        <v>0</v>
      </c>
      <c r="Y34" s="9">
        <v>21</v>
      </c>
      <c r="Z34" s="9">
        <v>84</v>
      </c>
      <c r="AA34" s="9">
        <v>0</v>
      </c>
      <c r="AB34" s="9">
        <v>0</v>
      </c>
      <c r="AC34" s="9">
        <v>0</v>
      </c>
      <c r="AD34" s="9">
        <v>0</v>
      </c>
      <c r="AE34" s="9">
        <v>0</v>
      </c>
      <c r="AF34" s="9">
        <v>0</v>
      </c>
      <c r="AG34" s="9">
        <v>0</v>
      </c>
      <c r="AH34" s="9">
        <v>0</v>
      </c>
      <c r="AI34" s="9">
        <v>148</v>
      </c>
      <c r="AJ34" s="9">
        <v>30</v>
      </c>
      <c r="AK34" s="9">
        <v>63</v>
      </c>
      <c r="AL34" s="9">
        <v>30</v>
      </c>
      <c r="AM34" s="9">
        <v>0</v>
      </c>
      <c r="AN34" s="9">
        <v>0</v>
      </c>
      <c r="AO34" s="9">
        <v>211</v>
      </c>
      <c r="AP34" s="9">
        <v>30</v>
      </c>
      <c r="AQ34" s="9">
        <v>0</v>
      </c>
      <c r="AR34" s="9">
        <v>0</v>
      </c>
      <c r="AS34" s="9">
        <v>54</v>
      </c>
      <c r="AT34" s="9">
        <v>33</v>
      </c>
      <c r="AU34" s="9">
        <v>0</v>
      </c>
      <c r="AV34" s="9">
        <v>0</v>
      </c>
      <c r="AW34" s="9">
        <v>54</v>
      </c>
      <c r="AX34" s="9">
        <v>33</v>
      </c>
    </row>
    <row r="35" spans="2:50" ht="15" x14ac:dyDescent="0.2">
      <c r="B35" s="19" t="s">
        <v>37</v>
      </c>
      <c r="C35" s="9">
        <v>69</v>
      </c>
      <c r="D35" s="9">
        <v>71</v>
      </c>
      <c r="E35" s="9">
        <v>0</v>
      </c>
      <c r="F35" s="9">
        <v>0</v>
      </c>
      <c r="G35" s="9">
        <v>0</v>
      </c>
      <c r="H35" s="9">
        <v>0</v>
      </c>
      <c r="I35" s="9">
        <v>69</v>
      </c>
      <c r="J35" s="9">
        <v>71</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3</v>
      </c>
      <c r="AJ35" s="9">
        <v>31</v>
      </c>
      <c r="AK35" s="9">
        <v>0</v>
      </c>
      <c r="AL35" s="9">
        <v>0</v>
      </c>
      <c r="AM35" s="9">
        <v>0</v>
      </c>
      <c r="AN35" s="9">
        <v>0</v>
      </c>
      <c r="AO35" s="9">
        <v>3</v>
      </c>
      <c r="AP35" s="9">
        <v>31</v>
      </c>
      <c r="AQ35" s="9">
        <v>0</v>
      </c>
      <c r="AR35" s="9">
        <v>0</v>
      </c>
      <c r="AS35" s="9">
        <v>0</v>
      </c>
      <c r="AT35" s="9">
        <v>0</v>
      </c>
      <c r="AU35" s="9">
        <v>0</v>
      </c>
      <c r="AV35" s="9">
        <v>0</v>
      </c>
      <c r="AW35" s="9">
        <v>0</v>
      </c>
      <c r="AX35" s="9">
        <v>0</v>
      </c>
    </row>
    <row r="36" spans="2:50" ht="15" x14ac:dyDescent="0.2">
      <c r="B36" s="19" t="s">
        <v>38</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7</v>
      </c>
      <c r="AJ36" s="9">
        <v>31</v>
      </c>
      <c r="AK36" s="9">
        <v>64</v>
      </c>
      <c r="AL36" s="9">
        <v>31</v>
      </c>
      <c r="AM36" s="9">
        <v>0</v>
      </c>
      <c r="AN36" s="9">
        <v>0</v>
      </c>
      <c r="AO36" s="9">
        <v>71</v>
      </c>
      <c r="AP36" s="9">
        <v>31</v>
      </c>
      <c r="AQ36" s="9">
        <v>0</v>
      </c>
      <c r="AR36" s="9">
        <v>0</v>
      </c>
      <c r="AS36" s="9">
        <v>0</v>
      </c>
      <c r="AT36" s="9">
        <v>0</v>
      </c>
      <c r="AU36" s="9">
        <v>0</v>
      </c>
      <c r="AV36" s="9">
        <v>0</v>
      </c>
      <c r="AW36" s="9">
        <v>0</v>
      </c>
      <c r="AX36" s="9">
        <v>0</v>
      </c>
    </row>
    <row r="37" spans="2:50" ht="15" x14ac:dyDescent="0.2">
      <c r="B37" s="19" t="s">
        <v>39</v>
      </c>
      <c r="C37" s="9">
        <v>23</v>
      </c>
      <c r="D37" s="9">
        <v>71</v>
      </c>
      <c r="E37" s="9">
        <v>0</v>
      </c>
      <c r="F37" s="9">
        <v>0</v>
      </c>
      <c r="G37" s="9">
        <v>0</v>
      </c>
      <c r="H37" s="9">
        <v>0</v>
      </c>
      <c r="I37" s="9">
        <v>23</v>
      </c>
      <c r="J37" s="9">
        <v>71</v>
      </c>
      <c r="K37" s="9">
        <v>0</v>
      </c>
      <c r="L37" s="9">
        <v>0</v>
      </c>
      <c r="M37" s="9">
        <v>0</v>
      </c>
      <c r="N37" s="9">
        <v>0</v>
      </c>
      <c r="O37" s="9">
        <v>40</v>
      </c>
      <c r="P37" s="9">
        <v>96</v>
      </c>
      <c r="Q37" s="9">
        <v>40</v>
      </c>
      <c r="R37" s="9">
        <v>96</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54</v>
      </c>
      <c r="AR37" s="9">
        <v>34</v>
      </c>
      <c r="AS37" s="9">
        <v>0</v>
      </c>
      <c r="AT37" s="9">
        <v>0</v>
      </c>
      <c r="AU37" s="9">
        <v>0</v>
      </c>
      <c r="AV37" s="9">
        <v>0</v>
      </c>
      <c r="AW37" s="9">
        <v>54</v>
      </c>
      <c r="AX37" s="9">
        <v>34</v>
      </c>
    </row>
    <row r="38" spans="2:50" ht="15" x14ac:dyDescent="0.2">
      <c r="B38" s="19" t="s">
        <v>40</v>
      </c>
      <c r="C38" s="9">
        <v>0</v>
      </c>
      <c r="D38" s="9">
        <v>0</v>
      </c>
      <c r="E38" s="9">
        <v>0</v>
      </c>
      <c r="F38" s="9">
        <v>0</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41</v>
      </c>
      <c r="AD38" s="9">
        <v>54</v>
      </c>
      <c r="AE38" s="9">
        <v>0</v>
      </c>
      <c r="AF38" s="9">
        <v>0</v>
      </c>
      <c r="AG38" s="9">
        <v>41</v>
      </c>
      <c r="AH38" s="9">
        <v>54</v>
      </c>
      <c r="AI38" s="9">
        <v>69</v>
      </c>
      <c r="AJ38" s="9">
        <v>32</v>
      </c>
      <c r="AK38" s="9">
        <v>0</v>
      </c>
      <c r="AL38" s="9">
        <v>0</v>
      </c>
      <c r="AM38" s="9">
        <v>0</v>
      </c>
      <c r="AN38" s="9">
        <v>0</v>
      </c>
      <c r="AO38" s="9">
        <v>69</v>
      </c>
      <c r="AP38" s="9">
        <v>32</v>
      </c>
      <c r="AQ38" s="9">
        <v>51</v>
      </c>
      <c r="AR38" s="9">
        <v>35</v>
      </c>
      <c r="AS38" s="9">
        <v>39</v>
      </c>
      <c r="AT38" s="9">
        <v>35</v>
      </c>
      <c r="AU38" s="9">
        <v>0</v>
      </c>
      <c r="AV38" s="9">
        <v>0</v>
      </c>
      <c r="AW38" s="9">
        <v>90</v>
      </c>
      <c r="AX38" s="9">
        <v>35</v>
      </c>
    </row>
    <row r="39" spans="2:50" ht="15" x14ac:dyDescent="0.2">
      <c r="B39" s="19" t="s">
        <v>41</v>
      </c>
      <c r="C39" s="9">
        <v>0</v>
      </c>
      <c r="D39" s="9">
        <v>0</v>
      </c>
      <c r="E39" s="9">
        <v>0</v>
      </c>
      <c r="F39" s="9">
        <v>0</v>
      </c>
      <c r="G39" s="9">
        <v>0</v>
      </c>
      <c r="H39" s="9">
        <v>0</v>
      </c>
      <c r="I39" s="9">
        <v>0</v>
      </c>
      <c r="J39" s="9">
        <v>0</v>
      </c>
      <c r="K39" s="9">
        <v>0</v>
      </c>
      <c r="L39" s="9">
        <v>0</v>
      </c>
      <c r="M39" s="9">
        <v>0</v>
      </c>
      <c r="N39" s="9">
        <v>0</v>
      </c>
      <c r="O39" s="9">
        <v>24</v>
      </c>
      <c r="P39" s="9">
        <v>97</v>
      </c>
      <c r="Q39" s="9">
        <v>24</v>
      </c>
      <c r="R39" s="9">
        <v>97</v>
      </c>
      <c r="S39" s="9">
        <v>0</v>
      </c>
      <c r="T39" s="9">
        <v>0</v>
      </c>
      <c r="U39" s="9">
        <v>0</v>
      </c>
      <c r="V39" s="9">
        <v>0</v>
      </c>
      <c r="W39" s="9">
        <v>0</v>
      </c>
      <c r="X39" s="9">
        <v>0</v>
      </c>
      <c r="Y39" s="9">
        <v>0</v>
      </c>
      <c r="Z39" s="9">
        <v>0</v>
      </c>
      <c r="AA39" s="9">
        <v>0</v>
      </c>
      <c r="AB39" s="9">
        <v>0</v>
      </c>
      <c r="AC39" s="9">
        <v>40</v>
      </c>
      <c r="AD39" s="9">
        <v>54</v>
      </c>
      <c r="AE39" s="9">
        <v>0</v>
      </c>
      <c r="AF39" s="9">
        <v>0</v>
      </c>
      <c r="AG39" s="9">
        <v>40</v>
      </c>
      <c r="AH39" s="9">
        <v>54</v>
      </c>
      <c r="AI39" s="9">
        <v>0</v>
      </c>
      <c r="AJ39" s="9">
        <v>0</v>
      </c>
      <c r="AK39" s="9">
        <v>0</v>
      </c>
      <c r="AL39" s="9">
        <v>0</v>
      </c>
      <c r="AM39" s="9">
        <v>0</v>
      </c>
      <c r="AN39" s="9">
        <v>0</v>
      </c>
      <c r="AO39" s="9">
        <v>0</v>
      </c>
      <c r="AP39" s="9">
        <v>0</v>
      </c>
      <c r="AQ39" s="9">
        <v>44</v>
      </c>
      <c r="AR39" s="9">
        <v>35</v>
      </c>
      <c r="AS39" s="9">
        <v>50</v>
      </c>
      <c r="AT39" s="9">
        <v>35</v>
      </c>
      <c r="AU39" s="9">
        <v>0</v>
      </c>
      <c r="AV39" s="9">
        <v>0</v>
      </c>
      <c r="AW39" s="9">
        <v>94</v>
      </c>
      <c r="AX39" s="9">
        <v>35</v>
      </c>
    </row>
    <row r="40" spans="2:50" ht="15" x14ac:dyDescent="0.2">
      <c r="B40" s="19" t="s">
        <v>42</v>
      </c>
      <c r="C40" s="9">
        <v>25</v>
      </c>
      <c r="D40" s="9">
        <v>72</v>
      </c>
      <c r="E40" s="9">
        <v>0</v>
      </c>
      <c r="F40" s="9">
        <v>0</v>
      </c>
      <c r="G40" s="9">
        <v>0</v>
      </c>
      <c r="H40" s="9">
        <v>0</v>
      </c>
      <c r="I40" s="9">
        <v>25</v>
      </c>
      <c r="J40" s="9">
        <v>72</v>
      </c>
      <c r="K40" s="9">
        <v>0</v>
      </c>
      <c r="L40" s="9">
        <v>0</v>
      </c>
      <c r="M40" s="9">
        <v>0</v>
      </c>
      <c r="N40" s="9">
        <v>0</v>
      </c>
      <c r="O40" s="9">
        <v>18</v>
      </c>
      <c r="P40" s="9">
        <v>97</v>
      </c>
      <c r="Q40" s="9">
        <v>18</v>
      </c>
      <c r="R40" s="9">
        <v>97</v>
      </c>
      <c r="S40" s="9">
        <v>0</v>
      </c>
      <c r="T40" s="9">
        <v>0</v>
      </c>
      <c r="U40" s="9">
        <v>0</v>
      </c>
      <c r="V40" s="9">
        <v>0</v>
      </c>
      <c r="W40" s="9">
        <v>0</v>
      </c>
      <c r="X40" s="9">
        <v>0</v>
      </c>
      <c r="Y40" s="9">
        <v>0</v>
      </c>
      <c r="Z40" s="9">
        <v>0</v>
      </c>
      <c r="AA40" s="9">
        <v>0</v>
      </c>
      <c r="AB40" s="9">
        <v>0</v>
      </c>
      <c r="AC40" s="9">
        <v>0</v>
      </c>
      <c r="AD40" s="9">
        <v>0</v>
      </c>
      <c r="AE40" s="9">
        <v>28</v>
      </c>
      <c r="AF40" s="9">
        <v>54</v>
      </c>
      <c r="AG40" s="9">
        <v>28</v>
      </c>
      <c r="AH40" s="9">
        <v>54</v>
      </c>
      <c r="AI40" s="9">
        <v>0</v>
      </c>
      <c r="AJ40" s="9">
        <v>0</v>
      </c>
      <c r="AK40" s="9">
        <v>0</v>
      </c>
      <c r="AL40" s="9">
        <v>0</v>
      </c>
      <c r="AM40" s="9">
        <v>0</v>
      </c>
      <c r="AN40" s="9">
        <v>0</v>
      </c>
      <c r="AO40" s="9">
        <v>0</v>
      </c>
      <c r="AP40" s="9">
        <v>0</v>
      </c>
      <c r="AQ40" s="9">
        <v>70</v>
      </c>
      <c r="AR40" s="9">
        <v>35</v>
      </c>
      <c r="AS40" s="9">
        <v>0</v>
      </c>
      <c r="AT40" s="9">
        <v>0</v>
      </c>
      <c r="AU40" s="9">
        <v>0</v>
      </c>
      <c r="AV40" s="9">
        <v>0</v>
      </c>
      <c r="AW40" s="9">
        <v>70</v>
      </c>
      <c r="AX40" s="9">
        <v>35</v>
      </c>
    </row>
    <row r="41" spans="2:50" ht="15" x14ac:dyDescent="0.2">
      <c r="B41" s="19" t="s">
        <v>43</v>
      </c>
      <c r="C41" s="9">
        <v>32</v>
      </c>
      <c r="D41" s="9">
        <v>73</v>
      </c>
      <c r="E41" s="9">
        <v>0</v>
      </c>
      <c r="F41" s="9">
        <v>0</v>
      </c>
      <c r="G41" s="9">
        <v>25</v>
      </c>
      <c r="H41" s="9">
        <v>73</v>
      </c>
      <c r="I41" s="9">
        <v>57</v>
      </c>
      <c r="J41" s="9">
        <v>73</v>
      </c>
      <c r="K41" s="9">
        <v>0</v>
      </c>
      <c r="L41" s="9">
        <v>0</v>
      </c>
      <c r="M41" s="9">
        <v>0</v>
      </c>
      <c r="N41" s="9">
        <v>0</v>
      </c>
      <c r="O41" s="9">
        <v>0</v>
      </c>
      <c r="P41" s="9">
        <v>0</v>
      </c>
      <c r="Q41" s="9">
        <v>0</v>
      </c>
      <c r="R41" s="9">
        <v>0</v>
      </c>
      <c r="S41" s="9">
        <v>24</v>
      </c>
      <c r="T41" s="9">
        <v>87</v>
      </c>
      <c r="U41" s="9">
        <v>28</v>
      </c>
      <c r="V41" s="9">
        <v>87</v>
      </c>
      <c r="W41" s="9">
        <v>0</v>
      </c>
      <c r="X41" s="9">
        <v>0</v>
      </c>
      <c r="Y41" s="9">
        <v>52</v>
      </c>
      <c r="Z41" s="9">
        <v>87</v>
      </c>
      <c r="AA41" s="9">
        <v>0</v>
      </c>
      <c r="AB41" s="9">
        <v>0</v>
      </c>
      <c r="AC41" s="9">
        <v>0</v>
      </c>
      <c r="AD41" s="9">
        <v>0</v>
      </c>
      <c r="AE41" s="9">
        <v>0</v>
      </c>
      <c r="AF41" s="9">
        <v>0</v>
      </c>
      <c r="AG41" s="9">
        <v>0</v>
      </c>
      <c r="AH41" s="9">
        <v>0</v>
      </c>
      <c r="AI41" s="9">
        <v>45</v>
      </c>
      <c r="AJ41" s="9">
        <v>33</v>
      </c>
      <c r="AK41" s="9">
        <v>0</v>
      </c>
      <c r="AL41" s="9">
        <v>0</v>
      </c>
      <c r="AM41" s="9">
        <v>0</v>
      </c>
      <c r="AN41" s="9">
        <v>0</v>
      </c>
      <c r="AO41" s="9">
        <v>45</v>
      </c>
      <c r="AP41" s="9">
        <v>33</v>
      </c>
      <c r="AQ41" s="9">
        <v>111</v>
      </c>
      <c r="AR41" s="9">
        <v>36</v>
      </c>
      <c r="AS41" s="9">
        <v>39</v>
      </c>
      <c r="AT41" s="9">
        <v>36</v>
      </c>
      <c r="AU41" s="9">
        <v>0</v>
      </c>
      <c r="AV41" s="9">
        <v>0</v>
      </c>
      <c r="AW41" s="9">
        <v>150</v>
      </c>
      <c r="AX41" s="9">
        <v>36</v>
      </c>
    </row>
    <row r="42" spans="2:50" ht="15" x14ac:dyDescent="0.2">
      <c r="B42" s="19" t="s">
        <v>44</v>
      </c>
      <c r="C42" s="9">
        <v>0</v>
      </c>
      <c r="D42" s="9">
        <v>0</v>
      </c>
      <c r="E42" s="9">
        <v>27</v>
      </c>
      <c r="F42" s="9">
        <v>73</v>
      </c>
      <c r="G42" s="9">
        <v>31</v>
      </c>
      <c r="H42" s="9">
        <v>73</v>
      </c>
      <c r="I42" s="9">
        <v>58</v>
      </c>
      <c r="J42" s="9">
        <v>73</v>
      </c>
      <c r="K42" s="9">
        <v>0</v>
      </c>
      <c r="L42" s="9">
        <v>0</v>
      </c>
      <c r="M42" s="9">
        <v>0</v>
      </c>
      <c r="N42" s="9">
        <v>0</v>
      </c>
      <c r="O42" s="9">
        <v>24</v>
      </c>
      <c r="P42" s="9">
        <v>98</v>
      </c>
      <c r="Q42" s="9">
        <v>24</v>
      </c>
      <c r="R42" s="9">
        <v>98</v>
      </c>
      <c r="S42" s="9">
        <v>0</v>
      </c>
      <c r="T42" s="9">
        <v>0</v>
      </c>
      <c r="U42" s="9">
        <v>23</v>
      </c>
      <c r="V42" s="9">
        <v>87</v>
      </c>
      <c r="W42" s="9">
        <v>0</v>
      </c>
      <c r="X42" s="9">
        <v>0</v>
      </c>
      <c r="Y42" s="9">
        <v>23</v>
      </c>
      <c r="Z42" s="9">
        <v>87</v>
      </c>
      <c r="AA42" s="9">
        <v>0</v>
      </c>
      <c r="AB42" s="9">
        <v>0</v>
      </c>
      <c r="AC42" s="9">
        <v>31</v>
      </c>
      <c r="AD42" s="9">
        <v>55</v>
      </c>
      <c r="AE42" s="9">
        <v>0</v>
      </c>
      <c r="AF42" s="9">
        <v>0</v>
      </c>
      <c r="AG42" s="9">
        <v>31</v>
      </c>
      <c r="AH42" s="9">
        <v>55</v>
      </c>
      <c r="AI42" s="9">
        <v>0</v>
      </c>
      <c r="AJ42" s="9">
        <v>0</v>
      </c>
      <c r="AK42" s="9">
        <v>0</v>
      </c>
      <c r="AL42" s="9">
        <v>0</v>
      </c>
      <c r="AM42" s="9">
        <v>0</v>
      </c>
      <c r="AN42" s="9">
        <v>0</v>
      </c>
      <c r="AO42" s="9">
        <v>0</v>
      </c>
      <c r="AP42" s="9">
        <v>0</v>
      </c>
      <c r="AQ42" s="9">
        <v>0</v>
      </c>
      <c r="AR42" s="9">
        <v>0</v>
      </c>
      <c r="AS42" s="9">
        <v>0</v>
      </c>
      <c r="AT42" s="9">
        <v>0</v>
      </c>
      <c r="AU42" s="9">
        <v>0</v>
      </c>
      <c r="AV42" s="9">
        <v>0</v>
      </c>
      <c r="AW42" s="9">
        <v>0</v>
      </c>
      <c r="AX42" s="9">
        <v>0</v>
      </c>
    </row>
    <row r="43" spans="2:50" ht="15" x14ac:dyDescent="0.2">
      <c r="B43" s="19" t="s">
        <v>45</v>
      </c>
      <c r="C43" s="9">
        <v>0</v>
      </c>
      <c r="D43" s="9">
        <v>0</v>
      </c>
      <c r="E43" s="9">
        <v>0</v>
      </c>
      <c r="F43" s="9">
        <v>0</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50</v>
      </c>
      <c r="AT43" s="9">
        <v>36</v>
      </c>
      <c r="AU43" s="9">
        <v>0</v>
      </c>
      <c r="AV43" s="9">
        <v>0</v>
      </c>
      <c r="AW43" s="9">
        <v>50</v>
      </c>
      <c r="AX43" s="9">
        <v>36</v>
      </c>
    </row>
    <row r="44" spans="2:50" ht="15" x14ac:dyDescent="0.2">
      <c r="B44" s="19" t="s">
        <v>46</v>
      </c>
      <c r="C44" s="9">
        <v>0</v>
      </c>
      <c r="D44" s="9">
        <v>0</v>
      </c>
      <c r="E44" s="9">
        <v>27</v>
      </c>
      <c r="F44" s="9">
        <v>74</v>
      </c>
      <c r="G44" s="9">
        <v>0</v>
      </c>
      <c r="H44" s="9">
        <v>0</v>
      </c>
      <c r="I44" s="9">
        <v>27</v>
      </c>
      <c r="J44" s="9">
        <v>74</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27</v>
      </c>
      <c r="AD44" s="9">
        <v>56</v>
      </c>
      <c r="AE44" s="9">
        <v>0</v>
      </c>
      <c r="AF44" s="9">
        <v>0</v>
      </c>
      <c r="AG44" s="9">
        <v>27</v>
      </c>
      <c r="AH44" s="9">
        <v>56</v>
      </c>
      <c r="AI44" s="9">
        <v>0</v>
      </c>
      <c r="AJ44" s="9">
        <v>0</v>
      </c>
      <c r="AK44" s="9">
        <v>0</v>
      </c>
      <c r="AL44" s="9">
        <v>0</v>
      </c>
      <c r="AM44" s="9">
        <v>0</v>
      </c>
      <c r="AN44" s="9">
        <v>0</v>
      </c>
      <c r="AO44" s="9">
        <v>0</v>
      </c>
      <c r="AP44" s="9">
        <v>0</v>
      </c>
      <c r="AQ44" s="9">
        <v>0</v>
      </c>
      <c r="AR44" s="9">
        <v>0</v>
      </c>
      <c r="AS44" s="9">
        <v>58</v>
      </c>
      <c r="AT44" s="9">
        <v>37</v>
      </c>
      <c r="AU44" s="9">
        <v>0</v>
      </c>
      <c r="AV44" s="9">
        <v>0</v>
      </c>
      <c r="AW44" s="9">
        <v>58</v>
      </c>
      <c r="AX44" s="9">
        <v>37</v>
      </c>
    </row>
    <row r="45" spans="2:50" ht="15" x14ac:dyDescent="0.2">
      <c r="B45" s="19" t="s">
        <v>7</v>
      </c>
      <c r="C45" s="9">
        <v>596</v>
      </c>
      <c r="D45" s="9">
        <v>68.519444444444446</v>
      </c>
      <c r="E45" s="9">
        <v>530</v>
      </c>
      <c r="F45" s="9">
        <v>68.304500000000004</v>
      </c>
      <c r="G45" s="9">
        <v>242</v>
      </c>
      <c r="H45" s="9">
        <v>68.826250000000002</v>
      </c>
      <c r="I45" s="9">
        <v>1368</v>
      </c>
      <c r="J45" s="9">
        <v>68.479347826086965</v>
      </c>
      <c r="K45" s="9">
        <v>138</v>
      </c>
      <c r="L45" s="9">
        <v>92.149999999999991</v>
      </c>
      <c r="M45" s="9">
        <v>105</v>
      </c>
      <c r="N45" s="9">
        <v>92.99</v>
      </c>
      <c r="O45" s="9">
        <v>762</v>
      </c>
      <c r="P45" s="9">
        <v>93.15</v>
      </c>
      <c r="Q45" s="9">
        <v>1005</v>
      </c>
      <c r="R45" s="9">
        <v>92.984146341463429</v>
      </c>
      <c r="S45" s="9">
        <v>313</v>
      </c>
      <c r="T45" s="9">
        <v>82.236666666666665</v>
      </c>
      <c r="U45" s="9">
        <v>290</v>
      </c>
      <c r="V45" s="9">
        <v>81.763636363636365</v>
      </c>
      <c r="W45" s="9">
        <v>233</v>
      </c>
      <c r="X45" s="9">
        <v>80.243636363636355</v>
      </c>
      <c r="Y45" s="9">
        <v>836</v>
      </c>
      <c r="Z45" s="9">
        <v>81.438823529411764</v>
      </c>
      <c r="AA45" s="9">
        <v>632</v>
      </c>
      <c r="AB45" s="9">
        <v>49.387999999999998</v>
      </c>
      <c r="AC45" s="9">
        <v>364</v>
      </c>
      <c r="AD45" s="9">
        <v>51.594000000000008</v>
      </c>
      <c r="AE45" s="9">
        <v>238</v>
      </c>
      <c r="AF45" s="9">
        <v>49.99</v>
      </c>
      <c r="AG45" s="9">
        <v>1234</v>
      </c>
      <c r="AH45" s="9">
        <v>50.21612903225806</v>
      </c>
      <c r="AI45" s="9">
        <v>1310</v>
      </c>
      <c r="AJ45" s="9">
        <v>28.857142857142858</v>
      </c>
      <c r="AK45" s="9">
        <v>504</v>
      </c>
      <c r="AL45" s="9">
        <v>27.888888888888889</v>
      </c>
      <c r="AM45" s="9">
        <v>241</v>
      </c>
      <c r="AN45" s="9">
        <v>26.625</v>
      </c>
      <c r="AO45" s="9">
        <v>2055</v>
      </c>
      <c r="AP45" s="9">
        <v>28.243055555555557</v>
      </c>
      <c r="AQ45" s="9">
        <v>840</v>
      </c>
      <c r="AR45" s="9">
        <v>31.98</v>
      </c>
      <c r="AS45" s="9">
        <v>992</v>
      </c>
      <c r="AT45" s="9">
        <v>32.866250000000001</v>
      </c>
      <c r="AU45" s="9">
        <v>376</v>
      </c>
      <c r="AV45" s="9">
        <v>31.857142857142858</v>
      </c>
      <c r="AW45" s="9">
        <v>2208</v>
      </c>
      <c r="AX45" s="9">
        <v>32.339999999999996</v>
      </c>
    </row>
    <row r="46" spans="2:50" x14ac:dyDescent="0.2">
      <c r="F46" s="64"/>
      <c r="L46" s="17"/>
      <c r="Z46" s="2"/>
      <c r="AQ46" s="12"/>
    </row>
    <row r="47" spans="2:50" x14ac:dyDescent="0.2">
      <c r="Z47" s="2"/>
      <c r="AQ47" s="12"/>
    </row>
    <row r="48" spans="2:50" x14ac:dyDescent="0.2">
      <c r="Z48" s="2"/>
      <c r="AQ48" s="12"/>
    </row>
    <row r="49" spans="2:45" x14ac:dyDescent="0.2">
      <c r="Z49" s="2"/>
      <c r="AQ49" s="12"/>
    </row>
    <row r="50" spans="2:45" x14ac:dyDescent="0.2">
      <c r="B50" t="s">
        <v>95</v>
      </c>
      <c r="C50" t="s">
        <v>96</v>
      </c>
      <c r="AO50" s="12"/>
    </row>
    <row r="51" spans="2:45" x14ac:dyDescent="0.2">
      <c r="B51" t="str">
        <f>Dashboard!D7</f>
        <v>Butter</v>
      </c>
      <c r="C51" t="str">
        <f>Dashboard!D9</f>
        <v>South</v>
      </c>
      <c r="D51" s="10"/>
      <c r="F51" s="66"/>
      <c r="G51" s="17"/>
      <c r="H51" s="15"/>
      <c r="I51" s="17"/>
      <c r="J51" s="17"/>
      <c r="K51" s="17"/>
      <c r="L51" s="17"/>
      <c r="M51" s="10"/>
      <c r="AO51" s="12"/>
    </row>
    <row r="52" spans="2:45" x14ac:dyDescent="0.2">
      <c r="AQ52" s="12"/>
    </row>
    <row r="53" spans="2:45" x14ac:dyDescent="0.2">
      <c r="B53" t="s">
        <v>132</v>
      </c>
      <c r="C53" t="s">
        <v>53</v>
      </c>
      <c r="D53" t="s">
        <v>51</v>
      </c>
      <c r="E53" t="s">
        <v>52</v>
      </c>
      <c r="F53" s="65" t="s">
        <v>93</v>
      </c>
      <c r="G53" t="s">
        <v>106</v>
      </c>
      <c r="H53" t="s">
        <v>163</v>
      </c>
      <c r="I53" t="s">
        <v>60</v>
      </c>
      <c r="J53" t="s">
        <v>258</v>
      </c>
      <c r="K53" t="s">
        <v>259</v>
      </c>
      <c r="L53" t="s">
        <v>131</v>
      </c>
      <c r="M53" t="s">
        <v>164</v>
      </c>
      <c r="N53" t="s">
        <v>133</v>
      </c>
      <c r="O53" t="s">
        <v>139</v>
      </c>
      <c r="P53" t="s">
        <v>181</v>
      </c>
      <c r="Q53" t="s">
        <v>140</v>
      </c>
      <c r="R53" t="s">
        <v>182</v>
      </c>
      <c r="S53" t="s">
        <v>183</v>
      </c>
      <c r="T53" t="s">
        <v>184</v>
      </c>
      <c r="V53" t="s">
        <v>192</v>
      </c>
      <c r="W53" s="11" t="s">
        <v>191</v>
      </c>
      <c r="X53" t="s">
        <v>190</v>
      </c>
      <c r="AS53" s="12"/>
    </row>
    <row r="54" spans="2:45" x14ac:dyDescent="0.2">
      <c r="B54" s="18">
        <v>1</v>
      </c>
      <c r="C54" s="13" t="s">
        <v>54</v>
      </c>
      <c r="D54" s="10">
        <f t="shared" ref="D54:D97" si="0">IFERROR(GETPIVOTDATA("QTY",$B$3,"PRODUCT_DESCRIPTION",$B$51,"AREA_NAME",$C$51,"SALES_ORDER_DATE",C54), 0)</f>
        <v>0</v>
      </c>
      <c r="E54" s="16">
        <f t="shared" ref="E54:E97" si="1">IFERROR(GETPIVOTDATA("PRICE",$B$3,"PRODUCT_DESCRIPTION",$B$51,"AREA_NAME",$C$51,"SALES_ORDER_DATE",C54), 0)</f>
        <v>0</v>
      </c>
      <c r="F54" s="67">
        <f>Table2[[#This Row],[Sales]]*Table2[[#This Row],[Price]]</f>
        <v>0</v>
      </c>
      <c r="G54" s="10" cm="1">
        <f t="array" ref="G54">GETPIVOTDATA("STOCK_LEVEL", Historical_Stock!$B$5, "PRODUCT", Table8[Product], "STORAGE_LOCATION_ID", Table8[Region], "INVENTORY_DATE", Table2[[#This Row],[Order date]])</f>
        <v>0</v>
      </c>
      <c r="H54" s="18" cm="1">
        <f t="array" ref="H54">IFERROR(GETPIVOTDATA("Quantity", Historical_Stock!$G$465,  "Product", Table8[Product], "Region", Table8[Region], "Date", Table2[[#This Row],[Order date]]), 0)</f>
        <v>0</v>
      </c>
      <c r="I54" s="18" cm="1">
        <f t="array" ref="I54">IFERROR(GETPIVOTDATA("Real Purchase", Historical_Stock!$I$414, "Product", Table8[Product], "Date", Table2[[#This Row],[Order date]]), 0)</f>
        <v>600</v>
      </c>
      <c r="J54" s="18">
        <f>IF(Table2[[#This Row],[Transfer In]]=0, 0, 1)</f>
        <v>0</v>
      </c>
      <c r="K54" s="18">
        <f>IF(Table2[[#This Row],[Purchase]]=0, 0, -1)</f>
        <v>-1</v>
      </c>
      <c r="L54" s="18">
        <v>0</v>
      </c>
      <c r="M54" s="18">
        <v>0</v>
      </c>
      <c r="N54" s="18">
        <f>1-(Table2[[#This Row],[Inventory shortage]]+Table2[[#This Row],[No Inventory]])</f>
        <v>1</v>
      </c>
      <c r="O54" s="18">
        <f>-Table2[[#This Row],[Inventory shortage]]</f>
        <v>0</v>
      </c>
      <c r="P54" s="18">
        <f>-Table2[[#This Row],[No Inventory]]</f>
        <v>0</v>
      </c>
      <c r="Q54" s="18">
        <f>-Table2[[#This Row],[Normal Inventory]]</f>
        <v>-1</v>
      </c>
      <c r="R54" s="18" cm="1">
        <f t="array" ref="R54">IF(GETPIVOTDATA("STOCK_LEVEL", Historical_Stock!$B$5, "PRODUCT", Table8[Product], "STORAGE_LOCATION_ID", "Main Warehouse", "INVENTORY_DATE", Table2[[#This Row],[Order date]])=0, 1, 0)</f>
        <v>1</v>
      </c>
      <c r="S54" s="18">
        <f>IF(AND(Table2[[#This Row],[No Inventory]]=1, Table2[[#This Row],[No Inventory (MW)]]=1), 1, 0)</f>
        <v>0</v>
      </c>
      <c r="T54" s="18">
        <f>IF(AND(Table2[[#This Row],[No Inventory]]=1, Table2[[#This Row],[Purchase Manager]]=0), 1, 0)</f>
        <v>0</v>
      </c>
      <c r="V54" t="s">
        <v>91</v>
      </c>
      <c r="W54" s="48">
        <v>1</v>
      </c>
      <c r="X54" s="40">
        <f>Table2[[#Totals],[Revenue]]*Table2[[#Totals],[No Inventory]]</f>
        <v>0</v>
      </c>
      <c r="AS54" s="12"/>
    </row>
    <row r="55" spans="2:45" x14ac:dyDescent="0.2">
      <c r="B55" s="18">
        <v>1</v>
      </c>
      <c r="C55" s="13" t="s">
        <v>55</v>
      </c>
      <c r="D55" s="10">
        <f t="shared" si="0"/>
        <v>0</v>
      </c>
      <c r="E55" s="16">
        <f t="shared" si="1"/>
        <v>0</v>
      </c>
      <c r="F55" s="67">
        <f>Table2[[#This Row],[Sales]]*Table2[[#This Row],[Price]]</f>
        <v>0</v>
      </c>
      <c r="G55" s="10" cm="1">
        <f t="array" ref="G55">GETPIVOTDATA("STOCK_LEVEL", Historical_Stock!$B$5, "PRODUCT", Table8[Product], "STORAGE_LOCATION_ID", Table8[Region], "INVENTORY_DATE", Table2[[#This Row],[Order date]])</f>
        <v>0</v>
      </c>
      <c r="H55" s="18" cm="1">
        <f t="array" ref="H55">IFERROR(GETPIVOTDATA("Quantity", Historical_Stock!$G$465,  "Product", Table8[Product], "Region", Table8[Region], "Date", Table2[[#This Row],[Order date]]), 0)</f>
        <v>100</v>
      </c>
      <c r="I55" s="18" cm="1">
        <f t="array" ref="I55">IFERROR(GETPIVOTDATA("Real Purchase", Historical_Stock!$I$414, "Product", Table8[Product], "Date", Table2[[#This Row],[Order date]]), 0)</f>
        <v>0</v>
      </c>
      <c r="J55" s="18">
        <f>IF(Table2[[#This Row],[Transfer In]]=0, 0, 1)</f>
        <v>1</v>
      </c>
      <c r="K55" s="18">
        <f>IF(Table2[[#This Row],[Purchase]]=0, 0, -1)</f>
        <v>0</v>
      </c>
      <c r="L55" s="18">
        <v>0</v>
      </c>
      <c r="M55" s="18">
        <v>0</v>
      </c>
      <c r="N55" s="18">
        <f>1-(Table2[[#This Row],[Inventory shortage]]+Table2[[#This Row],[No Inventory]])</f>
        <v>1</v>
      </c>
      <c r="O55" s="18">
        <f>-Table2[[#This Row],[Inventory shortage]]</f>
        <v>0</v>
      </c>
      <c r="P55" s="18">
        <f>-Table2[[#This Row],[No Inventory]]</f>
        <v>0</v>
      </c>
      <c r="Q55" s="18">
        <f>-Table2[[#This Row],[Normal Inventory]]</f>
        <v>-1</v>
      </c>
      <c r="R55" s="18" cm="1">
        <f t="array" ref="R55">IF(GETPIVOTDATA("STOCK_LEVEL", Historical_Stock!$B$5, "PRODUCT", Table8[Product], "STORAGE_LOCATION_ID", "Main Warehouse", "INVENTORY_DATE", Table2[[#This Row],[Order date]])=0, 1, 0)</f>
        <v>0</v>
      </c>
      <c r="S55" s="18">
        <f>IF(AND(Table2[[#This Row],[No Inventory]]=1, Table2[[#This Row],[No Inventory (MW)]]=1), 1, 0)</f>
        <v>0</v>
      </c>
      <c r="T55" s="18">
        <f>IF(AND(Table2[[#This Row],[No Inventory]]=1, Table2[[#This Row],[Purchase Manager]]=0), 1, 0)</f>
        <v>0</v>
      </c>
      <c r="V55" t="str">
        <f>IF(X54=0, "", "Purchase Manager (Main Warehouse Shortage)")</f>
        <v/>
      </c>
      <c r="W55" s="6" t="str">
        <f>IFERROR(Table2[[#Totals],[Purchase Manager]]/SUM(Table2[[#Totals],[Purchase Manager]:[Logistics Manager]]),"")</f>
        <v/>
      </c>
      <c r="X55" s="40" t="str">
        <f>IF($X$54=0, "", W55*$X$54)</f>
        <v/>
      </c>
      <c r="AS55" s="12"/>
    </row>
    <row r="56" spans="2:45" x14ac:dyDescent="0.2">
      <c r="B56" s="18">
        <v>1</v>
      </c>
      <c r="C56" s="13" t="s">
        <v>9</v>
      </c>
      <c r="D56" s="10">
        <f t="shared" si="0"/>
        <v>10</v>
      </c>
      <c r="E56" s="16">
        <f t="shared" si="1"/>
        <v>65.87</v>
      </c>
      <c r="F56" s="68">
        <f>Table2[[#This Row],[Sales]]*Table2[[#This Row],[Price]]</f>
        <v>658.7</v>
      </c>
      <c r="G56" s="10" cm="1">
        <f t="array" ref="G56">GETPIVOTDATA("STOCK_LEVEL", Historical_Stock!$B$5, "PRODUCT", Table8[Product], "STORAGE_LOCATION_ID", Table8[Region], "INVENTORY_DATE", Table2[[#This Row],[Order date]])</f>
        <v>100</v>
      </c>
      <c r="H56" s="18" cm="1">
        <f t="array" ref="H56">IFERROR(GETPIVOTDATA("Quantity", Historical_Stock!$G$465,  "Product", Table8[Product], "Region", Table8[Region], "Date", Table2[[#This Row],[Order date]]), 0)</f>
        <v>0</v>
      </c>
      <c r="I56" s="18" cm="1">
        <f t="array" ref="I56">IFERROR(GETPIVOTDATA("Real Purchase", Historical_Stock!$I$414, "Product", Table8[Product], "Date", Table2[[#This Row],[Order date]]), 0)</f>
        <v>0</v>
      </c>
      <c r="J56" s="18">
        <f>IF(Table2[[#This Row],[Transfer In]]=0, 0, 1)</f>
        <v>0</v>
      </c>
      <c r="K56" s="18">
        <f>IF(Table2[[#This Row],[Purchase]]=0, 0, -1)</f>
        <v>0</v>
      </c>
      <c r="L56" s="18">
        <f>IF(AND(Table2[[#This Row],[Stock Level]]=Table2[[#This Row],[Sales]], Table2[[#This Row],[Stock Level]]&lt;&gt;0), 1, 0)</f>
        <v>0</v>
      </c>
      <c r="M56" s="18">
        <f>IF(Table2[[#This Row],[Stock Level]]=0, 1, 0)</f>
        <v>0</v>
      </c>
      <c r="N56" s="18">
        <f>1-(Table2[[#This Row],[Inventory shortage]]+Table2[[#This Row],[No Inventory]])</f>
        <v>1</v>
      </c>
      <c r="O56" s="18">
        <f>-Table2[[#This Row],[Inventory shortage]]</f>
        <v>0</v>
      </c>
      <c r="P56" s="18">
        <f>-Table2[[#This Row],[No Inventory]]</f>
        <v>0</v>
      </c>
      <c r="Q56" s="18">
        <f>-Table2[[#This Row],[Normal Inventory]]</f>
        <v>-1</v>
      </c>
      <c r="R56" s="18" cm="1">
        <f t="array" ref="R56">IF(GETPIVOTDATA("STOCK_LEVEL", Historical_Stock!$B$5, "PRODUCT", Table8[Product], "STORAGE_LOCATION_ID", "Main Warehouse", "INVENTORY_DATE", Table2[[#This Row],[Order date]])=0, 1, 0)</f>
        <v>0</v>
      </c>
      <c r="S56" s="18">
        <f>IF(AND(Table2[[#This Row],[No Inventory]]=1, Table2[[#This Row],[No Inventory (MW)]]=1), 1, 0)</f>
        <v>0</v>
      </c>
      <c r="T56" s="18">
        <f>IF(AND(Table2[[#This Row],[No Inventory]]=1, Table2[[#This Row],[Purchase Manager]]=0), 1, 0)</f>
        <v>0</v>
      </c>
      <c r="V56" t="str">
        <f>IF(X54=0, "", "Logistics Manager (Transfer Delay)")</f>
        <v/>
      </c>
      <c r="W56" s="6" t="str">
        <f>IFERROR(Table2[[#Totals],[Logistics Manager]]/SUM(Table2[[#Totals],[Purchase Manager]:[Logistics Manager]]), "")</f>
        <v/>
      </c>
      <c r="X56" s="40" t="str">
        <f>IF($X$54=0, "", W56*$X$54)</f>
        <v/>
      </c>
      <c r="AO56" s="38"/>
      <c r="AP56" s="38"/>
      <c r="AS56" s="12"/>
    </row>
    <row r="57" spans="2:45" x14ac:dyDescent="0.2">
      <c r="B57" s="18">
        <v>1</v>
      </c>
      <c r="C57" s="13" t="s">
        <v>10</v>
      </c>
      <c r="D57" s="10">
        <f t="shared" si="0"/>
        <v>58</v>
      </c>
      <c r="E57" s="16">
        <f t="shared" si="1"/>
        <v>65.87</v>
      </c>
      <c r="F57" s="68">
        <f>Table2[[#This Row],[Sales]]*Table2[[#This Row],[Price]]</f>
        <v>3820.46</v>
      </c>
      <c r="G57" s="10" cm="1">
        <f t="array" ref="G57">GETPIVOTDATA("STOCK_LEVEL", Historical_Stock!$B$5, "PRODUCT", Table8[Product], "STORAGE_LOCATION_ID", Table8[Region], "INVENTORY_DATE", Table2[[#This Row],[Order date]])</f>
        <v>90</v>
      </c>
      <c r="H57" s="18" cm="1">
        <f t="array" ref="H57">IFERROR(GETPIVOTDATA("Quantity", Historical_Stock!$G$465,  "Product", Table8[Product], "Region", Table8[Region], "Date", Table2[[#This Row],[Order date]]), 0)</f>
        <v>0</v>
      </c>
      <c r="I57" s="18" cm="1">
        <f t="array" ref="I57">IFERROR(GETPIVOTDATA("Real Purchase", Historical_Stock!$I$414, "Product", Table8[Product], "Date", Table2[[#This Row],[Order date]]), 0)</f>
        <v>0</v>
      </c>
      <c r="J57" s="18">
        <f>IF(Table2[[#This Row],[Transfer In]]=0, 0, 1)</f>
        <v>0</v>
      </c>
      <c r="K57" s="18">
        <f>IF(Table2[[#This Row],[Purchase]]=0, 0, -1)</f>
        <v>0</v>
      </c>
      <c r="L57" s="18">
        <f>IF(AND(Table2[[#This Row],[Stock Level]]=Table2[[#This Row],[Sales]], Table2[[#This Row],[Stock Level]]&lt;&gt;0), 1, 0)</f>
        <v>0</v>
      </c>
      <c r="M57" s="18">
        <f>IF(Table2[[#This Row],[Stock Level]]=0, 1, 0)</f>
        <v>0</v>
      </c>
      <c r="N57" s="18">
        <f>1-(Table2[[#This Row],[Inventory shortage]]+Table2[[#This Row],[No Inventory]])</f>
        <v>1</v>
      </c>
      <c r="O57" s="18">
        <f>-Table2[[#This Row],[Inventory shortage]]</f>
        <v>0</v>
      </c>
      <c r="P57" s="18">
        <f>-Table2[[#This Row],[No Inventory]]</f>
        <v>0</v>
      </c>
      <c r="Q57" s="18">
        <f>-Table2[[#This Row],[Normal Inventory]]</f>
        <v>-1</v>
      </c>
      <c r="R57" s="18" cm="1">
        <f t="array" ref="R57">IF(GETPIVOTDATA("STOCK_LEVEL", Historical_Stock!$B$5, "PRODUCT", Table8[Product], "STORAGE_LOCATION_ID", "Main Warehouse", "INVENTORY_DATE", Table2[[#This Row],[Order date]])=0, 1, 0)</f>
        <v>0</v>
      </c>
      <c r="S57" s="18">
        <f>IF(AND(Table2[[#This Row],[No Inventory]]=1, Table2[[#This Row],[No Inventory (MW)]]=1), 1, 0)</f>
        <v>0</v>
      </c>
      <c r="T57" s="18">
        <f>IF(AND(Table2[[#This Row],[No Inventory]]=1, Table2[[#This Row],[Purchase Manager]]=0), 1, 0)</f>
        <v>0</v>
      </c>
      <c r="AO57" s="38"/>
      <c r="AP57" s="38"/>
      <c r="AS57" s="12"/>
    </row>
    <row r="58" spans="2:45" x14ac:dyDescent="0.2">
      <c r="B58" s="18">
        <v>1</v>
      </c>
      <c r="C58" s="13" t="s">
        <v>11</v>
      </c>
      <c r="D58" s="10">
        <f t="shared" si="0"/>
        <v>0</v>
      </c>
      <c r="E58" s="16">
        <f t="shared" si="1"/>
        <v>0</v>
      </c>
      <c r="F58" s="68">
        <f>Table2[[#This Row],[Sales]]*Table2[[#This Row],[Price]]</f>
        <v>0</v>
      </c>
      <c r="G58" s="10" cm="1">
        <f t="array" ref="G58">GETPIVOTDATA("STOCK_LEVEL", Historical_Stock!$B$5, "PRODUCT", Table8[Product], "STORAGE_LOCATION_ID", Table8[Region], "INVENTORY_DATE", Table2[[#This Row],[Order date]])</f>
        <v>32</v>
      </c>
      <c r="H58" s="18" cm="1">
        <f t="array" ref="H58">IFERROR(GETPIVOTDATA("Quantity", Historical_Stock!$G$465,  "Product", Table8[Product], "Region", Table8[Region], "Date", Table2[[#This Row],[Order date]]), 0)</f>
        <v>68</v>
      </c>
      <c r="I58" s="18" cm="1">
        <f t="array" ref="I58">IFERROR(GETPIVOTDATA("Real Purchase", Historical_Stock!$I$414, "Product", Table8[Product], "Date", Table2[[#This Row],[Order date]]), 0)</f>
        <v>0</v>
      </c>
      <c r="J58" s="18">
        <f>IF(Table2[[#This Row],[Transfer In]]=0, 0, 1)</f>
        <v>1</v>
      </c>
      <c r="K58" s="18">
        <f>IF(Table2[[#This Row],[Purchase]]=0, 0, -1)</f>
        <v>0</v>
      </c>
      <c r="L58" s="18">
        <f>IF(AND(Table2[[#This Row],[Stock Level]]=Table2[[#This Row],[Sales]], Table2[[#This Row],[Stock Level]]&lt;&gt;0), 1, 0)</f>
        <v>0</v>
      </c>
      <c r="M58" s="18">
        <f>IF(Table2[[#This Row],[Stock Level]]=0, 1, 0)</f>
        <v>0</v>
      </c>
      <c r="N58" s="18">
        <f>1-(Table2[[#This Row],[Inventory shortage]]+Table2[[#This Row],[No Inventory]])</f>
        <v>1</v>
      </c>
      <c r="O58" s="18">
        <f>-Table2[[#This Row],[Inventory shortage]]</f>
        <v>0</v>
      </c>
      <c r="P58" s="18">
        <f>-Table2[[#This Row],[No Inventory]]</f>
        <v>0</v>
      </c>
      <c r="Q58" s="18">
        <f>-Table2[[#This Row],[Normal Inventory]]</f>
        <v>-1</v>
      </c>
      <c r="R58" s="18" cm="1">
        <f t="array" ref="R58">IF(GETPIVOTDATA("STOCK_LEVEL", Historical_Stock!$B$5, "PRODUCT", Table8[Product], "STORAGE_LOCATION_ID", "Main Warehouse", "INVENTORY_DATE", Table2[[#This Row],[Order date]])=0, 1, 0)</f>
        <v>0</v>
      </c>
      <c r="S58" s="18">
        <f>IF(AND(Table2[[#This Row],[No Inventory]]=1, Table2[[#This Row],[No Inventory (MW)]]=1), 1, 0)</f>
        <v>0</v>
      </c>
      <c r="T58" s="18">
        <f>IF(AND(Table2[[#This Row],[No Inventory]]=1, Table2[[#This Row],[Purchase Manager]]=0), 1, 0)</f>
        <v>0</v>
      </c>
      <c r="V58" t="s">
        <v>194</v>
      </c>
      <c r="W58" t="s">
        <v>193</v>
      </c>
      <c r="X58" t="s">
        <v>196</v>
      </c>
      <c r="Y58" s="9" t="s">
        <v>195</v>
      </c>
      <c r="AO58" s="38"/>
      <c r="AP58" s="38"/>
      <c r="AS58" s="12"/>
    </row>
    <row r="59" spans="2:45" x14ac:dyDescent="0.2">
      <c r="B59" s="18">
        <v>1</v>
      </c>
      <c r="C59" s="13" t="s">
        <v>12</v>
      </c>
      <c r="D59" s="10">
        <f t="shared" si="0"/>
        <v>0</v>
      </c>
      <c r="E59" s="16">
        <f t="shared" si="1"/>
        <v>0</v>
      </c>
      <c r="F59" s="68">
        <f>Table2[[#This Row],[Sales]]*Table2[[#This Row],[Price]]</f>
        <v>0</v>
      </c>
      <c r="G59" s="10" cm="1">
        <f t="array" ref="G59">GETPIVOTDATA("STOCK_LEVEL", Historical_Stock!$B$5, "PRODUCT", Table8[Product], "STORAGE_LOCATION_ID", Table8[Region], "INVENTORY_DATE", Table2[[#This Row],[Order date]])</f>
        <v>100</v>
      </c>
      <c r="H59" s="18" cm="1">
        <f t="array" ref="H59">IFERROR(GETPIVOTDATA("Quantity", Historical_Stock!$G$465,  "Product", Table8[Product], "Region", Table8[Region], "Date", Table2[[#This Row],[Order date]]), 0)</f>
        <v>0</v>
      </c>
      <c r="I59" s="18" cm="1">
        <f t="array" ref="I59">IFERROR(GETPIVOTDATA("Real Purchase", Historical_Stock!$I$414, "Product", Table8[Product], "Date", Table2[[#This Row],[Order date]]), 0)</f>
        <v>0</v>
      </c>
      <c r="J59" s="18">
        <f>IF(Table2[[#This Row],[Transfer In]]=0, 0, 1)</f>
        <v>0</v>
      </c>
      <c r="K59" s="18">
        <f>IF(Table2[[#This Row],[Purchase]]=0, 0, -1)</f>
        <v>0</v>
      </c>
      <c r="L59" s="18">
        <f>IF(AND(Table2[[#This Row],[Stock Level]]=Table2[[#This Row],[Sales]], Table2[[#This Row],[Stock Level]]&lt;&gt;0), 1, 0)</f>
        <v>0</v>
      </c>
      <c r="M59" s="18">
        <f>IF(Table2[[#This Row],[Stock Level]]=0, 1, 0)</f>
        <v>0</v>
      </c>
      <c r="N59" s="18">
        <f>1-(Table2[[#This Row],[Inventory shortage]]+Table2[[#This Row],[No Inventory]])</f>
        <v>1</v>
      </c>
      <c r="O59" s="18">
        <f>-Table2[[#This Row],[Inventory shortage]]</f>
        <v>0</v>
      </c>
      <c r="P59" s="18">
        <f>-Table2[[#This Row],[No Inventory]]</f>
        <v>0</v>
      </c>
      <c r="Q59" s="18">
        <f>-Table2[[#This Row],[Normal Inventory]]</f>
        <v>-1</v>
      </c>
      <c r="R59" s="18" cm="1">
        <f t="array" ref="R59">IF(GETPIVOTDATA("STOCK_LEVEL", Historical_Stock!$B$5, "PRODUCT", Table8[Product], "STORAGE_LOCATION_ID", "Main Warehouse", "INVENTORY_DATE", Table2[[#This Row],[Order date]])=0, 1, 0)</f>
        <v>0</v>
      </c>
      <c r="S59" s="18">
        <f>IF(AND(Table2[[#This Row],[No Inventory]]=1, Table2[[#This Row],[No Inventory (MW)]]=1), 1, 0)</f>
        <v>0</v>
      </c>
      <c r="T59" s="18">
        <f>IF(AND(Table2[[#This Row],[No Inventory]]=1, Table2[[#This Row],[Purchase Manager]]=0), 1, 0)</f>
        <v>0</v>
      </c>
      <c r="V59" t="str">
        <f>IF(Table13[[#This Row],[Number of days]]=44, "", "Normal")</f>
        <v>Normal</v>
      </c>
      <c r="W59" s="11">
        <f>Table2[[#Totals],[Normal Inventory]]</f>
        <v>40</v>
      </c>
      <c r="X59" s="11">
        <f>IF(Table13[[#This Row],[Number of days]]=44, 0, Table13[[#This Row],[Number of days]])</f>
        <v>40</v>
      </c>
      <c r="Y59" s="9" t="str">
        <f xml:space="preserve"> Table13[[#This Row],[Number of days]]&amp;"/40"</f>
        <v>40/40</v>
      </c>
      <c r="AO59" s="38"/>
      <c r="AP59" s="38"/>
      <c r="AS59" s="12"/>
    </row>
    <row r="60" spans="2:45" x14ac:dyDescent="0.2">
      <c r="B60" s="18">
        <v>1</v>
      </c>
      <c r="C60" s="13" t="s">
        <v>13</v>
      </c>
      <c r="D60" s="10">
        <f t="shared" si="0"/>
        <v>59</v>
      </c>
      <c r="E60" s="16">
        <f t="shared" si="1"/>
        <v>65.87</v>
      </c>
      <c r="F60" s="68">
        <f>Table2[[#This Row],[Sales]]*Table2[[#This Row],[Price]]</f>
        <v>3886.3300000000004</v>
      </c>
      <c r="G60" s="10" cm="1">
        <f t="array" ref="G60">GETPIVOTDATA("STOCK_LEVEL", Historical_Stock!$B$5, "PRODUCT", Table8[Product], "STORAGE_LOCATION_ID", Table8[Region], "INVENTORY_DATE", Table2[[#This Row],[Order date]])</f>
        <v>100</v>
      </c>
      <c r="H60" s="18" cm="1">
        <f t="array" ref="H60">IFERROR(GETPIVOTDATA("Quantity", Historical_Stock!$G$465,  "Product", Table8[Product], "Region", Table8[Region], "Date", Table2[[#This Row],[Order date]]), 0)</f>
        <v>0</v>
      </c>
      <c r="I60" s="18" cm="1">
        <f t="array" ref="I60">IFERROR(GETPIVOTDATA("Real Purchase", Historical_Stock!$I$414, "Product", Table8[Product], "Date", Table2[[#This Row],[Order date]]), 0)</f>
        <v>0</v>
      </c>
      <c r="J60" s="18">
        <f>IF(Table2[[#This Row],[Transfer In]]=0, 0, 1)</f>
        <v>0</v>
      </c>
      <c r="K60" s="18">
        <f>IF(Table2[[#This Row],[Purchase]]=0, 0, -1)</f>
        <v>0</v>
      </c>
      <c r="L60" s="18">
        <f>IF(AND(Table2[[#This Row],[Stock Level]]=Table2[[#This Row],[Sales]], Table2[[#This Row],[Stock Level]]&lt;&gt;0), 1, 0)</f>
        <v>0</v>
      </c>
      <c r="M60" s="18">
        <f>IF(Table2[[#This Row],[Stock Level]]=0, 1, 0)</f>
        <v>0</v>
      </c>
      <c r="N60" s="18">
        <f>1-(Table2[[#This Row],[Inventory shortage]]+Table2[[#This Row],[No Inventory]])</f>
        <v>1</v>
      </c>
      <c r="O60" s="18">
        <f>-Table2[[#This Row],[Inventory shortage]]</f>
        <v>0</v>
      </c>
      <c r="P60" s="18">
        <f>-Table2[[#This Row],[No Inventory]]</f>
        <v>0</v>
      </c>
      <c r="Q60" s="18">
        <f>-Table2[[#This Row],[Normal Inventory]]</f>
        <v>-1</v>
      </c>
      <c r="R60" s="18" cm="1">
        <f t="array" ref="R60">IF(GETPIVOTDATA("STOCK_LEVEL", Historical_Stock!$B$5, "PRODUCT", Table8[Product], "STORAGE_LOCATION_ID", "Main Warehouse", "INVENTORY_DATE", Table2[[#This Row],[Order date]])=0, 1, 0)</f>
        <v>0</v>
      </c>
      <c r="S60" s="18">
        <f>IF(AND(Table2[[#This Row],[No Inventory]]=1, Table2[[#This Row],[No Inventory (MW)]]=1), 1, 0)</f>
        <v>0</v>
      </c>
      <c r="T60" s="18">
        <f>IF(AND(Table2[[#This Row],[No Inventory]]=1, Table2[[#This Row],[Purchase Manager]]=0), 1, 0)</f>
        <v>0</v>
      </c>
      <c r="V60" t="str">
        <f>IF(Table13[[#This Row],[Number of days]]=0, "", "Shortage")</f>
        <v/>
      </c>
      <c r="W60" s="11">
        <f>Table2[[#Totals],[Inventory shortage]]</f>
        <v>0</v>
      </c>
      <c r="X60" s="11">
        <f>IF(Table13[[#This Row],[Number of days]]=44, 0, Table13[[#This Row],[Number of days]])</f>
        <v>0</v>
      </c>
      <c r="Y60" s="9" t="str">
        <f xml:space="preserve"> Table13[[#This Row],[Number of days]]&amp;"/40"</f>
        <v>0/40</v>
      </c>
      <c r="AO60" s="38"/>
      <c r="AP60" s="38"/>
      <c r="AS60" s="12"/>
    </row>
    <row r="61" spans="2:45" x14ac:dyDescent="0.2">
      <c r="B61" s="18">
        <v>1</v>
      </c>
      <c r="C61" s="13" t="s">
        <v>14</v>
      </c>
      <c r="D61" s="10">
        <f t="shared" si="0"/>
        <v>0</v>
      </c>
      <c r="E61" s="16">
        <f t="shared" si="1"/>
        <v>0</v>
      </c>
      <c r="F61" s="68">
        <f>Table2[[#This Row],[Sales]]*Table2[[#This Row],[Price]]</f>
        <v>0</v>
      </c>
      <c r="G61" s="10" cm="1">
        <f t="array" ref="G61">GETPIVOTDATA("STOCK_LEVEL", Historical_Stock!$B$5, "PRODUCT", Table8[Product], "STORAGE_LOCATION_ID", Table8[Region], "INVENTORY_DATE", Table2[[#This Row],[Order date]])</f>
        <v>41</v>
      </c>
      <c r="H61" s="18" cm="1">
        <f t="array" ref="H61">IFERROR(GETPIVOTDATA("Quantity", Historical_Stock!$G$465,  "Product", Table8[Product], "Region", Table8[Region], "Date", Table2[[#This Row],[Order date]]), 0)</f>
        <v>54</v>
      </c>
      <c r="I61" s="18" cm="1">
        <f t="array" ref="I61">IFERROR(GETPIVOTDATA("Real Purchase", Historical_Stock!$I$414, "Product", Table8[Product], "Date", Table2[[#This Row],[Order date]]), 0)</f>
        <v>0</v>
      </c>
      <c r="J61" s="18">
        <f>IF(Table2[[#This Row],[Transfer In]]=0, 0, 1)</f>
        <v>1</v>
      </c>
      <c r="K61" s="18">
        <f>IF(Table2[[#This Row],[Purchase]]=0, 0, -1)</f>
        <v>0</v>
      </c>
      <c r="L61" s="18">
        <f>IF(AND(Table2[[#This Row],[Stock Level]]=Table2[[#This Row],[Sales]], Table2[[#This Row],[Stock Level]]&lt;&gt;0), 1, 0)</f>
        <v>0</v>
      </c>
      <c r="M61" s="18">
        <f>IF(Table2[[#This Row],[Stock Level]]=0, 1, 0)</f>
        <v>0</v>
      </c>
      <c r="N61" s="18">
        <f>1-(Table2[[#This Row],[Inventory shortage]]+Table2[[#This Row],[No Inventory]])</f>
        <v>1</v>
      </c>
      <c r="O61" s="18">
        <f>-Table2[[#This Row],[Inventory shortage]]</f>
        <v>0</v>
      </c>
      <c r="P61" s="18">
        <f>-Table2[[#This Row],[No Inventory]]</f>
        <v>0</v>
      </c>
      <c r="Q61" s="18">
        <f>-Table2[[#This Row],[Normal Inventory]]</f>
        <v>-1</v>
      </c>
      <c r="R61" s="18" cm="1">
        <f t="array" ref="R61">IF(GETPIVOTDATA("STOCK_LEVEL", Historical_Stock!$B$5, "PRODUCT", Table8[Product], "STORAGE_LOCATION_ID", "Main Warehouse", "INVENTORY_DATE", Table2[[#This Row],[Order date]])=0, 1, 0)</f>
        <v>0</v>
      </c>
      <c r="S61" s="18">
        <f>IF(AND(Table2[[#This Row],[No Inventory]]=1, Table2[[#This Row],[No Inventory (MW)]]=1), 1, 0)</f>
        <v>0</v>
      </c>
      <c r="T61" s="18">
        <f>IF(AND(Table2[[#This Row],[No Inventory]]=1, Table2[[#This Row],[Purchase Manager]]=0), 1, 0)</f>
        <v>0</v>
      </c>
      <c r="V61" t="str">
        <f>IF(Table13[[#This Row],[Number of days]]=0, "", "Out of stock")</f>
        <v/>
      </c>
      <c r="W61" s="11">
        <f>Table2[[#Totals],[No Inventory]]</f>
        <v>0</v>
      </c>
      <c r="X61" s="11">
        <f>IF(Table13[[#This Row],[Number of days]]=44, 0, Table13[[#This Row],[Number of days]])</f>
        <v>0</v>
      </c>
      <c r="Y61" s="9" t="str">
        <f xml:space="preserve"> Table13[[#This Row],[Number of days]]&amp;"/40"</f>
        <v>0/40</v>
      </c>
      <c r="AO61" s="38"/>
      <c r="AP61" s="38"/>
      <c r="AS61" s="12"/>
    </row>
    <row r="62" spans="2:45" x14ac:dyDescent="0.2">
      <c r="B62" s="18">
        <v>1</v>
      </c>
      <c r="C62" s="13" t="s">
        <v>15</v>
      </c>
      <c r="D62" s="10">
        <f t="shared" si="0"/>
        <v>24</v>
      </c>
      <c r="E62" s="16">
        <f t="shared" si="1"/>
        <v>65.87</v>
      </c>
      <c r="F62" s="68">
        <f>Table2[[#This Row],[Sales]]*Table2[[#This Row],[Price]]</f>
        <v>1580.88</v>
      </c>
      <c r="G62" s="10" cm="1">
        <f t="array" ref="G62">GETPIVOTDATA("STOCK_LEVEL", Historical_Stock!$B$5, "PRODUCT", Table8[Product], "STORAGE_LOCATION_ID", Table8[Region], "INVENTORY_DATE", Table2[[#This Row],[Order date]])</f>
        <v>95</v>
      </c>
      <c r="H62" s="18" cm="1">
        <f t="array" ref="H62">IFERROR(GETPIVOTDATA("Quantity", Historical_Stock!$G$465,  "Product", Table8[Product], "Region", Table8[Region], "Date", Table2[[#This Row],[Order date]]), 0)</f>
        <v>0</v>
      </c>
      <c r="I62" s="18" cm="1">
        <f t="array" ref="I62">IFERROR(GETPIVOTDATA("Real Purchase", Historical_Stock!$I$414, "Product", Table8[Product], "Date", Table2[[#This Row],[Order date]]), 0)</f>
        <v>0</v>
      </c>
      <c r="J62" s="18">
        <f>IF(Table2[[#This Row],[Transfer In]]=0, 0, 1)</f>
        <v>0</v>
      </c>
      <c r="K62" s="18">
        <f>IF(Table2[[#This Row],[Purchase]]=0, 0, -1)</f>
        <v>0</v>
      </c>
      <c r="L62" s="18">
        <f>IF(AND(Table2[[#This Row],[Stock Level]]=Table2[[#This Row],[Sales]], Table2[[#This Row],[Stock Level]]&lt;&gt;0), 1, 0)</f>
        <v>0</v>
      </c>
      <c r="M62" s="18">
        <f>IF(Table2[[#This Row],[Stock Level]]=0, 1, 0)</f>
        <v>0</v>
      </c>
      <c r="N62" s="18">
        <f>1-(Table2[[#This Row],[Inventory shortage]]+Table2[[#This Row],[No Inventory]])</f>
        <v>1</v>
      </c>
      <c r="O62" s="18">
        <f>-Table2[[#This Row],[Inventory shortage]]</f>
        <v>0</v>
      </c>
      <c r="P62" s="18">
        <f>-Table2[[#This Row],[No Inventory]]</f>
        <v>0</v>
      </c>
      <c r="Q62" s="18">
        <f>-Table2[[#This Row],[Normal Inventory]]</f>
        <v>-1</v>
      </c>
      <c r="R62" s="18" cm="1">
        <f t="array" ref="R62">IF(GETPIVOTDATA("STOCK_LEVEL", Historical_Stock!$B$5, "PRODUCT", Table8[Product], "STORAGE_LOCATION_ID", "Main Warehouse", "INVENTORY_DATE", Table2[[#This Row],[Order date]])=0, 1, 0)</f>
        <v>1</v>
      </c>
      <c r="S62" s="18">
        <f>IF(AND(Table2[[#This Row],[No Inventory]]=1, Table2[[#This Row],[No Inventory (MW)]]=1), 1, 0)</f>
        <v>0</v>
      </c>
      <c r="T62" s="18">
        <f>IF(AND(Table2[[#This Row],[No Inventory]]=1, Table2[[#This Row],[Purchase Manager]]=0), 1, 0)</f>
        <v>0</v>
      </c>
      <c r="V62" t="s">
        <v>260</v>
      </c>
      <c r="W62" s="11">
        <f>W61+W60</f>
        <v>0</v>
      </c>
      <c r="X62" s="11">
        <f>IF(Table13[[#This Row],[Number of days]]=44, 0, Table13[[#This Row],[Number of days]])</f>
        <v>0</v>
      </c>
      <c r="Y62" s="9" t="str">
        <f xml:space="preserve"> Table13[[#This Row],[Number of days]]&amp;"/40"</f>
        <v>0/40</v>
      </c>
      <c r="AO62" s="38"/>
      <c r="AP62" s="38"/>
      <c r="AS62" s="12"/>
    </row>
    <row r="63" spans="2:45" x14ac:dyDescent="0.2">
      <c r="B63" s="18">
        <v>1</v>
      </c>
      <c r="C63" s="13" t="s">
        <v>16</v>
      </c>
      <c r="D63" s="10">
        <f t="shared" si="0"/>
        <v>24</v>
      </c>
      <c r="E63" s="16">
        <f t="shared" si="1"/>
        <v>65.87</v>
      </c>
      <c r="F63" s="68">
        <f>Table2[[#This Row],[Sales]]*Table2[[#This Row],[Price]]</f>
        <v>1580.88</v>
      </c>
      <c r="G63" s="10" cm="1">
        <f t="array" ref="G63">GETPIVOTDATA("STOCK_LEVEL", Historical_Stock!$B$5, "PRODUCT", Table8[Product], "STORAGE_LOCATION_ID", Table8[Region], "INVENTORY_DATE", Table2[[#This Row],[Order date]])</f>
        <v>71</v>
      </c>
      <c r="H63" s="18" cm="1">
        <f t="array" ref="H63">IFERROR(GETPIVOTDATA("Quantity", Historical_Stock!$G$465,  "Product", Table8[Product], "Region", Table8[Region], "Date", Table2[[#This Row],[Order date]]), 0)</f>
        <v>0</v>
      </c>
      <c r="I63" s="18" cm="1">
        <f t="array" ref="I63">IFERROR(GETPIVOTDATA("Real Purchase", Historical_Stock!$I$414, "Product", Table8[Product], "Date", Table2[[#This Row],[Order date]]), 0)</f>
        <v>0</v>
      </c>
      <c r="J63" s="18">
        <f>IF(Table2[[#This Row],[Transfer In]]=0, 0, 1)</f>
        <v>0</v>
      </c>
      <c r="K63" s="18">
        <f>IF(Table2[[#This Row],[Purchase]]=0, 0, -1)</f>
        <v>0</v>
      </c>
      <c r="L63" s="18">
        <f>IF(AND(Table2[[#This Row],[Stock Level]]=Table2[[#This Row],[Sales]], Table2[[#This Row],[Stock Level]]&lt;&gt;0), 1, 0)</f>
        <v>0</v>
      </c>
      <c r="M63" s="18">
        <f>IF(Table2[[#This Row],[Stock Level]]=0, 1, 0)</f>
        <v>0</v>
      </c>
      <c r="N63" s="18">
        <f>1-(Table2[[#This Row],[Inventory shortage]]+Table2[[#This Row],[No Inventory]])</f>
        <v>1</v>
      </c>
      <c r="O63" s="18">
        <f>-Table2[[#This Row],[Inventory shortage]]</f>
        <v>0</v>
      </c>
      <c r="P63" s="18">
        <f>-Table2[[#This Row],[No Inventory]]</f>
        <v>0</v>
      </c>
      <c r="Q63" s="18">
        <f>-Table2[[#This Row],[Normal Inventory]]</f>
        <v>-1</v>
      </c>
      <c r="R63" s="18" cm="1">
        <f t="array" ref="R63">IF(GETPIVOTDATA("STOCK_LEVEL", Historical_Stock!$B$5, "PRODUCT", Table8[Product], "STORAGE_LOCATION_ID", "Main Warehouse", "INVENTORY_DATE", Table2[[#This Row],[Order date]])=0, 1, 0)</f>
        <v>1</v>
      </c>
      <c r="S63" s="18">
        <f>IF(AND(Table2[[#This Row],[No Inventory]]=1, Table2[[#This Row],[No Inventory (MW)]]=1), 1, 0)</f>
        <v>0</v>
      </c>
      <c r="T63" s="18">
        <f>IF(AND(Table2[[#This Row],[No Inventory]]=1, Table2[[#This Row],[Purchase Manager]]=0), 1, 0)</f>
        <v>0</v>
      </c>
      <c r="AO63" s="38"/>
      <c r="AP63" s="38"/>
      <c r="AS63" s="12"/>
    </row>
    <row r="64" spans="2:45" ht="17" hidden="1" thickBot="1" x14ac:dyDescent="0.25">
      <c r="B64" s="18">
        <v>1</v>
      </c>
      <c r="C64" s="13" t="s">
        <v>56</v>
      </c>
      <c r="D64" s="10">
        <f t="shared" si="0"/>
        <v>0</v>
      </c>
      <c r="E64" s="16">
        <f t="shared" si="1"/>
        <v>0</v>
      </c>
      <c r="F64" s="68">
        <f>Table2[[#This Row],[Sales]]*Table2[[#This Row],[Price]]</f>
        <v>0</v>
      </c>
      <c r="G64" s="10" cm="1">
        <f t="array" ref="G64">GETPIVOTDATA("STOCK_LEVEL", Historical_Stock!$B$5, "PRODUCT", Table8[Product], "STORAGE_LOCATION_ID", Table8[Region], "INVENTORY_DATE", Table2[[#This Row],[Order date]])</f>
        <v>47</v>
      </c>
      <c r="H64" s="18" cm="1">
        <f t="array" ref="H64">IFERROR(GETPIVOTDATA("Quantity", Historical_Stock!$G$465,  "Product", Table8[Product], "Area", Table8[Region], "Date", Table2[[#This Row],[Order date]]), 0)</f>
        <v>0</v>
      </c>
      <c r="I64" s="18" cm="1">
        <f t="array" ref="I64">IFERROR(GETPIVOTDATA("Real Purchase", Historical_Stock!$I$414, "Product", Table8[Product], "Date", Table2[[#This Row],[Order date]]), 0)</f>
        <v>0</v>
      </c>
      <c r="J64" s="18">
        <f>IF(Table2[[#This Row],[Transfer In]]=0, 0, 1)</f>
        <v>0</v>
      </c>
      <c r="K64" s="18">
        <f>IF(Table2[[#This Row],[Purchase]]=0, 0, -1)</f>
        <v>0</v>
      </c>
      <c r="L64" s="18">
        <v>0</v>
      </c>
      <c r="M64" s="18">
        <v>0</v>
      </c>
      <c r="N64" s="18">
        <f>1-(Table2[[#This Row],[Inventory shortage]]+Table2[[#This Row],[No Inventory]])</f>
        <v>1</v>
      </c>
      <c r="O64" s="18">
        <f>-Table2[[#This Row],[Inventory shortage]]</f>
        <v>0</v>
      </c>
      <c r="P64" s="18">
        <f>-Table2[[#This Row],[No Inventory]]</f>
        <v>0</v>
      </c>
      <c r="Q64" s="18">
        <f>-Table2[[#This Row],[Normal Inventory]]</f>
        <v>-1</v>
      </c>
      <c r="R64" s="18" cm="1">
        <f t="array" ref="R64">IF(GETPIVOTDATA("STOCK_LEVEL", Historical_Stock!$B$5, "PRODUCT", Table8[Product], "STORAGE_LOCATION_ID", "Main Warehouse", "INVENTORY_DATE", Table2[[#This Row],[Order date]])=0, 1, 0)</f>
        <v>1</v>
      </c>
      <c r="S64" s="18">
        <f>IF(AND(Table2[[#This Row],[Inventory shortage]]=1, Table2[[#This Row],[No Inventory (MW)]]=1), 1, 0)</f>
        <v>0</v>
      </c>
      <c r="T64" s="18">
        <f>IF(AND(Table2[[#This Row],[Normal Inventory]]=0, Table2[[#This Row],[Purchase Manager]]=0), 1, 0)</f>
        <v>0</v>
      </c>
      <c r="V64" s="137" t="s">
        <v>236</v>
      </c>
      <c r="AO64" s="38"/>
      <c r="AP64" s="38"/>
      <c r="AS64" s="12"/>
    </row>
    <row r="65" spans="2:46" x14ac:dyDescent="0.2">
      <c r="B65" s="18">
        <v>2</v>
      </c>
      <c r="C65" s="13" t="s">
        <v>17</v>
      </c>
      <c r="D65" s="10">
        <f t="shared" si="0"/>
        <v>11</v>
      </c>
      <c r="E65" s="16">
        <f t="shared" si="1"/>
        <v>67</v>
      </c>
      <c r="F65" s="68">
        <f>Table2[[#This Row],[Sales]]*Table2[[#This Row],[Price]]</f>
        <v>737</v>
      </c>
      <c r="G65" s="10" cm="1">
        <f t="array" ref="G65">GETPIVOTDATA("STOCK_LEVEL", Historical_Stock!$B$5, "PRODUCT", Table8[Product], "STORAGE_LOCATION_ID", Table8[Region], "INVENTORY_DATE", Table2[[#This Row],[Order date]])</f>
        <v>47</v>
      </c>
      <c r="H65" s="18" cm="1">
        <f t="array" ref="H65">IFERROR(GETPIVOTDATA("Quantity", Historical_Stock!$G$465,  "Product", Table8[Product], "Region", Table8[Region], "Date", Table2[[#This Row],[Order date]]), 0)</f>
        <v>0</v>
      </c>
      <c r="I65" s="18" cm="1">
        <f t="array" ref="I65">IFERROR(GETPIVOTDATA("Real Purchase", Historical_Stock!$I$414, "Product", Table8[Product], "Date", Table2[[#This Row],[Order date]]), 0)</f>
        <v>447</v>
      </c>
      <c r="J65" s="18">
        <f>IF(Table2[[#This Row],[Transfer In]]=0, 0, 1)</f>
        <v>0</v>
      </c>
      <c r="K65" s="18">
        <f>IF(Table2[[#This Row],[Purchase]]=0, 0, -1)</f>
        <v>-1</v>
      </c>
      <c r="L65" s="18">
        <f>IF(AND(Table2[[#This Row],[Stock Level]]=Table2[[#This Row],[Sales]], Table2[[#This Row],[Stock Level]]&lt;&gt;0), 1, 0)</f>
        <v>0</v>
      </c>
      <c r="M65" s="18">
        <f>IF(Table2[[#This Row],[Stock Level]]=0, 1, 0)</f>
        <v>0</v>
      </c>
      <c r="N65" s="18">
        <f>1-(Table2[[#This Row],[Inventory shortage]]+Table2[[#This Row],[No Inventory]])</f>
        <v>1</v>
      </c>
      <c r="O65" s="18">
        <f>-Table2[[#This Row],[Inventory shortage]]</f>
        <v>0</v>
      </c>
      <c r="P65" s="18">
        <f>-Table2[[#This Row],[No Inventory]]</f>
        <v>0</v>
      </c>
      <c r="Q65" s="18">
        <f>-Table2[[#This Row],[Normal Inventory]]</f>
        <v>-1</v>
      </c>
      <c r="R65" s="18" cm="1">
        <f t="array" ref="R65">IF(GETPIVOTDATA("STOCK_LEVEL", Historical_Stock!$B$5, "PRODUCT", Table8[Product], "STORAGE_LOCATION_ID", "Main Warehouse", "INVENTORY_DATE", Table2[[#This Row],[Order date]])=0, 1, 0)</f>
        <v>1</v>
      </c>
      <c r="S65" s="18">
        <f>IF(AND(Table2[[#This Row],[No Inventory]]=1, Table2[[#This Row],[No Inventory (MW)]]=1), 1, 0)</f>
        <v>0</v>
      </c>
      <c r="T65" s="18">
        <f>IF(AND(Table2[[#This Row],[No Inventory]]=1, Table2[[#This Row],[Purchase Manager]]=0), 1, 0)</f>
        <v>0</v>
      </c>
      <c r="V65" s="138" t="str">
        <f>IF(W59=40, "Inventory status looks good for all rounds and no potential revenue could gain.", "")</f>
        <v>Inventory status looks good for all rounds and no potential revenue could gain.</v>
      </c>
      <c r="W65" s="11"/>
      <c r="X65" s="11"/>
      <c r="AO65" s="38"/>
      <c r="AP65" s="38"/>
      <c r="AS65" s="12"/>
    </row>
    <row r="66" spans="2:46" x14ac:dyDescent="0.2">
      <c r="B66" s="18">
        <v>2</v>
      </c>
      <c r="C66" s="13" t="s">
        <v>18</v>
      </c>
      <c r="D66" s="10">
        <f t="shared" si="0"/>
        <v>24</v>
      </c>
      <c r="E66" s="16">
        <f t="shared" si="1"/>
        <v>67</v>
      </c>
      <c r="F66" s="68">
        <f>Table2[[#This Row],[Sales]]*Table2[[#This Row],[Price]]</f>
        <v>1608</v>
      </c>
      <c r="G66" s="10" cm="1">
        <f t="array" ref="G66">GETPIVOTDATA("STOCK_LEVEL", Historical_Stock!$B$5, "PRODUCT", Table8[Product], "STORAGE_LOCATION_ID", Table8[Region], "INVENTORY_DATE", Table2[[#This Row],[Order date]])</f>
        <v>36</v>
      </c>
      <c r="H66" s="18" cm="1">
        <f t="array" ref="H66">IFERROR(GETPIVOTDATA("Quantity", Historical_Stock!$G$465,  "Product", Table8[Product], "Region", Table8[Region], "Date", Table2[[#This Row],[Order date]]), 0)</f>
        <v>0</v>
      </c>
      <c r="I66" s="18" cm="1">
        <f t="array" ref="I66">IFERROR(GETPIVOTDATA("Real Purchase", Historical_Stock!$I$414, "Product", Table8[Product], "Date", Table2[[#This Row],[Order date]]), 0)</f>
        <v>0</v>
      </c>
      <c r="J66" s="18">
        <f>IF(Table2[[#This Row],[Transfer In]]=0, 0, 1)</f>
        <v>0</v>
      </c>
      <c r="K66" s="18">
        <f>IF(Table2[[#This Row],[Purchase]]=0, 0, -1)</f>
        <v>0</v>
      </c>
      <c r="L66" s="18">
        <f>IF(AND(Table2[[#This Row],[Stock Level]]=Table2[[#This Row],[Sales]], Table2[[#This Row],[Stock Level]]&lt;&gt;0), 1, 0)</f>
        <v>0</v>
      </c>
      <c r="M66" s="18">
        <f>IF(Table2[[#This Row],[Stock Level]]=0, 1, 0)</f>
        <v>0</v>
      </c>
      <c r="N66" s="18">
        <f>1-(Table2[[#This Row],[Inventory shortage]]+Table2[[#This Row],[No Inventory]])</f>
        <v>1</v>
      </c>
      <c r="O66" s="18">
        <f>-Table2[[#This Row],[Inventory shortage]]</f>
        <v>0</v>
      </c>
      <c r="P66" s="18">
        <f>-Table2[[#This Row],[No Inventory]]</f>
        <v>0</v>
      </c>
      <c r="Q66" s="18">
        <f>-Table2[[#This Row],[Normal Inventory]]</f>
        <v>-1</v>
      </c>
      <c r="R66" s="18" cm="1">
        <f t="array" ref="R66">IF(GETPIVOTDATA("STOCK_LEVEL", Historical_Stock!$B$5, "PRODUCT", Table8[Product], "STORAGE_LOCATION_ID", "Main Warehouse", "INVENTORY_DATE", Table2[[#This Row],[Order date]])=0, 1, 0)</f>
        <v>0</v>
      </c>
      <c r="S66" s="18">
        <f>IF(AND(Table2[[#This Row],[No Inventory]]=1, Table2[[#This Row],[No Inventory (MW)]]=1), 1, 0)</f>
        <v>0</v>
      </c>
      <c r="T66" s="18">
        <f>IF(AND(Table2[[#This Row],[No Inventory]]=1, Table2[[#This Row],[Purchase Manager]]=0), 1, 0)</f>
        <v>0</v>
      </c>
      <c r="X66" s="11"/>
      <c r="AO66" s="38"/>
      <c r="AP66" s="38"/>
      <c r="AS66" s="12"/>
    </row>
    <row r="67" spans="2:46" x14ac:dyDescent="0.2">
      <c r="B67" s="18">
        <v>2</v>
      </c>
      <c r="C67" s="13" t="s">
        <v>19</v>
      </c>
      <c r="D67" s="10">
        <f t="shared" si="0"/>
        <v>0</v>
      </c>
      <c r="E67" s="16">
        <f t="shared" si="1"/>
        <v>0</v>
      </c>
      <c r="F67" s="68">
        <f>Table2[[#This Row],[Sales]]*Table2[[#This Row],[Price]]</f>
        <v>0</v>
      </c>
      <c r="G67" s="10" cm="1">
        <f t="array" ref="G67">GETPIVOTDATA("STOCK_LEVEL", Historical_Stock!$B$5, "PRODUCT", Table8[Product], "STORAGE_LOCATION_ID", Table8[Region], "INVENTORY_DATE", Table2[[#This Row],[Order date]])</f>
        <v>12</v>
      </c>
      <c r="H67" s="18" cm="1">
        <f t="array" ref="H67">IFERROR(GETPIVOTDATA("Quantity", Historical_Stock!$G$465,  "Product", Table8[Product], "Region", Table8[Region], "Date", Table2[[#This Row],[Order date]]), 0)</f>
        <v>0</v>
      </c>
      <c r="I67" s="18" cm="1">
        <f t="array" ref="I67">IFERROR(GETPIVOTDATA("Real Purchase", Historical_Stock!$I$414, "Product", Table8[Product], "Date", Table2[[#This Row],[Order date]]), 0)</f>
        <v>0</v>
      </c>
      <c r="J67" s="18">
        <f>IF(Table2[[#This Row],[Transfer In]]=0, 0, 1)</f>
        <v>0</v>
      </c>
      <c r="K67" s="18">
        <f>IF(Table2[[#This Row],[Purchase]]=0, 0, -1)</f>
        <v>0</v>
      </c>
      <c r="L67" s="18">
        <f>IF(AND(Table2[[#This Row],[Stock Level]]=Table2[[#This Row],[Sales]], Table2[[#This Row],[Stock Level]]&lt;&gt;0), 1, 0)</f>
        <v>0</v>
      </c>
      <c r="M67" s="18">
        <f>IF(Table2[[#This Row],[Stock Level]]=0, 1, 0)</f>
        <v>0</v>
      </c>
      <c r="N67" s="18">
        <f>1-(Table2[[#This Row],[Inventory shortage]]+Table2[[#This Row],[No Inventory]])</f>
        <v>1</v>
      </c>
      <c r="O67" s="18">
        <f>-Table2[[#This Row],[Inventory shortage]]</f>
        <v>0</v>
      </c>
      <c r="P67" s="18">
        <f>-Table2[[#This Row],[No Inventory]]</f>
        <v>0</v>
      </c>
      <c r="Q67" s="18">
        <f>-Table2[[#This Row],[Normal Inventory]]</f>
        <v>-1</v>
      </c>
      <c r="R67" s="18" cm="1">
        <f t="array" ref="R67">IF(GETPIVOTDATA("STOCK_LEVEL", Historical_Stock!$B$5, "PRODUCT", Table8[Product], "STORAGE_LOCATION_ID", "Main Warehouse", "INVENTORY_DATE", Table2[[#This Row],[Order date]])=0, 1, 0)</f>
        <v>0</v>
      </c>
      <c r="S67" s="18">
        <f>IF(AND(Table2[[#This Row],[No Inventory]]=1, Table2[[#This Row],[No Inventory (MW)]]=1), 1, 0)</f>
        <v>0</v>
      </c>
      <c r="T67" s="18">
        <f>IF(AND(Table2[[#This Row],[No Inventory]]=1, Table2[[#This Row],[Purchase Manager]]=0), 1, 0)</f>
        <v>0</v>
      </c>
      <c r="V67" s="9" t="s">
        <v>261</v>
      </c>
      <c r="W67" t="s">
        <v>176</v>
      </c>
      <c r="AO67" s="38"/>
      <c r="AP67" s="38"/>
      <c r="AS67" s="12"/>
    </row>
    <row r="68" spans="2:46" x14ac:dyDescent="0.2">
      <c r="B68" s="18">
        <v>2</v>
      </c>
      <c r="C68" s="13" t="s">
        <v>20</v>
      </c>
      <c r="D68" s="10">
        <f t="shared" si="0"/>
        <v>0</v>
      </c>
      <c r="E68" s="16">
        <f t="shared" si="1"/>
        <v>0</v>
      </c>
      <c r="F68" s="68">
        <f>Table2[[#This Row],[Sales]]*Table2[[#This Row],[Price]]</f>
        <v>0</v>
      </c>
      <c r="G68" s="10" cm="1">
        <f t="array" ref="G68">GETPIVOTDATA("STOCK_LEVEL", Historical_Stock!$B$5, "PRODUCT", Table8[Product], "STORAGE_LOCATION_ID", Table8[Region], "INVENTORY_DATE", Table2[[#This Row],[Order date]])</f>
        <v>12</v>
      </c>
      <c r="H68" s="18" cm="1">
        <f t="array" ref="H68">IFERROR(GETPIVOTDATA("Quantity", Historical_Stock!$G$465,  "Product", Table8[Product], "Region", Table8[Region], "Date", Table2[[#This Row],[Order date]]), 0)</f>
        <v>88</v>
      </c>
      <c r="I68" s="18" cm="1">
        <f t="array" ref="I68">IFERROR(GETPIVOTDATA("Real Purchase", Historical_Stock!$I$414, "Product", Table8[Product], "Date", Table2[[#This Row],[Order date]]), 0)</f>
        <v>0</v>
      </c>
      <c r="J68" s="18">
        <f>IF(Table2[[#This Row],[Transfer In]]=0, 0, 1)</f>
        <v>1</v>
      </c>
      <c r="K68" s="18">
        <f>IF(Table2[[#This Row],[Purchase]]=0, 0, -1)</f>
        <v>0</v>
      </c>
      <c r="L68" s="18">
        <f>IF(AND(Table2[[#This Row],[Stock Level]]=Table2[[#This Row],[Sales]], Table2[[#This Row],[Stock Level]]&lt;&gt;0), 1, 0)</f>
        <v>0</v>
      </c>
      <c r="M68" s="18">
        <f>IF(Table2[[#This Row],[Stock Level]]=0, 1, 0)</f>
        <v>0</v>
      </c>
      <c r="N68" s="18">
        <f>1-(Table2[[#This Row],[Inventory shortage]]+Table2[[#This Row],[No Inventory]])</f>
        <v>1</v>
      </c>
      <c r="O68" s="18">
        <f>-Table2[[#This Row],[Inventory shortage]]</f>
        <v>0</v>
      </c>
      <c r="P68" s="18">
        <f>-Table2[[#This Row],[No Inventory]]</f>
        <v>0</v>
      </c>
      <c r="Q68" s="18">
        <f>-Table2[[#This Row],[Normal Inventory]]</f>
        <v>-1</v>
      </c>
      <c r="R68" s="18" cm="1">
        <f t="array" ref="R68">IF(GETPIVOTDATA("STOCK_LEVEL", Historical_Stock!$B$5, "PRODUCT", Table8[Product], "STORAGE_LOCATION_ID", "Main Warehouse", "INVENTORY_DATE", Table2[[#This Row],[Order date]])=0, 1, 0)</f>
        <v>0</v>
      </c>
      <c r="S68" s="18">
        <f>IF(AND(Table2[[#This Row],[No Inventory]]=1, Table2[[#This Row],[No Inventory (MW)]]=1), 1, 0)</f>
        <v>0</v>
      </c>
      <c r="T68" s="18">
        <f>IF(AND(Table2[[#This Row],[No Inventory]]=1, Table2[[#This Row],[Purchase Manager]]=0), 1, 0)</f>
        <v>0</v>
      </c>
      <c r="V68" t="s">
        <v>262</v>
      </c>
      <c r="W68" s="54" t="str">
        <f>IF(W59=40, "", W59/40)</f>
        <v/>
      </c>
      <c r="AO68" s="38"/>
      <c r="AP68" s="38"/>
      <c r="AS68" s="12"/>
    </row>
    <row r="69" spans="2:46" x14ac:dyDescent="0.2">
      <c r="B69" s="18">
        <v>2</v>
      </c>
      <c r="C69" s="13" t="s">
        <v>21</v>
      </c>
      <c r="D69" s="10">
        <f t="shared" si="0"/>
        <v>40</v>
      </c>
      <c r="E69" s="16">
        <f t="shared" si="1"/>
        <v>68</v>
      </c>
      <c r="F69" s="68">
        <f>Table2[[#This Row],[Sales]]*Table2[[#This Row],[Price]]</f>
        <v>2720</v>
      </c>
      <c r="G69" s="10" cm="1">
        <f t="array" ref="G69">GETPIVOTDATA("STOCK_LEVEL", Historical_Stock!$B$5, "PRODUCT", Table8[Product], "STORAGE_LOCATION_ID", Table8[Region], "INVENTORY_DATE", Table2[[#This Row],[Order date]])</f>
        <v>100</v>
      </c>
      <c r="H69" s="18" cm="1">
        <f t="array" ref="H69">IFERROR(GETPIVOTDATA("Quantity", Historical_Stock!$G$465,  "Product", Table8[Product], "Region", Table8[Region], "Date", Table2[[#This Row],[Order date]]), 0)</f>
        <v>0</v>
      </c>
      <c r="I69" s="18" cm="1">
        <f t="array" ref="I69">IFERROR(GETPIVOTDATA("Real Purchase", Historical_Stock!$I$414, "Product", Table8[Product], "Date", Table2[[#This Row],[Order date]]), 0)</f>
        <v>0</v>
      </c>
      <c r="J69" s="18">
        <f>IF(Table2[[#This Row],[Transfer In]]=0, 0, 1)</f>
        <v>0</v>
      </c>
      <c r="K69" s="18">
        <f>IF(Table2[[#This Row],[Purchase]]=0, 0, -1)</f>
        <v>0</v>
      </c>
      <c r="L69" s="18">
        <f>IF(AND(Table2[[#This Row],[Stock Level]]=Table2[[#This Row],[Sales]], Table2[[#This Row],[Stock Level]]&lt;&gt;0), 1, 0)</f>
        <v>0</v>
      </c>
      <c r="M69" s="18">
        <f>IF(Table2[[#This Row],[Stock Level]]=0, 1, 0)</f>
        <v>0</v>
      </c>
      <c r="N69" s="18">
        <f>1-(Table2[[#This Row],[Inventory shortage]]+Table2[[#This Row],[No Inventory]])</f>
        <v>1</v>
      </c>
      <c r="O69" s="18">
        <f>-Table2[[#This Row],[Inventory shortage]]</f>
        <v>0</v>
      </c>
      <c r="P69" s="18">
        <f>-Table2[[#This Row],[No Inventory]]</f>
        <v>0</v>
      </c>
      <c r="Q69" s="18">
        <f>-Table2[[#This Row],[Normal Inventory]]</f>
        <v>-1</v>
      </c>
      <c r="R69" s="18" cm="1">
        <f t="array" ref="R69">IF(GETPIVOTDATA("STOCK_LEVEL", Historical_Stock!$B$5, "PRODUCT", Table8[Product], "STORAGE_LOCATION_ID", "Main Warehouse", "INVENTORY_DATE", Table2[[#This Row],[Order date]])=0, 1, 0)</f>
        <v>0</v>
      </c>
      <c r="S69" s="18">
        <f>IF(AND(Table2[[#This Row],[No Inventory]]=1, Table2[[#This Row],[No Inventory (MW)]]=1), 1, 0)</f>
        <v>0</v>
      </c>
      <c r="T69" s="18">
        <f>IF(AND(Table2[[#This Row],[No Inventory]]=1, Table2[[#This Row],[Purchase Manager]]=0), 1, 0)</f>
        <v>0</v>
      </c>
      <c r="V69" t="s">
        <v>264</v>
      </c>
      <c r="W69" s="54" t="str">
        <f>IF(W59=40, "", W60/40)</f>
        <v/>
      </c>
      <c r="Z69" s="9"/>
      <c r="AO69" s="38"/>
      <c r="AP69" s="38"/>
      <c r="AS69" s="12"/>
    </row>
    <row r="70" spans="2:46" x14ac:dyDescent="0.2">
      <c r="B70" s="18">
        <v>2</v>
      </c>
      <c r="C70" s="13" t="s">
        <v>22</v>
      </c>
      <c r="D70" s="10">
        <f t="shared" si="0"/>
        <v>0</v>
      </c>
      <c r="E70" s="16">
        <f t="shared" si="1"/>
        <v>0</v>
      </c>
      <c r="F70" s="68">
        <f>Table2[[#This Row],[Sales]]*Table2[[#This Row],[Price]]</f>
        <v>0</v>
      </c>
      <c r="G70" s="10" cm="1">
        <f t="array" ref="G70">GETPIVOTDATA("STOCK_LEVEL", Historical_Stock!$B$5, "PRODUCT", Table8[Product], "STORAGE_LOCATION_ID", Table8[Region], "INVENTORY_DATE", Table2[[#This Row],[Order date]])</f>
        <v>60</v>
      </c>
      <c r="H70" s="18" cm="1">
        <f t="array" ref="H70">IFERROR(GETPIVOTDATA("Quantity", Historical_Stock!$G$465,  "Product", Table8[Product], "Region", Table8[Region], "Date", Table2[[#This Row],[Order date]]), 0)</f>
        <v>0</v>
      </c>
      <c r="I70" s="18" cm="1">
        <f t="array" ref="I70">IFERROR(GETPIVOTDATA("Real Purchase", Historical_Stock!$I$414, "Product", Table8[Product], "Date", Table2[[#This Row],[Order date]]), 0)</f>
        <v>0</v>
      </c>
      <c r="J70" s="18">
        <f>IF(Table2[[#This Row],[Transfer In]]=0, 0, 1)</f>
        <v>0</v>
      </c>
      <c r="K70" s="18">
        <f>IF(Table2[[#This Row],[Purchase]]=0, 0, -1)</f>
        <v>0</v>
      </c>
      <c r="L70" s="18">
        <f>IF(AND(Table2[[#This Row],[Stock Level]]=Table2[[#This Row],[Sales]], Table2[[#This Row],[Stock Level]]&lt;&gt;0), 1, 0)</f>
        <v>0</v>
      </c>
      <c r="M70" s="18">
        <f>IF(Table2[[#This Row],[Stock Level]]=0, 1, 0)</f>
        <v>0</v>
      </c>
      <c r="N70" s="18">
        <f>1-(Table2[[#This Row],[Inventory shortage]]+Table2[[#This Row],[No Inventory]])</f>
        <v>1</v>
      </c>
      <c r="O70" s="18">
        <f>-Table2[[#This Row],[Inventory shortage]]</f>
        <v>0</v>
      </c>
      <c r="P70" s="18">
        <f>-Table2[[#This Row],[No Inventory]]</f>
        <v>0</v>
      </c>
      <c r="Q70" s="18">
        <f>-Table2[[#This Row],[Normal Inventory]]</f>
        <v>-1</v>
      </c>
      <c r="R70" s="18" cm="1">
        <f t="array" ref="R70">IF(GETPIVOTDATA("STOCK_LEVEL", Historical_Stock!$B$5, "PRODUCT", Table8[Product], "STORAGE_LOCATION_ID", "Main Warehouse", "INVENTORY_DATE", Table2[[#This Row],[Order date]])=0, 1, 0)</f>
        <v>0</v>
      </c>
      <c r="S70" s="18">
        <f>IF(AND(Table2[[#This Row],[No Inventory]]=1, Table2[[#This Row],[No Inventory (MW)]]=1), 1, 0)</f>
        <v>0</v>
      </c>
      <c r="T70" s="18">
        <f>IF(AND(Table2[[#This Row],[No Inventory]]=1, Table2[[#This Row],[Purchase Manager]]=0), 1, 0)</f>
        <v>0</v>
      </c>
      <c r="V70" t="s">
        <v>183</v>
      </c>
      <c r="W70" s="54">
        <f>Table2[[#Totals],[Purchase Manager]]/40</f>
        <v>0</v>
      </c>
      <c r="Z70" s="9"/>
      <c r="AO70" s="38"/>
      <c r="AP70" s="38"/>
      <c r="AS70" s="12"/>
    </row>
    <row r="71" spans="2:46" x14ac:dyDescent="0.2">
      <c r="B71" s="18">
        <v>2</v>
      </c>
      <c r="C71" s="13" t="s">
        <v>23</v>
      </c>
      <c r="D71" s="10">
        <f t="shared" si="0"/>
        <v>0</v>
      </c>
      <c r="E71" s="16">
        <f t="shared" si="1"/>
        <v>0</v>
      </c>
      <c r="F71" s="68">
        <f>Table2[[#This Row],[Sales]]*Table2[[#This Row],[Price]]</f>
        <v>0</v>
      </c>
      <c r="G71" s="10" cm="1">
        <f t="array" ref="G71">GETPIVOTDATA("STOCK_LEVEL", Historical_Stock!$B$5, "PRODUCT", Table8[Product], "STORAGE_LOCATION_ID", Table8[Region], "INVENTORY_DATE", Table2[[#This Row],[Order date]])</f>
        <v>60</v>
      </c>
      <c r="H71" s="18" cm="1">
        <f t="array" ref="H71">IFERROR(GETPIVOTDATA("Quantity", Historical_Stock!$G$465,  "Product", Table8[Product], "Region", Table8[Region], "Date", Table2[[#This Row],[Order date]]), 0)</f>
        <v>40</v>
      </c>
      <c r="I71" s="18" cm="1">
        <f t="array" ref="I71">IFERROR(GETPIVOTDATA("Real Purchase", Historical_Stock!$I$414, "Product", Table8[Product], "Date", Table2[[#This Row],[Order date]]), 0)</f>
        <v>0</v>
      </c>
      <c r="J71" s="18">
        <f>IF(Table2[[#This Row],[Transfer In]]=0, 0, 1)</f>
        <v>1</v>
      </c>
      <c r="K71" s="18">
        <f>IF(Table2[[#This Row],[Purchase]]=0, 0, -1)</f>
        <v>0</v>
      </c>
      <c r="L71" s="18">
        <f>IF(AND(Table2[[#This Row],[Stock Level]]=Table2[[#This Row],[Sales]], Table2[[#This Row],[Stock Level]]&lt;&gt;0), 1, 0)</f>
        <v>0</v>
      </c>
      <c r="M71" s="18">
        <f>IF(Table2[[#This Row],[Stock Level]]=0, 1, 0)</f>
        <v>0</v>
      </c>
      <c r="N71" s="18">
        <f>1-(Table2[[#This Row],[Inventory shortage]]+Table2[[#This Row],[No Inventory]])</f>
        <v>1</v>
      </c>
      <c r="O71" s="18">
        <f>-Table2[[#This Row],[Inventory shortage]]</f>
        <v>0</v>
      </c>
      <c r="P71" s="18">
        <f>-Table2[[#This Row],[No Inventory]]</f>
        <v>0</v>
      </c>
      <c r="Q71" s="18">
        <f>-Table2[[#This Row],[Normal Inventory]]</f>
        <v>-1</v>
      </c>
      <c r="R71" s="18" cm="1">
        <f t="array" ref="R71">IF(GETPIVOTDATA("STOCK_LEVEL", Historical_Stock!$B$5, "PRODUCT", Table8[Product], "STORAGE_LOCATION_ID", "Main Warehouse", "INVENTORY_DATE", Table2[[#This Row],[Order date]])=0, 1, 0)</f>
        <v>0</v>
      </c>
      <c r="S71" s="18">
        <f>IF(AND(Table2[[#This Row],[No Inventory]]=1, Table2[[#This Row],[No Inventory (MW)]]=1), 1, 0)</f>
        <v>0</v>
      </c>
      <c r="T71" s="18">
        <f>IF(AND(Table2[[#This Row],[No Inventory]]=1, Table2[[#This Row],[Purchase Manager]]=0), 1, 0)</f>
        <v>0</v>
      </c>
      <c r="V71" t="s">
        <v>263</v>
      </c>
      <c r="W71" s="54">
        <f>Table2[[#Totals],[Logistics Manager]]/40</f>
        <v>0</v>
      </c>
      <c r="Z71" s="9"/>
      <c r="AO71" s="38"/>
      <c r="AP71" s="38"/>
      <c r="AS71" s="12"/>
    </row>
    <row r="72" spans="2:46" x14ac:dyDescent="0.2">
      <c r="B72" s="18">
        <v>2</v>
      </c>
      <c r="C72" s="13" t="s">
        <v>24</v>
      </c>
      <c r="D72" s="10">
        <f t="shared" si="0"/>
        <v>0</v>
      </c>
      <c r="E72" s="16">
        <f t="shared" si="1"/>
        <v>0</v>
      </c>
      <c r="F72" s="68">
        <f>Table2[[#This Row],[Sales]]*Table2[[#This Row],[Price]]</f>
        <v>0</v>
      </c>
      <c r="G72" s="10" cm="1">
        <f t="array" ref="G72">GETPIVOTDATA("STOCK_LEVEL", Historical_Stock!$B$5, "PRODUCT", Table8[Product], "STORAGE_LOCATION_ID", Table8[Region], "INVENTORY_DATE", Table2[[#This Row],[Order date]])</f>
        <v>100</v>
      </c>
      <c r="H72" s="18" cm="1">
        <f t="array" ref="H72">IFERROR(GETPIVOTDATA("Quantity", Historical_Stock!$G$465,  "Product", Table8[Product], "Region", Table8[Region], "Date", Table2[[#This Row],[Order date]]), 0)</f>
        <v>0</v>
      </c>
      <c r="I72" s="18" cm="1">
        <f t="array" ref="I72">IFERROR(GETPIVOTDATA("Real Purchase", Historical_Stock!$I$414, "Product", Table8[Product], "Date", Table2[[#This Row],[Order date]]), 0)</f>
        <v>0</v>
      </c>
      <c r="J72" s="18">
        <f>IF(Table2[[#This Row],[Transfer In]]=0, 0, 1)</f>
        <v>0</v>
      </c>
      <c r="K72" s="18">
        <f>IF(Table2[[#This Row],[Purchase]]=0, 0, -1)</f>
        <v>0</v>
      </c>
      <c r="L72" s="18">
        <f>IF(AND(Table2[[#This Row],[Stock Level]]=Table2[[#This Row],[Sales]], Table2[[#This Row],[Stock Level]]&lt;&gt;0), 1, 0)</f>
        <v>0</v>
      </c>
      <c r="M72" s="18">
        <f>IF(Table2[[#This Row],[Stock Level]]=0, 1, 0)</f>
        <v>0</v>
      </c>
      <c r="N72" s="18">
        <f>1-(Table2[[#This Row],[Inventory shortage]]+Table2[[#This Row],[No Inventory]])</f>
        <v>1</v>
      </c>
      <c r="O72" s="18">
        <f>-Table2[[#This Row],[Inventory shortage]]</f>
        <v>0</v>
      </c>
      <c r="P72" s="18">
        <f>-Table2[[#This Row],[No Inventory]]</f>
        <v>0</v>
      </c>
      <c r="Q72" s="18">
        <f>-Table2[[#This Row],[Normal Inventory]]</f>
        <v>-1</v>
      </c>
      <c r="R72" s="18" cm="1">
        <f t="array" ref="R72">IF(GETPIVOTDATA("STOCK_LEVEL", Historical_Stock!$B$5, "PRODUCT", Table8[Product], "STORAGE_LOCATION_ID", "Main Warehouse", "INVENTORY_DATE", Table2[[#This Row],[Order date]])=0, 1, 0)</f>
        <v>0</v>
      </c>
      <c r="S72" s="18">
        <f>IF(AND(Table2[[#This Row],[No Inventory]]=1, Table2[[#This Row],[No Inventory (MW)]]=1), 1, 0)</f>
        <v>0</v>
      </c>
      <c r="T72" s="18">
        <f>IF(AND(Table2[[#This Row],[No Inventory]]=1, Table2[[#This Row],[Purchase Manager]]=0), 1, 0)</f>
        <v>0</v>
      </c>
      <c r="Z72" s="9"/>
      <c r="AO72" s="38"/>
      <c r="AP72" s="38"/>
      <c r="AS72" s="12"/>
    </row>
    <row r="73" spans="2:46" x14ac:dyDescent="0.2">
      <c r="B73" s="18">
        <v>2</v>
      </c>
      <c r="C73" s="13" t="s">
        <v>25</v>
      </c>
      <c r="D73" s="10">
        <f t="shared" si="0"/>
        <v>35</v>
      </c>
      <c r="E73" s="16">
        <f t="shared" si="1"/>
        <v>68</v>
      </c>
      <c r="F73" s="68">
        <f>Table2[[#This Row],[Sales]]*Table2[[#This Row],[Price]]</f>
        <v>2380</v>
      </c>
      <c r="G73" s="10" cm="1">
        <f t="array" ref="G73">GETPIVOTDATA("STOCK_LEVEL", Historical_Stock!$B$5, "PRODUCT", Table8[Product], "STORAGE_LOCATION_ID", Table8[Region], "INVENTORY_DATE", Table2[[#This Row],[Order date]])</f>
        <v>100</v>
      </c>
      <c r="H73" s="18" cm="1">
        <f t="array" ref="H73">IFERROR(GETPIVOTDATA("Quantity", Historical_Stock!$G$465,  "Product", Table8[Product], "Region", Table8[Region], "Date", Table2[[#This Row],[Order date]]), 0)</f>
        <v>0</v>
      </c>
      <c r="I73" s="18" cm="1">
        <f t="array" ref="I73">IFERROR(GETPIVOTDATA("Real Purchase", Historical_Stock!$I$414, "Product", Table8[Product], "Date", Table2[[#This Row],[Order date]]), 0)</f>
        <v>0</v>
      </c>
      <c r="J73" s="18">
        <f>IF(Table2[[#This Row],[Transfer In]]=0, 0, 1)</f>
        <v>0</v>
      </c>
      <c r="K73" s="18">
        <f>IF(Table2[[#This Row],[Purchase]]=0, 0, -1)</f>
        <v>0</v>
      </c>
      <c r="L73" s="18">
        <f>IF(AND(Table2[[#This Row],[Stock Level]]=Table2[[#This Row],[Sales]], Table2[[#This Row],[Stock Level]]&lt;&gt;0), 1, 0)</f>
        <v>0</v>
      </c>
      <c r="M73" s="18">
        <f>IF(Table2[[#This Row],[Stock Level]]=0, 1, 0)</f>
        <v>0</v>
      </c>
      <c r="N73" s="18">
        <f>1-(Table2[[#This Row],[Inventory shortage]]+Table2[[#This Row],[No Inventory]])</f>
        <v>1</v>
      </c>
      <c r="O73" s="18">
        <f>-Table2[[#This Row],[Inventory shortage]]</f>
        <v>0</v>
      </c>
      <c r="P73" s="18">
        <f>-Table2[[#This Row],[No Inventory]]</f>
        <v>0</v>
      </c>
      <c r="Q73" s="18">
        <f>-Table2[[#This Row],[Normal Inventory]]</f>
        <v>-1</v>
      </c>
      <c r="R73" s="18" cm="1">
        <f t="array" ref="R73">IF(GETPIVOTDATA("STOCK_LEVEL", Historical_Stock!$B$5, "PRODUCT", Table8[Product], "STORAGE_LOCATION_ID", "Main Warehouse", "INVENTORY_DATE", Table2[[#This Row],[Order date]])=0, 1, 0)</f>
        <v>0</v>
      </c>
      <c r="S73" s="18">
        <f>IF(AND(Table2[[#This Row],[No Inventory]]=1, Table2[[#This Row],[No Inventory (MW)]]=1), 1, 0)</f>
        <v>0</v>
      </c>
      <c r="T73" s="18">
        <f>IF(AND(Table2[[#This Row],[No Inventory]]=1, Table2[[#This Row],[Purchase Manager]]=0), 1, 0)</f>
        <v>0</v>
      </c>
      <c r="Z73" s="9"/>
      <c r="AO73" s="38"/>
      <c r="AP73" s="38"/>
      <c r="AS73" s="12"/>
    </row>
    <row r="74" spans="2:46" x14ac:dyDescent="0.2">
      <c r="B74" s="18">
        <v>2</v>
      </c>
      <c r="C74" s="13" t="s">
        <v>26</v>
      </c>
      <c r="D74" s="10">
        <f t="shared" si="0"/>
        <v>0</v>
      </c>
      <c r="E74" s="16">
        <f t="shared" si="1"/>
        <v>0</v>
      </c>
      <c r="F74" s="68">
        <f>Table2[[#This Row],[Sales]]*Table2[[#This Row],[Price]]</f>
        <v>0</v>
      </c>
      <c r="G74" s="10" cm="1">
        <f t="array" ref="G74">GETPIVOTDATA("STOCK_LEVEL", Historical_Stock!$B$5, "PRODUCT", Table8[Product], "STORAGE_LOCATION_ID", Table8[Region], "INVENTORY_DATE", Table2[[#This Row],[Order date]])</f>
        <v>65</v>
      </c>
      <c r="H74" s="18" cm="1">
        <f t="array" ref="H74">IFERROR(GETPIVOTDATA("Quantity", Historical_Stock!$G$465,  "Product", Table8[Product], "Region", Table8[Region], "Date", Table2[[#This Row],[Order date]]), 0)</f>
        <v>48</v>
      </c>
      <c r="I74" s="18" cm="1">
        <f t="array" ref="I74">IFERROR(GETPIVOTDATA("Real Purchase", Historical_Stock!$I$414, "Product", Table8[Product], "Date", Table2[[#This Row],[Order date]]), 0)</f>
        <v>0</v>
      </c>
      <c r="J74" s="18">
        <f>IF(Table2[[#This Row],[Transfer In]]=0, 0, 1)</f>
        <v>1</v>
      </c>
      <c r="K74" s="18">
        <f>IF(Table2[[#This Row],[Purchase]]=0, 0, -1)</f>
        <v>0</v>
      </c>
      <c r="L74" s="18">
        <f>IF(AND(Table2[[#This Row],[Stock Level]]=Table2[[#This Row],[Sales]], Table2[[#This Row],[Stock Level]]&lt;&gt;0), 1, 0)</f>
        <v>0</v>
      </c>
      <c r="M74" s="18">
        <f>IF(Table2[[#This Row],[Stock Level]]=0, 1, 0)</f>
        <v>0</v>
      </c>
      <c r="N74" s="18">
        <f>1-(Table2[[#This Row],[Inventory shortage]]+Table2[[#This Row],[No Inventory]])</f>
        <v>1</v>
      </c>
      <c r="O74" s="18">
        <f>-Table2[[#This Row],[Inventory shortage]]</f>
        <v>0</v>
      </c>
      <c r="P74" s="18">
        <f>-Table2[[#This Row],[No Inventory]]</f>
        <v>0</v>
      </c>
      <c r="Q74" s="18">
        <f>-Table2[[#This Row],[Normal Inventory]]</f>
        <v>-1</v>
      </c>
      <c r="R74" s="18" cm="1">
        <f t="array" ref="R74">IF(GETPIVOTDATA("STOCK_LEVEL", Historical_Stock!$B$5, "PRODUCT", Table8[Product], "STORAGE_LOCATION_ID", "Main Warehouse", "INVENTORY_DATE", Table2[[#This Row],[Order date]])=0, 1, 0)</f>
        <v>0</v>
      </c>
      <c r="S74" s="18">
        <f>IF(AND(Table2[[#This Row],[No Inventory]]=1, Table2[[#This Row],[No Inventory (MW)]]=1), 1, 0)</f>
        <v>0</v>
      </c>
      <c r="T74" s="18">
        <f>IF(AND(Table2[[#This Row],[No Inventory]]=1, Table2[[#This Row],[Purchase Manager]]=0), 1, 0)</f>
        <v>0</v>
      </c>
      <c r="Z74" s="9"/>
      <c r="AO74" s="38"/>
      <c r="AP74" s="38"/>
      <c r="AS74" s="12"/>
    </row>
    <row r="75" spans="2:46" hidden="1" x14ac:dyDescent="0.2">
      <c r="B75" s="18">
        <v>2</v>
      </c>
      <c r="C75" s="13" t="s">
        <v>57</v>
      </c>
      <c r="D75" s="10">
        <f t="shared" si="0"/>
        <v>0</v>
      </c>
      <c r="E75" s="16">
        <f t="shared" si="1"/>
        <v>0</v>
      </c>
      <c r="F75" s="68">
        <f>Table2[[#This Row],[Sales]]*Table2[[#This Row],[Price]]</f>
        <v>0</v>
      </c>
      <c r="G75" s="10" cm="1">
        <f t="array" ref="G75">GETPIVOTDATA("STOCK_LEVEL", Historical_Stock!$B$5, "PRODUCT", Table8[Product], "STORAGE_LOCATION_ID", Table8[Region], "INVENTORY_DATE", Table2[[#This Row],[Order date]])</f>
        <v>113</v>
      </c>
      <c r="H75" s="18" cm="1">
        <f t="array" ref="H75">IFERROR(GETPIVOTDATA("Quantity", Historical_Stock!$G$465,  "Product", Table8[Product], "Area", Table8[Region], "Date", Table2[[#This Row],[Order date]]), 0)</f>
        <v>0</v>
      </c>
      <c r="I75" s="18" cm="1">
        <f t="array" ref="I75">IFERROR(GETPIVOTDATA("Real Purchase", Historical_Stock!$I$414, "Product", Table8[Product], "Date", Table2[[#This Row],[Order date]]), 0)</f>
        <v>0</v>
      </c>
      <c r="J75" s="18">
        <f>IF(Table2[[#This Row],[Transfer In]]=0, 0, 1)</f>
        <v>0</v>
      </c>
      <c r="K75" s="18">
        <f>IF(Table2[[#This Row],[Purchase]]=0, 0, -1)</f>
        <v>0</v>
      </c>
      <c r="L75" s="18">
        <v>0</v>
      </c>
      <c r="M75" s="18">
        <v>0</v>
      </c>
      <c r="N75" s="18">
        <f>1-(Table2[[#This Row],[Inventory shortage]]+Table2[[#This Row],[No Inventory]])</f>
        <v>1</v>
      </c>
      <c r="O75" s="18">
        <f>-Table2[[#This Row],[Inventory shortage]]</f>
        <v>0</v>
      </c>
      <c r="P75" s="18">
        <f>-Table2[[#This Row],[No Inventory]]</f>
        <v>0</v>
      </c>
      <c r="Q75" s="18">
        <f>-Table2[[#This Row],[Normal Inventory]]</f>
        <v>-1</v>
      </c>
      <c r="R75" s="18" cm="1">
        <f t="array" ref="R75">IF(GETPIVOTDATA("STOCK_LEVEL", Historical_Stock!$B$5, "PRODUCT", Table8[Product], "STORAGE_LOCATION_ID", "Main Warehouse", "INVENTORY_DATE", Table2[[#This Row],[Order date]])=0, 1, 0)</f>
        <v>1</v>
      </c>
      <c r="S75" s="18">
        <f>IF(AND(Table2[[#This Row],[Inventory shortage]]=1, Table2[[#This Row],[No Inventory (MW)]]=1), 1, 0)</f>
        <v>0</v>
      </c>
      <c r="T75" s="18">
        <f>IF(AND(Table2[[#This Row],[Normal Inventory]]=0, Table2[[#This Row],[Purchase Manager]]=0), 1, 0)</f>
        <v>0</v>
      </c>
      <c r="W75" s="11"/>
      <c r="X75" s="9"/>
      <c r="Z75" s="9"/>
      <c r="AO75" s="38"/>
      <c r="AP75" s="38"/>
      <c r="AS75" s="12"/>
    </row>
    <row r="76" spans="2:46" x14ac:dyDescent="0.2">
      <c r="B76" s="18">
        <v>3</v>
      </c>
      <c r="C76" s="13" t="s">
        <v>27</v>
      </c>
      <c r="D76" s="10">
        <f t="shared" si="0"/>
        <v>50</v>
      </c>
      <c r="E76" s="16">
        <f t="shared" si="1"/>
        <v>69</v>
      </c>
      <c r="F76" s="68">
        <f>Table2[[#This Row],[Sales]]*Table2[[#This Row],[Price]]</f>
        <v>3450</v>
      </c>
      <c r="G76" s="10" cm="1">
        <f t="array" ref="G76">GETPIVOTDATA("STOCK_LEVEL", Historical_Stock!$B$5, "PRODUCT", Table8[Product], "STORAGE_LOCATION_ID", Table8[Region], "INVENTORY_DATE", Table2[[#This Row],[Order date]])</f>
        <v>113</v>
      </c>
      <c r="H76" s="18" cm="1">
        <f t="array" ref="H76">IFERROR(GETPIVOTDATA("Quantity", Historical_Stock!$G$465,  "Product", Table8[Product], "Region", Table8[Region], "Date", Table2[[#This Row],[Order date]]), 0)</f>
        <v>0</v>
      </c>
      <c r="I76" s="18" cm="1">
        <f t="array" ref="I76">IFERROR(GETPIVOTDATA("Real Purchase", Historical_Stock!$I$414, "Product", Table8[Product], "Date", Table2[[#This Row],[Order date]]), 0)</f>
        <v>296</v>
      </c>
      <c r="J76" s="18">
        <f>IF(Table2[[#This Row],[Transfer In]]=0, 0, 1)</f>
        <v>0</v>
      </c>
      <c r="K76" s="18">
        <f>IF(Table2[[#This Row],[Purchase]]=0, 0, -1)</f>
        <v>-1</v>
      </c>
      <c r="L76" s="18">
        <f>IF(AND(Table2[[#This Row],[Stock Level]]=Table2[[#This Row],[Sales]], Table2[[#This Row],[Stock Level]]&lt;&gt;0), 1, 0)</f>
        <v>0</v>
      </c>
      <c r="M76" s="18">
        <f>IF(Table2[[#This Row],[Stock Level]]=0, 1, 0)</f>
        <v>0</v>
      </c>
      <c r="N76" s="18">
        <f>1-(Table2[[#This Row],[Inventory shortage]]+Table2[[#This Row],[No Inventory]])</f>
        <v>1</v>
      </c>
      <c r="O76" s="18">
        <f>-Table2[[#This Row],[Inventory shortage]]</f>
        <v>0</v>
      </c>
      <c r="P76" s="18">
        <f>-Table2[[#This Row],[No Inventory]]</f>
        <v>0</v>
      </c>
      <c r="Q76" s="18">
        <f>-Table2[[#This Row],[Normal Inventory]]</f>
        <v>-1</v>
      </c>
      <c r="R76" s="18" cm="1">
        <f t="array" ref="R76">IF(GETPIVOTDATA("STOCK_LEVEL", Historical_Stock!$B$5, "PRODUCT", Table8[Product], "STORAGE_LOCATION_ID", "Main Warehouse", "INVENTORY_DATE", Table2[[#This Row],[Order date]])=0, 1, 0)</f>
        <v>1</v>
      </c>
      <c r="S76" s="18">
        <f>IF(AND(Table2[[#This Row],[No Inventory]]=1, Table2[[#This Row],[No Inventory (MW)]]=1), 1, 0)</f>
        <v>0</v>
      </c>
      <c r="T76" s="18">
        <f>IF(AND(Table2[[#This Row],[No Inventory]]=1, Table2[[#This Row],[Purchase Manager]]=0), 1, 0)</f>
        <v>0</v>
      </c>
      <c r="W76" s="11"/>
      <c r="X76" s="9"/>
      <c r="Z76" s="9"/>
      <c r="AO76" s="38"/>
      <c r="AP76" s="38"/>
      <c r="AS76" s="12"/>
    </row>
    <row r="77" spans="2:46" x14ac:dyDescent="0.2">
      <c r="B77" s="18">
        <v>3</v>
      </c>
      <c r="C77" s="13" t="s">
        <v>28</v>
      </c>
      <c r="D77" s="10">
        <f t="shared" si="0"/>
        <v>0</v>
      </c>
      <c r="E77" s="16">
        <f t="shared" si="1"/>
        <v>0</v>
      </c>
      <c r="F77" s="68">
        <f>Table2[[#This Row],[Sales]]*Table2[[#This Row],[Price]]</f>
        <v>0</v>
      </c>
      <c r="G77" s="10" cm="1">
        <f t="array" ref="G77">GETPIVOTDATA("STOCK_LEVEL", Historical_Stock!$B$5, "PRODUCT", Table8[Product], "STORAGE_LOCATION_ID", Table8[Region], "INVENTORY_DATE", Table2[[#This Row],[Order date]])</f>
        <v>63</v>
      </c>
      <c r="H77" s="18" cm="1">
        <f t="array" ref="H77">IFERROR(GETPIVOTDATA("Quantity", Historical_Stock!$G$465,  "Product", Table8[Product], "Region", Table8[Region], "Date", Table2[[#This Row],[Order date]]), 0)</f>
        <v>0</v>
      </c>
      <c r="I77" s="18" cm="1">
        <f t="array" ref="I77">IFERROR(GETPIVOTDATA("Real Purchase", Historical_Stock!$I$414, "Product", Table8[Product], "Date", Table2[[#This Row],[Order date]]), 0)</f>
        <v>0</v>
      </c>
      <c r="J77" s="18">
        <f>IF(Table2[[#This Row],[Transfer In]]=0, 0, 1)</f>
        <v>0</v>
      </c>
      <c r="K77" s="18">
        <f>IF(Table2[[#This Row],[Purchase]]=0, 0, -1)</f>
        <v>0</v>
      </c>
      <c r="L77" s="18">
        <f>IF(AND(Table2[[#This Row],[Stock Level]]=Table2[[#This Row],[Sales]], Table2[[#This Row],[Stock Level]]&lt;&gt;0), 1, 0)</f>
        <v>0</v>
      </c>
      <c r="M77" s="18">
        <f>IF(Table2[[#This Row],[Stock Level]]=0, 1, 0)</f>
        <v>0</v>
      </c>
      <c r="N77" s="18">
        <f>1-(Table2[[#This Row],[Inventory shortage]]+Table2[[#This Row],[No Inventory]])</f>
        <v>1</v>
      </c>
      <c r="O77" s="18">
        <f>-Table2[[#This Row],[Inventory shortage]]</f>
        <v>0</v>
      </c>
      <c r="P77" s="18">
        <f>-Table2[[#This Row],[No Inventory]]</f>
        <v>0</v>
      </c>
      <c r="Q77" s="18">
        <f>-Table2[[#This Row],[Normal Inventory]]</f>
        <v>-1</v>
      </c>
      <c r="R77" s="18" cm="1">
        <f t="array" ref="R77">IF(GETPIVOTDATA("STOCK_LEVEL", Historical_Stock!$B$5, "PRODUCT", Table8[Product], "STORAGE_LOCATION_ID", "Main Warehouse", "INVENTORY_DATE", Table2[[#This Row],[Order date]])=0, 1, 0)</f>
        <v>0</v>
      </c>
      <c r="S77" s="18">
        <f>IF(AND(Table2[[#This Row],[No Inventory]]=1, Table2[[#This Row],[No Inventory (MW)]]=1), 1, 0)</f>
        <v>0</v>
      </c>
      <c r="T77" s="18">
        <f>IF(AND(Table2[[#This Row],[No Inventory]]=1, Table2[[#This Row],[Purchase Manager]]=0), 1, 0)</f>
        <v>0</v>
      </c>
      <c r="AA77" s="9"/>
      <c r="AP77" s="38"/>
      <c r="AQ77" s="38"/>
      <c r="AT77" s="12"/>
    </row>
    <row r="78" spans="2:46" x14ac:dyDescent="0.2">
      <c r="B78" s="18">
        <v>3</v>
      </c>
      <c r="C78" s="13" t="s">
        <v>29</v>
      </c>
      <c r="D78" s="10">
        <f t="shared" si="0"/>
        <v>0</v>
      </c>
      <c r="E78" s="16">
        <f t="shared" si="1"/>
        <v>0</v>
      </c>
      <c r="F78" s="68">
        <f>Table2[[#This Row],[Sales]]*Table2[[#This Row],[Price]]</f>
        <v>0</v>
      </c>
      <c r="G78" s="10" cm="1">
        <f t="array" ref="G78">GETPIVOTDATA("STOCK_LEVEL", Historical_Stock!$B$5, "PRODUCT", Table8[Product], "STORAGE_LOCATION_ID", Table8[Region], "INVENTORY_DATE", Table2[[#This Row],[Order date]])</f>
        <v>63</v>
      </c>
      <c r="H78" s="18" cm="1">
        <f t="array" ref="H78">IFERROR(GETPIVOTDATA("Quantity", Historical_Stock!$G$465,  "Product", Table8[Product], "Region", Table8[Region], "Date", Table2[[#This Row],[Order date]]), 0)</f>
        <v>99</v>
      </c>
      <c r="I78" s="18" cm="1">
        <f t="array" ref="I78">IFERROR(GETPIVOTDATA("Real Purchase", Historical_Stock!$I$414, "Product", Table8[Product], "Date", Table2[[#This Row],[Order date]]), 0)</f>
        <v>0</v>
      </c>
      <c r="J78" s="18">
        <f>IF(Table2[[#This Row],[Transfer In]]=0, 0, 1)</f>
        <v>1</v>
      </c>
      <c r="K78" s="18">
        <f>IF(Table2[[#This Row],[Purchase]]=0, 0, -1)</f>
        <v>0</v>
      </c>
      <c r="L78" s="18">
        <f>IF(AND(Table2[[#This Row],[Stock Level]]=Table2[[#This Row],[Sales]], Table2[[#This Row],[Stock Level]]&lt;&gt;0), 1, 0)</f>
        <v>0</v>
      </c>
      <c r="M78" s="18">
        <f>IF(Table2[[#This Row],[Stock Level]]=0, 1, 0)</f>
        <v>0</v>
      </c>
      <c r="N78" s="18">
        <f>1-(Table2[[#This Row],[Inventory shortage]]+Table2[[#This Row],[No Inventory]])</f>
        <v>1</v>
      </c>
      <c r="O78" s="18">
        <f>-Table2[[#This Row],[Inventory shortage]]</f>
        <v>0</v>
      </c>
      <c r="P78" s="18">
        <f>-Table2[[#This Row],[No Inventory]]</f>
        <v>0</v>
      </c>
      <c r="Q78" s="18">
        <f>-Table2[[#This Row],[Normal Inventory]]</f>
        <v>-1</v>
      </c>
      <c r="R78" s="18" cm="1">
        <f t="array" ref="R78">IF(GETPIVOTDATA("STOCK_LEVEL", Historical_Stock!$B$5, "PRODUCT", Table8[Product], "STORAGE_LOCATION_ID", "Main Warehouse", "INVENTORY_DATE", Table2[[#This Row],[Order date]])=0, 1, 0)</f>
        <v>0</v>
      </c>
      <c r="S78" s="18">
        <f>IF(AND(Table2[[#This Row],[No Inventory]]=1, Table2[[#This Row],[No Inventory (MW)]]=1), 1, 0)</f>
        <v>0</v>
      </c>
      <c r="T78" s="18">
        <f>IF(AND(Table2[[#This Row],[No Inventory]]=1, Table2[[#This Row],[Purchase Manager]]=0), 1, 0)</f>
        <v>0</v>
      </c>
      <c r="AA78" s="9"/>
      <c r="AP78" s="38"/>
      <c r="AQ78" s="38"/>
      <c r="AT78" s="12"/>
    </row>
    <row r="79" spans="2:46" x14ac:dyDescent="0.2">
      <c r="B79" s="18">
        <v>3</v>
      </c>
      <c r="C79" s="13" t="s">
        <v>30</v>
      </c>
      <c r="D79" s="10">
        <f t="shared" si="0"/>
        <v>33</v>
      </c>
      <c r="E79" s="16">
        <f t="shared" si="1"/>
        <v>70</v>
      </c>
      <c r="F79" s="68">
        <f>Table2[[#This Row],[Sales]]*Table2[[#This Row],[Price]]</f>
        <v>2310</v>
      </c>
      <c r="G79" s="10" cm="1">
        <f t="array" ref="G79">GETPIVOTDATA("STOCK_LEVEL", Historical_Stock!$B$5, "PRODUCT", Table8[Product], "STORAGE_LOCATION_ID", Table8[Region], "INVENTORY_DATE", Table2[[#This Row],[Order date]])</f>
        <v>162</v>
      </c>
      <c r="H79" s="18" cm="1">
        <f t="array" ref="H79">IFERROR(GETPIVOTDATA("Quantity", Historical_Stock!$G$465,  "Product", Table8[Product], "Region", Table8[Region], "Date", Table2[[#This Row],[Order date]]), 0)</f>
        <v>0</v>
      </c>
      <c r="I79" s="18" cm="1">
        <f t="array" ref="I79">IFERROR(GETPIVOTDATA("Real Purchase", Historical_Stock!$I$414, "Product", Table8[Product], "Date", Table2[[#This Row],[Order date]]), 0)</f>
        <v>0</v>
      </c>
      <c r="J79" s="18">
        <f>IF(Table2[[#This Row],[Transfer In]]=0, 0, 1)</f>
        <v>0</v>
      </c>
      <c r="K79" s="18">
        <f>IF(Table2[[#This Row],[Purchase]]=0, 0, -1)</f>
        <v>0</v>
      </c>
      <c r="L79" s="18">
        <f>IF(AND(Table2[[#This Row],[Stock Level]]=Table2[[#This Row],[Sales]], Table2[[#This Row],[Stock Level]]&lt;&gt;0), 1, 0)</f>
        <v>0</v>
      </c>
      <c r="M79" s="18">
        <f>IF(Table2[[#This Row],[Stock Level]]=0, 1, 0)</f>
        <v>0</v>
      </c>
      <c r="N79" s="18">
        <f>1-(Table2[[#This Row],[Inventory shortage]]+Table2[[#This Row],[No Inventory]])</f>
        <v>1</v>
      </c>
      <c r="O79" s="18">
        <f>-Table2[[#This Row],[Inventory shortage]]</f>
        <v>0</v>
      </c>
      <c r="P79" s="18">
        <f>-Table2[[#This Row],[No Inventory]]</f>
        <v>0</v>
      </c>
      <c r="Q79" s="18">
        <f>-Table2[[#This Row],[Normal Inventory]]</f>
        <v>-1</v>
      </c>
      <c r="R79" s="18" cm="1">
        <f t="array" ref="R79">IF(GETPIVOTDATA("STOCK_LEVEL", Historical_Stock!$B$5, "PRODUCT", Table8[Product], "STORAGE_LOCATION_ID", "Main Warehouse", "INVENTORY_DATE", Table2[[#This Row],[Order date]])=0, 1, 0)</f>
        <v>1</v>
      </c>
      <c r="S79" s="18">
        <f>IF(AND(Table2[[#This Row],[No Inventory]]=1, Table2[[#This Row],[No Inventory (MW)]]=1), 1, 0)</f>
        <v>0</v>
      </c>
      <c r="T79" s="18">
        <f>IF(AND(Table2[[#This Row],[No Inventory]]=1, Table2[[#This Row],[Purchase Manager]]=0), 1, 0)</f>
        <v>0</v>
      </c>
      <c r="Y79" s="11"/>
      <c r="AP79" s="38"/>
      <c r="AQ79" s="38"/>
      <c r="AT79" s="12"/>
    </row>
    <row r="80" spans="2:46" x14ac:dyDescent="0.2">
      <c r="B80" s="18">
        <v>3</v>
      </c>
      <c r="C80" s="13" t="s">
        <v>31</v>
      </c>
      <c r="D80" s="10">
        <f t="shared" si="0"/>
        <v>57</v>
      </c>
      <c r="E80" s="16">
        <f t="shared" si="1"/>
        <v>70</v>
      </c>
      <c r="F80" s="68">
        <f>Table2[[#This Row],[Sales]]*Table2[[#This Row],[Price]]</f>
        <v>3990</v>
      </c>
      <c r="G80" s="10" cm="1">
        <f t="array" ref="G80">GETPIVOTDATA("STOCK_LEVEL", Historical_Stock!$B$5, "PRODUCT", Table8[Product], "STORAGE_LOCATION_ID", Table8[Region], "INVENTORY_DATE", Table2[[#This Row],[Order date]])</f>
        <v>129</v>
      </c>
      <c r="H80" s="18" cm="1">
        <f t="array" ref="H80">IFERROR(GETPIVOTDATA("Quantity", Historical_Stock!$G$465,  "Product", Table8[Product], "Region", Table8[Region], "Date", Table2[[#This Row],[Order date]]), 0)</f>
        <v>0</v>
      </c>
      <c r="I80" s="18" cm="1">
        <f t="array" ref="I80">IFERROR(GETPIVOTDATA("Real Purchase", Historical_Stock!$I$414, "Product", Table8[Product], "Date", Table2[[#This Row],[Order date]]), 0)</f>
        <v>0</v>
      </c>
      <c r="J80" s="18">
        <f>IF(Table2[[#This Row],[Transfer In]]=0, 0, 1)</f>
        <v>0</v>
      </c>
      <c r="K80" s="18">
        <f>IF(Table2[[#This Row],[Purchase]]=0, 0, -1)</f>
        <v>0</v>
      </c>
      <c r="L80" s="18">
        <f>IF(AND(Table2[[#This Row],[Stock Level]]=Table2[[#This Row],[Sales]], Table2[[#This Row],[Stock Level]]&lt;&gt;0), 1, 0)</f>
        <v>0</v>
      </c>
      <c r="M80" s="18">
        <f>IF(Table2[[#This Row],[Stock Level]]=0, 1, 0)</f>
        <v>0</v>
      </c>
      <c r="N80" s="18">
        <f>1-(Table2[[#This Row],[Inventory shortage]]+Table2[[#This Row],[No Inventory]])</f>
        <v>1</v>
      </c>
      <c r="O80" s="18">
        <f>-Table2[[#This Row],[Inventory shortage]]</f>
        <v>0</v>
      </c>
      <c r="P80" s="18">
        <f>-Table2[[#This Row],[No Inventory]]</f>
        <v>0</v>
      </c>
      <c r="Q80" s="18">
        <f>-Table2[[#This Row],[Normal Inventory]]</f>
        <v>-1</v>
      </c>
      <c r="R80" s="18" cm="1">
        <f t="array" ref="R80">IF(GETPIVOTDATA("STOCK_LEVEL", Historical_Stock!$B$5, "PRODUCT", Table8[Product], "STORAGE_LOCATION_ID", "Main Warehouse", "INVENTORY_DATE", Table2[[#This Row],[Order date]])=0, 1, 0)</f>
        <v>1</v>
      </c>
      <c r="S80" s="18">
        <f>IF(AND(Table2[[#This Row],[No Inventory]]=1, Table2[[#This Row],[No Inventory (MW)]]=1), 1, 0)</f>
        <v>0</v>
      </c>
      <c r="T80" s="18">
        <f>IF(AND(Table2[[#This Row],[No Inventory]]=1, Table2[[#This Row],[Purchase Manager]]=0), 1, 0)</f>
        <v>0</v>
      </c>
      <c r="Y80" s="11"/>
      <c r="AA80" s="9"/>
      <c r="AP80" s="38"/>
      <c r="AQ80" s="38"/>
      <c r="AT80" s="12"/>
    </row>
    <row r="81" spans="2:45" x14ac:dyDescent="0.2">
      <c r="B81" s="18">
        <v>3</v>
      </c>
      <c r="C81" s="13" t="s">
        <v>32</v>
      </c>
      <c r="D81" s="10">
        <f t="shared" si="0"/>
        <v>0</v>
      </c>
      <c r="E81" s="16">
        <f t="shared" si="1"/>
        <v>0</v>
      </c>
      <c r="F81" s="68">
        <f>Table2[[#This Row],[Sales]]*Table2[[#This Row],[Price]]</f>
        <v>0</v>
      </c>
      <c r="G81" s="10" cm="1">
        <f t="array" ref="G81">GETPIVOTDATA("STOCK_LEVEL", Historical_Stock!$B$5, "PRODUCT", Table8[Product], "STORAGE_LOCATION_ID", Table8[Region], "INVENTORY_DATE", Table2[[#This Row],[Order date]])</f>
        <v>72</v>
      </c>
      <c r="H81" s="18" cm="1">
        <f t="array" ref="H81">IFERROR(GETPIVOTDATA("Quantity", Historical_Stock!$G$465,  "Product", Table8[Product], "Region", Table8[Region], "Date", Table2[[#This Row],[Order date]]), 0)</f>
        <v>0</v>
      </c>
      <c r="I81" s="18" cm="1">
        <f t="array" ref="I81">IFERROR(GETPIVOTDATA("Real Purchase", Historical_Stock!$I$414, "Product", Table8[Product], "Date", Table2[[#This Row],[Order date]]), 0)</f>
        <v>195</v>
      </c>
      <c r="J81" s="18">
        <f>IF(Table2[[#This Row],[Transfer In]]=0, 0, 1)</f>
        <v>0</v>
      </c>
      <c r="K81" s="18">
        <f>IF(Table2[[#This Row],[Purchase]]=0, 0, -1)</f>
        <v>-1</v>
      </c>
      <c r="L81" s="18">
        <f>IF(AND(Table2[[#This Row],[Stock Level]]=Table2[[#This Row],[Sales]], Table2[[#This Row],[Stock Level]]&lt;&gt;0), 1, 0)</f>
        <v>0</v>
      </c>
      <c r="M81" s="18">
        <f>IF(Table2[[#This Row],[Stock Level]]=0, 1, 0)</f>
        <v>0</v>
      </c>
      <c r="N81" s="18">
        <f>1-(Table2[[#This Row],[Inventory shortage]]+Table2[[#This Row],[No Inventory]])</f>
        <v>1</v>
      </c>
      <c r="O81" s="18">
        <f>-Table2[[#This Row],[Inventory shortage]]</f>
        <v>0</v>
      </c>
      <c r="P81" s="18">
        <f>-Table2[[#This Row],[No Inventory]]</f>
        <v>0</v>
      </c>
      <c r="Q81" s="18">
        <f>-Table2[[#This Row],[Normal Inventory]]</f>
        <v>-1</v>
      </c>
      <c r="R81" s="18" cm="1">
        <f t="array" ref="R81">IF(GETPIVOTDATA("STOCK_LEVEL", Historical_Stock!$B$5, "PRODUCT", Table8[Product], "STORAGE_LOCATION_ID", "Main Warehouse", "INVENTORY_DATE", Table2[[#This Row],[Order date]])=0, 1, 0)</f>
        <v>1</v>
      </c>
      <c r="S81" s="18">
        <f>IF(AND(Table2[[#This Row],[No Inventory]]=1, Table2[[#This Row],[No Inventory (MW)]]=1), 1, 0)</f>
        <v>0</v>
      </c>
      <c r="T81" s="18">
        <f>IF(AND(Table2[[#This Row],[No Inventory]]=1, Table2[[#This Row],[Purchase Manager]]=0), 1, 0)</f>
        <v>0</v>
      </c>
      <c r="Y81" s="11"/>
      <c r="AO81" s="38"/>
      <c r="AP81" s="38"/>
      <c r="AS81" s="12"/>
    </row>
    <row r="82" spans="2:45" x14ac:dyDescent="0.2">
      <c r="B82" s="18">
        <v>3</v>
      </c>
      <c r="C82" s="13" t="s">
        <v>33</v>
      </c>
      <c r="D82" s="10">
        <f t="shared" si="0"/>
        <v>23</v>
      </c>
      <c r="E82" s="16">
        <f t="shared" si="1"/>
        <v>70</v>
      </c>
      <c r="F82" s="68">
        <f>Table2[[#This Row],[Sales]]*Table2[[#This Row],[Price]]</f>
        <v>1610</v>
      </c>
      <c r="G82" s="10" cm="1">
        <f t="array" ref="G82">GETPIVOTDATA("STOCK_LEVEL", Historical_Stock!$B$5, "PRODUCT", Table8[Product], "STORAGE_LOCATION_ID", Table8[Region], "INVENTORY_DATE", Table2[[#This Row],[Order date]])</f>
        <v>72</v>
      </c>
      <c r="H82" s="18" cm="1">
        <f t="array" ref="H82">IFERROR(GETPIVOTDATA("Quantity", Historical_Stock!$G$465,  "Product", Table8[Product], "Region", Table8[Region], "Date", Table2[[#This Row],[Order date]]), 0)</f>
        <v>0</v>
      </c>
      <c r="I82" s="18" cm="1">
        <f t="array" ref="I82">IFERROR(GETPIVOTDATA("Real Purchase", Historical_Stock!$I$414, "Product", Table8[Product], "Date", Table2[[#This Row],[Order date]]), 0)</f>
        <v>0</v>
      </c>
      <c r="J82" s="18">
        <f>IF(Table2[[#This Row],[Transfer In]]=0, 0, 1)</f>
        <v>0</v>
      </c>
      <c r="K82" s="18">
        <f>IF(Table2[[#This Row],[Purchase]]=0, 0, -1)</f>
        <v>0</v>
      </c>
      <c r="L82" s="18">
        <f>IF(AND(Table2[[#This Row],[Stock Level]]=Table2[[#This Row],[Sales]], Table2[[#This Row],[Stock Level]]&lt;&gt;0), 1, 0)</f>
        <v>0</v>
      </c>
      <c r="M82" s="18">
        <f>IF(Table2[[#This Row],[Stock Level]]=0, 1, 0)</f>
        <v>0</v>
      </c>
      <c r="N82" s="18">
        <f>1-(Table2[[#This Row],[Inventory shortage]]+Table2[[#This Row],[No Inventory]])</f>
        <v>1</v>
      </c>
      <c r="O82" s="18">
        <f>-Table2[[#This Row],[Inventory shortage]]</f>
        <v>0</v>
      </c>
      <c r="P82" s="18">
        <f>-Table2[[#This Row],[No Inventory]]</f>
        <v>0</v>
      </c>
      <c r="Q82" s="18">
        <f>-Table2[[#This Row],[Normal Inventory]]</f>
        <v>-1</v>
      </c>
      <c r="R82" s="18" cm="1">
        <f t="array" ref="R82">IF(GETPIVOTDATA("STOCK_LEVEL", Historical_Stock!$B$5, "PRODUCT", Table8[Product], "STORAGE_LOCATION_ID", "Main Warehouse", "INVENTORY_DATE", Table2[[#This Row],[Order date]])=0, 1, 0)</f>
        <v>0</v>
      </c>
      <c r="S82" s="18">
        <f>IF(AND(Table2[[#This Row],[No Inventory]]=1, Table2[[#This Row],[No Inventory (MW)]]=1), 1, 0)</f>
        <v>0</v>
      </c>
      <c r="T82" s="18">
        <f>IF(AND(Table2[[#This Row],[No Inventory]]=1, Table2[[#This Row],[Purchase Manager]]=0), 1, 0)</f>
        <v>0</v>
      </c>
      <c r="Y82" s="11"/>
      <c r="AO82" s="38"/>
      <c r="AP82" s="38"/>
      <c r="AS82" s="12"/>
    </row>
    <row r="83" spans="2:45" x14ac:dyDescent="0.2">
      <c r="B83" s="18">
        <v>3</v>
      </c>
      <c r="C83" s="13" t="s">
        <v>34</v>
      </c>
      <c r="D83" s="10">
        <f t="shared" si="0"/>
        <v>0</v>
      </c>
      <c r="E83" s="16">
        <f t="shared" si="1"/>
        <v>0</v>
      </c>
      <c r="F83" s="68">
        <f>Table2[[#This Row],[Sales]]*Table2[[#This Row],[Price]]</f>
        <v>0</v>
      </c>
      <c r="G83" s="10" cm="1">
        <f t="array" ref="G83">GETPIVOTDATA("STOCK_LEVEL", Historical_Stock!$B$5, "PRODUCT", Table8[Product], "STORAGE_LOCATION_ID", Table8[Region], "INVENTORY_DATE", Table2[[#This Row],[Order date]])</f>
        <v>49</v>
      </c>
      <c r="H83" s="18" cm="1">
        <f t="array" ref="H83">IFERROR(GETPIVOTDATA("Quantity", Historical_Stock!$G$465,  "Product", Table8[Product], "Region", Table8[Region], "Date", Table2[[#This Row],[Order date]]), 0)</f>
        <v>0</v>
      </c>
      <c r="I83" s="18" cm="1">
        <f t="array" ref="I83">IFERROR(GETPIVOTDATA("Real Purchase", Historical_Stock!$I$414, "Product", Table8[Product], "Date", Table2[[#This Row],[Order date]]), 0)</f>
        <v>0</v>
      </c>
      <c r="J83" s="18">
        <f>IF(Table2[[#This Row],[Transfer In]]=0, 0, 1)</f>
        <v>0</v>
      </c>
      <c r="K83" s="18">
        <f>IF(Table2[[#This Row],[Purchase]]=0, 0, -1)</f>
        <v>0</v>
      </c>
      <c r="L83" s="18">
        <f>IF(AND(Table2[[#This Row],[Stock Level]]=Table2[[#This Row],[Sales]], Table2[[#This Row],[Stock Level]]&lt;&gt;0), 1, 0)</f>
        <v>0</v>
      </c>
      <c r="M83" s="18">
        <f>IF(Table2[[#This Row],[Stock Level]]=0, 1, 0)</f>
        <v>0</v>
      </c>
      <c r="N83" s="18">
        <f>1-(Table2[[#This Row],[Inventory shortage]]+Table2[[#This Row],[No Inventory]])</f>
        <v>1</v>
      </c>
      <c r="O83" s="18">
        <f>-Table2[[#This Row],[Inventory shortage]]</f>
        <v>0</v>
      </c>
      <c r="P83" s="18">
        <f>-Table2[[#This Row],[No Inventory]]</f>
        <v>0</v>
      </c>
      <c r="Q83" s="18">
        <f>-Table2[[#This Row],[Normal Inventory]]</f>
        <v>-1</v>
      </c>
      <c r="R83" s="18" cm="1">
        <f t="array" ref="R83">IF(GETPIVOTDATA("STOCK_LEVEL", Historical_Stock!$B$5, "PRODUCT", Table8[Product], "STORAGE_LOCATION_ID", "Main Warehouse", "INVENTORY_DATE", Table2[[#This Row],[Order date]])=0, 1, 0)</f>
        <v>0</v>
      </c>
      <c r="S83" s="18">
        <f>IF(AND(Table2[[#This Row],[No Inventory]]=1, Table2[[#This Row],[No Inventory (MW)]]=1), 1, 0)</f>
        <v>0</v>
      </c>
      <c r="T83" s="18">
        <f>IF(AND(Table2[[#This Row],[No Inventory]]=1, Table2[[#This Row],[Purchase Manager]]=0), 1, 0)</f>
        <v>0</v>
      </c>
      <c r="AO83" s="38"/>
      <c r="AP83" s="38"/>
      <c r="AS83" s="12"/>
    </row>
    <row r="84" spans="2:45" x14ac:dyDescent="0.2">
      <c r="B84" s="18">
        <v>3</v>
      </c>
      <c r="C84" s="13" t="s">
        <v>35</v>
      </c>
      <c r="D84" s="10">
        <f t="shared" si="0"/>
        <v>0</v>
      </c>
      <c r="E84" s="16">
        <f t="shared" si="1"/>
        <v>0</v>
      </c>
      <c r="F84" s="68">
        <f>Table2[[#This Row],[Sales]]*Table2[[#This Row],[Price]]</f>
        <v>0</v>
      </c>
      <c r="G84" s="10" cm="1">
        <f t="array" ref="G84">GETPIVOTDATA("STOCK_LEVEL", Historical_Stock!$B$5, "PRODUCT", Table8[Product], "STORAGE_LOCATION_ID", Table8[Region], "INVENTORY_DATE", Table2[[#This Row],[Order date]])</f>
        <v>49</v>
      </c>
      <c r="H84" s="18" cm="1">
        <f t="array" ref="H84">IFERROR(GETPIVOTDATA("Quantity", Historical_Stock!$G$465,  "Product", Table8[Product], "Region", Table8[Region], "Date", Table2[[#This Row],[Order date]]), 0)</f>
        <v>96</v>
      </c>
      <c r="I84" s="18" cm="1">
        <f t="array" ref="I84">IFERROR(GETPIVOTDATA("Real Purchase", Historical_Stock!$I$414, "Product", Table8[Product], "Date", Table2[[#This Row],[Order date]]), 0)</f>
        <v>0</v>
      </c>
      <c r="J84" s="18">
        <f>IF(Table2[[#This Row],[Transfer In]]=0, 0, 1)</f>
        <v>1</v>
      </c>
      <c r="K84" s="18">
        <f>IF(Table2[[#This Row],[Purchase]]=0, 0, -1)</f>
        <v>0</v>
      </c>
      <c r="L84" s="18">
        <f>IF(AND(Table2[[#This Row],[Stock Level]]=Table2[[#This Row],[Sales]], Table2[[#This Row],[Stock Level]]&lt;&gt;0), 1, 0)</f>
        <v>0</v>
      </c>
      <c r="M84" s="18">
        <f>IF(Table2[[#This Row],[Stock Level]]=0, 1, 0)</f>
        <v>0</v>
      </c>
      <c r="N84" s="18">
        <f>1-(Table2[[#This Row],[Inventory shortage]]+Table2[[#This Row],[No Inventory]])</f>
        <v>1</v>
      </c>
      <c r="O84" s="18">
        <f>-Table2[[#This Row],[Inventory shortage]]</f>
        <v>0</v>
      </c>
      <c r="P84" s="18">
        <f>-Table2[[#This Row],[No Inventory]]</f>
        <v>0</v>
      </c>
      <c r="Q84" s="18">
        <f>-Table2[[#This Row],[Normal Inventory]]</f>
        <v>-1</v>
      </c>
      <c r="R84" s="18" cm="1">
        <f t="array" ref="R84">IF(GETPIVOTDATA("STOCK_LEVEL", Historical_Stock!$B$5, "PRODUCT", Table8[Product], "STORAGE_LOCATION_ID", "Main Warehouse", "INVENTORY_DATE", Table2[[#This Row],[Order date]])=0, 1, 0)</f>
        <v>0</v>
      </c>
      <c r="S84" s="18">
        <f>IF(AND(Table2[[#This Row],[No Inventory]]=1, Table2[[#This Row],[No Inventory (MW)]]=1), 1, 0)</f>
        <v>0</v>
      </c>
      <c r="T84" s="18">
        <f>IF(AND(Table2[[#This Row],[No Inventory]]=1, Table2[[#This Row],[Purchase Manager]]=0), 1, 0)</f>
        <v>0</v>
      </c>
      <c r="AO84" s="38"/>
      <c r="AP84" s="38"/>
      <c r="AS84" s="12"/>
    </row>
    <row r="85" spans="2:45" x14ac:dyDescent="0.2">
      <c r="B85" s="18">
        <v>3</v>
      </c>
      <c r="C85" s="13" t="s">
        <v>36</v>
      </c>
      <c r="D85" s="10">
        <f t="shared" si="0"/>
        <v>28</v>
      </c>
      <c r="E85" s="16">
        <f t="shared" si="1"/>
        <v>70</v>
      </c>
      <c r="F85" s="68">
        <f>Table2[[#This Row],[Sales]]*Table2[[#This Row],[Price]]</f>
        <v>1960</v>
      </c>
      <c r="G85" s="10" cm="1">
        <f t="array" ref="G85">GETPIVOTDATA("STOCK_LEVEL", Historical_Stock!$B$5, "PRODUCT", Table8[Product], "STORAGE_LOCATION_ID", Table8[Region], "INVENTORY_DATE", Table2[[#This Row],[Order date]])</f>
        <v>145</v>
      </c>
      <c r="H85" s="18" cm="1">
        <f t="array" ref="H85">IFERROR(GETPIVOTDATA("Quantity", Historical_Stock!$G$465,  "Product", Table8[Product], "Region", Table8[Region], "Date", Table2[[#This Row],[Order date]]), 0)</f>
        <v>0</v>
      </c>
      <c r="I85" s="18" cm="1">
        <f t="array" ref="I85">IFERROR(GETPIVOTDATA("Real Purchase", Historical_Stock!$I$414, "Product", Table8[Product], "Date", Table2[[#This Row],[Order date]]), 0)</f>
        <v>143</v>
      </c>
      <c r="J85" s="18">
        <f>IF(Table2[[#This Row],[Transfer In]]=0, 0, 1)</f>
        <v>0</v>
      </c>
      <c r="K85" s="18">
        <f>IF(Table2[[#This Row],[Purchase]]=0, 0, -1)</f>
        <v>-1</v>
      </c>
      <c r="L85" s="18">
        <f>IF(AND(Table2[[#This Row],[Stock Level]]=Table2[[#This Row],[Sales]], Table2[[#This Row],[Stock Level]]&lt;&gt;0), 1, 0)</f>
        <v>0</v>
      </c>
      <c r="M85" s="18">
        <f>IF(Table2[[#This Row],[Stock Level]]=0, 1, 0)</f>
        <v>0</v>
      </c>
      <c r="N85" s="18">
        <f>1-(Table2[[#This Row],[Inventory shortage]]+Table2[[#This Row],[No Inventory]])</f>
        <v>1</v>
      </c>
      <c r="O85" s="18">
        <f>-Table2[[#This Row],[Inventory shortage]]</f>
        <v>0</v>
      </c>
      <c r="P85" s="18">
        <f>-Table2[[#This Row],[No Inventory]]</f>
        <v>0</v>
      </c>
      <c r="Q85" s="18">
        <f>-Table2[[#This Row],[Normal Inventory]]</f>
        <v>-1</v>
      </c>
      <c r="R85" s="18" cm="1">
        <f t="array" ref="R85">IF(GETPIVOTDATA("STOCK_LEVEL", Historical_Stock!$B$5, "PRODUCT", Table8[Product], "STORAGE_LOCATION_ID", "Main Warehouse", "INVENTORY_DATE", Table2[[#This Row],[Order date]])=0, 1, 0)</f>
        <v>1</v>
      </c>
      <c r="S85" s="18">
        <f>IF(AND(Table2[[#This Row],[No Inventory]]=1, Table2[[#This Row],[No Inventory (MW)]]=1), 1, 0)</f>
        <v>0</v>
      </c>
      <c r="T85" s="18">
        <f>IF(AND(Table2[[#This Row],[No Inventory]]=1, Table2[[#This Row],[Purchase Manager]]=0), 1, 0)</f>
        <v>0</v>
      </c>
      <c r="AO85" s="38"/>
      <c r="AP85" s="38"/>
      <c r="AS85" s="12"/>
    </row>
    <row r="86" spans="2:45" hidden="1" x14ac:dyDescent="0.2">
      <c r="B86" s="18">
        <v>3</v>
      </c>
      <c r="C86" s="13" t="s">
        <v>58</v>
      </c>
      <c r="D86" s="10">
        <f t="shared" si="0"/>
        <v>0</v>
      </c>
      <c r="E86" s="16">
        <f t="shared" si="1"/>
        <v>0</v>
      </c>
      <c r="F86" s="68">
        <f>Table2[[#This Row],[Sales]]*Table2[[#This Row],[Price]]</f>
        <v>0</v>
      </c>
      <c r="G86" s="10" cm="1">
        <f t="array" ref="G86">GETPIVOTDATA("STOCK_LEVEL", Historical_Stock!$B$5, "PRODUCT", Table8[Product], "STORAGE_LOCATION_ID", Table8[Region], "INVENTORY_DATE", Table2[[#This Row],[Order date]])</f>
        <v>117</v>
      </c>
      <c r="H86" s="18" cm="1">
        <f t="array" ref="H86">IFERROR(GETPIVOTDATA("Quantity", Historical_Stock!$G$465,  "Product", Table8[Product], "Area", Table8[Region], "Date", Table2[[#This Row],[Order date]]), 0)</f>
        <v>0</v>
      </c>
      <c r="I86" s="18" cm="1">
        <f t="array" ref="I86">IFERROR(GETPIVOTDATA("Real Purchase", Historical_Stock!$I$414, "Product", Table8[Product], "Date", Table2[[#This Row],[Order date]]), 0)</f>
        <v>0</v>
      </c>
      <c r="J86" s="18">
        <f>IF(Table2[[#This Row],[Transfer In]]=0, 0, 1)</f>
        <v>0</v>
      </c>
      <c r="K86" s="18">
        <f>IF(Table2[[#This Row],[Purchase]]=0, 0, -1)</f>
        <v>0</v>
      </c>
      <c r="L86" s="18">
        <v>0</v>
      </c>
      <c r="M86" s="18">
        <v>0</v>
      </c>
      <c r="N86" s="18">
        <f>1-(Table2[[#This Row],[Inventory shortage]]+Table2[[#This Row],[No Inventory]])</f>
        <v>1</v>
      </c>
      <c r="O86" s="18">
        <f>-Table2[[#This Row],[Inventory shortage]]</f>
        <v>0</v>
      </c>
      <c r="P86" s="18">
        <f>-Table2[[#This Row],[No Inventory]]</f>
        <v>0</v>
      </c>
      <c r="Q86" s="18">
        <f>-Table2[[#This Row],[Normal Inventory]]</f>
        <v>-1</v>
      </c>
      <c r="R86" s="18" cm="1">
        <f t="array" ref="R86">IF(GETPIVOTDATA("STOCK_LEVEL", Historical_Stock!$B$5, "PRODUCT", Table8[Product], "STORAGE_LOCATION_ID", "Main Warehouse", "INVENTORY_DATE", Table2[[#This Row],[Order date]])=0, 1, 0)</f>
        <v>0</v>
      </c>
      <c r="S86" s="18">
        <f>IF(AND(Table2[[#This Row],[Inventory shortage]]=1, Table2[[#This Row],[No Inventory (MW)]]=1), 1, 0)</f>
        <v>0</v>
      </c>
      <c r="T86" s="18">
        <f>IF(AND(Table2[[#This Row],[Normal Inventory]]=0, Table2[[#This Row],[Purchase Manager]]=0), 1, 0)</f>
        <v>0</v>
      </c>
      <c r="AO86" s="38"/>
      <c r="AP86" s="38"/>
      <c r="AS86" s="12"/>
    </row>
    <row r="87" spans="2:45" x14ac:dyDescent="0.2">
      <c r="B87" s="18">
        <v>4</v>
      </c>
      <c r="C87" s="13" t="s">
        <v>37</v>
      </c>
      <c r="D87" s="10">
        <f t="shared" si="0"/>
        <v>0</v>
      </c>
      <c r="E87" s="16">
        <f t="shared" si="1"/>
        <v>0</v>
      </c>
      <c r="F87" s="68">
        <f>Table2[[#This Row],[Sales]]*Table2[[#This Row],[Price]]</f>
        <v>0</v>
      </c>
      <c r="G87" s="10" cm="1">
        <f t="array" ref="G87">GETPIVOTDATA("STOCK_LEVEL", Historical_Stock!$B$5, "PRODUCT", Table8[Product], "STORAGE_LOCATION_ID", Table8[Region], "INVENTORY_DATE", Table2[[#This Row],[Order date]])</f>
        <v>117</v>
      </c>
      <c r="H87" s="18" cm="1">
        <f t="array" ref="H87">IFERROR(GETPIVOTDATA("Quantity", Historical_Stock!$G$465,  "Product", Table8[Product], "Region", Table8[Region], "Date", Table2[[#This Row],[Order date]]), 0)</f>
        <v>0</v>
      </c>
      <c r="I87" s="18" cm="1">
        <f t="array" ref="I87">IFERROR(GETPIVOTDATA("Real Purchase", Historical_Stock!$I$414, "Product", Table8[Product], "Date", Table2[[#This Row],[Order date]]), 0)</f>
        <v>0</v>
      </c>
      <c r="J87" s="18">
        <f>IF(Table2[[#This Row],[Transfer In]]=0, 0, 1)</f>
        <v>0</v>
      </c>
      <c r="K87" s="18">
        <f>IF(Table2[[#This Row],[Purchase]]=0, 0, -1)</f>
        <v>0</v>
      </c>
      <c r="L87" s="18">
        <f>IF(AND(Table2[[#This Row],[Stock Level]]=Table2[[#This Row],[Sales]], Table2[[#This Row],[Stock Level]]&lt;&gt;0), 1, 0)</f>
        <v>0</v>
      </c>
      <c r="M87" s="18">
        <f>IF(Table2[[#This Row],[Stock Level]]=0, 1, 0)</f>
        <v>0</v>
      </c>
      <c r="N87" s="18">
        <f>1-(Table2[[#This Row],[Inventory shortage]]+Table2[[#This Row],[No Inventory]])</f>
        <v>1</v>
      </c>
      <c r="O87" s="18">
        <f>-Table2[[#This Row],[Inventory shortage]]</f>
        <v>0</v>
      </c>
      <c r="P87" s="18">
        <f>-Table2[[#This Row],[No Inventory]]</f>
        <v>0</v>
      </c>
      <c r="Q87" s="18">
        <f>-Table2[[#This Row],[Normal Inventory]]</f>
        <v>-1</v>
      </c>
      <c r="R87" s="18" cm="1">
        <f t="array" ref="R87">IF(GETPIVOTDATA("STOCK_LEVEL", Historical_Stock!$B$5, "PRODUCT", Table8[Product], "STORAGE_LOCATION_ID", "Main Warehouse", "INVENTORY_DATE", Table2[[#This Row],[Order date]])=0, 1, 0)</f>
        <v>0</v>
      </c>
      <c r="S87" s="18">
        <f>IF(AND(Table2[[#This Row],[No Inventory]]=1, Table2[[#This Row],[No Inventory (MW)]]=1), 1, 0)</f>
        <v>0</v>
      </c>
      <c r="T87" s="18">
        <f>IF(AND(Table2[[#This Row],[No Inventory]]=1, Table2[[#This Row],[Purchase Manager]]=0), 1, 0)</f>
        <v>0</v>
      </c>
      <c r="AO87" s="38"/>
      <c r="AP87" s="38"/>
      <c r="AS87" s="12"/>
    </row>
    <row r="88" spans="2:45" x14ac:dyDescent="0.2">
      <c r="B88" s="18">
        <v>4</v>
      </c>
      <c r="C88" s="13" t="s">
        <v>38</v>
      </c>
      <c r="D88" s="10">
        <f t="shared" si="0"/>
        <v>0</v>
      </c>
      <c r="E88" s="16">
        <f t="shared" si="1"/>
        <v>0</v>
      </c>
      <c r="F88" s="68">
        <f>Table2[[#This Row],[Sales]]*Table2[[#This Row],[Price]]</f>
        <v>0</v>
      </c>
      <c r="G88" s="10" cm="1">
        <f t="array" ref="G88">GETPIVOTDATA("STOCK_LEVEL", Historical_Stock!$B$5, "PRODUCT", Table8[Product], "STORAGE_LOCATION_ID", Table8[Region], "INVENTORY_DATE", Table2[[#This Row],[Order date]])</f>
        <v>117</v>
      </c>
      <c r="H88" s="18" cm="1">
        <f t="array" ref="H88">IFERROR(GETPIVOTDATA("Quantity", Historical_Stock!$G$465,  "Product", Table8[Product], "Region", Table8[Region], "Date", Table2[[#This Row],[Order date]]), 0)</f>
        <v>49</v>
      </c>
      <c r="I88" s="18" cm="1">
        <f t="array" ref="I88">IFERROR(GETPIVOTDATA("Real Purchase", Historical_Stock!$I$414, "Product", Table8[Product], "Date", Table2[[#This Row],[Order date]]), 0)</f>
        <v>0</v>
      </c>
      <c r="J88" s="18">
        <f>IF(Table2[[#This Row],[Transfer In]]=0, 0, 1)</f>
        <v>1</v>
      </c>
      <c r="K88" s="18">
        <f>IF(Table2[[#This Row],[Purchase]]=0, 0, -1)</f>
        <v>0</v>
      </c>
      <c r="L88" s="18">
        <f>IF(AND(Table2[[#This Row],[Stock Level]]=Table2[[#This Row],[Sales]], Table2[[#This Row],[Stock Level]]&lt;&gt;0), 1, 0)</f>
        <v>0</v>
      </c>
      <c r="M88" s="18">
        <f>IF(Table2[[#This Row],[Stock Level]]=0, 1, 0)</f>
        <v>0</v>
      </c>
      <c r="N88" s="18">
        <f>1-(Table2[[#This Row],[Inventory shortage]]+Table2[[#This Row],[No Inventory]])</f>
        <v>1</v>
      </c>
      <c r="O88" s="18">
        <f>-Table2[[#This Row],[Inventory shortage]]</f>
        <v>0</v>
      </c>
      <c r="P88" s="18">
        <f>-Table2[[#This Row],[No Inventory]]</f>
        <v>0</v>
      </c>
      <c r="Q88" s="18">
        <f>-Table2[[#This Row],[Normal Inventory]]</f>
        <v>-1</v>
      </c>
      <c r="R88" s="18" cm="1">
        <f t="array" ref="R88">IF(GETPIVOTDATA("STOCK_LEVEL", Historical_Stock!$B$5, "PRODUCT", Table8[Product], "STORAGE_LOCATION_ID", "Main Warehouse", "INVENTORY_DATE", Table2[[#This Row],[Order date]])=0, 1, 0)</f>
        <v>0</v>
      </c>
      <c r="S88" s="18">
        <f>IF(AND(Table2[[#This Row],[No Inventory]]=1, Table2[[#This Row],[No Inventory (MW)]]=1), 1, 0)</f>
        <v>0</v>
      </c>
      <c r="T88" s="18">
        <f>IF(AND(Table2[[#This Row],[No Inventory]]=1, Table2[[#This Row],[Purchase Manager]]=0), 1, 0)</f>
        <v>0</v>
      </c>
      <c r="AO88" s="38"/>
      <c r="AP88" s="38"/>
      <c r="AS88" s="12"/>
    </row>
    <row r="89" spans="2:45" x14ac:dyDescent="0.2">
      <c r="B89" s="18">
        <v>4</v>
      </c>
      <c r="C89" s="13" t="s">
        <v>39</v>
      </c>
      <c r="D89" s="10">
        <f t="shared" si="0"/>
        <v>0</v>
      </c>
      <c r="E89" s="16">
        <f t="shared" si="1"/>
        <v>0</v>
      </c>
      <c r="F89" s="68">
        <f>Table2[[#This Row],[Sales]]*Table2[[#This Row],[Price]]</f>
        <v>0</v>
      </c>
      <c r="G89" s="10" cm="1">
        <f t="array" ref="G89">GETPIVOTDATA("STOCK_LEVEL", Historical_Stock!$B$5, "PRODUCT", Table8[Product], "STORAGE_LOCATION_ID", Table8[Region], "INVENTORY_DATE", Table2[[#This Row],[Order date]])</f>
        <v>166</v>
      </c>
      <c r="H89" s="18" cm="1">
        <f t="array" ref="H89">IFERROR(GETPIVOTDATA("Quantity", Historical_Stock!$G$465,  "Product", Table8[Product], "Region", Table8[Region], "Date", Table2[[#This Row],[Order date]]), 0)</f>
        <v>0</v>
      </c>
      <c r="I89" s="18" cm="1">
        <f t="array" ref="I89">IFERROR(GETPIVOTDATA("Real Purchase", Historical_Stock!$I$414, "Product", Table8[Product], "Date", Table2[[#This Row],[Order date]]), 0)</f>
        <v>0</v>
      </c>
      <c r="J89" s="18">
        <f>IF(Table2[[#This Row],[Transfer In]]=0, 0, 1)</f>
        <v>0</v>
      </c>
      <c r="K89" s="18">
        <f>IF(Table2[[#This Row],[Purchase]]=0, 0, -1)</f>
        <v>0</v>
      </c>
      <c r="L89" s="18">
        <f>IF(AND(Table2[[#This Row],[Stock Level]]=Table2[[#This Row],[Sales]], Table2[[#This Row],[Stock Level]]&lt;&gt;0), 1, 0)</f>
        <v>0</v>
      </c>
      <c r="M89" s="18">
        <f>IF(Table2[[#This Row],[Stock Level]]=0, 1, 0)</f>
        <v>0</v>
      </c>
      <c r="N89" s="18">
        <f>1-(Table2[[#This Row],[Inventory shortage]]+Table2[[#This Row],[No Inventory]])</f>
        <v>1</v>
      </c>
      <c r="O89" s="18">
        <f>-Table2[[#This Row],[Inventory shortage]]</f>
        <v>0</v>
      </c>
      <c r="P89" s="18">
        <f>-Table2[[#This Row],[No Inventory]]</f>
        <v>0</v>
      </c>
      <c r="Q89" s="18">
        <f>-Table2[[#This Row],[Normal Inventory]]</f>
        <v>-1</v>
      </c>
      <c r="R89" s="18" cm="1">
        <f t="array" ref="R89">IF(GETPIVOTDATA("STOCK_LEVEL", Historical_Stock!$B$5, "PRODUCT", Table8[Product], "STORAGE_LOCATION_ID", "Main Warehouse", "INVENTORY_DATE", Table2[[#This Row],[Order date]])=0, 1, 0)</f>
        <v>1</v>
      </c>
      <c r="S89" s="18">
        <f>IF(AND(Table2[[#This Row],[No Inventory]]=1, Table2[[#This Row],[No Inventory (MW)]]=1), 1, 0)</f>
        <v>0</v>
      </c>
      <c r="T89" s="18">
        <f>IF(AND(Table2[[#This Row],[No Inventory]]=1, Table2[[#This Row],[Purchase Manager]]=0), 1, 0)</f>
        <v>0</v>
      </c>
      <c r="AO89" s="38"/>
      <c r="AP89" s="38"/>
      <c r="AS89" s="12"/>
    </row>
    <row r="90" spans="2:45" x14ac:dyDescent="0.2">
      <c r="B90" s="18">
        <v>4</v>
      </c>
      <c r="C90" s="13" t="s">
        <v>40</v>
      </c>
      <c r="D90" s="10">
        <f t="shared" si="0"/>
        <v>0</v>
      </c>
      <c r="E90" s="16">
        <f t="shared" si="1"/>
        <v>0</v>
      </c>
      <c r="F90" s="68">
        <f>Table2[[#This Row],[Sales]]*Table2[[#This Row],[Price]]</f>
        <v>0</v>
      </c>
      <c r="G90" s="10" cm="1">
        <f t="array" ref="G90">GETPIVOTDATA("STOCK_LEVEL", Historical_Stock!$B$5, "PRODUCT", Table8[Product], "STORAGE_LOCATION_ID", Table8[Region], "INVENTORY_DATE", Table2[[#This Row],[Order date]])</f>
        <v>166</v>
      </c>
      <c r="H90" s="18" cm="1">
        <f t="array" ref="H90">IFERROR(GETPIVOTDATA("Quantity", Historical_Stock!$G$465,  "Product", Table8[Product], "Region", Table8[Region], "Date", Table2[[#This Row],[Order date]]), 0)</f>
        <v>0</v>
      </c>
      <c r="I90" s="18" cm="1">
        <f t="array" ref="I90">IFERROR(GETPIVOTDATA("Real Purchase", Historical_Stock!$I$414, "Product", Table8[Product], "Date", Table2[[#This Row],[Order date]]), 0)</f>
        <v>0</v>
      </c>
      <c r="J90" s="18">
        <f>IF(Table2[[#This Row],[Transfer In]]=0, 0, 1)</f>
        <v>0</v>
      </c>
      <c r="K90" s="18">
        <f>IF(Table2[[#This Row],[Purchase]]=0, 0, -1)</f>
        <v>0</v>
      </c>
      <c r="L90" s="18">
        <f>IF(AND(Table2[[#This Row],[Stock Level]]=Table2[[#This Row],[Sales]], Table2[[#This Row],[Stock Level]]&lt;&gt;0), 1, 0)</f>
        <v>0</v>
      </c>
      <c r="M90" s="18">
        <f>IF(Table2[[#This Row],[Stock Level]]=0, 1, 0)</f>
        <v>0</v>
      </c>
      <c r="N90" s="18">
        <f>1-(Table2[[#This Row],[Inventory shortage]]+Table2[[#This Row],[No Inventory]])</f>
        <v>1</v>
      </c>
      <c r="O90" s="18">
        <f>-Table2[[#This Row],[Inventory shortage]]</f>
        <v>0</v>
      </c>
      <c r="P90" s="18">
        <f>-Table2[[#This Row],[No Inventory]]</f>
        <v>0</v>
      </c>
      <c r="Q90" s="18">
        <f>-Table2[[#This Row],[Normal Inventory]]</f>
        <v>-1</v>
      </c>
      <c r="R90" s="18" cm="1">
        <f t="array" ref="R90">IF(GETPIVOTDATA("STOCK_LEVEL", Historical_Stock!$B$5, "PRODUCT", Table8[Product], "STORAGE_LOCATION_ID", "Main Warehouse", "INVENTORY_DATE", Table2[[#This Row],[Order date]])=0, 1, 0)</f>
        <v>1</v>
      </c>
      <c r="S90" s="18">
        <f>IF(AND(Table2[[#This Row],[No Inventory]]=1, Table2[[#This Row],[No Inventory (MW)]]=1), 1, 0)</f>
        <v>0</v>
      </c>
      <c r="T90" s="18">
        <f>IF(AND(Table2[[#This Row],[No Inventory]]=1, Table2[[#This Row],[Purchase Manager]]=0), 1, 0)</f>
        <v>0</v>
      </c>
      <c r="AO90" s="38"/>
      <c r="AP90" s="38"/>
      <c r="AS90" s="12"/>
    </row>
    <row r="91" spans="2:45" x14ac:dyDescent="0.2">
      <c r="B91" s="18">
        <v>4</v>
      </c>
      <c r="C91" s="13" t="s">
        <v>41</v>
      </c>
      <c r="D91" s="10">
        <f t="shared" si="0"/>
        <v>0</v>
      </c>
      <c r="E91" s="16">
        <f t="shared" si="1"/>
        <v>0</v>
      </c>
      <c r="F91" s="68">
        <f>Table2[[#This Row],[Sales]]*Table2[[#This Row],[Price]]</f>
        <v>0</v>
      </c>
      <c r="G91" s="10" cm="1">
        <f t="array" ref="G91">GETPIVOTDATA("STOCK_LEVEL", Historical_Stock!$B$5, "PRODUCT", Table8[Product], "STORAGE_LOCATION_ID", Table8[Region], "INVENTORY_DATE", Table2[[#This Row],[Order date]])</f>
        <v>166</v>
      </c>
      <c r="H91" s="18" cm="1">
        <f t="array" ref="H91">IFERROR(GETPIVOTDATA("Quantity", Historical_Stock!$G$465,  "Product", Table8[Product], "Region", Table8[Region], "Date", Table2[[#This Row],[Order date]]), 0)</f>
        <v>0</v>
      </c>
      <c r="I91" s="18" cm="1">
        <f t="array" ref="I91">IFERROR(GETPIVOTDATA("Real Purchase", Historical_Stock!$I$414, "Product", Table8[Product], "Date", Table2[[#This Row],[Order date]]), 0)</f>
        <v>0</v>
      </c>
      <c r="J91" s="18">
        <f>IF(Table2[[#This Row],[Transfer In]]=0, 0, 1)</f>
        <v>0</v>
      </c>
      <c r="K91" s="18">
        <f>IF(Table2[[#This Row],[Purchase]]=0, 0, -1)</f>
        <v>0</v>
      </c>
      <c r="L91" s="18">
        <f>IF(AND(Table2[[#This Row],[Stock Level]]=Table2[[#This Row],[Sales]], Table2[[#This Row],[Stock Level]]&lt;&gt;0), 1, 0)</f>
        <v>0</v>
      </c>
      <c r="M91" s="18">
        <f>IF(Table2[[#This Row],[Stock Level]]=0, 1, 0)</f>
        <v>0</v>
      </c>
      <c r="N91" s="18">
        <f>1-(Table2[[#This Row],[Inventory shortage]]+Table2[[#This Row],[No Inventory]])</f>
        <v>1</v>
      </c>
      <c r="O91" s="18">
        <f>-Table2[[#This Row],[Inventory shortage]]</f>
        <v>0</v>
      </c>
      <c r="P91" s="18">
        <f>-Table2[[#This Row],[No Inventory]]</f>
        <v>0</v>
      </c>
      <c r="Q91" s="18">
        <f>-Table2[[#This Row],[Normal Inventory]]</f>
        <v>-1</v>
      </c>
      <c r="R91" s="18" cm="1">
        <f t="array" ref="R91">IF(GETPIVOTDATA("STOCK_LEVEL", Historical_Stock!$B$5, "PRODUCT", Table8[Product], "STORAGE_LOCATION_ID", "Main Warehouse", "INVENTORY_DATE", Table2[[#This Row],[Order date]])=0, 1, 0)</f>
        <v>1</v>
      </c>
      <c r="S91" s="18">
        <f>IF(AND(Table2[[#This Row],[No Inventory]]=1, Table2[[#This Row],[No Inventory (MW)]]=1), 1, 0)</f>
        <v>0</v>
      </c>
      <c r="T91" s="18">
        <f>IF(AND(Table2[[#This Row],[No Inventory]]=1, Table2[[#This Row],[Purchase Manager]]=0), 1, 0)</f>
        <v>0</v>
      </c>
      <c r="AO91" s="38"/>
      <c r="AP91" s="38"/>
      <c r="AS91" s="12"/>
    </row>
    <row r="92" spans="2:45" x14ac:dyDescent="0.2">
      <c r="B92" s="18">
        <v>4</v>
      </c>
      <c r="C92" s="13" t="s">
        <v>42</v>
      </c>
      <c r="D92" s="10">
        <f t="shared" si="0"/>
        <v>0</v>
      </c>
      <c r="E92" s="16">
        <f t="shared" si="1"/>
        <v>0</v>
      </c>
      <c r="F92" s="68">
        <f>Table2[[#This Row],[Sales]]*Table2[[#This Row],[Price]]</f>
        <v>0</v>
      </c>
      <c r="G92" s="10" cm="1">
        <f t="array" ref="G92">GETPIVOTDATA("STOCK_LEVEL", Historical_Stock!$B$5, "PRODUCT", Table8[Product], "STORAGE_LOCATION_ID", Table8[Region], "INVENTORY_DATE", Table2[[#This Row],[Order date]])</f>
        <v>166</v>
      </c>
      <c r="H92" s="18" cm="1">
        <f t="array" ref="H92">IFERROR(GETPIVOTDATA("Quantity", Historical_Stock!$G$465,  "Product", Table8[Product], "Region", Table8[Region], "Date", Table2[[#This Row],[Order date]]), 0)</f>
        <v>0</v>
      </c>
      <c r="I92" s="18" cm="1">
        <f t="array" ref="I92">IFERROR(GETPIVOTDATA("Real Purchase", Historical_Stock!$I$414, "Product", Table8[Product], "Date", Table2[[#This Row],[Order date]]), 0)</f>
        <v>0</v>
      </c>
      <c r="J92" s="18">
        <f>IF(Table2[[#This Row],[Transfer In]]=0, 0, 1)</f>
        <v>0</v>
      </c>
      <c r="K92" s="18">
        <f>IF(Table2[[#This Row],[Purchase]]=0, 0, -1)</f>
        <v>0</v>
      </c>
      <c r="L92" s="18">
        <f>IF(AND(Table2[[#This Row],[Stock Level]]=Table2[[#This Row],[Sales]], Table2[[#This Row],[Stock Level]]&lt;&gt;0), 1, 0)</f>
        <v>0</v>
      </c>
      <c r="M92" s="18">
        <f>IF(Table2[[#This Row],[Stock Level]]=0, 1, 0)</f>
        <v>0</v>
      </c>
      <c r="N92" s="18">
        <f>1-(Table2[[#This Row],[Inventory shortage]]+Table2[[#This Row],[No Inventory]])</f>
        <v>1</v>
      </c>
      <c r="O92" s="18">
        <f>-Table2[[#This Row],[Inventory shortage]]</f>
        <v>0</v>
      </c>
      <c r="P92" s="18">
        <f>-Table2[[#This Row],[No Inventory]]</f>
        <v>0</v>
      </c>
      <c r="Q92" s="18">
        <f>-Table2[[#This Row],[Normal Inventory]]</f>
        <v>-1</v>
      </c>
      <c r="R92" s="18" cm="1">
        <f t="array" ref="R92">IF(GETPIVOTDATA("STOCK_LEVEL", Historical_Stock!$B$5, "PRODUCT", Table8[Product], "STORAGE_LOCATION_ID", "Main Warehouse", "INVENTORY_DATE", Table2[[#This Row],[Order date]])=0, 1, 0)</f>
        <v>1</v>
      </c>
      <c r="S92" s="18">
        <f>IF(AND(Table2[[#This Row],[No Inventory]]=1, Table2[[#This Row],[No Inventory (MW)]]=1), 1, 0)</f>
        <v>0</v>
      </c>
      <c r="T92" s="18">
        <f>IF(AND(Table2[[#This Row],[No Inventory]]=1, Table2[[#This Row],[Purchase Manager]]=0), 1, 0)</f>
        <v>0</v>
      </c>
      <c r="AO92" s="38"/>
      <c r="AP92" s="38"/>
      <c r="AS92" s="12"/>
    </row>
    <row r="93" spans="2:45" x14ac:dyDescent="0.2">
      <c r="B93" s="18">
        <v>4</v>
      </c>
      <c r="C93" s="13" t="s">
        <v>43</v>
      </c>
      <c r="D93" s="10">
        <f t="shared" si="0"/>
        <v>0</v>
      </c>
      <c r="E93" s="16">
        <f t="shared" si="1"/>
        <v>0</v>
      </c>
      <c r="F93" s="68">
        <f>Table2[[#This Row],[Sales]]*Table2[[#This Row],[Price]]</f>
        <v>0</v>
      </c>
      <c r="G93" s="10" cm="1">
        <f t="array" ref="G93">GETPIVOTDATA("STOCK_LEVEL", Historical_Stock!$B$5, "PRODUCT", Table8[Product], "STORAGE_LOCATION_ID", Table8[Region], "INVENTORY_DATE", Table2[[#This Row],[Order date]])</f>
        <v>166</v>
      </c>
      <c r="H93" s="18" cm="1">
        <f t="array" ref="H93">IFERROR(GETPIVOTDATA("Quantity", Historical_Stock!$G$465,  "Product", Table8[Product], "Region", Table8[Region], "Date", Table2[[#This Row],[Order date]]), 0)</f>
        <v>0</v>
      </c>
      <c r="I93" s="18" cm="1">
        <f t="array" ref="I93">IFERROR(GETPIVOTDATA("Real Purchase", Historical_Stock!$I$414, "Product", Table8[Product], "Date", Table2[[#This Row],[Order date]]), 0)</f>
        <v>0</v>
      </c>
      <c r="J93" s="18">
        <f>IF(Table2[[#This Row],[Transfer In]]=0, 0, 1)</f>
        <v>0</v>
      </c>
      <c r="K93" s="18">
        <f>IF(Table2[[#This Row],[Purchase]]=0, 0, -1)</f>
        <v>0</v>
      </c>
      <c r="L93" s="18">
        <f>IF(AND(Table2[[#This Row],[Stock Level]]=Table2[[#This Row],[Sales]], Table2[[#This Row],[Stock Level]]&lt;&gt;0), 1, 0)</f>
        <v>0</v>
      </c>
      <c r="M93" s="18">
        <f>IF(Table2[[#This Row],[Stock Level]]=0, 1, 0)</f>
        <v>0</v>
      </c>
      <c r="N93" s="18">
        <f>1-(Table2[[#This Row],[Inventory shortage]]+Table2[[#This Row],[No Inventory]])</f>
        <v>1</v>
      </c>
      <c r="O93" s="18">
        <f>-Table2[[#This Row],[Inventory shortage]]</f>
        <v>0</v>
      </c>
      <c r="P93" s="18">
        <f>-Table2[[#This Row],[No Inventory]]</f>
        <v>0</v>
      </c>
      <c r="Q93" s="18">
        <f>-Table2[[#This Row],[Normal Inventory]]</f>
        <v>-1</v>
      </c>
      <c r="R93" s="18" cm="1">
        <f t="array" ref="R93">IF(GETPIVOTDATA("STOCK_LEVEL", Historical_Stock!$B$5, "PRODUCT", Table8[Product], "STORAGE_LOCATION_ID", "Main Warehouse", "INVENTORY_DATE", Table2[[#This Row],[Order date]])=0, 1, 0)</f>
        <v>1</v>
      </c>
      <c r="S93" s="18">
        <f>IF(AND(Table2[[#This Row],[No Inventory]]=1, Table2[[#This Row],[No Inventory (MW)]]=1), 1, 0)</f>
        <v>0</v>
      </c>
      <c r="T93" s="18">
        <f>IF(AND(Table2[[#This Row],[No Inventory]]=1, Table2[[#This Row],[Purchase Manager]]=0), 1, 0)</f>
        <v>0</v>
      </c>
      <c r="AO93" s="38"/>
      <c r="AP93" s="38"/>
      <c r="AS93" s="12"/>
    </row>
    <row r="94" spans="2:45" x14ac:dyDescent="0.2">
      <c r="B94" s="18">
        <v>4</v>
      </c>
      <c r="C94" s="13" t="s">
        <v>44</v>
      </c>
      <c r="D94" s="10">
        <f t="shared" si="0"/>
        <v>27</v>
      </c>
      <c r="E94" s="16">
        <f t="shared" si="1"/>
        <v>73</v>
      </c>
      <c r="F94" s="68">
        <f>Table2[[#This Row],[Sales]]*Table2[[#This Row],[Price]]</f>
        <v>1971</v>
      </c>
      <c r="G94" s="10" cm="1">
        <f t="array" ref="G94">GETPIVOTDATA("STOCK_LEVEL", Historical_Stock!$B$5, "PRODUCT", Table8[Product], "STORAGE_LOCATION_ID", Table8[Region], "INVENTORY_DATE", Table2[[#This Row],[Order date]])</f>
        <v>166</v>
      </c>
      <c r="H94" s="18" cm="1">
        <f t="array" ref="H94">IFERROR(GETPIVOTDATA("Quantity", Historical_Stock!$G$465,  "Product", Table8[Product], "Region", Table8[Region], "Date", Table2[[#This Row],[Order date]]), 0)</f>
        <v>0</v>
      </c>
      <c r="I94" s="18" cm="1">
        <f t="array" ref="I94">IFERROR(GETPIVOTDATA("Real Purchase", Historical_Stock!$I$414, "Product", Table8[Product], "Date", Table2[[#This Row],[Order date]]), 0)</f>
        <v>202</v>
      </c>
      <c r="J94" s="18">
        <f>IF(Table2[[#This Row],[Transfer In]]=0, 0, 1)</f>
        <v>0</v>
      </c>
      <c r="K94" s="18">
        <f>IF(Table2[[#This Row],[Purchase]]=0, 0, -1)</f>
        <v>-1</v>
      </c>
      <c r="L94" s="18">
        <f>IF(AND(Table2[[#This Row],[Stock Level]]=Table2[[#This Row],[Sales]], Table2[[#This Row],[Stock Level]]&lt;&gt;0), 1, 0)</f>
        <v>0</v>
      </c>
      <c r="M94" s="18">
        <f>IF(Table2[[#This Row],[Stock Level]]=0, 1, 0)</f>
        <v>0</v>
      </c>
      <c r="N94" s="18">
        <f>1-(Table2[[#This Row],[Inventory shortage]]+Table2[[#This Row],[No Inventory]])</f>
        <v>1</v>
      </c>
      <c r="O94" s="18">
        <f>-Table2[[#This Row],[Inventory shortage]]</f>
        <v>0</v>
      </c>
      <c r="P94" s="18">
        <f>-Table2[[#This Row],[No Inventory]]</f>
        <v>0</v>
      </c>
      <c r="Q94" s="18">
        <f>-Table2[[#This Row],[Normal Inventory]]</f>
        <v>-1</v>
      </c>
      <c r="R94" s="18" cm="1">
        <f t="array" ref="R94">IF(GETPIVOTDATA("STOCK_LEVEL", Historical_Stock!$B$5, "PRODUCT", Table8[Product], "STORAGE_LOCATION_ID", "Main Warehouse", "INVENTORY_DATE", Table2[[#This Row],[Order date]])=0, 1, 0)</f>
        <v>1</v>
      </c>
      <c r="S94" s="18">
        <f>IF(AND(Table2[[#This Row],[No Inventory]]=1, Table2[[#This Row],[No Inventory (MW)]]=1), 1, 0)</f>
        <v>0</v>
      </c>
      <c r="T94" s="18">
        <f>IF(AND(Table2[[#This Row],[No Inventory]]=1, Table2[[#This Row],[Purchase Manager]]=0), 1, 0)</f>
        <v>0</v>
      </c>
      <c r="AO94" s="38"/>
      <c r="AP94" s="38"/>
      <c r="AS94" s="12"/>
    </row>
    <row r="95" spans="2:45" x14ac:dyDescent="0.2">
      <c r="B95" s="18">
        <v>4</v>
      </c>
      <c r="C95" s="13" t="s">
        <v>45</v>
      </c>
      <c r="D95" s="10">
        <f t="shared" si="0"/>
        <v>0</v>
      </c>
      <c r="E95" s="16">
        <f t="shared" si="1"/>
        <v>0</v>
      </c>
      <c r="F95" s="68">
        <f>Table2[[#This Row],[Sales]]*Table2[[#This Row],[Price]]</f>
        <v>0</v>
      </c>
      <c r="G95" s="10" cm="1">
        <f t="array" ref="G95">GETPIVOTDATA("STOCK_LEVEL", Historical_Stock!$B$5, "PRODUCT", Table8[Product], "STORAGE_LOCATION_ID", Table8[Region], "INVENTORY_DATE", Table2[[#This Row],[Order date]])</f>
        <v>139</v>
      </c>
      <c r="H95" s="18" cm="1">
        <f t="array" ref="H95">IFERROR(GETPIVOTDATA("Quantity", Historical_Stock!$G$465,  "Product", Table8[Product], "Region", Table8[Region], "Date", Table2[[#This Row],[Order date]]), 0)</f>
        <v>0</v>
      </c>
      <c r="I95" s="18" cm="1">
        <f t="array" ref="I95">IFERROR(GETPIVOTDATA("Real Purchase", Historical_Stock!$I$414, "Product", Table8[Product], "Date", Table2[[#This Row],[Order date]]), 0)</f>
        <v>0</v>
      </c>
      <c r="J95" s="18">
        <f>IF(Table2[[#This Row],[Transfer In]]=0, 0, 1)</f>
        <v>0</v>
      </c>
      <c r="K95" s="18">
        <f>IF(Table2[[#This Row],[Purchase]]=0, 0, -1)</f>
        <v>0</v>
      </c>
      <c r="L95" s="18">
        <f>IF(AND(Table2[[#This Row],[Stock Level]]=Table2[[#This Row],[Sales]], Table2[[#This Row],[Stock Level]]&lt;&gt;0), 1, 0)</f>
        <v>0</v>
      </c>
      <c r="M95" s="18">
        <f>IF(Table2[[#This Row],[Stock Level]]=0, 1, 0)</f>
        <v>0</v>
      </c>
      <c r="N95" s="18">
        <f>1-(Table2[[#This Row],[Inventory shortage]]+Table2[[#This Row],[No Inventory]])</f>
        <v>1</v>
      </c>
      <c r="O95" s="18">
        <f>-Table2[[#This Row],[Inventory shortage]]</f>
        <v>0</v>
      </c>
      <c r="P95" s="18">
        <f>-Table2[[#This Row],[No Inventory]]</f>
        <v>0</v>
      </c>
      <c r="Q95" s="18">
        <f>-Table2[[#This Row],[Normal Inventory]]</f>
        <v>-1</v>
      </c>
      <c r="R95" s="18" cm="1">
        <f t="array" ref="R95">IF(GETPIVOTDATA("STOCK_LEVEL", Historical_Stock!$B$5, "PRODUCT", Table8[Product], "STORAGE_LOCATION_ID", "Main Warehouse", "INVENTORY_DATE", Table2[[#This Row],[Order date]])=0, 1, 0)</f>
        <v>0</v>
      </c>
      <c r="S95" s="18">
        <f>IF(AND(Table2[[#This Row],[No Inventory]]=1, Table2[[#This Row],[No Inventory (MW)]]=1), 1, 0)</f>
        <v>0</v>
      </c>
      <c r="T95" s="18">
        <f>IF(AND(Table2[[#This Row],[No Inventory]]=1, Table2[[#This Row],[Purchase Manager]]=0), 1, 0)</f>
        <v>0</v>
      </c>
      <c r="AO95" s="38"/>
      <c r="AP95" s="38"/>
      <c r="AS95" s="12"/>
    </row>
    <row r="96" spans="2:45" x14ac:dyDescent="0.2">
      <c r="B96" s="18">
        <v>4</v>
      </c>
      <c r="C96" s="13" t="s">
        <v>46</v>
      </c>
      <c r="D96" s="10">
        <f t="shared" si="0"/>
        <v>27</v>
      </c>
      <c r="E96" s="16">
        <f t="shared" si="1"/>
        <v>74</v>
      </c>
      <c r="F96" s="68">
        <f>Table2[[#This Row],[Sales]]*Table2[[#This Row],[Price]]</f>
        <v>1998</v>
      </c>
      <c r="G96" s="10" cm="1">
        <f t="array" ref="G96">GETPIVOTDATA("STOCK_LEVEL", Historical_Stock!$B$5, "PRODUCT", Table8[Product], "STORAGE_LOCATION_ID", Table8[Region], "INVENTORY_DATE", Table2[[#This Row],[Order date]])</f>
        <v>139</v>
      </c>
      <c r="H96" s="18" cm="1">
        <f t="array" ref="H96">IFERROR(GETPIVOTDATA("Quantity", Historical_Stock!$G$465,  "Product", Table8[Product], "Region", Table8[Region], "Date", Table2[[#This Row],[Order date]]), 0)</f>
        <v>0</v>
      </c>
      <c r="I96" s="18" cm="1">
        <f t="array" ref="I96">IFERROR(GETPIVOTDATA("Real Purchase", Historical_Stock!$I$414, "Product", Table8[Product], "Date", Table2[[#This Row],[Order date]]), 0)</f>
        <v>0</v>
      </c>
      <c r="J96" s="18">
        <f>IF(Table2[[#This Row],[Transfer In]]=0, 0, 1)</f>
        <v>0</v>
      </c>
      <c r="K96" s="18">
        <f>IF(Table2[[#This Row],[Purchase]]=0, 0, -1)</f>
        <v>0</v>
      </c>
      <c r="L96" s="18">
        <f>IF(AND(Table2[[#This Row],[Stock Level]]=Table2[[#This Row],[Sales]], Table2[[#This Row],[Stock Level]]&lt;&gt;0), 1, 0)</f>
        <v>0</v>
      </c>
      <c r="M96" s="18">
        <f>IF(Table2[[#This Row],[Stock Level]]=0, 1, 0)</f>
        <v>0</v>
      </c>
      <c r="N96" s="18">
        <f>1-(Table2[[#This Row],[Inventory shortage]]+Table2[[#This Row],[No Inventory]])</f>
        <v>1</v>
      </c>
      <c r="O96" s="18">
        <f>-Table2[[#This Row],[Inventory shortage]]</f>
        <v>0</v>
      </c>
      <c r="P96" s="18">
        <f>-Table2[[#This Row],[No Inventory]]</f>
        <v>0</v>
      </c>
      <c r="Q96" s="18">
        <f>-Table2[[#This Row],[Normal Inventory]]</f>
        <v>-1</v>
      </c>
      <c r="R96" s="18" cm="1">
        <f t="array" ref="R96">IF(GETPIVOTDATA("STOCK_LEVEL", Historical_Stock!$B$5, "PRODUCT", Table8[Product], "STORAGE_LOCATION_ID", "Main Warehouse", "INVENTORY_DATE", Table2[[#This Row],[Order date]])=0, 1, 0)</f>
        <v>0</v>
      </c>
      <c r="S96" s="18">
        <f>IF(AND(Table2[[#This Row],[No Inventory]]=1, Table2[[#This Row],[No Inventory (MW)]]=1), 1, 0)</f>
        <v>0</v>
      </c>
      <c r="T96" s="18">
        <f>IF(AND(Table2[[#This Row],[No Inventory]]=1, Table2[[#This Row],[Purchase Manager]]=0), 1, 0)</f>
        <v>0</v>
      </c>
      <c r="AO96" s="38"/>
      <c r="AP96" s="38"/>
      <c r="AS96" s="12"/>
    </row>
    <row r="97" spans="2:45" hidden="1" x14ac:dyDescent="0.2">
      <c r="B97" s="18">
        <v>4</v>
      </c>
      <c r="C97" s="13" t="s">
        <v>59</v>
      </c>
      <c r="D97" s="10">
        <f t="shared" si="0"/>
        <v>0</v>
      </c>
      <c r="E97" s="16">
        <f t="shared" si="1"/>
        <v>0</v>
      </c>
      <c r="F97" s="68">
        <f>Table2[[#This Row],[Sales]]*Table2[[#This Row],[Price]]</f>
        <v>0</v>
      </c>
      <c r="G97" s="10" cm="1">
        <f t="array" ref="G97">GETPIVOTDATA("STOCK_LEVEL", Historical_Stock!$B$5, "PRODUCT", Table8[Product], "STORAGE_LOCATION_ID", Table8[Region], "INVENTORY_DATE", Table2[[#This Row],[Order date]])</f>
        <v>112</v>
      </c>
      <c r="H97" s="18" cm="1">
        <f t="array" ref="H97">IFERROR(GETPIVOTDATA("Quantity", Historical_Stock!$G$465,  "Product", Table8[Product], "Area", Table8[Region], "Date", Table2[[#This Row],[Order date]]), 0)</f>
        <v>0</v>
      </c>
      <c r="I97" s="18" cm="1">
        <f t="array" ref="I97">IFERROR(GETPIVOTDATA("Real Purchase", Historical_Stock!$I$414, "Product", Table8[Product], "Date", Table2[[#This Row],[Order date]]), 0)</f>
        <v>0</v>
      </c>
      <c r="J97" s="18">
        <f>IF(Table2[[#This Row],[Transfer In]]=0, 0, 1)</f>
        <v>0</v>
      </c>
      <c r="K97" s="18">
        <f>IF(Table2[[#This Row],[Purchase]]=0, 0, -1)</f>
        <v>0</v>
      </c>
      <c r="L97" s="18">
        <v>0</v>
      </c>
      <c r="M97" s="18">
        <v>0</v>
      </c>
      <c r="N97" s="18">
        <f>1-(Table2[[#This Row],[Inventory shortage]]+Table2[[#This Row],[No Inventory]])</f>
        <v>1</v>
      </c>
      <c r="O97" s="18">
        <f>-Table2[[#This Row],[Inventory shortage]]</f>
        <v>0</v>
      </c>
      <c r="P97" s="18">
        <f>-Table2[[#This Row],[No Inventory]]</f>
        <v>0</v>
      </c>
      <c r="Q97" s="18">
        <f>-Table2[[#This Row],[Normal Inventory]]</f>
        <v>-1</v>
      </c>
      <c r="R97" s="18" cm="1">
        <f t="array" ref="R97">IF(GETPIVOTDATA("STOCK_LEVEL", Historical_Stock!$B$5, "PRODUCT", Table8[Product], "STORAGE_LOCATION_ID", "Main Warehouse", "INVENTORY_DATE", Table2[[#This Row],[Order date]])=0, 1, 0)</f>
        <v>0</v>
      </c>
      <c r="S97" s="18">
        <f>IF(AND(Table2[[#This Row],[Inventory shortage]]=1, Table2[[#This Row],[No Inventory (MW)]]=1), 1, 0)</f>
        <v>0</v>
      </c>
      <c r="T97" s="18">
        <f>IF(AND(Table2[[#This Row],[Normal Inventory]]=0, Table2[[#This Row],[Purchase Manager]]=0), 1, 0)</f>
        <v>0</v>
      </c>
      <c r="AO97" s="38"/>
      <c r="AP97" s="38"/>
      <c r="AS97" s="12"/>
    </row>
    <row r="98" spans="2:45" x14ac:dyDescent="0.2">
      <c r="C98" s="2" t="s">
        <v>91</v>
      </c>
      <c r="D98" s="9">
        <f>SUBTOTAL(109,Table2[Sales])</f>
        <v>530</v>
      </c>
      <c r="E98" s="17" cm="1">
        <f t="array" ref="E98">AVERAGE(IF(E54:E97&lt;&gt;0, E54:E97))</f>
        <v>68.459374999999994</v>
      </c>
      <c r="F98" s="139">
        <f>SUM(Table2[Revenue])/COUNTIF(Table2[Revenue], "&lt;&gt;0")</f>
        <v>2266.328125</v>
      </c>
      <c r="G98">
        <f>COUNTIF(Table2[Revenue], "&lt;&gt;0")</f>
        <v>16</v>
      </c>
      <c r="H98" s="11"/>
      <c r="I98" s="11"/>
      <c r="J98" s="11">
        <f>SUBTOTAL(109,Table2[Transfer (Dummy)])</f>
        <v>9</v>
      </c>
      <c r="K98" s="11">
        <f>-SUBTOTAL(109,Table2[Purchase (Dummy)])</f>
        <v>6</v>
      </c>
      <c r="L98" s="11">
        <f>SUBTOTAL(109,Table2[Inventory shortage])</f>
        <v>0</v>
      </c>
      <c r="M98" s="11">
        <f>SUBTOTAL(109,Table2[No Inventory])</f>
        <v>0</v>
      </c>
      <c r="N98" s="11">
        <f>SUBTOTAL(109,Table2[Normal Inventory])</f>
        <v>40</v>
      </c>
      <c r="O98" s="11"/>
      <c r="P98" s="11"/>
      <c r="Q98" s="11"/>
      <c r="R98" s="11">
        <f>SUBTOTAL(109,Table2[No Inventory (MW)])</f>
        <v>15</v>
      </c>
      <c r="S98" s="11">
        <f>SUBTOTAL(109,Table2[Purchase Manager])</f>
        <v>0</v>
      </c>
      <c r="T98" s="11">
        <f>SUBTOTAL(109,Table2[Logistics Manager])</f>
        <v>0</v>
      </c>
      <c r="AO98" s="38"/>
      <c r="AP98" s="38"/>
      <c r="AS98" s="12"/>
    </row>
    <row r="99" spans="2:45" x14ac:dyDescent="0.2">
      <c r="E99" s="6"/>
      <c r="F99" s="64"/>
      <c r="AM99" s="38"/>
      <c r="AN99" s="38"/>
      <c r="AO99" s="12"/>
    </row>
    <row r="100" spans="2:45" x14ac:dyDescent="0.2">
      <c r="E100" s="6"/>
      <c r="K100" s="56">
        <f>Table2[[#Totals],[Transfer (Dummy)]]/Table2[[#Totals],[Purchase (Dummy)]]</f>
        <v>1.5</v>
      </c>
      <c r="AM100" s="38"/>
      <c r="AN100" s="38"/>
      <c r="AO100" s="12"/>
    </row>
    <row r="103" spans="2:45" x14ac:dyDescent="0.2">
      <c r="B103" t="s">
        <v>93</v>
      </c>
      <c r="C103" t="s">
        <v>52</v>
      </c>
      <c r="D103" t="s">
        <v>51</v>
      </c>
      <c r="E103" t="s">
        <v>141</v>
      </c>
      <c r="F103" s="65" t="s">
        <v>142</v>
      </c>
      <c r="G103" t="s">
        <v>143</v>
      </c>
      <c r="I103" t="s">
        <v>208</v>
      </c>
      <c r="J103" t="s">
        <v>209</v>
      </c>
      <c r="K103" t="s">
        <v>201</v>
      </c>
      <c r="L103" t="s">
        <v>210</v>
      </c>
      <c r="N103" t="s">
        <v>243</v>
      </c>
      <c r="O103">
        <f>Table16[[#Totals],[Minimum price]]</f>
        <v>65.87</v>
      </c>
    </row>
    <row r="104" spans="2:45" x14ac:dyDescent="0.2">
      <c r="B104" s="14" t="e">
        <f t="shared" ref="B104:B147" si="2">IFERROR(C104*D104, NA())</f>
        <v>#N/A</v>
      </c>
      <c r="C104" s="40" t="e">
        <f t="shared" ref="C104:C122" si="3">IF(OR(E54=0, L54=1), NA(), E54)</f>
        <v>#N/A</v>
      </c>
      <c r="D104" s="9" t="e">
        <f t="shared" ref="D104:D122" si="4">IF(OR(D54=0, L54=1), NA(), D54)</f>
        <v>#N/A</v>
      </c>
      <c r="E104" s="14" t="e" cm="1">
        <f t="array" ref="E104">IF(MAX(IF(ISNUMBER(Table1[Revenue]), Table1[Revenue]))=Table1[[#This Row],[Revenue]], Table1[[#This Row],[Revenue]], NA())</f>
        <v>#N/A</v>
      </c>
      <c r="F104" s="69" t="e">
        <f>VLOOKUP(E104, Table1[], 2, 0)</f>
        <v>#N/A</v>
      </c>
      <c r="G104" s="39" t="e">
        <f>VLOOKUP(E104, Table1[], 3, 0)</f>
        <v>#N/A</v>
      </c>
      <c r="I104" cm="1">
        <f t="array" ref="I104">MIN(IF(ISNUMBER(Table1[Price]),Table1[Price]))</f>
        <v>65.87</v>
      </c>
      <c r="J104" t="str">
        <f t="shared" ref="J104:J147" si="5">IFERROR(VLOOKUP($I$104, C104:D104, 2, 0), "")</f>
        <v/>
      </c>
      <c r="K104" cm="1">
        <f t="array" ref="K104">MAX(IF(ISNUMBER(Table1[Price]),Table1[Price]))</f>
        <v>74</v>
      </c>
      <c r="L104" t="str">
        <f t="shared" ref="L104:L147" si="6">IFERROR(VLOOKUP($K$104, C104:D104, 2, 0), "")</f>
        <v/>
      </c>
      <c r="N104" t="s">
        <v>211</v>
      </c>
      <c r="O104">
        <f>Table16[[#Totals],[Maximum price]]</f>
        <v>74</v>
      </c>
    </row>
    <row r="105" spans="2:45" x14ac:dyDescent="0.2">
      <c r="B105" s="14" t="e">
        <f t="shared" si="2"/>
        <v>#N/A</v>
      </c>
      <c r="C105" s="40" t="e">
        <f t="shared" si="3"/>
        <v>#N/A</v>
      </c>
      <c r="D105" s="9" t="e">
        <f t="shared" si="4"/>
        <v>#N/A</v>
      </c>
      <c r="E105" s="14" t="e" cm="1">
        <f t="array" ref="E105">IF(MAX(IF(ISNUMBER(Table1[Revenue]), Table1[Revenue]))=Table1[[#This Row],[Revenue]], Table1[[#This Row],[Revenue]], NA())</f>
        <v>#N/A</v>
      </c>
      <c r="F105" s="69" t="e">
        <f>VLOOKUP(E105, Table1[], 2, 0)</f>
        <v>#N/A</v>
      </c>
      <c r="G105" s="39" t="e">
        <f>VLOOKUP(E105, Table1[], 3, 0)</f>
        <v>#N/A</v>
      </c>
      <c r="J105" t="str">
        <f t="shared" si="5"/>
        <v/>
      </c>
      <c r="L105" t="str">
        <f t="shared" si="6"/>
        <v/>
      </c>
      <c r="N105" t="s">
        <v>244</v>
      </c>
      <c r="O105">
        <f>Table16[[#Totals],[Minimum price -corresponding sales]]</f>
        <v>35</v>
      </c>
    </row>
    <row r="106" spans="2:45" x14ac:dyDescent="0.2">
      <c r="B106" s="14">
        <f t="shared" si="2"/>
        <v>658.7</v>
      </c>
      <c r="C106" s="40">
        <f t="shared" si="3"/>
        <v>65.87</v>
      </c>
      <c r="D106" s="9">
        <f t="shared" si="4"/>
        <v>10</v>
      </c>
      <c r="E106" s="14" t="e" cm="1">
        <f t="array" ref="E106">IF(MAX(IF(ISNUMBER(Table1[Revenue]), Table1[Revenue]))=Table1[[#This Row],[Revenue]], Table1[[#This Row],[Revenue]], NA())</f>
        <v>#N/A</v>
      </c>
      <c r="F106" s="69" t="e">
        <f>VLOOKUP(E106, Table1[], 2, 0)</f>
        <v>#N/A</v>
      </c>
      <c r="G106" s="39" t="e">
        <f>VLOOKUP(E106, Table1[], 3, 0)</f>
        <v>#N/A</v>
      </c>
      <c r="J106">
        <f t="shared" si="5"/>
        <v>10</v>
      </c>
      <c r="L106" t="str">
        <f t="shared" si="6"/>
        <v/>
      </c>
      <c r="N106" t="s">
        <v>212</v>
      </c>
      <c r="O106">
        <f>Table16[[#Totals],[Maximum price - corresponding sales]]</f>
        <v>27</v>
      </c>
    </row>
    <row r="107" spans="2:45" x14ac:dyDescent="0.2">
      <c r="B107" s="14">
        <f t="shared" si="2"/>
        <v>3820.46</v>
      </c>
      <c r="C107" s="40">
        <f t="shared" si="3"/>
        <v>65.87</v>
      </c>
      <c r="D107" s="9">
        <f t="shared" si="4"/>
        <v>58</v>
      </c>
      <c r="E107" s="10" t="e" cm="1">
        <f t="array" ref="E107">IF(MAX(IF(ISNUMBER(Table1[Revenue]), Table1[Revenue]))=Table1[[#This Row],[Revenue]], Table1[[#This Row],[Revenue]], NA())</f>
        <v>#N/A</v>
      </c>
      <c r="F107" s="69" t="e">
        <f>VLOOKUP(E107, Table1[], 2, 0)</f>
        <v>#N/A</v>
      </c>
      <c r="G107" s="39" t="e">
        <f>VLOOKUP(E107, Table1[], 3, 0)</f>
        <v>#N/A</v>
      </c>
      <c r="J107">
        <f t="shared" si="5"/>
        <v>58</v>
      </c>
      <c r="L107" t="str">
        <f t="shared" si="6"/>
        <v/>
      </c>
      <c r="N107" t="s">
        <v>214</v>
      </c>
      <c r="O107">
        <f>O105+O106</f>
        <v>62</v>
      </c>
    </row>
    <row r="108" spans="2:45" x14ac:dyDescent="0.2">
      <c r="B108" s="14" t="e">
        <f t="shared" si="2"/>
        <v>#N/A</v>
      </c>
      <c r="C108" s="40" t="e">
        <f t="shared" si="3"/>
        <v>#N/A</v>
      </c>
      <c r="D108" s="9" t="e">
        <f t="shared" si="4"/>
        <v>#N/A</v>
      </c>
      <c r="E108" s="14" t="e" cm="1">
        <f t="array" ref="E108">IF(MAX(IF(ISNUMBER(Table1[Revenue]), Table1[Revenue]))=Table1[[#This Row],[Revenue]], Table1[[#This Row],[Revenue]], NA())</f>
        <v>#N/A</v>
      </c>
      <c r="F108" s="69" t="e">
        <f>VLOOKUP(E108, Table1[], 2, 0)</f>
        <v>#N/A</v>
      </c>
      <c r="G108" s="39" t="e">
        <f>VLOOKUP(E108, Table1[], 3, 0)</f>
        <v>#N/A</v>
      </c>
      <c r="J108" t="str">
        <f t="shared" si="5"/>
        <v/>
      </c>
      <c r="L108" t="str">
        <f t="shared" si="6"/>
        <v/>
      </c>
      <c r="N108" t="s">
        <v>215</v>
      </c>
      <c r="O108">
        <f>O103+O104</f>
        <v>139.87</v>
      </c>
    </row>
    <row r="109" spans="2:45" x14ac:dyDescent="0.2">
      <c r="B109" s="14" t="e">
        <f t="shared" si="2"/>
        <v>#N/A</v>
      </c>
      <c r="C109" s="40" t="e">
        <f t="shared" si="3"/>
        <v>#N/A</v>
      </c>
      <c r="D109" s="9" t="e">
        <f t="shared" si="4"/>
        <v>#N/A</v>
      </c>
      <c r="E109" s="14" t="e" cm="1">
        <f t="array" ref="E109">IF(MAX(IF(ISNUMBER(Table1[Revenue]), Table1[Revenue]))=Table1[[#This Row],[Revenue]], Table1[[#This Row],[Revenue]], NA())</f>
        <v>#N/A</v>
      </c>
      <c r="F109" s="69" t="e">
        <f>VLOOKUP(E109, Table1[], 2, 0)</f>
        <v>#N/A</v>
      </c>
      <c r="G109" s="39" t="e">
        <f>VLOOKUP(E109, Table1[], 3, 0)</f>
        <v>#N/A</v>
      </c>
      <c r="J109" t="str">
        <f t="shared" si="5"/>
        <v/>
      </c>
      <c r="L109" t="str">
        <f t="shared" si="6"/>
        <v/>
      </c>
      <c r="N109" t="s">
        <v>216</v>
      </c>
      <c r="O109">
        <f>O106-O105</f>
        <v>-8</v>
      </c>
    </row>
    <row r="110" spans="2:45" x14ac:dyDescent="0.2">
      <c r="B110" s="14">
        <f t="shared" si="2"/>
        <v>3886.3300000000004</v>
      </c>
      <c r="C110" s="40">
        <f t="shared" si="3"/>
        <v>65.87</v>
      </c>
      <c r="D110" s="9">
        <f t="shared" si="4"/>
        <v>59</v>
      </c>
      <c r="E110" s="14" t="e" cm="1">
        <f t="array" ref="E110">IF(MAX(IF(ISNUMBER(Table1[Revenue]), Table1[Revenue]))=Table1[[#This Row],[Revenue]], Table1[[#This Row],[Revenue]], NA())</f>
        <v>#N/A</v>
      </c>
      <c r="F110" s="69" t="e">
        <f>VLOOKUP(E110, Table1[], 2, 0)</f>
        <v>#N/A</v>
      </c>
      <c r="G110" s="39" t="e">
        <f>VLOOKUP(E110, Table1[], 3, 0)</f>
        <v>#N/A</v>
      </c>
      <c r="J110">
        <f t="shared" si="5"/>
        <v>59</v>
      </c>
      <c r="L110" t="str">
        <f t="shared" si="6"/>
        <v/>
      </c>
      <c r="N110" t="s">
        <v>217</v>
      </c>
      <c r="O110">
        <f>O104-O103</f>
        <v>8.1299999999999955</v>
      </c>
    </row>
    <row r="111" spans="2:45" x14ac:dyDescent="0.2">
      <c r="B111" s="14" t="e">
        <f t="shared" si="2"/>
        <v>#N/A</v>
      </c>
      <c r="C111" s="40" t="e">
        <f t="shared" si="3"/>
        <v>#N/A</v>
      </c>
      <c r="D111" s="9" t="e">
        <f t="shared" si="4"/>
        <v>#N/A</v>
      </c>
      <c r="E111" s="10" t="e" cm="1">
        <f t="array" ref="E111">IF(MAX(IF(ISNUMBER(Table1[Revenue]), Table1[Revenue]))=Table1[[#This Row],[Revenue]], Table1[[#This Row],[Revenue]], NA())</f>
        <v>#N/A</v>
      </c>
      <c r="F111" s="69" t="e">
        <f>VLOOKUP(E111, Table1[], 2, 0)</f>
        <v>#N/A</v>
      </c>
      <c r="G111" s="39" t="e">
        <f>VLOOKUP(E111, Table1[], 3, 0)</f>
        <v>#N/A</v>
      </c>
      <c r="J111" t="str">
        <f t="shared" si="5"/>
        <v/>
      </c>
      <c r="L111" t="str">
        <f t="shared" si="6"/>
        <v/>
      </c>
      <c r="N111" s="41" t="s">
        <v>213</v>
      </c>
      <c r="O111" s="124">
        <f>ABS((O109/O110)*(O108/O107))</f>
        <v>2.2198944570090875</v>
      </c>
    </row>
    <row r="112" spans="2:45" x14ac:dyDescent="0.2">
      <c r="B112" s="14">
        <f t="shared" si="2"/>
        <v>1580.88</v>
      </c>
      <c r="C112" s="40">
        <f t="shared" si="3"/>
        <v>65.87</v>
      </c>
      <c r="D112" s="9">
        <f t="shared" si="4"/>
        <v>24</v>
      </c>
      <c r="E112" s="14" t="e" cm="1">
        <f t="array" ref="E112">IF(MAX(IF(ISNUMBER(Table1[Revenue]), Table1[Revenue]))=Table1[[#This Row],[Revenue]], Table1[[#This Row],[Revenue]], NA())</f>
        <v>#N/A</v>
      </c>
      <c r="F112" s="69" t="e">
        <f>VLOOKUP(E112, Table1[], 2, 0)</f>
        <v>#N/A</v>
      </c>
      <c r="G112" s="39" t="e">
        <f>VLOOKUP(E112, Table1[], 3, 0)</f>
        <v>#N/A</v>
      </c>
      <c r="J112">
        <f t="shared" si="5"/>
        <v>24</v>
      </c>
      <c r="L112" t="str">
        <f t="shared" si="6"/>
        <v/>
      </c>
    </row>
    <row r="113" spans="1:21" x14ac:dyDescent="0.2">
      <c r="B113" s="14">
        <f t="shared" si="2"/>
        <v>1580.88</v>
      </c>
      <c r="C113" s="40">
        <f t="shared" si="3"/>
        <v>65.87</v>
      </c>
      <c r="D113" s="9">
        <f t="shared" si="4"/>
        <v>24</v>
      </c>
      <c r="E113" s="14" t="e" cm="1">
        <f t="array" ref="E113">IF(MAX(IF(ISNUMBER(Table1[Revenue]), Table1[Revenue]))=Table1[[#This Row],[Revenue]], Table1[[#This Row],[Revenue]], NA())</f>
        <v>#N/A</v>
      </c>
      <c r="F113" s="69" t="e">
        <f>VLOOKUP(E113, Table1[], 2, 0)</f>
        <v>#N/A</v>
      </c>
      <c r="G113" s="39" t="e">
        <f>VLOOKUP(E113, Table1[], 3, 0)</f>
        <v>#N/A</v>
      </c>
      <c r="J113">
        <f t="shared" si="5"/>
        <v>24</v>
      </c>
      <c r="L113" t="str">
        <f t="shared" si="6"/>
        <v/>
      </c>
      <c r="N113" t="s">
        <v>95</v>
      </c>
      <c r="O113" t="str">
        <f>Dashboard!D7</f>
        <v>Butter</v>
      </c>
    </row>
    <row r="114" spans="1:21" x14ac:dyDescent="0.2">
      <c r="B114" s="14" t="e">
        <f t="shared" si="2"/>
        <v>#N/A</v>
      </c>
      <c r="C114" s="40" t="e">
        <f t="shared" si="3"/>
        <v>#N/A</v>
      </c>
      <c r="D114" s="9" t="e">
        <f t="shared" si="4"/>
        <v>#N/A</v>
      </c>
      <c r="E114" s="14" t="e" cm="1">
        <f t="array" ref="E114">IF(MAX(IF(ISNUMBER(Table1[Revenue]), Table1[Revenue]))=Table1[[#This Row],[Revenue]], Table1[[#This Row],[Revenue]], NA())</f>
        <v>#N/A</v>
      </c>
      <c r="F114" s="69" t="e">
        <f>VLOOKUP(E114, Table1[], 2, 0)</f>
        <v>#N/A</v>
      </c>
      <c r="G114" s="39" t="e">
        <f>VLOOKUP(E114, Table1[], 3, 0)</f>
        <v>#N/A</v>
      </c>
      <c r="J114" t="str">
        <f t="shared" si="5"/>
        <v/>
      </c>
      <c r="L114" t="str">
        <f t="shared" si="6"/>
        <v/>
      </c>
      <c r="N114" t="s">
        <v>96</v>
      </c>
      <c r="O114" t="str">
        <f>Dashboard!D9</f>
        <v>South</v>
      </c>
    </row>
    <row r="115" spans="1:21" x14ac:dyDescent="0.2">
      <c r="B115" s="14">
        <f t="shared" si="2"/>
        <v>737</v>
      </c>
      <c r="C115" s="40">
        <f t="shared" si="3"/>
        <v>67</v>
      </c>
      <c r="D115" s="9">
        <f t="shared" si="4"/>
        <v>11</v>
      </c>
      <c r="E115" s="14" t="e" cm="1">
        <f t="array" ref="E115">IF(MAX(IF(ISNUMBER(Table1[Revenue]), Table1[Revenue]))=Table1[[#This Row],[Revenue]], Table1[[#This Row],[Revenue]], NA())</f>
        <v>#N/A</v>
      </c>
      <c r="F115" s="69" t="e">
        <f>VLOOKUP(E115, Table1[], 2, 0)</f>
        <v>#N/A</v>
      </c>
      <c r="G115" s="39" t="e">
        <f>VLOOKUP(E115, Table1[], 3, 0)</f>
        <v>#N/A</v>
      </c>
      <c r="J115" t="str">
        <f t="shared" si="5"/>
        <v/>
      </c>
      <c r="L115" t="str">
        <f t="shared" si="6"/>
        <v/>
      </c>
    </row>
    <row r="116" spans="1:21" x14ac:dyDescent="0.2">
      <c r="B116" s="14">
        <f t="shared" si="2"/>
        <v>1608</v>
      </c>
      <c r="C116" s="40">
        <f t="shared" si="3"/>
        <v>67</v>
      </c>
      <c r="D116" s="9">
        <f t="shared" si="4"/>
        <v>24</v>
      </c>
      <c r="E116" s="14" t="e" cm="1">
        <f t="array" ref="E116">IF(MAX(IF(ISNUMBER(Table1[Revenue]), Table1[Revenue]))=Table1[[#This Row],[Revenue]], Table1[[#This Row],[Revenue]], NA())</f>
        <v>#N/A</v>
      </c>
      <c r="F116" s="69" t="e">
        <f>VLOOKUP(E116, Table1[], 2, 0)</f>
        <v>#N/A</v>
      </c>
      <c r="G116" s="39" t="e">
        <f>VLOOKUP(E116, Table1[], 3, 0)</f>
        <v>#N/A</v>
      </c>
      <c r="J116" t="str">
        <f t="shared" si="5"/>
        <v/>
      </c>
      <c r="L116" t="str">
        <f t="shared" si="6"/>
        <v/>
      </c>
    </row>
    <row r="117" spans="1:21" x14ac:dyDescent="0.2">
      <c r="A117" s="9"/>
      <c r="B117" s="14" t="e">
        <f t="shared" si="2"/>
        <v>#N/A</v>
      </c>
      <c r="C117" s="40" t="e">
        <f t="shared" si="3"/>
        <v>#N/A</v>
      </c>
      <c r="D117" s="9" t="e">
        <f t="shared" si="4"/>
        <v>#N/A</v>
      </c>
      <c r="E117" s="14" t="e" cm="1">
        <f t="array" ref="E117">IF(MAX(IF(ISNUMBER(Table1[Revenue]), Table1[Revenue]))=Table1[[#This Row],[Revenue]], Table1[[#This Row],[Revenue]], NA())</f>
        <v>#N/A</v>
      </c>
      <c r="F117" s="69" t="e">
        <f>VLOOKUP(E117, Table1[], 2, 0)</f>
        <v>#N/A</v>
      </c>
      <c r="G117" s="39" t="e">
        <f>VLOOKUP(E117, Table1[], 3, 0)</f>
        <v>#N/A</v>
      </c>
      <c r="J117" t="str">
        <f t="shared" si="5"/>
        <v/>
      </c>
      <c r="L117" t="str">
        <f t="shared" si="6"/>
        <v/>
      </c>
      <c r="N117" s="10" t="s">
        <v>96</v>
      </c>
      <c r="O117" s="10" t="s">
        <v>1</v>
      </c>
      <c r="P117" s="10" t="s">
        <v>2</v>
      </c>
      <c r="Q117" s="10" t="s">
        <v>3</v>
      </c>
      <c r="R117" s="10" t="s">
        <v>4</v>
      </c>
      <c r="S117" s="10" t="s">
        <v>5</v>
      </c>
      <c r="T117" s="10" t="s">
        <v>6</v>
      </c>
      <c r="U117" s="82" t="s">
        <v>186</v>
      </c>
    </row>
    <row r="118" spans="1:21" x14ac:dyDescent="0.2">
      <c r="A118" s="9"/>
      <c r="B118" s="14" t="e">
        <f t="shared" si="2"/>
        <v>#N/A</v>
      </c>
      <c r="C118" s="40" t="e">
        <f t="shared" si="3"/>
        <v>#N/A</v>
      </c>
      <c r="D118" s="9" t="e">
        <f t="shared" si="4"/>
        <v>#N/A</v>
      </c>
      <c r="E118" s="14" t="e" cm="1">
        <f t="array" ref="E118">IF(MAX(IF(ISNUMBER(Table1[Revenue]), Table1[Revenue]))=Table1[[#This Row],[Revenue]], Table1[[#This Row],[Revenue]], NA())</f>
        <v>#N/A</v>
      </c>
      <c r="F118" s="69" t="e">
        <f>VLOOKUP(E118, Table1[], 2, 0)</f>
        <v>#N/A</v>
      </c>
      <c r="G118" s="39" t="e">
        <f>VLOOKUP(E118, Table1[], 3, 0)</f>
        <v>#N/A</v>
      </c>
      <c r="J118" t="str">
        <f t="shared" si="5"/>
        <v/>
      </c>
      <c r="L118" t="str">
        <f t="shared" si="6"/>
        <v/>
      </c>
      <c r="N118" s="10" t="s">
        <v>48</v>
      </c>
      <c r="O118" s="10">
        <v>1.5671035450016944</v>
      </c>
      <c r="P118" s="10">
        <v>3.2601797990481254</v>
      </c>
      <c r="Q118" s="10">
        <v>0.29505287813187647</v>
      </c>
      <c r="R118" s="10">
        <v>2.367225518435542</v>
      </c>
      <c r="S118" s="10">
        <v>3.05</v>
      </c>
      <c r="T118" s="10">
        <v>5.1924999999999999</v>
      </c>
      <c r="U118" s="82">
        <f>AVERAGE(Table24[[#This Row],[Butter]:[Yoghurt]])</f>
        <v>2.6220102901028728</v>
      </c>
    </row>
    <row r="119" spans="1:21" x14ac:dyDescent="0.2">
      <c r="A119" s="9"/>
      <c r="B119" s="14">
        <f t="shared" si="2"/>
        <v>2720</v>
      </c>
      <c r="C119" s="40">
        <f t="shared" si="3"/>
        <v>68</v>
      </c>
      <c r="D119" s="9">
        <f t="shared" si="4"/>
        <v>40</v>
      </c>
      <c r="E119" s="14" t="e" cm="1">
        <f t="array" ref="E119">IF(MAX(IF(ISNUMBER(Table1[Revenue]), Table1[Revenue]))=Table1[[#This Row],[Revenue]], Table1[[#This Row],[Revenue]], NA())</f>
        <v>#N/A</v>
      </c>
      <c r="F119" s="69" t="e">
        <f>VLOOKUP(E119, Table1[], 2, 0)</f>
        <v>#N/A</v>
      </c>
      <c r="G119" s="39" t="e">
        <f>VLOOKUP(E119, Table1[], 3, 0)</f>
        <v>#N/A</v>
      </c>
      <c r="J119" t="str">
        <f t="shared" si="5"/>
        <v/>
      </c>
      <c r="K119" s="9"/>
      <c r="L119" t="str">
        <f t="shared" si="6"/>
        <v/>
      </c>
      <c r="N119" s="10" t="s">
        <v>49</v>
      </c>
      <c r="O119" s="10">
        <v>2.2198944570090875</v>
      </c>
      <c r="P119" s="10">
        <v>1.886859462201929</v>
      </c>
      <c r="Q119" s="10">
        <v>1.5300829581811488</v>
      </c>
      <c r="R119" s="10">
        <v>1.3919820114158321</v>
      </c>
      <c r="S119" s="10">
        <v>7.583417593528817E-2</v>
      </c>
      <c r="T119" s="10">
        <v>0.55509181969949872</v>
      </c>
      <c r="U119" s="82">
        <f>AVERAGE(Table24[[#This Row],[Butter]:[Yoghurt]])</f>
        <v>1.2766241474071307</v>
      </c>
    </row>
    <row r="120" spans="1:21" x14ac:dyDescent="0.2">
      <c r="A120" s="9"/>
      <c r="B120" s="14" t="e">
        <f t="shared" si="2"/>
        <v>#N/A</v>
      </c>
      <c r="C120" s="40" t="e">
        <f t="shared" si="3"/>
        <v>#N/A</v>
      </c>
      <c r="D120" s="9" t="e">
        <f t="shared" si="4"/>
        <v>#N/A</v>
      </c>
      <c r="E120" s="10" t="e" cm="1">
        <f t="array" ref="E120">IF(MAX(IF(ISNUMBER(Table1[Revenue]), Table1[Revenue]))=Table1[[#This Row],[Revenue]], Table1[[#This Row],[Revenue]], NA())</f>
        <v>#N/A</v>
      </c>
      <c r="F120" s="69" t="e">
        <f>VLOOKUP(E120, Table1[], 2, 0)</f>
        <v>#N/A</v>
      </c>
      <c r="G120" s="39" t="e">
        <f>VLOOKUP(E120, Table1[], 3, 0)</f>
        <v>#N/A</v>
      </c>
      <c r="I120" s="9"/>
      <c r="J120" t="str">
        <f t="shared" si="5"/>
        <v/>
      </c>
      <c r="K120" s="9"/>
      <c r="L120" t="str">
        <f t="shared" si="6"/>
        <v/>
      </c>
      <c r="N120" s="10" t="s">
        <v>50</v>
      </c>
      <c r="O120" s="82">
        <f>Sales!AF119</f>
        <v>0</v>
      </c>
      <c r="P120" s="10">
        <v>6.7003546099290805</v>
      </c>
      <c r="Q120" s="10">
        <v>1.127264594050547</v>
      </c>
      <c r="R120" s="10">
        <v>3.1078101071975492</v>
      </c>
      <c r="S120" s="10">
        <v>7.5454545454545459</v>
      </c>
      <c r="T120" s="10">
        <v>0.18584070796460175</v>
      </c>
      <c r="U120" s="82">
        <f>AVERAGE(Table24[[#This Row],[Butter]:[Yoghurt]])</f>
        <v>3.1111207607660543</v>
      </c>
    </row>
    <row r="121" spans="1:21" x14ac:dyDescent="0.2">
      <c r="A121" s="9"/>
      <c r="B121" s="14" t="e">
        <f t="shared" si="2"/>
        <v>#N/A</v>
      </c>
      <c r="C121" s="40" t="e">
        <f t="shared" si="3"/>
        <v>#N/A</v>
      </c>
      <c r="D121" s="9" t="e">
        <f t="shared" si="4"/>
        <v>#N/A</v>
      </c>
      <c r="E121" s="14" t="e" cm="1">
        <f t="array" ref="E121">IF(MAX(IF(ISNUMBER(Table1[Revenue]), Table1[Revenue]))=Table1[[#This Row],[Revenue]], Table1[[#This Row],[Revenue]], NA())</f>
        <v>#N/A</v>
      </c>
      <c r="F121" s="69" t="e">
        <f>VLOOKUP(E121, Table1[], 2, 0)</f>
        <v>#N/A</v>
      </c>
      <c r="G121" s="39" t="e">
        <f>VLOOKUP(E121, Table1[], 3, 0)</f>
        <v>#N/A</v>
      </c>
      <c r="I121" s="9"/>
      <c r="J121" t="str">
        <f t="shared" si="5"/>
        <v/>
      </c>
      <c r="K121" s="9"/>
      <c r="L121" t="str">
        <f t="shared" si="6"/>
        <v/>
      </c>
      <c r="N121" s="10" t="s">
        <v>185</v>
      </c>
      <c r="O121" s="10">
        <f>SUBTOTAL(101,Table24[Butter])</f>
        <v>1.2623326673369273</v>
      </c>
      <c r="P121" s="10">
        <f>SUBTOTAL(101,Table24[Cheese])</f>
        <v>3.9491312903930447</v>
      </c>
      <c r="Q121" s="10">
        <f>SUBTOTAL(101,Table24[Cream])</f>
        <v>0.98413347678785745</v>
      </c>
      <c r="R121" s="10">
        <f>SUBTOTAL(101,Table24[Ice Cream])</f>
        <v>2.2890058790163077</v>
      </c>
      <c r="S121" s="10">
        <f>SUBTOTAL(101,Table24[Milk])</f>
        <v>3.5570962404632778</v>
      </c>
      <c r="T121" s="10">
        <f>SUBTOTAL(101,Table24[Yoghurt])</f>
        <v>1.9778108425546999</v>
      </c>
      <c r="U121" s="10">
        <f>SUBTOTAL(101,Table24[Regional Average])</f>
        <v>2.3365850660920193</v>
      </c>
    </row>
    <row r="122" spans="1:21" x14ac:dyDescent="0.2">
      <c r="A122" s="9"/>
      <c r="B122" s="14" t="e">
        <f t="shared" si="2"/>
        <v>#N/A</v>
      </c>
      <c r="C122" s="40" t="e">
        <f t="shared" si="3"/>
        <v>#N/A</v>
      </c>
      <c r="D122" s="9" t="e">
        <f t="shared" si="4"/>
        <v>#N/A</v>
      </c>
      <c r="E122" s="14" t="e" cm="1">
        <f t="array" ref="E122">IF(MAX(IF(ISNUMBER(Table1[Revenue]), Table1[Revenue]))=Table1[[#This Row],[Revenue]], Table1[[#This Row],[Revenue]], NA())</f>
        <v>#N/A</v>
      </c>
      <c r="F122" s="69" t="e">
        <f>VLOOKUP(E122, Table1[], 2, 0)</f>
        <v>#N/A</v>
      </c>
      <c r="G122" s="39" t="e">
        <f>VLOOKUP(E122, Table1[], 3, 0)</f>
        <v>#N/A</v>
      </c>
      <c r="I122" s="9"/>
      <c r="J122" t="str">
        <f t="shared" si="5"/>
        <v/>
      </c>
      <c r="K122" s="9"/>
      <c r="L122" t="str">
        <f t="shared" si="6"/>
        <v/>
      </c>
    </row>
    <row r="123" spans="1:21" x14ac:dyDescent="0.2">
      <c r="A123" s="9"/>
      <c r="B123" s="14">
        <f t="shared" si="2"/>
        <v>2380</v>
      </c>
      <c r="C123" s="40">
        <f t="shared" ref="C123:C147" si="7">IF(OR(E73=0, L73=1), NA(), E73)</f>
        <v>68</v>
      </c>
      <c r="D123" s="9">
        <f t="shared" ref="D123:D147" si="8">IF(OR(D73=0, L73=1), NA(), D73)</f>
        <v>35</v>
      </c>
      <c r="E123" s="14" t="e" cm="1">
        <f t="array" ref="E123">IF(MAX(IF(ISNUMBER(Table1[Revenue]), Table1[Revenue]))=Table1[[#This Row],[Revenue]], Table1[[#This Row],[Revenue]], NA())</f>
        <v>#N/A</v>
      </c>
      <c r="F123" s="69" t="e">
        <f>VLOOKUP(E123, Table1[], 2, 0)</f>
        <v>#N/A</v>
      </c>
      <c r="G123" s="39" t="e">
        <f>VLOOKUP(E123, Table1[], 3, 0)</f>
        <v>#N/A</v>
      </c>
      <c r="H123" s="9"/>
      <c r="I123" s="9"/>
      <c r="J123" t="str">
        <f t="shared" si="5"/>
        <v/>
      </c>
      <c r="K123" s="9"/>
      <c r="L123" t="str">
        <f t="shared" si="6"/>
        <v/>
      </c>
      <c r="N123" t="s">
        <v>96</v>
      </c>
      <c r="O123" t="s">
        <v>213</v>
      </c>
      <c r="P123" t="s">
        <v>218</v>
      </c>
      <c r="Q123" t="s">
        <v>185</v>
      </c>
    </row>
    <row r="124" spans="1:21" x14ac:dyDescent="0.2">
      <c r="A124" s="9"/>
      <c r="B124" s="14" t="e">
        <f t="shared" si="2"/>
        <v>#N/A</v>
      </c>
      <c r="C124" s="40" t="e">
        <f t="shared" si="7"/>
        <v>#N/A</v>
      </c>
      <c r="D124" s="9" t="e">
        <f t="shared" si="8"/>
        <v>#N/A</v>
      </c>
      <c r="E124" s="14" t="e" cm="1">
        <f t="array" ref="E124">IF(MAX(IF(ISNUMBER(Table1[Revenue]), Table1[Revenue]))=Table1[[#This Row],[Revenue]], Table1[[#This Row],[Revenue]], NA())</f>
        <v>#N/A</v>
      </c>
      <c r="F124" s="69" t="e">
        <f>VLOOKUP(E124, Table1[], 2, 0)</f>
        <v>#N/A</v>
      </c>
      <c r="G124" s="39" t="e">
        <f>VLOOKUP(E124, Table1[], 3, 0)</f>
        <v>#N/A</v>
      </c>
      <c r="H124" s="9"/>
      <c r="I124" s="9"/>
      <c r="J124" t="str">
        <f t="shared" si="5"/>
        <v/>
      </c>
      <c r="K124" s="9"/>
      <c r="L124" t="str">
        <f t="shared" si="6"/>
        <v/>
      </c>
      <c r="N124" s="10" t="s">
        <v>48</v>
      </c>
      <c r="O124" s="82" cm="1">
        <f t="array" ref="O124">IF(Table27[[#This Row],[Region]]=Table30[[#All],[Column2]], NA(), HLOOKUP($O$113, Table24[#All], MATCH(N124, Table24[[#All],[Region]], 0), 0))</f>
        <v>1.5671035450016944</v>
      </c>
      <c r="P124" s="82" t="e" cm="1">
        <f t="array" ref="P124">IF(Table27[[#This Row],[Region]]=Table30[[#All],[Column2]], HLOOKUP($O$113, Table24[#All], MATCH(N124, Table24[[#All],[Region]], 0), 0), NA())</f>
        <v>#N/A</v>
      </c>
      <c r="Q124" s="82">
        <f>SUMIF(Table27[[PED]:[Cross-region comparison]], "&lt;&gt;#N/A")/COUNTIF(Table27[[PED]:[Cross-region comparison]], "&lt;&gt;#N/A")</f>
        <v>1.2623326673369273</v>
      </c>
    </row>
    <row r="125" spans="1:21" x14ac:dyDescent="0.2">
      <c r="A125" s="9"/>
      <c r="B125" s="14" t="e">
        <f t="shared" si="2"/>
        <v>#N/A</v>
      </c>
      <c r="C125" s="40" t="e">
        <f t="shared" si="7"/>
        <v>#N/A</v>
      </c>
      <c r="D125" s="9" t="e">
        <f t="shared" si="8"/>
        <v>#N/A</v>
      </c>
      <c r="E125" s="14" t="e" cm="1">
        <f t="array" ref="E125">IF(MAX(IF(ISNUMBER(Table1[Revenue]), Table1[Revenue]))=Table1[[#This Row],[Revenue]], Table1[[#This Row],[Revenue]], NA())</f>
        <v>#N/A</v>
      </c>
      <c r="F125" s="69" t="e">
        <f>VLOOKUP(E125, Table1[], 2, 0)</f>
        <v>#N/A</v>
      </c>
      <c r="G125" s="39" t="e">
        <f>VLOOKUP(E125, Table1[], 3, 0)</f>
        <v>#N/A</v>
      </c>
      <c r="H125" s="9"/>
      <c r="I125" s="9"/>
      <c r="J125" t="str">
        <f t="shared" si="5"/>
        <v/>
      </c>
      <c r="K125" s="9"/>
      <c r="L125" t="str">
        <f t="shared" si="6"/>
        <v/>
      </c>
      <c r="N125" s="10" t="s">
        <v>49</v>
      </c>
      <c r="O125" s="82" t="e" cm="1">
        <f t="array" ref="O125">IF(Table27[[#This Row],[Region]]=Table30[[#All],[Column2]], NA(), HLOOKUP($O$113, Table24[#All], MATCH(N125, Table24[[#All],[Region]], 0), 0))</f>
        <v>#N/A</v>
      </c>
      <c r="P125" s="82" cm="1">
        <f t="array" ref="P125">IF(Table27[[#This Row],[Region]]=Table30[[#All],[Column2]], HLOOKUP($O$113, Table24[#All], MATCH(N125, Table24[[#All],[Region]], 0), 0), NA())</f>
        <v>2.2198944570090875</v>
      </c>
      <c r="Q125" s="82">
        <f>SUMIF(Table27[[PED]:[Cross-region comparison]], "&lt;&gt;#N/A")/COUNTIF(Table27[[PED]:[Cross-region comparison]], "&lt;&gt;#N/A")</f>
        <v>1.2623326673369273</v>
      </c>
    </row>
    <row r="126" spans="1:21" x14ac:dyDescent="0.2">
      <c r="A126" s="9"/>
      <c r="B126" s="14">
        <f t="shared" si="2"/>
        <v>3450</v>
      </c>
      <c r="C126" s="40">
        <f t="shared" si="7"/>
        <v>69</v>
      </c>
      <c r="D126" s="9">
        <f t="shared" si="8"/>
        <v>50</v>
      </c>
      <c r="E126" s="10" t="e" cm="1">
        <f t="array" ref="E126">IF(MAX(IF(ISNUMBER(Table1[Revenue]), Table1[Revenue]))=Table1[[#This Row],[Revenue]], Table1[[#This Row],[Revenue]], NA())</f>
        <v>#N/A</v>
      </c>
      <c r="F126" s="69" t="e">
        <f>VLOOKUP(E126, Table1[], 2, 0)</f>
        <v>#N/A</v>
      </c>
      <c r="G126" s="39" t="e">
        <f>VLOOKUP(E126, Table1[], 3, 0)</f>
        <v>#N/A</v>
      </c>
      <c r="H126" s="9"/>
      <c r="I126" s="9"/>
      <c r="J126" t="str">
        <f t="shared" si="5"/>
        <v/>
      </c>
      <c r="K126" s="9"/>
      <c r="L126" t="str">
        <f t="shared" si="6"/>
        <v/>
      </c>
      <c r="N126" s="10" t="s">
        <v>50</v>
      </c>
      <c r="O126" s="82" cm="1">
        <f t="array" ref="O126">IF(Table27[[#This Row],[Region]]=Table30[[#All],[Column2]], NA(), HLOOKUP($O$113, Table24[#All], MATCH(N126, Table24[[#All],[Region]], 0), 0))</f>
        <v>0</v>
      </c>
      <c r="P126" s="82" t="e" cm="1">
        <f t="array" ref="P126">IF(Table27[[#This Row],[Region]]=Table30[[#All],[Column2]], HLOOKUP($O$113, Table24[#All], MATCH(N126, Table24[[#All],[Region]], 0), 0), NA())</f>
        <v>#N/A</v>
      </c>
      <c r="Q126" s="82">
        <f>SUMIF(Table27[[PED]:[Cross-region comparison]], "&lt;&gt;#N/A")/COUNTIF(Table27[[PED]:[Cross-region comparison]], "&lt;&gt;#N/A")</f>
        <v>1.2623326673369273</v>
      </c>
    </row>
    <row r="127" spans="1:21" x14ac:dyDescent="0.2">
      <c r="A127" s="9"/>
      <c r="B127" s="14" t="e">
        <f t="shared" si="2"/>
        <v>#N/A</v>
      </c>
      <c r="C127" s="40" t="e">
        <f t="shared" si="7"/>
        <v>#N/A</v>
      </c>
      <c r="D127" s="9" t="e">
        <f t="shared" si="8"/>
        <v>#N/A</v>
      </c>
      <c r="E127" s="14" t="e" cm="1">
        <f t="array" ref="E127">IF(MAX(IF(ISNUMBER(Table1[Revenue]), Table1[Revenue]))=Table1[[#This Row],[Revenue]], Table1[[#This Row],[Revenue]], NA())</f>
        <v>#N/A</v>
      </c>
      <c r="F127" s="69" t="e">
        <f>VLOOKUP(E127, Table1[], 2, 0)</f>
        <v>#N/A</v>
      </c>
      <c r="G127" s="39" t="e">
        <f>VLOOKUP(E127, Table1[], 3, 0)</f>
        <v>#N/A</v>
      </c>
      <c r="H127" s="9"/>
      <c r="I127" s="9"/>
      <c r="J127" t="str">
        <f t="shared" si="5"/>
        <v/>
      </c>
      <c r="K127" s="9"/>
      <c r="L127" t="str">
        <f t="shared" si="6"/>
        <v/>
      </c>
      <c r="N127" s="10" t="s">
        <v>91</v>
      </c>
      <c r="O127" s="10"/>
      <c r="P127" s="10"/>
      <c r="Q127" s="10"/>
    </row>
    <row r="128" spans="1:21" x14ac:dyDescent="0.2">
      <c r="B128" s="14" t="e">
        <f t="shared" si="2"/>
        <v>#N/A</v>
      </c>
      <c r="C128" s="40" t="e">
        <f t="shared" si="7"/>
        <v>#N/A</v>
      </c>
      <c r="D128" s="9" t="e">
        <f t="shared" si="8"/>
        <v>#N/A</v>
      </c>
      <c r="E128" s="10" t="e" cm="1">
        <f t="array" ref="E128">IF(MAX(IF(ISNUMBER(Table1[Revenue]), Table1[Revenue]))=Table1[[#This Row],[Revenue]], Table1[[#This Row],[Revenue]], NA())</f>
        <v>#N/A</v>
      </c>
      <c r="F128" s="69" t="e">
        <f>VLOOKUP(E128, Table1[], 2, 0)</f>
        <v>#N/A</v>
      </c>
      <c r="G128" s="39" t="e">
        <f>VLOOKUP(E128, Table1[], 3, 0)</f>
        <v>#N/A</v>
      </c>
      <c r="H128" s="9"/>
      <c r="I128" s="9"/>
      <c r="J128" t="str">
        <f t="shared" si="5"/>
        <v/>
      </c>
      <c r="K128" s="9"/>
      <c r="L128" t="str">
        <f t="shared" si="6"/>
        <v/>
      </c>
    </row>
    <row r="129" spans="2:21" x14ac:dyDescent="0.2">
      <c r="B129" s="14">
        <f t="shared" si="2"/>
        <v>2310</v>
      </c>
      <c r="C129" s="40">
        <f t="shared" si="7"/>
        <v>70</v>
      </c>
      <c r="D129" s="9">
        <f t="shared" si="8"/>
        <v>33</v>
      </c>
      <c r="E129" s="14" t="e" cm="1">
        <f t="array" ref="E129">IF(MAX(IF(ISNUMBER(Table1[Revenue]), Table1[Revenue]))=Table1[[#This Row],[Revenue]], Table1[[#This Row],[Revenue]], NA())</f>
        <v>#N/A</v>
      </c>
      <c r="F129" s="69" t="e">
        <f>VLOOKUP(E129, Table1[], 2, 0)</f>
        <v>#N/A</v>
      </c>
      <c r="G129" s="39" t="e">
        <f>VLOOKUP(E129, Table1[], 3, 0)</f>
        <v>#N/A</v>
      </c>
      <c r="H129" s="9"/>
      <c r="I129" s="9"/>
      <c r="J129" t="str">
        <f t="shared" si="5"/>
        <v/>
      </c>
      <c r="K129" s="9"/>
      <c r="L129" t="str">
        <f t="shared" si="6"/>
        <v/>
      </c>
      <c r="N129" t="s">
        <v>95</v>
      </c>
      <c r="O129" t="s">
        <v>213</v>
      </c>
      <c r="P129" t="s">
        <v>219</v>
      </c>
      <c r="Q129" t="s">
        <v>186</v>
      </c>
    </row>
    <row r="130" spans="2:21" x14ac:dyDescent="0.2">
      <c r="B130" s="14">
        <f t="shared" si="2"/>
        <v>3990</v>
      </c>
      <c r="C130" s="40">
        <f t="shared" si="7"/>
        <v>70</v>
      </c>
      <c r="D130" s="9">
        <f t="shared" si="8"/>
        <v>57</v>
      </c>
      <c r="E130" s="14" cm="1">
        <f t="array" ref="E130">IF(MAX(IF(ISNUMBER(Table1[Revenue]), Table1[Revenue]))=Table1[[#This Row],[Revenue]], Table1[[#This Row],[Revenue]], NA())</f>
        <v>3990</v>
      </c>
      <c r="F130" s="69">
        <f>VLOOKUP(E130, Table1[], 2, 0)</f>
        <v>70</v>
      </c>
      <c r="G130" s="39">
        <f>VLOOKUP(E130, Table1[], 3, 0)</f>
        <v>57</v>
      </c>
      <c r="I130" s="9"/>
      <c r="J130" t="str">
        <f t="shared" si="5"/>
        <v/>
      </c>
      <c r="L130" t="str">
        <f t="shared" si="6"/>
        <v/>
      </c>
      <c r="N130" s="82" t="s">
        <v>6</v>
      </c>
      <c r="O130" s="84" cm="1">
        <f t="array" ref="O130">IF(Table41[[#This Row],[Product]]=Table26[[#All],[Column2]], NA(), VLOOKUP($O$114, Table24[#All], MATCH(N130, Table24[#Headers], 0), 0))</f>
        <v>0.55509181969949872</v>
      </c>
      <c r="P130" s="82" t="e" cm="1">
        <f t="array" ref="P130">IF(Table41[[#This Row],[Product]]=Table26[[#All],[Column2]], VLOOKUP($O$114, Table24[#All], MATCH(N130, Table24[#Headers], 0), 0), NA())</f>
        <v>#N/A</v>
      </c>
      <c r="Q130" s="82">
        <f>SUMIF(Table41[[PED]:[Cross-product comparison]], "&lt;&gt;#N/A")/COUNTIF(Table41[[PED]:[Cross-product comparison]], "&lt;&gt;#N/A")</f>
        <v>1.2766241474071307</v>
      </c>
    </row>
    <row r="131" spans="2:21" x14ac:dyDescent="0.2">
      <c r="B131" s="14" t="e">
        <f t="shared" si="2"/>
        <v>#N/A</v>
      </c>
      <c r="C131" s="40" t="e">
        <f t="shared" si="7"/>
        <v>#N/A</v>
      </c>
      <c r="D131" s="9" t="e">
        <f t="shared" si="8"/>
        <v>#N/A</v>
      </c>
      <c r="E131" s="14" t="e" cm="1">
        <f t="array" ref="E131">IF(MAX(IF(ISNUMBER(Table1[Revenue]), Table1[Revenue]))=Table1[[#This Row],[Revenue]], Table1[[#This Row],[Revenue]], NA())</f>
        <v>#N/A</v>
      </c>
      <c r="F131" s="69" t="e">
        <f>VLOOKUP(E131, Table1[], 2, 0)</f>
        <v>#N/A</v>
      </c>
      <c r="G131" s="39" t="e">
        <f>VLOOKUP(E131, Table1[], 3, 0)</f>
        <v>#N/A</v>
      </c>
      <c r="J131" t="str">
        <f t="shared" si="5"/>
        <v/>
      </c>
      <c r="L131" t="str">
        <f t="shared" si="6"/>
        <v/>
      </c>
      <c r="N131" s="82" t="s">
        <v>2</v>
      </c>
      <c r="O131" s="84" cm="1">
        <f t="array" ref="O131">IF(Table41[[#This Row],[Product]]=Table26[[#All],[Column2]], NA(), VLOOKUP($O$114, Table24[#All], MATCH(N131, Table24[#Headers], 0), 0))</f>
        <v>1.886859462201929</v>
      </c>
      <c r="P131" s="82" t="e" cm="1">
        <f t="array" ref="P131">IF(Table41[[#This Row],[Product]]=Table26[[#All],[Column2]], VLOOKUP($O$114, Table24[#All], MATCH(N131, Table24[#Headers], 0), 0), NA())</f>
        <v>#N/A</v>
      </c>
      <c r="Q131" s="82">
        <f>SUMIF(Table41[[PED]:[Cross-product comparison]], "&lt;&gt;#N/A")/COUNTIF(Table41[[PED]:[Cross-product comparison]], "&lt;&gt;#N/A")</f>
        <v>1.2766241474071307</v>
      </c>
    </row>
    <row r="132" spans="2:21" x14ac:dyDescent="0.2">
      <c r="B132" s="14">
        <f t="shared" si="2"/>
        <v>1610</v>
      </c>
      <c r="C132" s="40">
        <f t="shared" si="7"/>
        <v>70</v>
      </c>
      <c r="D132" s="9">
        <f t="shared" si="8"/>
        <v>23</v>
      </c>
      <c r="E132" s="14" t="e" cm="1">
        <f t="array" ref="E132">IF(MAX(IF(ISNUMBER(Table1[Revenue]), Table1[Revenue]))=Table1[[#This Row],[Revenue]], Table1[[#This Row],[Revenue]], NA())</f>
        <v>#N/A</v>
      </c>
      <c r="F132" s="69" t="e">
        <f>VLOOKUP(E132, Table1[], 2, 0)</f>
        <v>#N/A</v>
      </c>
      <c r="G132" s="39" t="e">
        <f>VLOOKUP(E132, Table1[], 3, 0)</f>
        <v>#N/A</v>
      </c>
      <c r="J132" t="str">
        <f t="shared" si="5"/>
        <v/>
      </c>
      <c r="L132" t="str">
        <f t="shared" si="6"/>
        <v/>
      </c>
      <c r="N132" s="82" t="s">
        <v>5</v>
      </c>
      <c r="O132" s="84" cm="1">
        <f t="array" ref="O132">IF(Table41[[#This Row],[Product]]=Table26[[#All],[Column2]], NA(), VLOOKUP($O$114, Table24[#All], MATCH(N132, Table24[#Headers], 0), 0))</f>
        <v>7.583417593528817E-2</v>
      </c>
      <c r="P132" s="82" t="e" cm="1">
        <f t="array" ref="P132">IF(Table41[[#This Row],[Product]]=Table26[[#All],[Column2]], VLOOKUP($O$114, Table24[#All], MATCH(N132, Table24[#Headers], 0), 0), NA())</f>
        <v>#N/A</v>
      </c>
      <c r="Q132" s="82">
        <f>SUMIF(Table41[[PED]:[Cross-product comparison]], "&lt;&gt;#N/A")/COUNTIF(Table41[[PED]:[Cross-product comparison]], "&lt;&gt;#N/A")</f>
        <v>1.2766241474071307</v>
      </c>
    </row>
    <row r="133" spans="2:21" x14ac:dyDescent="0.2">
      <c r="B133" s="14" t="e">
        <f t="shared" si="2"/>
        <v>#N/A</v>
      </c>
      <c r="C133" s="40" t="e">
        <f t="shared" si="7"/>
        <v>#N/A</v>
      </c>
      <c r="D133" s="9" t="e">
        <f t="shared" si="8"/>
        <v>#N/A</v>
      </c>
      <c r="E133" s="14" t="e" cm="1">
        <f t="array" ref="E133">IF(MAX(IF(ISNUMBER(Table1[Revenue]), Table1[Revenue]))=Table1[[#This Row],[Revenue]], Table1[[#This Row],[Revenue]], NA())</f>
        <v>#N/A</v>
      </c>
      <c r="F133" s="69" t="e">
        <f>VLOOKUP(E133, Table1[], 2, 0)</f>
        <v>#N/A</v>
      </c>
      <c r="G133" s="39" t="e">
        <f>VLOOKUP(E133, Table1[], 3, 0)</f>
        <v>#N/A</v>
      </c>
      <c r="J133" t="str">
        <f t="shared" si="5"/>
        <v/>
      </c>
      <c r="L133" t="str">
        <f t="shared" si="6"/>
        <v/>
      </c>
      <c r="N133" s="82" t="s">
        <v>4</v>
      </c>
      <c r="O133" s="84" cm="1">
        <f t="array" ref="O133">IF(Table41[[#This Row],[Product]]=Table26[[#All],[Column2]], NA(), VLOOKUP($O$114, Table24[#All], MATCH(N133, Table24[#Headers], 0), 0))</f>
        <v>1.3919820114158321</v>
      </c>
      <c r="P133" s="82" t="e" cm="1">
        <f t="array" ref="P133">IF(Table41[[#This Row],[Product]]=Table26[[#All],[Column2]], VLOOKUP($O$114, Table24[#All], MATCH(N133, Table24[#Headers], 0), 0), NA())</f>
        <v>#N/A</v>
      </c>
      <c r="Q133" s="82">
        <f>SUMIF(Table41[[PED]:[Cross-product comparison]], "&lt;&gt;#N/A")/COUNTIF(Table41[[PED]:[Cross-product comparison]], "&lt;&gt;#N/A")</f>
        <v>1.2766241474071307</v>
      </c>
    </row>
    <row r="134" spans="2:21" x14ac:dyDescent="0.2">
      <c r="B134" s="14" t="e">
        <f t="shared" si="2"/>
        <v>#N/A</v>
      </c>
      <c r="C134" s="40" t="e">
        <f t="shared" si="7"/>
        <v>#N/A</v>
      </c>
      <c r="D134" s="9" t="e">
        <f t="shared" si="8"/>
        <v>#N/A</v>
      </c>
      <c r="E134" s="14" t="e" cm="1">
        <f t="array" ref="E134">IF(MAX(IF(ISNUMBER(Table1[Revenue]), Table1[Revenue]))=Table1[[#This Row],[Revenue]], Table1[[#This Row],[Revenue]], NA())</f>
        <v>#N/A</v>
      </c>
      <c r="F134" s="69" t="e">
        <f>VLOOKUP(E134, Table1[], 2, 0)</f>
        <v>#N/A</v>
      </c>
      <c r="G134" s="39" t="e">
        <f>VLOOKUP(E134, Table1[], 3, 0)</f>
        <v>#N/A</v>
      </c>
      <c r="J134" t="str">
        <f t="shared" si="5"/>
        <v/>
      </c>
      <c r="L134" t="str">
        <f t="shared" si="6"/>
        <v/>
      </c>
      <c r="N134" s="82" t="s">
        <v>1</v>
      </c>
      <c r="O134" s="84" t="e" cm="1">
        <f t="array" ref="O134">IF(Table41[[#This Row],[Product]]=Table26[[#All],[Column2]], NA(), VLOOKUP($O$114, Table24[#All], MATCH(N134, Table24[#Headers], 0), 0))</f>
        <v>#N/A</v>
      </c>
      <c r="P134" s="82" cm="1">
        <f t="array" ref="P134">IF(Table41[[#This Row],[Product]]=Table26[[#All],[Column2]], VLOOKUP($O$114, Table24[#All], MATCH(N134, Table24[#Headers], 0), 0), NA())</f>
        <v>2.2198944570090875</v>
      </c>
      <c r="Q134" s="82">
        <f>SUMIF(Table41[[PED]:[Cross-product comparison]], "&lt;&gt;#N/A")/COUNTIF(Table41[[PED]:[Cross-product comparison]], "&lt;&gt;#N/A")</f>
        <v>1.2766241474071307</v>
      </c>
    </row>
    <row r="135" spans="2:21" ht="13" customHeight="1" x14ac:dyDescent="0.2">
      <c r="B135" s="14">
        <f t="shared" si="2"/>
        <v>1960</v>
      </c>
      <c r="C135" s="40">
        <f t="shared" si="7"/>
        <v>70</v>
      </c>
      <c r="D135" s="9">
        <f t="shared" si="8"/>
        <v>28</v>
      </c>
      <c r="E135" s="14" t="e" cm="1">
        <f t="array" ref="E135">IF(MAX(IF(ISNUMBER(Table1[Revenue]), Table1[Revenue]))=Table1[[#This Row],[Revenue]], Table1[[#This Row],[Revenue]], NA())</f>
        <v>#N/A</v>
      </c>
      <c r="F135" s="69" t="e">
        <f>VLOOKUP(E135, Table1[], 2, 0)</f>
        <v>#N/A</v>
      </c>
      <c r="G135" s="39" t="e">
        <f>VLOOKUP(E135, Table1[], 3, 0)</f>
        <v>#N/A</v>
      </c>
      <c r="J135" t="str">
        <f t="shared" si="5"/>
        <v/>
      </c>
      <c r="L135" t="str">
        <f t="shared" si="6"/>
        <v/>
      </c>
      <c r="N135" s="82" t="s">
        <v>3</v>
      </c>
      <c r="O135" s="84" cm="1">
        <f t="array" ref="O135">IF(Table41[[#This Row],[Product]]=Table26[[#All],[Column2]], NA(), VLOOKUP($O$114, Table24[#All], MATCH(N135, Table24[#Headers], 0), 0))</f>
        <v>1.5300829581811488</v>
      </c>
      <c r="P135" s="82" t="e" cm="1">
        <f t="array" ref="P135">IF(Table41[[#This Row],[Product]]=Table26[[#All],[Column2]], VLOOKUP($O$114, Table24[#All], MATCH(N135, Table24[#Headers], 0), 0), NA())</f>
        <v>#N/A</v>
      </c>
      <c r="Q135" s="82">
        <f>SUMIF(Table41[[PED]:[Cross-product comparison]], "&lt;&gt;#N/A")/COUNTIF(Table41[[PED]:[Cross-product comparison]], "&lt;&gt;#N/A")</f>
        <v>1.2766241474071307</v>
      </c>
    </row>
    <row r="136" spans="2:21" x14ac:dyDescent="0.2">
      <c r="B136" s="14" t="e">
        <f t="shared" si="2"/>
        <v>#N/A</v>
      </c>
      <c r="C136" s="40" t="e">
        <f t="shared" si="7"/>
        <v>#N/A</v>
      </c>
      <c r="D136" s="9" t="e">
        <f t="shared" si="8"/>
        <v>#N/A</v>
      </c>
      <c r="E136" s="10" t="e" cm="1">
        <f t="array" ref="E136">IF(MAX(IF(ISNUMBER(Table1[Revenue]), Table1[Revenue]))=Table1[[#This Row],[Revenue]], Table1[[#This Row],[Revenue]], NA())</f>
        <v>#N/A</v>
      </c>
      <c r="F136" s="69" t="e">
        <f>VLOOKUP(E136, Table1[], 2, 0)</f>
        <v>#N/A</v>
      </c>
      <c r="G136" s="39" t="e">
        <f>VLOOKUP(E136, Table1[], 3, 0)</f>
        <v>#N/A</v>
      </c>
      <c r="J136" t="str">
        <f t="shared" si="5"/>
        <v/>
      </c>
      <c r="L136" t="str">
        <f t="shared" si="6"/>
        <v/>
      </c>
      <c r="N136" t="s">
        <v>91</v>
      </c>
      <c r="O136" s="83"/>
    </row>
    <row r="137" spans="2:21" x14ac:dyDescent="0.2">
      <c r="B137" s="14" t="e">
        <f t="shared" si="2"/>
        <v>#N/A</v>
      </c>
      <c r="C137" s="40" t="e">
        <f t="shared" si="7"/>
        <v>#N/A</v>
      </c>
      <c r="D137" s="9" t="e">
        <f t="shared" si="8"/>
        <v>#N/A</v>
      </c>
      <c r="E137" s="10" t="e" cm="1">
        <f t="array" ref="E137">IF(MAX(IF(ISNUMBER(Table1[Revenue]), Table1[Revenue]))=Table1[[#This Row],[Revenue]], Table1[[#This Row],[Revenue]], NA())</f>
        <v>#N/A</v>
      </c>
      <c r="F137" s="69" t="e">
        <f>VLOOKUP(E137, Table1[], 2, 0)</f>
        <v>#N/A</v>
      </c>
      <c r="G137" s="39" t="e">
        <f>VLOOKUP(E137, Table1[], 3, 0)</f>
        <v>#N/A</v>
      </c>
      <c r="J137" t="str">
        <f t="shared" si="5"/>
        <v/>
      </c>
      <c r="L137" t="str">
        <f t="shared" si="6"/>
        <v/>
      </c>
    </row>
    <row r="138" spans="2:21" x14ac:dyDescent="0.2">
      <c r="B138" s="14" t="e">
        <f t="shared" si="2"/>
        <v>#N/A</v>
      </c>
      <c r="C138" s="40" t="e">
        <f t="shared" si="7"/>
        <v>#N/A</v>
      </c>
      <c r="D138" s="9" t="e">
        <f t="shared" si="8"/>
        <v>#N/A</v>
      </c>
      <c r="E138" s="14" t="e" cm="1">
        <f t="array" ref="E138">IF(MAX(IF(ISNUMBER(Table1[Revenue]), Table1[Revenue]))=Table1[[#This Row],[Revenue]], Table1[[#This Row],[Revenue]], NA())</f>
        <v>#N/A</v>
      </c>
      <c r="F138" s="69" t="e">
        <f>VLOOKUP(E138, Table1[], 2, 0)</f>
        <v>#N/A</v>
      </c>
      <c r="G138" s="39" t="e">
        <f>VLOOKUP(E138, Table1[], 3, 0)</f>
        <v>#N/A</v>
      </c>
      <c r="J138" t="str">
        <f t="shared" si="5"/>
        <v/>
      </c>
      <c r="L138" t="str">
        <f t="shared" si="6"/>
        <v/>
      </c>
      <c r="N138" s="41" t="s">
        <v>61</v>
      </c>
      <c r="O138" s="12" t="s">
        <v>202</v>
      </c>
      <c r="P138" s="41" t="s">
        <v>198</v>
      </c>
      <c r="Q138" s="41" t="s">
        <v>199</v>
      </c>
      <c r="R138" s="41" t="s">
        <v>200</v>
      </c>
      <c r="S138" s="41" t="s">
        <v>178</v>
      </c>
      <c r="T138" s="41" t="s">
        <v>206</v>
      </c>
      <c r="U138" s="41" t="s">
        <v>207</v>
      </c>
    </row>
    <row r="139" spans="2:21" x14ac:dyDescent="0.2">
      <c r="B139" s="14" t="e">
        <f t="shared" si="2"/>
        <v>#N/A</v>
      </c>
      <c r="C139" s="40" t="e">
        <f t="shared" si="7"/>
        <v>#N/A</v>
      </c>
      <c r="D139" s="9" t="e">
        <f t="shared" si="8"/>
        <v>#N/A</v>
      </c>
      <c r="E139" s="14" t="e" cm="1">
        <f t="array" ref="E139">IF(MAX(IF(ISNUMBER(Table1[Revenue]), Table1[Revenue]))=Table1[[#This Row],[Revenue]], Table1[[#This Row],[Revenue]], NA())</f>
        <v>#N/A</v>
      </c>
      <c r="F139" s="69" t="e">
        <f>VLOOKUP(E139, Table1[], 2, 0)</f>
        <v>#N/A</v>
      </c>
      <c r="G139" s="39" t="e">
        <f>VLOOKUP(E139, Table1[], 3, 0)</f>
        <v>#N/A</v>
      </c>
      <c r="J139" t="str">
        <f t="shared" si="5"/>
        <v/>
      </c>
      <c r="L139" t="str">
        <f t="shared" si="6"/>
        <v/>
      </c>
      <c r="N139" s="38" t="str">
        <f>VLOOKUP(Table15[[#This Row],[ Revenue]], IF({1,0}, Table2[Revenue], Table2[Order date]), 2, 0)</f>
        <v>03/05</v>
      </c>
      <c r="O139" s="38" t="s">
        <v>205</v>
      </c>
      <c r="P139" s="80" cm="1">
        <f t="array" ref="P139">MAX(IF(ISNUMBER(Table1[Revenue]), Table1[Revenue]))</f>
        <v>3990</v>
      </c>
      <c r="Q139" s="43">
        <f>VLOOKUP(P139, Table1[[Revenue]:[Sales]], 3, 0)</f>
        <v>57</v>
      </c>
      <c r="R139" s="80">
        <f>VLOOKUP(P139, Table1[[Revenue]:[Sales]], 2, 0)</f>
        <v>70</v>
      </c>
      <c r="U139" s="40"/>
    </row>
    <row r="140" spans="2:21" x14ac:dyDescent="0.2">
      <c r="B140" s="14" t="e">
        <f t="shared" si="2"/>
        <v>#N/A</v>
      </c>
      <c r="C140" s="40" t="e">
        <f t="shared" si="7"/>
        <v>#N/A</v>
      </c>
      <c r="D140" s="9" t="e">
        <f t="shared" si="8"/>
        <v>#N/A</v>
      </c>
      <c r="E140" s="14" t="e" cm="1">
        <f t="array" ref="E140">IF(MAX(IF(ISNUMBER(Table1[Revenue]), Table1[Revenue]))=Table1[[#This Row],[Revenue]], Table1[[#This Row],[Revenue]], NA())</f>
        <v>#N/A</v>
      </c>
      <c r="F140" s="69" t="e">
        <f>VLOOKUP(E140, Table1[], 2, 0)</f>
        <v>#N/A</v>
      </c>
      <c r="G140" s="39" t="e">
        <f>VLOOKUP(E140, Table1[], 3, 0)</f>
        <v>#N/A</v>
      </c>
      <c r="J140" t="str">
        <f t="shared" si="5"/>
        <v/>
      </c>
      <c r="L140" t="str">
        <f t="shared" si="6"/>
        <v/>
      </c>
      <c r="N140" s="38"/>
      <c r="O140" s="38" t="s">
        <v>204</v>
      </c>
      <c r="P140" s="80" cm="1">
        <f t="array" ref="P140">AVERAGE(IF(ISNUMBER(Table1[Revenue]), Table1[Revenue]))</f>
        <v>2266.328125</v>
      </c>
      <c r="Q140" s="43" cm="1">
        <f t="array" ref="Q140">AVERAGE(IF(ISNUMBER(Table1[Sales]), Table1[Sales]))</f>
        <v>33.125</v>
      </c>
      <c r="R140" s="80" cm="1">
        <f t="array" ref="R140">AVERAGE(IF(ISNUMBER(Table1[Price]), Table1[Price]))</f>
        <v>68.459374999999994</v>
      </c>
      <c r="S140" s="40">
        <f>R139-Table15[[#This Row],[ Price ]]</f>
        <v>1.5406250000000057</v>
      </c>
      <c r="T140" t="str" cm="1">
        <f t="array" ref="T140">_xlfn.IFS(Table15[[#This Row],[Difference]]&gt;0,"Higher than average", Table15[[#This Row],[Difference]]=0, "Equal to average", Table15[[#This Row],[Difference]]&lt;0, "Lower than average")</f>
        <v>Higher than average</v>
      </c>
      <c r="U140" s="53">
        <f>ABS(Table15[[#This Row],[Difference]])</f>
        <v>1.5406250000000057</v>
      </c>
    </row>
    <row r="141" spans="2:21" x14ac:dyDescent="0.2">
      <c r="B141" s="14" t="e">
        <f t="shared" si="2"/>
        <v>#N/A</v>
      </c>
      <c r="C141" s="40" t="e">
        <f t="shared" si="7"/>
        <v>#N/A</v>
      </c>
      <c r="D141" s="9" t="e">
        <f t="shared" si="8"/>
        <v>#N/A</v>
      </c>
      <c r="E141" s="10" t="e" cm="1">
        <f t="array" ref="E141">IF(MAX(IF(ISNUMBER(Table1[Revenue]), Table1[Revenue]))=Table1[[#This Row],[Revenue]], Table1[[#This Row],[Revenue]], NA())</f>
        <v>#N/A</v>
      </c>
      <c r="F141" s="69" t="e">
        <f>VLOOKUP(E141, Table1[], 2, 0)</f>
        <v>#N/A</v>
      </c>
      <c r="G141" s="39" t="e">
        <f>VLOOKUP(E141, Table1[], 3, 0)</f>
        <v>#N/A</v>
      </c>
      <c r="J141" t="str">
        <f t="shared" si="5"/>
        <v/>
      </c>
      <c r="L141" t="str">
        <f t="shared" si="6"/>
        <v/>
      </c>
      <c r="N141" s="38" t="str">
        <f>VLOOKUP(Table15[[#This Row],[ Revenue]], IF({1,0}, Table2[Revenue], Table2[Order date]), 2, 0)</f>
        <v>04/10</v>
      </c>
      <c r="O141" t="s">
        <v>201</v>
      </c>
      <c r="P141" s="53">
        <f>VLOOKUP($R$141, IF({1,0}, Table1[Price], Table1[Revenue]), 2, 0)</f>
        <v>1998</v>
      </c>
      <c r="Q141" s="14">
        <f>VLOOKUP($R$141, Table1[[Price]:[Sales]], 2, 0)</f>
        <v>27</v>
      </c>
      <c r="R141" s="80" cm="1">
        <f t="array" ref="R141">MAX(IF(ISNUMBER(Table1[Price]), Table1[Price]))</f>
        <v>74</v>
      </c>
      <c r="S141" s="40">
        <f>R139-Table15[[#This Row],[ Price ]]</f>
        <v>-4</v>
      </c>
      <c r="T141" t="str" cm="1">
        <f t="array" ref="T141">_xlfn.IFS(Table15[[#This Row],[Difference]]&gt;0,"Higher than maximum", Table15[[#This Row],[Difference]]=0, "Equal to maximum", Table15[[#This Row],[Difference]]&lt;0, "Lower than maximum")</f>
        <v>Lower than maximum</v>
      </c>
      <c r="U141" s="53">
        <f>IF(ABS(Table15[[#This Row],[Difference]])=0, "", ABS(Table15[[#This Row],[Difference]]))</f>
        <v>4</v>
      </c>
    </row>
    <row r="142" spans="2:21" x14ac:dyDescent="0.2">
      <c r="B142" s="14" t="e">
        <f t="shared" si="2"/>
        <v>#N/A</v>
      </c>
      <c r="C142" s="40" t="e">
        <f t="shared" si="7"/>
        <v>#N/A</v>
      </c>
      <c r="D142" s="9" t="e">
        <f t="shared" si="8"/>
        <v>#N/A</v>
      </c>
      <c r="E142" s="14" t="e" cm="1">
        <f t="array" ref="E142">IF(MAX(IF(ISNUMBER(Table1[Revenue]), Table1[Revenue]))=Table1[[#This Row],[Revenue]], Table1[[#This Row],[Revenue]], NA())</f>
        <v>#N/A</v>
      </c>
      <c r="F142" s="69" t="e">
        <f>VLOOKUP(E142, Table1[], 2, 0)</f>
        <v>#N/A</v>
      </c>
      <c r="G142" s="39" t="e">
        <f>VLOOKUP(E142, Table1[], 3, 0)</f>
        <v>#N/A</v>
      </c>
      <c r="J142" t="str">
        <f t="shared" si="5"/>
        <v/>
      </c>
      <c r="L142" t="str">
        <f t="shared" si="6"/>
        <v/>
      </c>
      <c r="N142" s="38" t="str">
        <f>VLOOKUP(Table15[[#This Row],[ Revenue]], IF({1,0}, Table2[Revenue], Table2[Order date]), 2, 0)</f>
        <v>01/07</v>
      </c>
      <c r="O142" s="38" t="s">
        <v>203</v>
      </c>
      <c r="P142" s="40">
        <f>VLOOKUP($Q$142, IF({1,0}, Table1[Sales], Table1[Revenue]), 2, 0)</f>
        <v>3886.3300000000004</v>
      </c>
      <c r="Q142" s="43" cm="1">
        <f t="array" ref="Q142">MAX(IF(ISNUMBER(Table1[Sales]), Table1[Sales]))</f>
        <v>59</v>
      </c>
      <c r="R142" s="40">
        <f>VLOOKUP($Q$142, IF({1,0}, Table1[Sales], Table1[Price]), 2, 0)</f>
        <v>65.87</v>
      </c>
      <c r="U142" s="40"/>
    </row>
    <row r="143" spans="2:21" x14ac:dyDescent="0.2">
      <c r="B143" s="14" t="e">
        <f t="shared" si="2"/>
        <v>#N/A</v>
      </c>
      <c r="C143" s="40" t="e">
        <f t="shared" si="7"/>
        <v>#N/A</v>
      </c>
      <c r="D143" s="9" t="e">
        <f t="shared" si="8"/>
        <v>#N/A</v>
      </c>
      <c r="E143" s="10" t="e" cm="1">
        <f t="array" ref="E143">IF(MAX(IF(ISNUMBER(Table1[Revenue]), Table1[Revenue]))=Table1[[#This Row],[Revenue]], Table1[[#This Row],[Revenue]], NA())</f>
        <v>#N/A</v>
      </c>
      <c r="F143" s="69" t="e">
        <f>VLOOKUP(E143, Table1[], 2, 0)</f>
        <v>#N/A</v>
      </c>
      <c r="G143" s="39" t="e">
        <f>VLOOKUP(E143, Table1[], 3, 0)</f>
        <v>#N/A</v>
      </c>
      <c r="J143" t="str">
        <f t="shared" si="5"/>
        <v/>
      </c>
      <c r="L143" t="str">
        <f t="shared" si="6"/>
        <v/>
      </c>
    </row>
    <row r="144" spans="2:21" x14ac:dyDescent="0.2">
      <c r="B144" s="14">
        <f t="shared" si="2"/>
        <v>1971</v>
      </c>
      <c r="C144" s="40">
        <f t="shared" si="7"/>
        <v>73</v>
      </c>
      <c r="D144" s="9">
        <f t="shared" si="8"/>
        <v>27</v>
      </c>
      <c r="E144" s="10" t="e" cm="1">
        <f t="array" ref="E144">IF(MAX(IF(ISNUMBER(Table1[Revenue]), Table1[Revenue]))=Table1[[#This Row],[Revenue]], Table1[[#This Row],[Revenue]], NA())</f>
        <v>#N/A</v>
      </c>
      <c r="F144" s="69" t="e">
        <f>VLOOKUP(E144, Table1[], 2, 0)</f>
        <v>#N/A</v>
      </c>
      <c r="G144" s="39" t="e">
        <f>VLOOKUP(E144, Table1[], 3, 0)</f>
        <v>#N/A</v>
      </c>
      <c r="J144" t="str">
        <f t="shared" si="5"/>
        <v/>
      </c>
      <c r="L144" t="str">
        <f t="shared" si="6"/>
        <v/>
      </c>
    </row>
    <row r="145" spans="2:23" x14ac:dyDescent="0.2">
      <c r="B145" s="14" t="e">
        <f t="shared" si="2"/>
        <v>#N/A</v>
      </c>
      <c r="C145" s="40" t="e">
        <f t="shared" si="7"/>
        <v>#N/A</v>
      </c>
      <c r="D145" s="9" t="e">
        <f t="shared" si="8"/>
        <v>#N/A</v>
      </c>
      <c r="E145" s="10" t="e" cm="1">
        <f t="array" ref="E145">IF(MAX(IF(ISNUMBER(Table1[Revenue]), Table1[Revenue]))=Table1[[#This Row],[Revenue]], Table1[[#This Row],[Revenue]], NA())</f>
        <v>#N/A</v>
      </c>
      <c r="F145" s="69" t="e">
        <f>VLOOKUP(E145, Table1[], 2, 0)</f>
        <v>#N/A</v>
      </c>
      <c r="G145" s="39" t="e">
        <f>VLOOKUP(E145, Table1[], 3, 0)</f>
        <v>#N/A</v>
      </c>
      <c r="J145" t="str">
        <f t="shared" si="5"/>
        <v/>
      </c>
      <c r="L145" t="str">
        <f t="shared" si="6"/>
        <v/>
      </c>
      <c r="N145" s="3" t="s">
        <v>236</v>
      </c>
    </row>
    <row r="146" spans="2:23" x14ac:dyDescent="0.2">
      <c r="B146" s="14">
        <f t="shared" si="2"/>
        <v>1998</v>
      </c>
      <c r="C146" s="40">
        <f t="shared" si="7"/>
        <v>74</v>
      </c>
      <c r="D146" s="9">
        <f t="shared" si="8"/>
        <v>27</v>
      </c>
      <c r="E146" s="14" t="e" cm="1">
        <f t="array" ref="E146">IF(MAX(IF(ISNUMBER(Table1[Revenue]), Table1[Revenue]))=Table1[[#This Row],[Revenue]], Table1[[#This Row],[Revenue]], NA())</f>
        <v>#N/A</v>
      </c>
      <c r="F146" s="69" t="e">
        <f>VLOOKUP(E146, Table1[], 2, 0)</f>
        <v>#N/A</v>
      </c>
      <c r="G146" s="39" t="e">
        <f>VLOOKUP(E146, Table1[], 3, 0)</f>
        <v>#N/A</v>
      </c>
      <c r="J146" t="str">
        <f t="shared" si="5"/>
        <v/>
      </c>
      <c r="L146">
        <f t="shared" si="6"/>
        <v>27</v>
      </c>
      <c r="N146" s="81" t="str">
        <f>"This optimal level was calculated when having reached the maximum revenue on: "&amp;N139</f>
        <v>This optimal level was calculated when having reached the maximum revenue on: 03/05</v>
      </c>
    </row>
    <row r="147" spans="2:23" x14ac:dyDescent="0.2">
      <c r="B147" s="14" t="e">
        <f t="shared" si="2"/>
        <v>#N/A</v>
      </c>
      <c r="C147" s="40" t="e">
        <f t="shared" si="7"/>
        <v>#N/A</v>
      </c>
      <c r="D147" s="9" t="e">
        <f t="shared" si="8"/>
        <v>#N/A</v>
      </c>
      <c r="E147" s="14" t="e" cm="1">
        <f t="array" ref="E147">IF(MAX(IF(ISNUMBER(Table1[Revenue]), Table1[Revenue]))=Table1[[#This Row],[Revenue]], Table1[[#This Row],[Revenue]], NA())</f>
        <v>#N/A</v>
      </c>
      <c r="F147" s="69" t="e">
        <f>VLOOKUP(E147, Table1[], 2, 0)</f>
        <v>#N/A</v>
      </c>
      <c r="G147" s="39" t="e">
        <f>VLOOKUP(E147, Table1[], 3, 0)</f>
        <v>#N/A</v>
      </c>
      <c r="J147" t="str">
        <f t="shared" si="5"/>
        <v/>
      </c>
      <c r="L147" t="str">
        <f t="shared" si="6"/>
        <v/>
      </c>
      <c r="N147" t="str">
        <f>IF(R147&lt;15, "These results may be inaccurate due to limited data points. (&lt;15)", "")</f>
        <v/>
      </c>
      <c r="R147">
        <f>COUNTIF(Table1[Price], "&lt;&gt;#N/A")</f>
        <v>16</v>
      </c>
    </row>
    <row r="148" spans="2:23" x14ac:dyDescent="0.2">
      <c r="I148">
        <f>SUBTOTAL(109,Table16[Minimum price])</f>
        <v>65.87</v>
      </c>
      <c r="J148">
        <f>AVERAGE(Table16[Minimum price -corresponding sales])</f>
        <v>35</v>
      </c>
      <c r="K148">
        <f>SUBTOTAL(109,Table16[Maximum price])</f>
        <v>74</v>
      </c>
      <c r="L148">
        <f>SUBTOTAL(101,Table16[Maximum price - corresponding sales])</f>
        <v>27</v>
      </c>
      <c r="N148" t="str" cm="1">
        <f t="array" ref="N148">_xlfn.IFS(O111=0, "PERFECTLY INELASTIC", O111&lt;1, "INELASTIC DEMAND", O111=1, "UNIT ELASTIC", O111&gt;1, "ELASTIC DEMAND")</f>
        <v>ELASTIC DEMAND</v>
      </c>
    </row>
    <row r="149" spans="2:23" x14ac:dyDescent="0.2">
      <c r="B149" s="39"/>
      <c r="C149" s="39"/>
      <c r="D149" s="39"/>
    </row>
    <row r="150" spans="2:23" x14ac:dyDescent="0.2">
      <c r="W150" s="54"/>
    </row>
    <row r="151" spans="2:23" x14ac:dyDescent="0.2">
      <c r="W151" s="54"/>
    </row>
    <row r="152" spans="2:23" x14ac:dyDescent="0.2">
      <c r="B152" s="9" t="s">
        <v>8</v>
      </c>
      <c r="C152" s="9" t="s">
        <v>113</v>
      </c>
      <c r="D152" s="9" t="s">
        <v>166</v>
      </c>
      <c r="E152" s="9" t="s">
        <v>109</v>
      </c>
      <c r="F152" s="133" t="s">
        <v>111</v>
      </c>
      <c r="I152" t="s">
        <v>95</v>
      </c>
      <c r="J152" s="9" t="s">
        <v>177</v>
      </c>
      <c r="K152" s="9" t="s">
        <v>93</v>
      </c>
      <c r="L152" s="9" t="s">
        <v>92</v>
      </c>
    </row>
    <row r="153" spans="2:23" x14ac:dyDescent="0.2">
      <c r="B153" s="19" t="s">
        <v>1</v>
      </c>
      <c r="C153" s="27">
        <v>0.1571330117160579</v>
      </c>
      <c r="D153" s="27">
        <v>0.21008199781214851</v>
      </c>
      <c r="E153" s="27">
        <v>0.18386861319929809</v>
      </c>
      <c r="F153" s="133">
        <v>0.11811531683275736</v>
      </c>
      <c r="I153" s="55" t="s">
        <v>1</v>
      </c>
      <c r="J153" s="54">
        <f t="shared" ref="J153:J158" si="9">GETPIVOTDATA("QTY", $B$152, "PRODUCT_DESCRIPTION", $I153)</f>
        <v>0.1571330117160579</v>
      </c>
      <c r="K153" s="54">
        <f t="shared" ref="K153:K158" si="10">GETPIVOTDATA("Revenue", $B$152, "PRODUCT_DESCRIPTION", $I153)</f>
        <v>0.21008199781214851</v>
      </c>
      <c r="L153" s="54">
        <f t="shared" ref="L153:L158" si="11">GETPIVOTDATA("PROFIT", $B$152, "PRODUCT_DESCRIPTION", $I153)</f>
        <v>0.18386861319929809</v>
      </c>
    </row>
    <row r="154" spans="2:23" x14ac:dyDescent="0.2">
      <c r="B154" s="19" t="s">
        <v>2</v>
      </c>
      <c r="C154" s="27">
        <v>0.11543762922122675</v>
      </c>
      <c r="D154" s="27">
        <v>0.20926540851160655</v>
      </c>
      <c r="E154" s="27">
        <v>0.16059741202280925</v>
      </c>
      <c r="F154" s="133">
        <v>0.10356870702179709</v>
      </c>
      <c r="I154" s="55" t="s">
        <v>2</v>
      </c>
      <c r="J154" s="54">
        <f t="shared" si="9"/>
        <v>0.11543762922122675</v>
      </c>
      <c r="K154" s="54">
        <f t="shared" si="10"/>
        <v>0.20926540851160655</v>
      </c>
      <c r="L154" s="54">
        <f t="shared" si="11"/>
        <v>0.16059741202280925</v>
      </c>
    </row>
    <row r="155" spans="2:23" x14ac:dyDescent="0.2">
      <c r="B155" s="19" t="s">
        <v>3</v>
      </c>
      <c r="C155" s="27">
        <v>9.602572938203538E-2</v>
      </c>
      <c r="D155" s="27">
        <v>0.15267714164966725</v>
      </c>
      <c r="E155" s="27">
        <v>0.12374842330690781</v>
      </c>
      <c r="F155" s="133">
        <v>0.10938382628405008</v>
      </c>
      <c r="I155" s="55" t="s">
        <v>3</v>
      </c>
      <c r="J155" s="54">
        <f t="shared" si="9"/>
        <v>9.602572938203538E-2</v>
      </c>
      <c r="K155" s="54">
        <f t="shared" si="10"/>
        <v>0.15267714164966725</v>
      </c>
      <c r="L155" s="54">
        <f t="shared" si="11"/>
        <v>0.12374842330690781</v>
      </c>
    </row>
    <row r="156" spans="2:23" x14ac:dyDescent="0.2">
      <c r="B156" s="19" t="s">
        <v>4</v>
      </c>
      <c r="C156" s="27">
        <v>0.14174132781989432</v>
      </c>
      <c r="D156" s="27">
        <v>0.13848004387895563</v>
      </c>
      <c r="E156" s="27">
        <v>0.13448347160623814</v>
      </c>
      <c r="F156" s="133">
        <v>0.13105970215925791</v>
      </c>
      <c r="I156" s="55" t="s">
        <v>4</v>
      </c>
      <c r="J156" s="54">
        <f t="shared" si="9"/>
        <v>0.14174132781989432</v>
      </c>
      <c r="K156" s="54">
        <f t="shared" si="10"/>
        <v>0.13848004387895563</v>
      </c>
      <c r="L156" s="54">
        <f t="shared" si="11"/>
        <v>0.13448347160623814</v>
      </c>
    </row>
    <row r="157" spans="2:23" x14ac:dyDescent="0.2">
      <c r="B157" s="19" t="s">
        <v>5</v>
      </c>
      <c r="C157" s="27">
        <v>0.23604410751206065</v>
      </c>
      <c r="D157" s="27">
        <v>0.13029366554058597</v>
      </c>
      <c r="E157" s="27">
        <v>0.17487388531223708</v>
      </c>
      <c r="F157" s="133">
        <v>0.18112946923890691</v>
      </c>
      <c r="I157" s="55" t="s">
        <v>5</v>
      </c>
      <c r="J157" s="54">
        <f t="shared" si="9"/>
        <v>0.23604410751206065</v>
      </c>
      <c r="K157" s="54">
        <f t="shared" si="10"/>
        <v>0.13029366554058597</v>
      </c>
      <c r="L157" s="54">
        <f t="shared" si="11"/>
        <v>0.17487388531223708</v>
      </c>
    </row>
    <row r="158" spans="2:23" x14ac:dyDescent="0.2">
      <c r="B158" s="19" t="s">
        <v>6</v>
      </c>
      <c r="C158" s="27">
        <v>0.25361819434872501</v>
      </c>
      <c r="D158" s="27">
        <v>0.1592017426070361</v>
      </c>
      <c r="E158" s="27">
        <v>0.22242819455250951</v>
      </c>
      <c r="F158" s="133">
        <v>0.18855127654632073</v>
      </c>
      <c r="I158" s="55" t="s">
        <v>6</v>
      </c>
      <c r="J158" s="54">
        <f t="shared" si="9"/>
        <v>0.25361819434872501</v>
      </c>
      <c r="K158" s="54">
        <f t="shared" si="10"/>
        <v>0.1592017426070361</v>
      </c>
      <c r="L158" s="54">
        <f t="shared" si="11"/>
        <v>0.22242819455250951</v>
      </c>
    </row>
    <row r="159" spans="2:23" x14ac:dyDescent="0.2">
      <c r="B159" s="19" t="s">
        <v>7</v>
      </c>
      <c r="C159" s="27">
        <v>1</v>
      </c>
      <c r="D159" s="27">
        <v>1</v>
      </c>
      <c r="E159" s="27">
        <v>1</v>
      </c>
      <c r="F159" s="133">
        <v>0.13495452704341865</v>
      </c>
    </row>
    <row r="161" spans="2:29" ht="15" x14ac:dyDescent="0.2">
      <c r="F161"/>
    </row>
    <row r="162" spans="2:29" ht="15" x14ac:dyDescent="0.2">
      <c r="F162"/>
    </row>
    <row r="163" spans="2:29" x14ac:dyDescent="0.2">
      <c r="B163" s="9" t="s">
        <v>8</v>
      </c>
      <c r="C163" s="9" t="s">
        <v>113</v>
      </c>
      <c r="D163" s="9" t="s">
        <v>166</v>
      </c>
      <c r="E163" s="9" t="s">
        <v>109</v>
      </c>
      <c r="F163" s="133" t="s">
        <v>111</v>
      </c>
      <c r="G163" s="9" t="s">
        <v>110</v>
      </c>
      <c r="I163" s="57" t="s">
        <v>51</v>
      </c>
      <c r="J163" s="58" t="s">
        <v>93</v>
      </c>
      <c r="K163" s="57" t="s">
        <v>108</v>
      </c>
      <c r="L163" s="57" t="s">
        <v>107</v>
      </c>
    </row>
    <row r="164" spans="2:29" x14ac:dyDescent="0.2">
      <c r="B164" s="19" t="s">
        <v>1</v>
      </c>
      <c r="C164">
        <v>1368</v>
      </c>
      <c r="D164">
        <v>93732.89</v>
      </c>
      <c r="E164">
        <v>11071.289999999994</v>
      </c>
      <c r="F164" s="133">
        <v>0.11811531683275736</v>
      </c>
      <c r="G164" s="9">
        <v>60.425146198830411</v>
      </c>
      <c r="I164" s="18">
        <f>MAX(C164:C169)</f>
        <v>2208</v>
      </c>
      <c r="J164" s="59">
        <f>MAX(D164:D169)</f>
        <v>93732.89</v>
      </c>
      <c r="K164" s="6">
        <f>MAX(F164:F169)</f>
        <v>0.18855127654632073</v>
      </c>
      <c r="L164" s="60">
        <f>MIN(G164:G169)</f>
        <v>23.164871046228711</v>
      </c>
    </row>
    <row r="165" spans="2:29" x14ac:dyDescent="0.2">
      <c r="B165" s="19" t="s">
        <v>2</v>
      </c>
      <c r="C165">
        <v>1005</v>
      </c>
      <c r="D165">
        <v>93368.55</v>
      </c>
      <c r="E165">
        <v>9670.0600000000122</v>
      </c>
      <c r="F165" s="133">
        <v>0.10356870702179709</v>
      </c>
      <c r="G165" s="9">
        <v>83.282079601990034</v>
      </c>
      <c r="I165" s="27" t="str">
        <f>VLOOKUP(I164, IF({1,0}, C164:C169, $B$164:$B$169), 2, 0)</f>
        <v>Yoghurt</v>
      </c>
      <c r="J165" s="27" t="str">
        <f>VLOOKUP(J164, IF({1,0}, D164:D169, $B$164:$B$169), 2, 0)</f>
        <v>Butter</v>
      </c>
      <c r="K165" s="27" t="str">
        <f>VLOOKUP(K164, IF({1,0}, F164:F169, $B$164:$B$169), 2, 0)</f>
        <v>Yoghurt</v>
      </c>
      <c r="L165" s="27" t="str">
        <f>VLOOKUP(L164, IF({1,0}, G164:G169, $B$164:$B$169), 2, 0)</f>
        <v>Milk</v>
      </c>
      <c r="R165" s="48"/>
    </row>
    <row r="166" spans="2:29" x14ac:dyDescent="0.2">
      <c r="B166" s="19" t="s">
        <v>3</v>
      </c>
      <c r="C166">
        <v>836</v>
      </c>
      <c r="D166">
        <v>68120.399999999994</v>
      </c>
      <c r="E166">
        <v>7451.2700000000041</v>
      </c>
      <c r="F166" s="133">
        <v>0.10938382628405008</v>
      </c>
      <c r="G166" s="9">
        <v>72.570729665071752</v>
      </c>
      <c r="R166" s="48"/>
    </row>
    <row r="167" spans="2:29" x14ac:dyDescent="0.2">
      <c r="B167" s="19" t="s">
        <v>4</v>
      </c>
      <c r="C167">
        <v>1234</v>
      </c>
      <c r="D167">
        <v>61786.04</v>
      </c>
      <c r="E167">
        <v>8097.6599999999962</v>
      </c>
      <c r="F167" s="133">
        <v>0.13105970215925791</v>
      </c>
      <c r="G167" s="9">
        <v>43.507601296596441</v>
      </c>
    </row>
    <row r="168" spans="2:29" x14ac:dyDescent="0.2">
      <c r="B168" s="19" t="s">
        <v>5</v>
      </c>
      <c r="C168">
        <v>2055</v>
      </c>
      <c r="D168">
        <v>58133.5</v>
      </c>
      <c r="E168">
        <v>10529.689999999995</v>
      </c>
      <c r="F168" s="133">
        <v>0.18112946923890691</v>
      </c>
      <c r="G168" s="9">
        <v>23.164871046228711</v>
      </c>
      <c r="Z168" s="9"/>
    </row>
    <row r="169" spans="2:29" x14ac:dyDescent="0.2">
      <c r="B169" s="19" t="s">
        <v>6</v>
      </c>
      <c r="C169">
        <v>2208</v>
      </c>
      <c r="D169">
        <v>71031.5</v>
      </c>
      <c r="E169">
        <v>13393.07999999998</v>
      </c>
      <c r="F169" s="133">
        <v>0.18855127654632073</v>
      </c>
      <c r="G169" s="9">
        <v>26.104356884057982</v>
      </c>
      <c r="P169" s="9"/>
      <c r="R169" s="9"/>
      <c r="S169" s="9"/>
      <c r="T169" s="9"/>
      <c r="U169" s="9"/>
      <c r="Z169" s="9"/>
      <c r="AA169" s="9"/>
      <c r="AB169" s="9"/>
      <c r="AC169" s="9"/>
    </row>
    <row r="170" spans="2:29" x14ac:dyDescent="0.2">
      <c r="B170" s="19" t="s">
        <v>7</v>
      </c>
      <c r="C170">
        <v>8706</v>
      </c>
      <c r="D170">
        <v>446172.88</v>
      </c>
      <c r="E170">
        <v>60213.049999999988</v>
      </c>
      <c r="F170" s="133">
        <v>0.13495452704341865</v>
      </c>
      <c r="G170" s="9">
        <v>44.332624626694233</v>
      </c>
      <c r="P170" s="9"/>
      <c r="R170" s="9"/>
      <c r="S170" s="9"/>
      <c r="T170" s="9"/>
      <c r="U170" s="9"/>
      <c r="Z170" s="9"/>
      <c r="AA170" s="9"/>
      <c r="AB170" s="9"/>
      <c r="AC170" s="9"/>
    </row>
    <row r="171" spans="2:29" x14ac:dyDescent="0.2">
      <c r="P171" s="9"/>
      <c r="R171" s="9"/>
      <c r="S171" s="9"/>
      <c r="T171" s="9"/>
      <c r="U171" s="9"/>
      <c r="Z171" s="9"/>
      <c r="AA171" s="9"/>
      <c r="AB171" s="9"/>
      <c r="AC171" s="9"/>
    </row>
    <row r="172" spans="2:29" x14ac:dyDescent="0.2">
      <c r="D172" s="28"/>
      <c r="P172" s="9"/>
      <c r="R172" s="9"/>
      <c r="S172" s="9"/>
      <c r="T172" s="9"/>
      <c r="U172" s="9"/>
      <c r="Z172" s="9"/>
      <c r="AA172" s="9"/>
      <c r="AB172" s="9"/>
      <c r="AC172" s="9"/>
    </row>
    <row r="173" spans="2:29" x14ac:dyDescent="0.2">
      <c r="D173" s="28"/>
      <c r="N173" s="9"/>
      <c r="O173" s="9"/>
      <c r="P173" s="9"/>
      <c r="R173" s="9"/>
      <c r="S173" s="9"/>
      <c r="T173" s="9"/>
      <c r="U173" s="9"/>
      <c r="Z173" s="9"/>
      <c r="AA173" s="9"/>
      <c r="AB173" s="9"/>
      <c r="AC173" s="9"/>
    </row>
    <row r="174" spans="2:29" x14ac:dyDescent="0.2">
      <c r="B174" s="123" t="s">
        <v>174</v>
      </c>
      <c r="C174" s="123" t="s">
        <v>202</v>
      </c>
      <c r="D174" s="123" t="s">
        <v>248</v>
      </c>
      <c r="N174" s="9"/>
      <c r="O174" s="9"/>
      <c r="P174" s="9"/>
      <c r="R174" s="9"/>
      <c r="S174" s="9"/>
      <c r="T174" s="9"/>
      <c r="U174" s="9"/>
      <c r="Z174" s="9"/>
      <c r="AA174" s="9"/>
      <c r="AB174" s="9"/>
      <c r="AC174" s="9"/>
    </row>
    <row r="175" spans="2:29" x14ac:dyDescent="0.2">
      <c r="B175" s="57">
        <f>Dashboard!L21</f>
        <v>4000</v>
      </c>
      <c r="C175" s="57" t="str">
        <f>Dashboard!L19</f>
        <v>Profit</v>
      </c>
      <c r="D175" s="57" t="str">
        <f>Dashboard!O19</f>
        <v>04/08</v>
      </c>
      <c r="N175" s="9"/>
      <c r="O175" s="9"/>
      <c r="P175" s="9"/>
      <c r="R175" s="9"/>
      <c r="S175" s="9"/>
      <c r="T175" s="9"/>
      <c r="U175" s="9"/>
      <c r="Z175" s="9"/>
      <c r="AA175" s="9"/>
      <c r="AB175" s="9"/>
      <c r="AC175" s="9"/>
    </row>
    <row r="176" spans="2:29" x14ac:dyDescent="0.2">
      <c r="N176" s="9"/>
      <c r="O176" s="9"/>
      <c r="P176" s="9"/>
      <c r="R176" s="9"/>
      <c r="S176" s="9"/>
      <c r="T176" s="9"/>
      <c r="U176" s="9"/>
      <c r="Z176" s="9"/>
      <c r="AA176" s="9"/>
      <c r="AB176" s="9"/>
      <c r="AC176" s="9"/>
    </row>
    <row r="177" spans="2:29" x14ac:dyDescent="0.2">
      <c r="N177" s="9"/>
      <c r="O177" s="9"/>
      <c r="P177" s="9"/>
      <c r="Q177" t="str">
        <f>IFERROR(VLOOKUP($I$104, C116:D116, 2, 0), "")</f>
        <v/>
      </c>
      <c r="R177" s="9"/>
      <c r="S177" s="9"/>
      <c r="T177" s="9"/>
      <c r="U177" s="9"/>
      <c r="Z177" s="9"/>
      <c r="AA177" s="9"/>
      <c r="AB177" s="9"/>
      <c r="AC177" s="9"/>
    </row>
    <row r="178" spans="2:29" ht="15" x14ac:dyDescent="0.2">
      <c r="F178"/>
      <c r="N178" s="9"/>
      <c r="O178" s="9"/>
      <c r="P178" s="9"/>
      <c r="Q178" t="str">
        <f>IFERROR(VLOOKUP($I$104, C117:D117, 2, 0), "")</f>
        <v/>
      </c>
      <c r="R178" s="9"/>
      <c r="S178" s="9"/>
      <c r="T178" s="9"/>
      <c r="U178" s="9"/>
      <c r="Z178" s="9"/>
      <c r="AA178" s="9"/>
      <c r="AB178" s="9"/>
      <c r="AC178" s="9"/>
    </row>
    <row r="179" spans="2:29" x14ac:dyDescent="0.2">
      <c r="B179" t="s">
        <v>95</v>
      </c>
      <c r="C179" s="56" t="s">
        <v>249</v>
      </c>
      <c r="D179" t="s">
        <v>250</v>
      </c>
      <c r="E179" s="56" t="s">
        <v>251</v>
      </c>
      <c r="F179" s="65" t="s">
        <v>252</v>
      </c>
      <c r="G179" s="56" t="s">
        <v>178</v>
      </c>
      <c r="H179" s="56" t="s">
        <v>245</v>
      </c>
      <c r="N179" s="9"/>
      <c r="O179" s="9"/>
      <c r="P179" s="9"/>
      <c r="Q179" t="str">
        <f>IFERROR(VLOOKUP($I$104, C118:D118, 2, 0), "")</f>
        <v/>
      </c>
      <c r="R179" s="9"/>
      <c r="S179" s="9"/>
      <c r="T179" s="9"/>
      <c r="U179" s="9"/>
      <c r="AA179" s="9"/>
      <c r="AB179" s="9"/>
      <c r="AC179" s="9"/>
    </row>
    <row r="180" spans="2:29" x14ac:dyDescent="0.2">
      <c r="B180" s="55" t="s">
        <v>1</v>
      </c>
      <c r="C180" s="6">
        <f>VLOOKUP($B180, Table18[#All], MATCH(C$175, Table18[#Headers], 0), 0)</f>
        <v>0.18386861319929809</v>
      </c>
      <c r="D180" s="6">
        <f t="shared" ref="D180:D185" si="12">F180/SUM($F$180:$F$185)</f>
        <v>0.13966836734693877</v>
      </c>
      <c r="E180" s="18">
        <f t="shared" ref="E180:E185" si="13">C180*$B$175</f>
        <v>735.47445279719238</v>
      </c>
      <c r="F180" s="65">
        <f>GETPIVOTDATA("Target Pruchase Level",Historical_Stock!$I$423,"Product",Sales!B180,"Date",Sales!$D$175)</f>
        <v>657</v>
      </c>
      <c r="G180" s="11">
        <f t="shared" ref="G180:G185" si="14">E180-F180</f>
        <v>78.474452797192384</v>
      </c>
      <c r="H180" t="str" cm="1">
        <f t="array" ref="H180">_xlfn.IFS(G180&gt;Dashboard!$O$21, "Lower than target",AND(G180&gt;-Dashboard!$O$21, G180&lt;Dashboard!$O$21), "On target", G180&lt;-Dashboard!$O$21, "Higher than target")</f>
        <v>On target</v>
      </c>
    </row>
    <row r="181" spans="2:29" x14ac:dyDescent="0.2">
      <c r="B181" s="55" t="s">
        <v>2</v>
      </c>
      <c r="C181" s="6">
        <f>VLOOKUP($B181, Table18[#All], MATCH(C$175, Table18[#Headers], 0), 0)</f>
        <v>0.16059741202280925</v>
      </c>
      <c r="D181" s="6">
        <f t="shared" si="12"/>
        <v>0.12755102040816327</v>
      </c>
      <c r="E181" s="18">
        <f t="shared" si="13"/>
        <v>642.38964809123695</v>
      </c>
      <c r="F181" s="65">
        <f>GETPIVOTDATA("Target Pruchase Level",Historical_Stock!$I$423,"Product",Sales!B181,"Date",Sales!$D$175)</f>
        <v>600</v>
      </c>
      <c r="G181" s="11">
        <f t="shared" si="14"/>
        <v>42.38964809123695</v>
      </c>
      <c r="H181" t="str" cm="1">
        <f t="array" ref="H181">_xlfn.IFS(G181&gt;Dashboard!$O$21, "Lower than target",AND(G181&gt;-Dashboard!$O$21, G181&lt;Dashboard!$O$21), "On target", G181&lt;-Dashboard!$O$21, "Higher than target")</f>
        <v>On target</v>
      </c>
      <c r="Q181" t="str">
        <f t="shared" ref="Q181:Q185" si="15">IFERROR(VLOOKUP($I$104, C120:D120, 2, 0), "")</f>
        <v/>
      </c>
    </row>
    <row r="182" spans="2:29" x14ac:dyDescent="0.2">
      <c r="B182" s="55" t="s">
        <v>3</v>
      </c>
      <c r="C182" s="6">
        <f>VLOOKUP($B182, Table18[#All], MATCH(C$175, Table18[#Headers], 0), 0)</f>
        <v>0.12374842330690781</v>
      </c>
      <c r="D182" s="6">
        <f t="shared" si="12"/>
        <v>0.13860544217687074</v>
      </c>
      <c r="E182" s="18">
        <f t="shared" si="13"/>
        <v>494.99369322763124</v>
      </c>
      <c r="F182" s="65">
        <f>GETPIVOTDATA("Target Pruchase Level",Historical_Stock!$I$423,"Product",Sales!B182,"Date",Sales!$D$175)</f>
        <v>652</v>
      </c>
      <c r="G182" s="11">
        <f t="shared" si="14"/>
        <v>-157.00630677236876</v>
      </c>
      <c r="H182" t="str" cm="1">
        <f t="array" ref="H182">_xlfn.IFS(G182&gt;Dashboard!$O$21, "Lower than target",AND(G182&gt;-Dashboard!$O$21, G182&lt;Dashboard!$O$21), "On target", G182&lt;-Dashboard!$O$21, "Higher than target")</f>
        <v>Higher than target</v>
      </c>
      <c r="Q182" t="str">
        <f t="shared" si="15"/>
        <v/>
      </c>
    </row>
    <row r="183" spans="2:29" x14ac:dyDescent="0.2">
      <c r="B183" s="55" t="s">
        <v>4</v>
      </c>
      <c r="C183" s="6">
        <f>VLOOKUP($B183, Table18[#All], MATCH(C$175, Table18[#Headers], 0), 0)</f>
        <v>0.13448347160623814</v>
      </c>
      <c r="D183" s="6">
        <f t="shared" si="12"/>
        <v>0.12755102040816327</v>
      </c>
      <c r="E183" s="18">
        <f t="shared" si="13"/>
        <v>537.93388642495256</v>
      </c>
      <c r="F183" s="65">
        <f>GETPIVOTDATA("Target Pruchase Level",Historical_Stock!$I$423,"Product",Sales!B183,"Date",Sales!$D$175)</f>
        <v>600</v>
      </c>
      <c r="G183" s="11">
        <f t="shared" si="14"/>
        <v>-62.066113575047439</v>
      </c>
      <c r="H183" t="str" cm="1">
        <f t="array" ref="H183">_xlfn.IFS(G183&gt;Dashboard!$O$21, "Lower than target",AND(G183&gt;-Dashboard!$O$21, G183&lt;Dashboard!$O$21), "On target", G183&lt;-Dashboard!$O$21, "Higher than target")</f>
        <v>On target</v>
      </c>
      <c r="Q183" t="str">
        <f t="shared" si="15"/>
        <v/>
      </c>
    </row>
    <row r="184" spans="2:29" x14ac:dyDescent="0.2">
      <c r="B184" s="55" t="s">
        <v>5</v>
      </c>
      <c r="C184" s="6">
        <f>VLOOKUP($B184, Table18[#All], MATCH(C$175, Table18[#Headers], 0), 0)</f>
        <v>0.17487388531223708</v>
      </c>
      <c r="D184" s="6">
        <f t="shared" si="12"/>
        <v>0.22215136054421769</v>
      </c>
      <c r="E184" s="18">
        <f t="shared" si="13"/>
        <v>699.49554124894826</v>
      </c>
      <c r="F184" s="65">
        <f>GETPIVOTDATA("Target Pruchase Level",Historical_Stock!$I$423,"Product",Sales!B184,"Date",Sales!$D$175)</f>
        <v>1045</v>
      </c>
      <c r="G184" s="11">
        <f t="shared" si="14"/>
        <v>-345.50445875105174</v>
      </c>
      <c r="H184" t="str" cm="1">
        <f t="array" ref="H184">_xlfn.IFS(G184&gt;Dashboard!$O$21, "Lower than target",AND(G184&gt;-Dashboard!$O$21, G184&lt;Dashboard!$O$21), "On target", G184&lt;-Dashboard!$O$21, "Higher than target")</f>
        <v>Higher than target</v>
      </c>
      <c r="Q184" t="str">
        <f t="shared" si="15"/>
        <v/>
      </c>
    </row>
    <row r="185" spans="2:29" x14ac:dyDescent="0.2">
      <c r="B185" s="55" t="s">
        <v>6</v>
      </c>
      <c r="C185" s="6">
        <f>VLOOKUP($B185, Table18[#All], MATCH(C$175, Table18[#Headers], 0), 0)</f>
        <v>0.22242819455250951</v>
      </c>
      <c r="D185" s="6">
        <f t="shared" si="12"/>
        <v>0.24447278911564627</v>
      </c>
      <c r="E185" s="18">
        <f t="shared" si="13"/>
        <v>889.71277821003798</v>
      </c>
      <c r="F185" s="65">
        <f>GETPIVOTDATA("Target Pruchase Level",Historical_Stock!$I$423,"Product",Sales!B185,"Date",Sales!$D$175)</f>
        <v>1150</v>
      </c>
      <c r="G185" s="11">
        <f t="shared" si="14"/>
        <v>-260.28722178996202</v>
      </c>
      <c r="H185" t="str" cm="1">
        <f t="array" ref="H185">_xlfn.IFS(G185&gt;Dashboard!$O$21, "Lower than target",AND(G185&gt;-Dashboard!$O$21, G185&lt;Dashboard!$O$21), "On target", G185&lt;-Dashboard!$O$21, "Higher than target")</f>
        <v>Higher than target</v>
      </c>
      <c r="Q185" t="str">
        <f t="shared" si="15"/>
        <v/>
      </c>
    </row>
    <row r="189" spans="2:29" x14ac:dyDescent="0.2">
      <c r="B189" s="56" t="s">
        <v>179</v>
      </c>
      <c r="C189" s="56" t="s">
        <v>180</v>
      </c>
      <c r="D189" s="56" t="s">
        <v>246</v>
      </c>
      <c r="E189" s="56" t="s">
        <v>247</v>
      </c>
    </row>
    <row r="190" spans="2:29" x14ac:dyDescent="0.2">
      <c r="B190" s="63" t="e">
        <f t="shared" ref="B190:B195" si="16">IF(OR(H180="Lower than target", H180="Higher than target"), G180, NA())</f>
        <v>#N/A</v>
      </c>
      <c r="C190" s="63">
        <f t="shared" ref="C190:C195" si="17">IF(H180="On target", G180, NA())</f>
        <v>78.474452797192384</v>
      </c>
      <c r="D190">
        <f>Dashboard!$O$21</f>
        <v>100</v>
      </c>
      <c r="E190">
        <f>-Table67[[#This Row],[Allowed Error]]</f>
        <v>-100</v>
      </c>
      <c r="H190" s="54"/>
    </row>
    <row r="191" spans="2:29" x14ac:dyDescent="0.2">
      <c r="B191" s="63" t="e">
        <f t="shared" si="16"/>
        <v>#N/A</v>
      </c>
      <c r="C191" s="63">
        <f t="shared" si="17"/>
        <v>42.38964809123695</v>
      </c>
      <c r="D191">
        <f>Dashboard!$O$21</f>
        <v>100</v>
      </c>
      <c r="E191">
        <f>-Table67[[#This Row],[Allowed Error]]</f>
        <v>-100</v>
      </c>
      <c r="G191" s="6"/>
    </row>
    <row r="192" spans="2:29" x14ac:dyDescent="0.2">
      <c r="B192" s="63">
        <f t="shared" si="16"/>
        <v>-157.00630677236876</v>
      </c>
      <c r="C192" s="63" t="e">
        <f t="shared" si="17"/>
        <v>#N/A</v>
      </c>
      <c r="D192">
        <f>Dashboard!$O$21</f>
        <v>100</v>
      </c>
      <c r="E192">
        <f>-Table67[[#This Row],[Allowed Error]]</f>
        <v>-100</v>
      </c>
      <c r="G192" s="6"/>
    </row>
    <row r="193" spans="2:8" x14ac:dyDescent="0.2">
      <c r="B193" s="63" t="e">
        <f t="shared" si="16"/>
        <v>#N/A</v>
      </c>
      <c r="C193" s="63">
        <f t="shared" si="17"/>
        <v>-62.066113575047439</v>
      </c>
      <c r="D193">
        <f>Dashboard!$O$21</f>
        <v>100</v>
      </c>
      <c r="E193">
        <f>-Table67[[#This Row],[Allowed Error]]</f>
        <v>-100</v>
      </c>
      <c r="G193" s="6"/>
    </row>
    <row r="194" spans="2:8" x14ac:dyDescent="0.2">
      <c r="B194" s="63">
        <f t="shared" si="16"/>
        <v>-345.50445875105174</v>
      </c>
      <c r="C194" s="63" t="e">
        <f t="shared" si="17"/>
        <v>#N/A</v>
      </c>
      <c r="D194">
        <f>Dashboard!$O$21</f>
        <v>100</v>
      </c>
      <c r="E194">
        <f>-Table67[[#This Row],[Allowed Error]]</f>
        <v>-100</v>
      </c>
      <c r="H194" s="10"/>
    </row>
    <row r="195" spans="2:8" x14ac:dyDescent="0.2">
      <c r="B195" s="63">
        <f t="shared" si="16"/>
        <v>-260.28722178996202</v>
      </c>
      <c r="C195" s="63" t="e">
        <f t="shared" si="17"/>
        <v>#N/A</v>
      </c>
      <c r="D195">
        <f>Dashboard!$O$21</f>
        <v>100</v>
      </c>
      <c r="E195">
        <f>-Table67[[#This Row],[Allowed Error]]</f>
        <v>-100</v>
      </c>
    </row>
    <row r="197" spans="2:8" x14ac:dyDescent="0.2">
      <c r="D197" s="28"/>
      <c r="H197" s="54"/>
    </row>
    <row r="198" spans="2:8" x14ac:dyDescent="0.2">
      <c r="D198" s="28"/>
      <c r="H198" s="48"/>
    </row>
    <row r="199" spans="2:8" x14ac:dyDescent="0.2">
      <c r="D199" s="28"/>
    </row>
    <row r="200" spans="2:8" x14ac:dyDescent="0.2">
      <c r="D200" s="28"/>
    </row>
    <row r="201" spans="2:8" x14ac:dyDescent="0.2">
      <c r="D201" s="28"/>
    </row>
  </sheetData>
  <sheetProtection sheet="1" objects="1" scenarios="1"/>
  <phoneticPr fontId="5" type="noConversion"/>
  <pageMargins left="0.7" right="0.7" top="0.75" bottom="0.75" header="0.3" footer="0.3"/>
  <pageSetup paperSize="9" orientation="portrait" r:id="rId4"/>
  <tableParts count="19">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R90"/>
  <sheetViews>
    <sheetView showGridLines="0" zoomScale="150" zoomScaleNormal="130" workbookViewId="0"/>
  </sheetViews>
  <sheetFormatPr baseColWidth="10" defaultColWidth="8.83203125" defaultRowHeight="15" x14ac:dyDescent="0.2"/>
  <cols>
    <col min="2" max="2" width="31" bestFit="1" customWidth="1"/>
    <col min="3" max="3" width="16.33203125" bestFit="1" customWidth="1"/>
    <col min="4" max="4" width="40.6640625" bestFit="1" customWidth="1"/>
    <col min="5" max="5" width="30.5" bestFit="1" customWidth="1"/>
    <col min="6" max="6" width="27" bestFit="1" customWidth="1"/>
    <col min="7" max="7" width="8.5" bestFit="1" customWidth="1"/>
    <col min="8" max="8" width="11" bestFit="1" customWidth="1"/>
    <col min="9" max="9" width="17.83203125" bestFit="1" customWidth="1"/>
    <col min="10" max="10" width="21.33203125" bestFit="1" customWidth="1"/>
    <col min="11" max="11" width="30.5" bestFit="1" customWidth="1"/>
    <col min="12" max="12" width="19.5" bestFit="1" customWidth="1"/>
    <col min="13" max="13" width="14.83203125" bestFit="1" customWidth="1"/>
    <col min="14" max="14" width="19.1640625" bestFit="1" customWidth="1"/>
    <col min="15" max="15" width="17.83203125" bestFit="1" customWidth="1"/>
    <col min="16" max="16" width="21.33203125" bestFit="1" customWidth="1"/>
    <col min="17" max="17" width="30.5" bestFit="1" customWidth="1"/>
    <col min="18" max="18" width="18.6640625" bestFit="1" customWidth="1"/>
  </cols>
  <sheetData>
    <row r="4" spans="2:8" x14ac:dyDescent="0.2">
      <c r="B4" s="1" t="s">
        <v>220</v>
      </c>
      <c r="C4" s="1" t="s">
        <v>0</v>
      </c>
    </row>
    <row r="5" spans="2:8" x14ac:dyDescent="0.2">
      <c r="B5" s="1" t="s">
        <v>8</v>
      </c>
      <c r="C5">
        <v>0</v>
      </c>
      <c r="D5">
        <v>1</v>
      </c>
      <c r="E5">
        <v>2</v>
      </c>
      <c r="F5">
        <v>3</v>
      </c>
      <c r="G5">
        <v>4</v>
      </c>
      <c r="H5" t="s">
        <v>7</v>
      </c>
    </row>
    <row r="6" spans="2:8" x14ac:dyDescent="0.2">
      <c r="B6" s="2" t="s">
        <v>62</v>
      </c>
      <c r="C6">
        <v>500000</v>
      </c>
      <c r="D6">
        <v>10936.580000000067</v>
      </c>
      <c r="E6">
        <v>13629.869999999981</v>
      </c>
      <c r="F6">
        <v>107396.78000000001</v>
      </c>
      <c r="G6">
        <v>24417.949999999975</v>
      </c>
      <c r="H6">
        <v>607545.28</v>
      </c>
    </row>
    <row r="7" spans="2:8" x14ac:dyDescent="0.2">
      <c r="B7" s="5" t="s">
        <v>77</v>
      </c>
      <c r="C7">
        <v>250000</v>
      </c>
      <c r="D7">
        <v>10936.580000000067</v>
      </c>
      <c r="E7">
        <v>13629.869999999981</v>
      </c>
      <c r="F7">
        <v>107396.78000000001</v>
      </c>
      <c r="G7">
        <v>24417.949999999975</v>
      </c>
      <c r="H7">
        <v>357545.28</v>
      </c>
    </row>
    <row r="8" spans="2:8" x14ac:dyDescent="0.2">
      <c r="B8" s="7" t="s">
        <v>84</v>
      </c>
      <c r="C8">
        <v>250000</v>
      </c>
      <c r="D8">
        <v>113523.69000000003</v>
      </c>
      <c r="E8">
        <v>7066.4400000000169</v>
      </c>
      <c r="F8">
        <v>6572.1699999999983</v>
      </c>
      <c r="G8">
        <v>4971.1499999999942</v>
      </c>
      <c r="H8">
        <v>131999.43000000002</v>
      </c>
    </row>
    <row r="9" spans="2:8" x14ac:dyDescent="0.2">
      <c r="B9" s="8" t="s">
        <v>68</v>
      </c>
      <c r="C9">
        <v>250000</v>
      </c>
      <c r="D9">
        <v>113523.69000000003</v>
      </c>
      <c r="E9">
        <v>7066.4400000000169</v>
      </c>
      <c r="F9">
        <v>6572.1699999999983</v>
      </c>
      <c r="G9">
        <v>4971.1499999999942</v>
      </c>
      <c r="H9">
        <v>131999.43000000002</v>
      </c>
    </row>
    <row r="10" spans="2:8" x14ac:dyDescent="0.2">
      <c r="B10" s="7" t="s">
        <v>85</v>
      </c>
      <c r="C10">
        <v>0</v>
      </c>
      <c r="D10">
        <v>59155.700000000048</v>
      </c>
      <c r="E10">
        <v>20051.999999999982</v>
      </c>
      <c r="F10">
        <v>117441.95000000006</v>
      </c>
      <c r="G10">
        <v>4421.7999999999874</v>
      </c>
      <c r="H10">
        <v>192227.85000000006</v>
      </c>
    </row>
    <row r="11" spans="2:8" x14ac:dyDescent="0.2">
      <c r="B11" s="8" t="s">
        <v>66</v>
      </c>
      <c r="C11">
        <v>0</v>
      </c>
      <c r="D11">
        <v>59155.700000000048</v>
      </c>
      <c r="E11">
        <v>20051.999999999982</v>
      </c>
      <c r="F11">
        <v>117441.95000000006</v>
      </c>
      <c r="G11">
        <v>4421.7999999999874</v>
      </c>
      <c r="H11">
        <v>192227.85000000006</v>
      </c>
    </row>
    <row r="12" spans="2:8" x14ac:dyDescent="0.2">
      <c r="B12" s="7" t="s">
        <v>86</v>
      </c>
      <c r="C12">
        <v>0</v>
      </c>
      <c r="D12">
        <v>65304.569999999985</v>
      </c>
      <c r="E12">
        <v>13488.57</v>
      </c>
      <c r="F12">
        <v>3473</v>
      </c>
      <c r="G12">
        <v>15025</v>
      </c>
      <c r="H12">
        <v>33317.999999999971</v>
      </c>
    </row>
    <row r="13" spans="2:8" x14ac:dyDescent="0.2">
      <c r="B13" s="8" t="s">
        <v>65</v>
      </c>
      <c r="C13">
        <v>0</v>
      </c>
      <c r="D13">
        <v>65304.569999999985</v>
      </c>
      <c r="E13">
        <v>13488.57</v>
      </c>
      <c r="F13">
        <v>3473</v>
      </c>
      <c r="G13">
        <v>15025</v>
      </c>
      <c r="H13">
        <v>33317.999999999971</v>
      </c>
    </row>
    <row r="14" spans="2:8" x14ac:dyDescent="0.2">
      <c r="B14" s="5" t="s">
        <v>78</v>
      </c>
      <c r="C14">
        <v>250000</v>
      </c>
      <c r="D14">
        <v>0</v>
      </c>
      <c r="E14">
        <v>0</v>
      </c>
      <c r="F14">
        <v>0</v>
      </c>
      <c r="G14">
        <v>0</v>
      </c>
      <c r="H14">
        <v>250000</v>
      </c>
    </row>
    <row r="15" spans="2:8" x14ac:dyDescent="0.2">
      <c r="B15" s="7" t="s">
        <v>87</v>
      </c>
      <c r="C15">
        <v>250000</v>
      </c>
      <c r="D15">
        <v>0</v>
      </c>
      <c r="E15">
        <v>0</v>
      </c>
      <c r="F15">
        <v>0</v>
      </c>
      <c r="G15">
        <v>0</v>
      </c>
      <c r="H15">
        <v>250000</v>
      </c>
    </row>
    <row r="16" spans="2:8" x14ac:dyDescent="0.2">
      <c r="B16" s="8" t="s">
        <v>67</v>
      </c>
      <c r="C16">
        <v>250000</v>
      </c>
      <c r="D16">
        <v>0</v>
      </c>
      <c r="E16">
        <v>0</v>
      </c>
      <c r="F16">
        <v>0</v>
      </c>
      <c r="G16">
        <v>0</v>
      </c>
      <c r="H16">
        <v>250000</v>
      </c>
    </row>
    <row r="17" spans="2:8" x14ac:dyDescent="0.2">
      <c r="B17" s="2" t="s">
        <v>63</v>
      </c>
      <c r="C17">
        <v>500000</v>
      </c>
      <c r="D17">
        <v>0</v>
      </c>
      <c r="E17">
        <v>0</v>
      </c>
      <c r="F17">
        <v>89074.150000000023</v>
      </c>
      <c r="G17">
        <v>36841.919999999991</v>
      </c>
      <c r="H17">
        <v>552232.23</v>
      </c>
    </row>
    <row r="18" spans="2:8" x14ac:dyDescent="0.2">
      <c r="B18" s="5" t="s">
        <v>79</v>
      </c>
      <c r="C18">
        <v>0</v>
      </c>
      <c r="D18">
        <v>0</v>
      </c>
      <c r="E18">
        <v>0</v>
      </c>
      <c r="F18">
        <v>89074.150000000023</v>
      </c>
      <c r="G18">
        <v>36841.919999999991</v>
      </c>
      <c r="H18">
        <v>52232.230000000018</v>
      </c>
    </row>
    <row r="19" spans="2:8" x14ac:dyDescent="0.2">
      <c r="B19" s="7" t="s">
        <v>88</v>
      </c>
      <c r="C19">
        <v>0</v>
      </c>
      <c r="D19">
        <v>0</v>
      </c>
      <c r="E19">
        <v>0</v>
      </c>
      <c r="F19">
        <v>89074.150000000023</v>
      </c>
      <c r="G19">
        <v>36841.919999999991</v>
      </c>
      <c r="H19">
        <v>52232.230000000018</v>
      </c>
    </row>
    <row r="20" spans="2:8" x14ac:dyDescent="0.2">
      <c r="B20" s="8" t="s">
        <v>69</v>
      </c>
      <c r="C20">
        <v>0</v>
      </c>
      <c r="D20">
        <v>0</v>
      </c>
      <c r="E20">
        <v>0</v>
      </c>
      <c r="F20">
        <v>89074.150000000009</v>
      </c>
      <c r="G20">
        <v>36841.919999999991</v>
      </c>
      <c r="H20">
        <v>52232.230000000018</v>
      </c>
    </row>
    <row r="21" spans="2:8" x14ac:dyDescent="0.2">
      <c r="B21" s="8" t="s">
        <v>71</v>
      </c>
      <c r="C21">
        <v>0</v>
      </c>
      <c r="D21">
        <v>5.6843418860808015E-14</v>
      </c>
      <c r="E21">
        <v>1.1368683772161603E-13</v>
      </c>
      <c r="F21">
        <v>8.5265128291212022E-14</v>
      </c>
      <c r="G21">
        <v>1.4210854715202004E-14</v>
      </c>
      <c r="H21">
        <v>1.4210854715202004E-14</v>
      </c>
    </row>
    <row r="22" spans="2:8" x14ac:dyDescent="0.2">
      <c r="B22" s="8" t="s">
        <v>72</v>
      </c>
      <c r="C22">
        <v>0</v>
      </c>
      <c r="D22">
        <v>0</v>
      </c>
      <c r="E22">
        <v>0</v>
      </c>
      <c r="F22">
        <v>1.8189894035458565E-12</v>
      </c>
      <c r="G22">
        <v>0</v>
      </c>
      <c r="H22">
        <v>0</v>
      </c>
    </row>
    <row r="23" spans="2:8" x14ac:dyDescent="0.2">
      <c r="B23" s="5" t="s">
        <v>80</v>
      </c>
      <c r="C23">
        <v>500000</v>
      </c>
      <c r="D23">
        <v>0</v>
      </c>
      <c r="E23">
        <v>0</v>
      </c>
      <c r="F23">
        <v>0</v>
      </c>
      <c r="G23">
        <v>0</v>
      </c>
      <c r="H23">
        <v>500000</v>
      </c>
    </row>
    <row r="24" spans="2:8" x14ac:dyDescent="0.2">
      <c r="B24" s="7" t="s">
        <v>89</v>
      </c>
      <c r="C24">
        <v>500000</v>
      </c>
      <c r="D24">
        <v>0</v>
      </c>
      <c r="E24">
        <v>0</v>
      </c>
      <c r="F24">
        <v>0</v>
      </c>
      <c r="G24">
        <v>0</v>
      </c>
      <c r="H24">
        <v>500000</v>
      </c>
    </row>
    <row r="25" spans="2:8" x14ac:dyDescent="0.2">
      <c r="B25" s="8" t="s">
        <v>70</v>
      </c>
      <c r="C25">
        <v>500000</v>
      </c>
      <c r="D25">
        <v>0</v>
      </c>
      <c r="E25">
        <v>0</v>
      </c>
      <c r="F25">
        <v>0</v>
      </c>
      <c r="G25">
        <v>0</v>
      </c>
      <c r="H25">
        <v>500000</v>
      </c>
    </row>
    <row r="26" spans="2:8" x14ac:dyDescent="0.2">
      <c r="B26" s="2" t="s">
        <v>64</v>
      </c>
      <c r="C26">
        <v>0</v>
      </c>
      <c r="D26">
        <v>10936.580000000049</v>
      </c>
      <c r="E26">
        <v>13629.87000000001</v>
      </c>
      <c r="F26">
        <v>18322.62999999999</v>
      </c>
      <c r="G26">
        <v>12423.970000000016</v>
      </c>
      <c r="H26">
        <v>55313.049999999814</v>
      </c>
    </row>
    <row r="27" spans="2:8" x14ac:dyDescent="0.2">
      <c r="B27" s="5" t="s">
        <v>81</v>
      </c>
      <c r="C27">
        <v>0</v>
      </c>
      <c r="D27">
        <v>125792.29999999999</v>
      </c>
      <c r="E27">
        <v>106060.12999999999</v>
      </c>
      <c r="F27">
        <v>97453.37000000001</v>
      </c>
      <c r="G27">
        <v>56654.029999999984</v>
      </c>
      <c r="H27">
        <v>385959.83000000019</v>
      </c>
    </row>
    <row r="28" spans="2:8" x14ac:dyDescent="0.2">
      <c r="B28" s="7" t="s">
        <v>90</v>
      </c>
      <c r="C28">
        <v>0</v>
      </c>
      <c r="D28">
        <v>125792.29999999999</v>
      </c>
      <c r="E28">
        <v>106060.12999999999</v>
      </c>
      <c r="F28">
        <v>97453.37000000001</v>
      </c>
      <c r="G28">
        <v>56654.029999999984</v>
      </c>
      <c r="H28">
        <v>385959.83000000019</v>
      </c>
    </row>
    <row r="29" spans="2:8" x14ac:dyDescent="0.2">
      <c r="B29" s="8" t="s">
        <v>73</v>
      </c>
      <c r="C29">
        <v>0</v>
      </c>
      <c r="D29">
        <v>125792.29999999999</v>
      </c>
      <c r="E29">
        <v>106060.12999999999</v>
      </c>
      <c r="F29">
        <v>97453.37000000001</v>
      </c>
      <c r="G29">
        <v>56654.029999999984</v>
      </c>
      <c r="H29">
        <v>385959.83000000019</v>
      </c>
    </row>
    <row r="30" spans="2:8" x14ac:dyDescent="0.2">
      <c r="B30" s="5" t="s">
        <v>82</v>
      </c>
      <c r="C30">
        <v>0</v>
      </c>
      <c r="D30">
        <v>900</v>
      </c>
      <c r="E30">
        <v>1200</v>
      </c>
      <c r="F30">
        <v>1200</v>
      </c>
      <c r="G30">
        <v>1600</v>
      </c>
      <c r="H30">
        <v>4900</v>
      </c>
    </row>
    <row r="31" spans="2:8" x14ac:dyDescent="0.2">
      <c r="B31" s="7" t="s">
        <v>82</v>
      </c>
      <c r="C31">
        <v>0</v>
      </c>
      <c r="D31">
        <v>900</v>
      </c>
      <c r="E31">
        <v>1200</v>
      </c>
      <c r="F31">
        <v>1200</v>
      </c>
      <c r="G31">
        <v>1600</v>
      </c>
      <c r="H31">
        <v>4900</v>
      </c>
    </row>
    <row r="32" spans="2:8" x14ac:dyDescent="0.2">
      <c r="B32" s="8" t="s">
        <v>75</v>
      </c>
      <c r="C32">
        <v>0</v>
      </c>
      <c r="D32">
        <v>900</v>
      </c>
      <c r="E32">
        <v>1200</v>
      </c>
      <c r="F32">
        <v>900</v>
      </c>
      <c r="G32">
        <v>700</v>
      </c>
      <c r="H32">
        <v>3700</v>
      </c>
    </row>
    <row r="33" spans="2:8" x14ac:dyDescent="0.2">
      <c r="B33" s="8" t="s">
        <v>76</v>
      </c>
      <c r="C33">
        <v>0</v>
      </c>
      <c r="D33">
        <v>0</v>
      </c>
      <c r="E33">
        <v>0</v>
      </c>
      <c r="F33">
        <v>300</v>
      </c>
      <c r="G33">
        <v>900</v>
      </c>
      <c r="H33">
        <v>1200</v>
      </c>
    </row>
    <row r="34" spans="2:8" x14ac:dyDescent="0.2">
      <c r="B34" s="5" t="s">
        <v>83</v>
      </c>
      <c r="C34">
        <v>0</v>
      </c>
      <c r="D34">
        <v>137628.88000000003</v>
      </c>
      <c r="E34">
        <v>120890</v>
      </c>
      <c r="F34">
        <v>116976</v>
      </c>
      <c r="G34">
        <v>70678</v>
      </c>
      <c r="H34">
        <v>446172.88</v>
      </c>
    </row>
    <row r="35" spans="2:8" x14ac:dyDescent="0.2">
      <c r="B35" s="7" t="s">
        <v>83</v>
      </c>
      <c r="C35">
        <v>0</v>
      </c>
      <c r="D35">
        <v>137628.88000000003</v>
      </c>
      <c r="E35">
        <v>120890</v>
      </c>
      <c r="F35">
        <v>116976</v>
      </c>
      <c r="G35">
        <v>70678</v>
      </c>
      <c r="H35">
        <v>446172.88</v>
      </c>
    </row>
    <row r="36" spans="2:8" x14ac:dyDescent="0.2">
      <c r="B36" s="8" t="s">
        <v>74</v>
      </c>
      <c r="C36">
        <v>0</v>
      </c>
      <c r="D36">
        <v>137628.88000000003</v>
      </c>
      <c r="E36">
        <v>120890</v>
      </c>
      <c r="F36">
        <v>116976</v>
      </c>
      <c r="G36">
        <v>70678</v>
      </c>
      <c r="H36">
        <v>446172.88</v>
      </c>
    </row>
    <row r="37" spans="2:8" x14ac:dyDescent="0.2">
      <c r="B37" s="2" t="s">
        <v>7</v>
      </c>
      <c r="C37" s="9">
        <v>0</v>
      </c>
      <c r="D37" s="9">
        <v>2.2282620193436742E-11</v>
      </c>
      <c r="E37" s="9">
        <v>2.9103830456733704E-11</v>
      </c>
      <c r="F37" s="9">
        <v>0</v>
      </c>
      <c r="G37" s="9">
        <v>1.4551915228366852E-11</v>
      </c>
      <c r="H37" s="9">
        <v>2.3283064365386963E-10</v>
      </c>
    </row>
    <row r="39" spans="2:8" x14ac:dyDescent="0.2">
      <c r="B39" s="1" t="s">
        <v>8</v>
      </c>
      <c r="C39" t="s">
        <v>220</v>
      </c>
    </row>
    <row r="40" spans="2:8" x14ac:dyDescent="0.2">
      <c r="B40" s="2" t="s">
        <v>64</v>
      </c>
      <c r="C40">
        <v>55313.050000000032</v>
      </c>
    </row>
    <row r="41" spans="2:8" x14ac:dyDescent="0.2">
      <c r="B41" s="5" t="s">
        <v>81</v>
      </c>
      <c r="C41">
        <v>385959.8299999999</v>
      </c>
    </row>
    <row r="42" spans="2:8" x14ac:dyDescent="0.2">
      <c r="B42" s="7" t="s">
        <v>90</v>
      </c>
      <c r="C42">
        <v>385959.8299999999</v>
      </c>
    </row>
    <row r="43" spans="2:8" x14ac:dyDescent="0.2">
      <c r="B43" s="8" t="s">
        <v>73</v>
      </c>
      <c r="C43">
        <v>385959.8299999999</v>
      </c>
    </row>
    <row r="44" spans="2:8" x14ac:dyDescent="0.2">
      <c r="B44" s="5" t="s">
        <v>82</v>
      </c>
      <c r="C44">
        <v>4900</v>
      </c>
    </row>
    <row r="45" spans="2:8" x14ac:dyDescent="0.2">
      <c r="B45" s="7" t="s">
        <v>82</v>
      </c>
      <c r="C45">
        <v>4900</v>
      </c>
    </row>
    <row r="46" spans="2:8" x14ac:dyDescent="0.2">
      <c r="B46" s="8" t="s">
        <v>75</v>
      </c>
      <c r="C46">
        <v>3700</v>
      </c>
    </row>
    <row r="47" spans="2:8" x14ac:dyDescent="0.2">
      <c r="B47" s="8" t="s">
        <v>76</v>
      </c>
      <c r="C47">
        <v>1200</v>
      </c>
    </row>
    <row r="48" spans="2:8" x14ac:dyDescent="0.2">
      <c r="B48" s="5" t="s">
        <v>83</v>
      </c>
      <c r="C48">
        <v>446172.87999999995</v>
      </c>
    </row>
    <row r="49" spans="2:18" x14ac:dyDescent="0.2">
      <c r="B49" s="7" t="s">
        <v>83</v>
      </c>
      <c r="C49">
        <v>446172.87999999995</v>
      </c>
    </row>
    <row r="50" spans="2:18" x14ac:dyDescent="0.2">
      <c r="B50" s="8" t="s">
        <v>74</v>
      </c>
      <c r="C50">
        <v>446172.87999999995</v>
      </c>
    </row>
    <row r="51" spans="2:18" x14ac:dyDescent="0.2">
      <c r="B51" s="2" t="s">
        <v>7</v>
      </c>
      <c r="C51" s="9">
        <v>55313.050000000032</v>
      </c>
    </row>
    <row r="55" spans="2:18" x14ac:dyDescent="0.2">
      <c r="E55" s="54"/>
    </row>
    <row r="59" spans="2:18" x14ac:dyDescent="0.2">
      <c r="E59" s="40"/>
    </row>
    <row r="62" spans="2:18" x14ac:dyDescent="0.2">
      <c r="B62" t="s">
        <v>64</v>
      </c>
      <c r="C62" s="40">
        <f>GETPIVOTDATA("ABS_EUROS",$B$39,"ACCOUNT_TYPE_1","P&amp;L")</f>
        <v>55313.050000000032</v>
      </c>
      <c r="H62" t="s">
        <v>93</v>
      </c>
      <c r="I62" s="85">
        <f>GETPIVOTDATA("ABS_EUROS",$B$39, "ACCOUNT_TYPE_2","Sales Revenues ")</f>
        <v>446172.87999999995</v>
      </c>
      <c r="N62" t="s">
        <v>94</v>
      </c>
      <c r="O62" s="40">
        <f>GETPIVOTDATA("ABS_EUROS",$B$39, "ACCOUNT_TYPE_2","Goods Sold")+GETPIVOTDATA("ABS_EUROS",$B$39, "ACCOUNT_TYPE_2","Operating expenses")</f>
        <v>390859.8299999999</v>
      </c>
    </row>
    <row r="64" spans="2:18" x14ac:dyDescent="0.2">
      <c r="B64" t="s">
        <v>132</v>
      </c>
      <c r="C64" t="s">
        <v>284</v>
      </c>
      <c r="D64" t="s">
        <v>285</v>
      </c>
      <c r="E64" t="s">
        <v>256</v>
      </c>
      <c r="F64" t="s">
        <v>225</v>
      </c>
      <c r="H64" t="s">
        <v>132</v>
      </c>
      <c r="I64" t="s">
        <v>93</v>
      </c>
      <c r="J64" t="s">
        <v>221</v>
      </c>
      <c r="K64" t="s">
        <v>225</v>
      </c>
      <c r="L64" t="s">
        <v>235</v>
      </c>
      <c r="N64" t="s">
        <v>132</v>
      </c>
      <c r="O64" t="s">
        <v>94</v>
      </c>
      <c r="P64" t="s">
        <v>221</v>
      </c>
      <c r="Q64" t="s">
        <v>225</v>
      </c>
      <c r="R64" t="s">
        <v>235</v>
      </c>
    </row>
    <row r="65" spans="2:18" x14ac:dyDescent="0.2">
      <c r="B65">
        <v>1</v>
      </c>
      <c r="C65" s="40">
        <f t="shared" ref="C65:C68" si="0">GETPIVOTDATA("ABS_EUROS",$B$4,"SIM_ROUND",B65,"ACCOUNT_TYPE_1","P&amp;L")</f>
        <v>10936.580000000049</v>
      </c>
      <c r="D65" s="40" t="e" cm="1">
        <f t="array" ref="D65">IF(Table14[[#All],[Column2]]=Table3[[#This Row],[Series 1 (All rounds figure )]], Table3[[#This Row],[Series 1 (All rounds figure )]], NA())</f>
        <v>#N/A</v>
      </c>
      <c r="E65" t="e">
        <f>NA()</f>
        <v>#N/A</v>
      </c>
      <c r="F65" t="e">
        <f>NA()</f>
        <v>#N/A</v>
      </c>
      <c r="H65">
        <v>1</v>
      </c>
      <c r="I65" s="40">
        <f>GETPIVOTDATA("ABS_EUROS",$B$4,"SIM_ROUND",Table318[[#This Row],[Round]],"ACCOUNT_TYPE_2","Sales Revenues ")</f>
        <v>137628.88000000003</v>
      </c>
      <c r="J65" s="40" t="e" cm="1">
        <f t="array" ref="J65">IF(Table23[[#All],[Column2]]=Table318[[#This Row],[Revenue]], Table318[[#This Row],[Revenue]], NA())</f>
        <v>#N/A</v>
      </c>
      <c r="K65" s="54" t="e">
        <f>NA()</f>
        <v>#N/A</v>
      </c>
      <c r="L65" t="e">
        <f>-NA()</f>
        <v>#N/A</v>
      </c>
      <c r="N65">
        <v>1</v>
      </c>
      <c r="O65" s="40">
        <f>GETPIVOTDATA("ABS_EUROS",$B$4,"SIM_ROUND",Table31841[[#This Row],[Round]], "ACCOUNT_TYPE_2","Goods Sold")+GETPIVOTDATA("ABS_EUROS",$B$4,"SIM_ROUND",Table31841[[#This Row],[Round]], "ACCOUNT_TYPE_2","Operating expenses")</f>
        <v>126692.29999999999</v>
      </c>
      <c r="P65" s="40" t="e">
        <f>IF($O$62=Table31841[[#This Row],[Cost]], Table31841[[#This Row],[Cost]], NA())</f>
        <v>#N/A</v>
      </c>
      <c r="Q65" s="125" t="e">
        <f>NA()</f>
        <v>#N/A</v>
      </c>
      <c r="R65" t="e">
        <f>-NA()</f>
        <v>#N/A</v>
      </c>
    </row>
    <row r="66" spans="2:18" x14ac:dyDescent="0.2">
      <c r="B66">
        <v>2</v>
      </c>
      <c r="C66" s="40">
        <f t="shared" si="0"/>
        <v>13629.87000000001</v>
      </c>
      <c r="D66" s="40" t="e" cm="1">
        <f t="array" ref="D66">IF(Table14[[#All],[Column2]]=Table3[[#This Row],[Series 1 (All rounds figure )]], Table3[[#This Row],[Series 1 (All rounds figure )]], NA())</f>
        <v>#N/A</v>
      </c>
      <c r="E66" t="e">
        <f>NA()</f>
        <v>#N/A</v>
      </c>
      <c r="F66" s="54">
        <f>(Table3[[#This Row],[Series 1 (All rounds figure )]]-C65)/C65</f>
        <v>0.2462643714945576</v>
      </c>
      <c r="H66">
        <v>2</v>
      </c>
      <c r="I66" s="40">
        <f>GETPIVOTDATA("ABS_EUROS",$B$4,"SIM_ROUND",Table318[[#This Row],[Round]],"ACCOUNT_TYPE_2","Sales Revenues ")</f>
        <v>120890</v>
      </c>
      <c r="J66" s="40" t="e" cm="1">
        <f t="array" ref="J66">IF(Table23[[#All],[Column2]]=Table318[[#This Row],[Revenue]], Table318[[#This Row],[Revenue]], NA())</f>
        <v>#N/A</v>
      </c>
      <c r="K66" s="54">
        <f>(Table318[[#This Row],[Revenue]]-I65)/I65</f>
        <v>-0.12162331045635211</v>
      </c>
      <c r="L66" t="e">
        <f>-NA()</f>
        <v>#N/A</v>
      </c>
      <c r="N66">
        <v>2</v>
      </c>
      <c r="O66" s="40">
        <f>GETPIVOTDATA("ABS_EUROS",$B$4,"SIM_ROUND",Table31841[[#This Row],[Round]], "ACCOUNT_TYPE_2","Goods Sold")+GETPIVOTDATA("ABS_EUROS",$B$4,"SIM_ROUND",Table31841[[#This Row],[Round]], "ACCOUNT_TYPE_2","Operating expenses")</f>
        <v>107260.12999999999</v>
      </c>
      <c r="P66" s="40" t="e">
        <f>IF($O$62=Table31841[[#This Row],[Cost]], Table31841[[#This Row],[Cost]], NA())</f>
        <v>#N/A</v>
      </c>
      <c r="Q66" s="125">
        <f>(Table31841[[#This Row],[Cost]]-O65)/O65</f>
        <v>-0.15338082898487121</v>
      </c>
      <c r="R66" t="e">
        <f>-NA()</f>
        <v>#N/A</v>
      </c>
    </row>
    <row r="67" spans="2:18" x14ac:dyDescent="0.2">
      <c r="B67">
        <v>3</v>
      </c>
      <c r="C67" s="40">
        <f t="shared" si="0"/>
        <v>18322.62999999999</v>
      </c>
      <c r="D67" s="40" t="e" cm="1">
        <f t="array" ref="D67">IF(Table14[[#All],[Column2]]=Table3[[#This Row],[Series 1 (All rounds figure )]], Table3[[#This Row],[Series 1 (All rounds figure )]], NA())</f>
        <v>#N/A</v>
      </c>
      <c r="E67" t="e">
        <f>NA()</f>
        <v>#N/A</v>
      </c>
      <c r="F67" s="54">
        <f>(Table3[[#This Row],[Series 1 (All rounds figure )]]-C66)/C66</f>
        <v>0.34429968884515971</v>
      </c>
      <c r="H67">
        <v>3</v>
      </c>
      <c r="I67" s="40">
        <f>GETPIVOTDATA("ABS_EUROS",$B$4,"SIM_ROUND",Table318[[#This Row],[Round]],"ACCOUNT_TYPE_2","Sales Revenues ")</f>
        <v>116976</v>
      </c>
      <c r="J67" s="40" t="e" cm="1">
        <f t="array" ref="J67">IF(Table23[[#All],[Column2]]=Table318[[#This Row],[Revenue]], Table318[[#This Row],[Revenue]], NA())</f>
        <v>#N/A</v>
      </c>
      <c r="K67" s="54">
        <f>(Table318[[#This Row],[Revenue]]-I66)/I66</f>
        <v>-3.2376540656795433E-2</v>
      </c>
      <c r="L67" t="e">
        <f>-NA()</f>
        <v>#N/A</v>
      </c>
      <c r="N67">
        <v>3</v>
      </c>
      <c r="O67" s="40">
        <f>GETPIVOTDATA("ABS_EUROS",$B$4,"SIM_ROUND",Table31841[[#This Row],[Round]], "ACCOUNT_TYPE_2","Goods Sold")+GETPIVOTDATA("ABS_EUROS",$B$4,"SIM_ROUND",Table31841[[#This Row],[Round]], "ACCOUNT_TYPE_2","Operating expenses")</f>
        <v>98653.37000000001</v>
      </c>
      <c r="P67" s="40" t="e">
        <f>IF($O$62=Table31841[[#This Row],[Cost]], Table31841[[#This Row],[Cost]], NA())</f>
        <v>#N/A</v>
      </c>
      <c r="Q67" s="125">
        <f>(Table31841[[#This Row],[Cost]]-O66)/O66</f>
        <v>-8.0241931461391858E-2</v>
      </c>
      <c r="R67" t="e">
        <f>-NA()</f>
        <v>#N/A</v>
      </c>
    </row>
    <row r="68" spans="2:18" x14ac:dyDescent="0.2">
      <c r="B68">
        <v>4</v>
      </c>
      <c r="C68" s="40">
        <f t="shared" si="0"/>
        <v>12423.970000000016</v>
      </c>
      <c r="D68" s="40" t="e" cm="1">
        <f t="array" ref="D68">IF(Table14[[#All],[Column2]]=Table3[[#This Row],[Series 1 (All rounds figure )]], Table3[[#This Row],[Series 1 (All rounds figure )]], NA())</f>
        <v>#N/A</v>
      </c>
      <c r="E68" s="40">
        <f>Table3[[#This Row],[Series 1 (All rounds figure )]]</f>
        <v>12423.970000000016</v>
      </c>
      <c r="F68" s="54">
        <f>(Table3[[#This Row],[Series 1 (All rounds figure )]]-C67)/C67</f>
        <v>-0.32193304127191225</v>
      </c>
      <c r="H68">
        <v>4</v>
      </c>
      <c r="I68" s="40">
        <f>GETPIVOTDATA("ABS_EUROS",$B$4,"SIM_ROUND",Table318[[#This Row],[Round]],"ACCOUNT_TYPE_2","Sales Revenues ")</f>
        <v>70678</v>
      </c>
      <c r="J68" s="40" t="e" cm="1">
        <f t="array" ref="J68">IF(Table23[[#All],[Column2]]=Table318[[#This Row],[Revenue]], Table318[[#This Row],[Revenue]], NA())</f>
        <v>#N/A</v>
      </c>
      <c r="K68" s="54">
        <f>(Table318[[#This Row],[Revenue]]-I67)/I67</f>
        <v>-0.39579058952263713</v>
      </c>
      <c r="L68" s="40">
        <f>Table318[[#This Row],[Revenue]]</f>
        <v>70678</v>
      </c>
      <c r="N68">
        <v>4</v>
      </c>
      <c r="O68" s="40">
        <f>GETPIVOTDATA("ABS_EUROS",$B$4,"SIM_ROUND",Table31841[[#This Row],[Round]], "ACCOUNT_TYPE_2","Goods Sold")+GETPIVOTDATA("ABS_EUROS",$B$4,"SIM_ROUND",Table31841[[#This Row],[Round]], "ACCOUNT_TYPE_2","Operating expenses")</f>
        <v>58254.029999999984</v>
      </c>
      <c r="P68" s="40" t="e">
        <f>IF($O$62=Table31841[[#This Row],[Cost]], Table31841[[#This Row],[Cost]], NA())</f>
        <v>#N/A</v>
      </c>
      <c r="Q68" s="125">
        <f>(Table31841[[#This Row],[Cost]]-O67)/O67</f>
        <v>-0.40950795700136772</v>
      </c>
      <c r="R68" s="40">
        <f>Table31841[[#This Row],[Cost]]</f>
        <v>58254.029999999984</v>
      </c>
    </row>
    <row r="69" spans="2:18" x14ac:dyDescent="0.2">
      <c r="B69" s="3">
        <v>5</v>
      </c>
      <c r="C69" s="40" t="e">
        <f>NA()</f>
        <v>#N/A</v>
      </c>
      <c r="D69" s="40" t="e">
        <f>NA()</f>
        <v>#N/A</v>
      </c>
      <c r="E69" s="40">
        <f>VLOOKUP(MIN(Table42[RMSE]), IF({1,0}, Table42[RMSE], Table42[Predicted Value]), 2, 0)</f>
        <v>16116.994999999986</v>
      </c>
      <c r="F69" t="e">
        <f>NA()</f>
        <v>#N/A</v>
      </c>
      <c r="H69">
        <v>5</v>
      </c>
      <c r="I69" s="40" t="e">
        <f>NA()</f>
        <v>#N/A</v>
      </c>
      <c r="J69" s="40" t="e" cm="1">
        <f t="array" ref="J69">IF(Table23[[#All],[Column2]]=Table318[[#This Row],[Revenue]], Table318[[#This Row],[Revenue]], NA())</f>
        <v>#N/A</v>
      </c>
      <c r="K69" s="54" t="e">
        <f>NA()</f>
        <v>#N/A</v>
      </c>
      <c r="L69" s="40">
        <f>VLOOKUP(MIN(Table4258[RMSE]), IF({1,0}, Table4258[RMSE], Table4258[Predicted Value]), 2, 0)</f>
        <v>60351.559999999969</v>
      </c>
      <c r="N69">
        <v>5</v>
      </c>
      <c r="O69" s="40" t="e">
        <f>NA()</f>
        <v>#N/A</v>
      </c>
      <c r="P69" s="40" t="e" cm="1">
        <f t="array" ref="P69">IF(Table23[[#All],[Column2]]=Table318[[#This Row],[Revenue]], Table318[[#This Row],[Revenue]], NA())</f>
        <v>#N/A</v>
      </c>
      <c r="Q69" s="125" t="e">
        <f>NA()</f>
        <v>#N/A</v>
      </c>
      <c r="R69" s="40">
        <f>VLOOKUP(MIN(Table425861[RMSE]), IF({1,0}, Table425861[RMSE], Table425861[Predicted Value]), 2, 0)</f>
        <v>44234.564999999973</v>
      </c>
    </row>
    <row r="70" spans="2:18" x14ac:dyDescent="0.2">
      <c r="J70" s="54"/>
    </row>
    <row r="71" spans="2:18" x14ac:dyDescent="0.2">
      <c r="B71" t="s">
        <v>226</v>
      </c>
      <c r="C71" t="s">
        <v>228</v>
      </c>
      <c r="D71" t="s">
        <v>227</v>
      </c>
      <c r="E71" t="s">
        <v>229</v>
      </c>
      <c r="H71" t="s">
        <v>226</v>
      </c>
      <c r="I71" t="s">
        <v>228</v>
      </c>
      <c r="J71" t="s">
        <v>227</v>
      </c>
      <c r="K71" t="s">
        <v>229</v>
      </c>
      <c r="N71" t="s">
        <v>226</v>
      </c>
      <c r="O71" t="s">
        <v>228</v>
      </c>
      <c r="P71" t="s">
        <v>227</v>
      </c>
      <c r="Q71" t="s">
        <v>229</v>
      </c>
    </row>
    <row r="72" spans="2:18" x14ac:dyDescent="0.2">
      <c r="B72" t="s">
        <v>224</v>
      </c>
      <c r="C72" s="48">
        <f>AVERAGE(F66:F68)</f>
        <v>8.9543673022601689E-2</v>
      </c>
      <c r="D72" s="40">
        <f>C68*(1+C72)</f>
        <v>13536.457907322629</v>
      </c>
      <c r="E72" s="40">
        <f>SQRT(SUM(D78:D80)/3)</f>
        <v>4893.4018491414445</v>
      </c>
      <c r="H72" t="s">
        <v>224</v>
      </c>
      <c r="I72" s="48">
        <f>AVERAGE(K66:K68)</f>
        <v>-0.1832634802119282</v>
      </c>
      <c r="J72" s="40">
        <f>I68*(1+I72)</f>
        <v>57725.303745581339</v>
      </c>
      <c r="K72" s="40">
        <f>SQRT(SUM(J78:J80)/3)</f>
        <v>18463.849022512721</v>
      </c>
      <c r="N72" t="s">
        <v>224</v>
      </c>
      <c r="O72" s="48">
        <f>AVERAGE(Q66:Q68)</f>
        <v>-0.21437690581587696</v>
      </c>
      <c r="P72" s="40">
        <f>O68*(1+O72)</f>
        <v>45765.711297294714</v>
      </c>
      <c r="Q72" s="40">
        <f>SQRT(SUM(P78:P80)/3)</f>
        <v>14574.963599128749</v>
      </c>
    </row>
    <row r="73" spans="2:18" x14ac:dyDescent="0.2">
      <c r="B73" t="s">
        <v>223</v>
      </c>
      <c r="C73" s="54">
        <f>(C68/C65)^(1/3)-1</f>
        <v>4.3421112537366913E-2</v>
      </c>
      <c r="D73" s="40">
        <f>C68*(1+C73)</f>
        <v>12963.432599530886</v>
      </c>
      <c r="E73" s="40">
        <f>SQRT(SUM(E78:E80)/3)</f>
        <v>4709.9891792796006</v>
      </c>
      <c r="H73" t="s">
        <v>223</v>
      </c>
      <c r="I73" s="54">
        <f>(I68/I65)^(1/3)-1</f>
        <v>-0.19919847414113823</v>
      </c>
      <c r="J73" s="40">
        <f>I68*(1+I73)</f>
        <v>56599.05024465263</v>
      </c>
      <c r="K73" s="40">
        <f>SQRT(SUM(K78:K80)/3)</f>
        <v>18704.217230018327</v>
      </c>
      <c r="N73" t="s">
        <v>223</v>
      </c>
      <c r="O73" s="125">
        <f>(O68/O65)^(1/3)-1</f>
        <v>-0.22816360819623338</v>
      </c>
      <c r="P73" s="40">
        <f>O68*(1+O73)</f>
        <v>44962.580323228365</v>
      </c>
      <c r="Q73" s="40">
        <f>SQRT(SUM(Q78:Q80)/3)</f>
        <v>14849.890501044958</v>
      </c>
    </row>
    <row r="74" spans="2:18" x14ac:dyDescent="0.2">
      <c r="B74" t="s">
        <v>233</v>
      </c>
      <c r="C74" t="e">
        <f>NA()</f>
        <v>#N/A</v>
      </c>
      <c r="D74" s="40">
        <f>_xlfn.FORECAST.LINEAR(5, C65:C68, B65:B68)</f>
        <v>16116.994999999986</v>
      </c>
      <c r="E74" s="40">
        <f>SQRT(SUM(F77:F80)/4)</f>
        <v>2568.1669898114928</v>
      </c>
      <c r="H74" t="s">
        <v>233</v>
      </c>
      <c r="I74" t="e">
        <f>NA()</f>
        <v>#N/A</v>
      </c>
      <c r="J74" s="40">
        <f>_xlfn.FORECAST.LINEAR(5, I65:I68, H65:H68)</f>
        <v>60351.559999999969</v>
      </c>
      <c r="K74" s="40">
        <f>SQRT(SUM(L77:L80)/4)</f>
        <v>9628.5566848868821</v>
      </c>
      <c r="N74" t="s">
        <v>233</v>
      </c>
      <c r="O74" t="e">
        <f>NA()</f>
        <v>#N/A</v>
      </c>
      <c r="P74" s="40">
        <f>_xlfn.FORECAST.LINEAR(5, O65:O68, N65:N68)</f>
        <v>44234.564999999973</v>
      </c>
      <c r="Q74" s="40">
        <f>SQRT(SUM(R77:R80)/4)</f>
        <v>7083.7879703275694</v>
      </c>
    </row>
    <row r="76" spans="2:18" x14ac:dyDescent="0.2">
      <c r="B76" t="s">
        <v>132</v>
      </c>
      <c r="C76" t="s">
        <v>230</v>
      </c>
      <c r="D76" t="s">
        <v>231</v>
      </c>
      <c r="E76" t="s">
        <v>232</v>
      </c>
      <c r="F76" t="s">
        <v>234</v>
      </c>
      <c r="H76" t="s">
        <v>132</v>
      </c>
      <c r="I76" t="s">
        <v>230</v>
      </c>
      <c r="J76" t="s">
        <v>231</v>
      </c>
      <c r="K76" t="s">
        <v>232</v>
      </c>
      <c r="L76" t="s">
        <v>234</v>
      </c>
      <c r="N76" t="s">
        <v>132</v>
      </c>
      <c r="O76" t="s">
        <v>230</v>
      </c>
      <c r="P76" t="s">
        <v>231</v>
      </c>
      <c r="Q76" t="s">
        <v>232</v>
      </c>
      <c r="R76" t="s">
        <v>234</v>
      </c>
    </row>
    <row r="77" spans="2:18" x14ac:dyDescent="0.2">
      <c r="B77">
        <v>1</v>
      </c>
      <c r="C77" s="40">
        <f>C65</f>
        <v>10936.580000000049</v>
      </c>
      <c r="D77" s="40" t="e">
        <f>NA()</f>
        <v>#N/A</v>
      </c>
      <c r="E77" t="e">
        <f>NA()</f>
        <v>#N/A</v>
      </c>
      <c r="F77" s="40">
        <f>(_xlfn.FORECAST.LINEAR(B77, $C$65:$C$68, $B$65:$B$68)-C77)^2</f>
        <v>2305669.1442489536</v>
      </c>
      <c r="H77">
        <v>1</v>
      </c>
      <c r="I77" s="40">
        <f>I65</f>
        <v>137628.88000000003</v>
      </c>
      <c r="J77" s="40" t="e">
        <f>NA()</f>
        <v>#N/A</v>
      </c>
      <c r="K77" t="e">
        <f>NA()</f>
        <v>#N/A</v>
      </c>
      <c r="L77" s="40">
        <f>(_xlfn.FORECAST.LINEAR(H77, $I$65:$I$68, $H$65:$H$68)-I77)^2</f>
        <v>21430751.800895825</v>
      </c>
      <c r="N77">
        <v>1</v>
      </c>
      <c r="O77" s="40">
        <f>O65</f>
        <v>126692.29999999999</v>
      </c>
      <c r="P77" s="40" t="e">
        <f>NA()</f>
        <v>#N/A</v>
      </c>
      <c r="Q77" t="e">
        <f>NA()</f>
        <v>#N/A</v>
      </c>
      <c r="R77" s="40">
        <f>(_xlfn.FORECAST.LINEAR(N77, $O$65:$O$68, $N$65:$N$68)-O77)^2</f>
        <v>9677655.2574488875</v>
      </c>
    </row>
    <row r="78" spans="2:18" x14ac:dyDescent="0.2">
      <c r="B78">
        <v>2</v>
      </c>
      <c r="C78" s="40">
        <f t="shared" ref="C78:C80" si="1">C66</f>
        <v>13629.87000000001</v>
      </c>
      <c r="D78" s="40">
        <f>(C77*(1+$C$72)-C78)^2</f>
        <v>2937756.4289961695</v>
      </c>
      <c r="E78" s="40">
        <f>(C77*(1+$C$73)-C78)^2</f>
        <v>4921349.7122044032</v>
      </c>
      <c r="F78" s="40">
        <f t="shared" ref="F78:F80" si="2">(_xlfn.FORECAST.LINEAR(B78, $C$65:$C$68, $B$65:$B$68)-C78)^2</f>
        <v>67264.497315994013</v>
      </c>
      <c r="H78">
        <v>2</v>
      </c>
      <c r="I78" s="40">
        <f>I66</f>
        <v>120890</v>
      </c>
      <c r="J78" s="40">
        <f>(I77*(1+$I$72)-I78)^2</f>
        <v>71969221.2726679</v>
      </c>
      <c r="K78" s="40">
        <f>(I77*(1+$I$73)-I78)^2</f>
        <v>113989422.28719601</v>
      </c>
      <c r="L78" s="40">
        <f>(_xlfn.FORECAST.LINEAR(H78, $I$65:$I$68, $H$65:$H$68)-I78)^2</f>
        <v>794864.96870401886</v>
      </c>
      <c r="N78">
        <v>2</v>
      </c>
      <c r="O78" s="40">
        <f>O66</f>
        <v>107260.12999999999</v>
      </c>
      <c r="P78" s="40">
        <f>(O77*(1+$O$72)-O78)^2</f>
        <v>59717861.410301894</v>
      </c>
      <c r="Q78" s="40">
        <f>(O77*(1+$O$73)-O78)^2</f>
        <v>89764298.917226478</v>
      </c>
      <c r="R78" s="40">
        <f>(_xlfn.FORECAST.LINEAR(N78, $O$65:$O$68, $N$65:$N$68)-O78)^2</f>
        <v>1324584.6208359727</v>
      </c>
    </row>
    <row r="79" spans="2:18" x14ac:dyDescent="0.2">
      <c r="B79">
        <v>3</v>
      </c>
      <c r="C79" s="40">
        <f t="shared" si="1"/>
        <v>18322.62999999999</v>
      </c>
      <c r="D79" s="40">
        <f t="shared" ref="D79:D80" si="3">(C78*(1+$C$72)-C79)^2</f>
        <v>12056807.409423424</v>
      </c>
      <c r="E79" s="40">
        <f t="shared" ref="E79:E80" si="4">(C78*(1+$C$73)-C79)^2</f>
        <v>16817675.098927438</v>
      </c>
      <c r="F79" s="40">
        <f t="shared" si="2"/>
        <v>16294309.097640846</v>
      </c>
      <c r="H79">
        <v>3</v>
      </c>
      <c r="I79" s="40">
        <f>I67</f>
        <v>116976</v>
      </c>
      <c r="J79" s="40">
        <f>(I78*(1+$I$72)-I79)^2</f>
        <v>332723943.56193471</v>
      </c>
      <c r="K79" s="40">
        <f t="shared" ref="K79:K80" si="5">(I78*(1+$I$73)-I79)^2</f>
        <v>406712065.14960808</v>
      </c>
      <c r="L79" s="40">
        <f>(_xlfn.FORECAST.LINEAR(H79, $I$65:$I$68, $H$65:$H$68)-I79)^2</f>
        <v>245583751.31654382</v>
      </c>
      <c r="N79">
        <v>3</v>
      </c>
      <c r="O79" s="40">
        <f>O67</f>
        <v>98653.37000000001</v>
      </c>
      <c r="P79" s="40">
        <f>(O78*(1+$O$72)-O79)^2</f>
        <v>206995402.267717</v>
      </c>
      <c r="Q79" s="40">
        <f t="shared" ref="Q79:Q80" si="6">(O78*(1+$O$73)-O79)^2</f>
        <v>251733074.51629046</v>
      </c>
      <c r="R79" s="40">
        <f>(_xlfn.FORECAST.LINEAR(N79, $O$65:$O$68, $N$65:$N$68)-O79)^2</f>
        <v>135361380.82908154</v>
      </c>
    </row>
    <row r="80" spans="2:18" x14ac:dyDescent="0.2">
      <c r="B80">
        <v>4</v>
      </c>
      <c r="C80" s="40">
        <f t="shared" si="1"/>
        <v>12423.970000000016</v>
      </c>
      <c r="D80" s="40">
        <f t="shared" si="3"/>
        <v>56841581.133123115</v>
      </c>
      <c r="E80" s="40">
        <f t="shared" si="4"/>
        <v>44812969.395660929</v>
      </c>
      <c r="F80" s="40">
        <f t="shared" si="2"/>
        <v>7714684.0110239051</v>
      </c>
      <c r="H80">
        <v>4</v>
      </c>
      <c r="I80" s="40">
        <f>I68</f>
        <v>70678</v>
      </c>
      <c r="J80" s="40">
        <f>(I79*(1+$I$72)-I80)^2</f>
        <v>618047997.34382951</v>
      </c>
      <c r="K80" s="40">
        <f t="shared" si="5"/>
        <v>528841739.12633932</v>
      </c>
      <c r="L80" s="40">
        <f>(_xlfn.FORECAST.LINEAR(H80, $I$65:$I$68, $H$65:$H$68)-I80)^2</f>
        <v>103027047.25017574</v>
      </c>
      <c r="N80">
        <v>4</v>
      </c>
      <c r="O80" s="40">
        <f>O68</f>
        <v>58254.029999999984</v>
      </c>
      <c r="P80" s="40">
        <f t="shared" ref="P80" si="7">(O79*(1+$O$72)-O80)^2</f>
        <v>370575428.06976527</v>
      </c>
      <c r="Q80" s="40">
        <f t="shared" si="6"/>
        <v>320060370.2455588</v>
      </c>
      <c r="R80" s="40">
        <f>(_xlfn.FORECAST.LINEAR(N80, $O$65:$O$68, $N$65:$N$68)-O80)^2</f>
        <v>54356587.32686393</v>
      </c>
    </row>
    <row r="83" spans="2:4" x14ac:dyDescent="0.2">
      <c r="B83" t="s">
        <v>195</v>
      </c>
      <c r="C83" t="s">
        <v>253</v>
      </c>
      <c r="D83" t="s">
        <v>176</v>
      </c>
    </row>
    <row r="84" spans="2:4" x14ac:dyDescent="0.2">
      <c r="B84" t="s">
        <v>93</v>
      </c>
      <c r="C84" s="40">
        <f>L69</f>
        <v>60351.559999999969</v>
      </c>
      <c r="D84" s="54">
        <f>C84/$C$84</f>
        <v>1</v>
      </c>
    </row>
    <row r="85" spans="2:4" x14ac:dyDescent="0.2">
      <c r="B85" t="s">
        <v>94</v>
      </c>
      <c r="C85" s="40">
        <f>R69</f>
        <v>44234.564999999973</v>
      </c>
      <c r="D85" s="54">
        <f t="shared" ref="D85" si="8">C85/$C$84</f>
        <v>0.73294816240044158</v>
      </c>
    </row>
    <row r="86" spans="2:4" x14ac:dyDescent="0.2">
      <c r="B86" t="s">
        <v>92</v>
      </c>
      <c r="C86" s="40">
        <f>E69</f>
        <v>16116.994999999986</v>
      </c>
      <c r="D86" s="54">
        <f>ROUND(C86/$C$84, 2)</f>
        <v>0.27</v>
      </c>
    </row>
    <row r="88" spans="2:4" x14ac:dyDescent="0.2">
      <c r="B88" t="s">
        <v>93</v>
      </c>
      <c r="C88" s="40" cm="1">
        <f t="array" ref="C88">Table23[[#All],[Column2]]</f>
        <v>446172.87999999995</v>
      </c>
      <c r="D88" s="54">
        <f>C88/$C$88</f>
        <v>1</v>
      </c>
    </row>
    <row r="89" spans="2:4" x14ac:dyDescent="0.2">
      <c r="B89" t="s">
        <v>94</v>
      </c>
      <c r="C89" s="87" cm="1">
        <f t="array" ref="C89">Table56[[#All],[Column2]]</f>
        <v>390859.8299999999</v>
      </c>
      <c r="D89" s="54">
        <f>C89/$C$88</f>
        <v>0.87602776305005348</v>
      </c>
    </row>
    <row r="90" spans="2:4" x14ac:dyDescent="0.2">
      <c r="B90" t="s">
        <v>92</v>
      </c>
      <c r="C90" s="40" cm="1">
        <f t="array" ref="C90">Table14[[#All],[Column2]]</f>
        <v>55313.050000000032</v>
      </c>
      <c r="D90" s="54">
        <f>C90/$C$88</f>
        <v>0.12397223694994648</v>
      </c>
    </row>
  </sheetData>
  <sheetProtection sheet="1" objects="1" scenarios="1"/>
  <pageMargins left="0.7" right="0.7" top="0.75" bottom="0.75" header="0.3" footer="0.3"/>
  <pageSetup paperSize="9" orientation="portrait"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0FD9-B20B-42D2-9F16-AA3F87376B92}">
  <dimension ref="B2:AH65"/>
  <sheetViews>
    <sheetView showGridLines="0" showRowColHeaders="0" topLeftCell="B4" zoomScale="87" zoomScaleNormal="100" workbookViewId="0">
      <selection activeCell="D9" sqref="D9"/>
    </sheetView>
  </sheetViews>
  <sheetFormatPr baseColWidth="10" defaultColWidth="9.1640625" defaultRowHeight="14.5" customHeight="1" x14ac:dyDescent="0.2"/>
  <cols>
    <col min="1" max="3" width="9.1640625" customWidth="1"/>
    <col min="4" max="4" width="10" bestFit="1" customWidth="1"/>
    <col min="5" max="5" width="11.5" customWidth="1"/>
    <col min="6" max="6" width="4.5" customWidth="1"/>
    <col min="7" max="7" width="8.5" customWidth="1"/>
    <col min="8" max="8" width="10.33203125" customWidth="1"/>
    <col min="9" max="9" width="8.5" customWidth="1"/>
    <col min="10" max="10" width="9.83203125" customWidth="1"/>
    <col min="11" max="11" width="12.1640625" customWidth="1"/>
    <col min="12" max="12" width="12.83203125" bestFit="1" customWidth="1"/>
    <col min="13" max="14" width="13.1640625" customWidth="1"/>
    <col min="15" max="15" width="11" customWidth="1"/>
    <col min="16" max="16" width="4.5" customWidth="1"/>
    <col min="17" max="17" width="3.5" customWidth="1"/>
    <col min="18" max="18" width="2.83203125" customWidth="1"/>
    <col min="19" max="19" width="5" customWidth="1"/>
    <col min="20" max="20" width="9.5" bestFit="1" customWidth="1"/>
    <col min="21" max="21" width="11.83203125" customWidth="1"/>
    <col min="22" max="22" width="3.6640625" customWidth="1"/>
    <col min="23" max="23" width="5.5" customWidth="1"/>
    <col min="25" max="25" width="9.1640625" customWidth="1"/>
    <col min="26" max="26" width="17.6640625" customWidth="1"/>
  </cols>
  <sheetData>
    <row r="2" spans="2:26" ht="14.5" customHeight="1" thickBot="1" x14ac:dyDescent="0.25">
      <c r="K2" s="48"/>
    </row>
    <row r="3" spans="2:26" ht="14.5" customHeight="1" x14ac:dyDescent="0.2">
      <c r="B3" s="88"/>
      <c r="C3" s="89"/>
      <c r="D3" s="89"/>
      <c r="E3" s="90"/>
      <c r="G3" s="30"/>
      <c r="H3" s="31"/>
      <c r="I3" s="31"/>
      <c r="J3" s="31"/>
      <c r="K3" s="31"/>
      <c r="L3" s="31"/>
      <c r="M3" s="31"/>
      <c r="N3" s="31"/>
      <c r="O3" s="31"/>
      <c r="P3" s="31"/>
      <c r="Q3" s="31"/>
      <c r="R3" s="31"/>
      <c r="S3" s="31"/>
      <c r="T3" s="31"/>
      <c r="U3" s="31"/>
      <c r="V3" s="31"/>
      <c r="W3" s="31"/>
      <c r="X3" s="31"/>
      <c r="Y3" s="31"/>
      <c r="Z3" s="32"/>
    </row>
    <row r="4" spans="2:26" ht="14.5" customHeight="1" x14ac:dyDescent="0.2">
      <c r="B4" s="91"/>
      <c r="C4" s="98"/>
      <c r="D4" s="98"/>
      <c r="E4" s="135"/>
      <c r="G4" s="33"/>
      <c r="H4" s="29"/>
      <c r="I4" s="29"/>
      <c r="J4" s="29"/>
      <c r="K4" s="29"/>
      <c r="L4" s="29"/>
      <c r="M4" s="29"/>
      <c r="N4" s="29"/>
      <c r="O4" s="29"/>
      <c r="P4" s="29"/>
      <c r="Q4" s="29"/>
      <c r="R4" s="29"/>
      <c r="S4" s="29"/>
      <c r="T4" s="29"/>
      <c r="U4" s="29"/>
      <c r="V4" s="29"/>
      <c r="W4" s="29"/>
      <c r="X4" s="29"/>
      <c r="Y4" s="29"/>
      <c r="Z4" s="34"/>
    </row>
    <row r="5" spans="2:26" ht="14.5" customHeight="1" x14ac:dyDescent="0.2">
      <c r="B5" s="91"/>
      <c r="C5" s="98"/>
      <c r="D5" s="98"/>
      <c r="E5" s="135"/>
      <c r="G5" s="33"/>
      <c r="H5" s="29"/>
      <c r="I5" s="29"/>
      <c r="J5" s="29"/>
      <c r="K5" s="29"/>
      <c r="L5" s="29"/>
      <c r="M5" s="29"/>
      <c r="N5" s="29"/>
      <c r="O5" s="29"/>
      <c r="P5" s="29"/>
      <c r="Q5" s="29"/>
      <c r="R5" s="29"/>
      <c r="S5" s="29"/>
      <c r="T5" s="29"/>
      <c r="U5" s="29"/>
      <c r="V5" s="29"/>
      <c r="W5" s="29"/>
      <c r="X5" s="29"/>
      <c r="Y5" s="29"/>
      <c r="Z5" s="34"/>
    </row>
    <row r="6" spans="2:26" ht="14.5" customHeight="1" thickBot="1" x14ac:dyDescent="0.25">
      <c r="B6" s="91"/>
      <c r="C6" s="98"/>
      <c r="D6" s="98"/>
      <c r="E6" s="135"/>
      <c r="G6" s="33"/>
      <c r="H6" s="29"/>
      <c r="I6" s="29"/>
      <c r="J6" s="29"/>
      <c r="K6" s="29"/>
      <c r="L6" s="29"/>
      <c r="M6" s="29"/>
      <c r="N6" s="29"/>
      <c r="O6" s="29"/>
      <c r="P6" s="29"/>
      <c r="Q6" s="29"/>
      <c r="R6" s="29"/>
      <c r="S6" s="76"/>
      <c r="T6" s="76"/>
      <c r="U6" s="29"/>
      <c r="V6" s="29"/>
      <c r="W6" s="29"/>
      <c r="X6" s="29"/>
      <c r="Y6" s="29"/>
      <c r="Z6" s="34"/>
    </row>
    <row r="7" spans="2:26" ht="14.5" customHeight="1" thickBot="1" x14ac:dyDescent="0.25">
      <c r="B7" s="91"/>
      <c r="C7" s="98"/>
      <c r="D7" s="140" t="s">
        <v>1</v>
      </c>
      <c r="E7" s="135"/>
      <c r="G7" s="33"/>
      <c r="H7" s="29"/>
      <c r="I7" s="29"/>
      <c r="J7" s="29"/>
      <c r="K7" s="29"/>
      <c r="L7" s="29"/>
      <c r="M7" s="29"/>
      <c r="N7" s="29"/>
      <c r="O7" s="29"/>
      <c r="P7" s="29"/>
      <c r="Q7" s="29"/>
      <c r="R7" s="77"/>
      <c r="S7" s="29"/>
      <c r="T7" s="78"/>
      <c r="U7" s="29"/>
      <c r="V7" s="77"/>
      <c r="W7" s="29"/>
      <c r="X7" s="79"/>
      <c r="Y7" s="29"/>
      <c r="Z7" s="34"/>
    </row>
    <row r="8" spans="2:26" ht="14.5" customHeight="1" thickBot="1" x14ac:dyDescent="0.25">
      <c r="B8" s="91"/>
      <c r="C8" s="98"/>
      <c r="D8" s="98"/>
      <c r="E8" s="135"/>
      <c r="G8" s="33"/>
      <c r="H8" s="29"/>
      <c r="I8" s="29"/>
      <c r="J8" s="29"/>
      <c r="K8" s="29"/>
      <c r="L8" s="29"/>
      <c r="M8" s="29"/>
      <c r="N8" s="29"/>
      <c r="O8" s="29"/>
      <c r="P8" s="29"/>
      <c r="Q8" s="29"/>
      <c r="R8" s="29"/>
      <c r="S8" s="29"/>
      <c r="T8" s="29"/>
      <c r="U8" s="29"/>
      <c r="V8" s="29"/>
      <c r="W8" s="29"/>
      <c r="X8" s="29"/>
      <c r="Y8" s="29"/>
      <c r="Z8" s="34"/>
    </row>
    <row r="9" spans="2:26" ht="14.25" customHeight="1" thickBot="1" x14ac:dyDescent="0.35">
      <c r="B9" s="91"/>
      <c r="C9" s="98"/>
      <c r="D9" s="140" t="s">
        <v>49</v>
      </c>
      <c r="E9" s="135"/>
      <c r="G9" s="33"/>
      <c r="H9" s="29"/>
      <c r="I9" s="29"/>
      <c r="J9" s="29"/>
      <c r="K9" s="86"/>
      <c r="L9" s="29"/>
      <c r="M9" s="29"/>
      <c r="N9" s="29"/>
      <c r="O9" s="29"/>
      <c r="P9" s="29"/>
      <c r="Q9" s="29"/>
      <c r="R9" s="29"/>
      <c r="S9" s="29"/>
      <c r="T9" s="29"/>
      <c r="U9" s="29"/>
      <c r="V9" s="29"/>
      <c r="W9" s="29"/>
      <c r="X9" s="29"/>
      <c r="Y9" s="29"/>
      <c r="Z9" s="34"/>
    </row>
    <row r="10" spans="2:26" ht="14.5" customHeight="1" x14ac:dyDescent="0.2">
      <c r="B10" s="91"/>
      <c r="C10" s="98"/>
      <c r="D10" s="98"/>
      <c r="E10" s="135"/>
      <c r="G10" s="33"/>
      <c r="H10" s="29"/>
      <c r="I10" s="29"/>
      <c r="J10" s="29"/>
      <c r="K10" s="29"/>
      <c r="L10" s="29"/>
      <c r="M10" s="29"/>
      <c r="N10" s="29"/>
      <c r="O10" s="29"/>
      <c r="P10" s="29"/>
      <c r="Q10" s="29"/>
      <c r="R10" s="29"/>
      <c r="S10" s="29"/>
      <c r="T10" s="29"/>
      <c r="U10" s="29"/>
      <c r="V10" s="29"/>
      <c r="W10" s="29"/>
      <c r="X10" s="29"/>
      <c r="Y10" s="29"/>
      <c r="Z10" s="34"/>
    </row>
    <row r="11" spans="2:26" ht="14.5" customHeight="1" x14ac:dyDescent="0.2">
      <c r="B11" s="91"/>
      <c r="C11" s="98"/>
      <c r="D11" s="98"/>
      <c r="E11" s="135"/>
      <c r="G11" s="33"/>
      <c r="H11" s="29"/>
      <c r="I11" s="29"/>
      <c r="J11" s="29"/>
      <c r="K11" s="29"/>
      <c r="L11" s="29"/>
      <c r="M11" s="29"/>
      <c r="N11" s="29"/>
      <c r="O11" s="29"/>
      <c r="P11" s="29"/>
      <c r="Q11" s="29"/>
      <c r="R11" s="29"/>
      <c r="S11" s="29"/>
      <c r="T11" s="29"/>
      <c r="U11" s="29"/>
      <c r="V11" s="29"/>
      <c r="W11" s="29"/>
      <c r="X11" s="29"/>
      <c r="Y11" s="29"/>
      <c r="Z11" s="34"/>
    </row>
    <row r="12" spans="2:26" ht="18" customHeight="1" thickBot="1" x14ac:dyDescent="0.25">
      <c r="B12" s="92"/>
      <c r="C12" s="93"/>
      <c r="D12" s="93"/>
      <c r="E12" s="94"/>
      <c r="G12" s="35"/>
      <c r="H12" s="36"/>
      <c r="I12" s="36"/>
      <c r="J12" s="36"/>
      <c r="K12" s="36"/>
      <c r="L12" s="36"/>
      <c r="M12" s="36"/>
      <c r="N12" s="36"/>
      <c r="O12" s="36"/>
      <c r="P12" s="36"/>
      <c r="Q12" s="36"/>
      <c r="R12" s="36"/>
      <c r="S12" s="36"/>
      <c r="T12" s="36"/>
      <c r="U12" s="36"/>
      <c r="V12" s="36"/>
      <c r="W12" s="36"/>
      <c r="X12" s="36"/>
      <c r="Y12" s="36"/>
      <c r="Z12" s="37"/>
    </row>
    <row r="13" spans="2:26" ht="23" customHeight="1" thickBot="1" x14ac:dyDescent="0.25"/>
    <row r="14" spans="2:26" ht="28.5" customHeight="1" x14ac:dyDescent="0.2">
      <c r="B14" s="30"/>
      <c r="C14" s="31"/>
      <c r="D14" s="31"/>
      <c r="E14" s="32"/>
      <c r="G14" s="30"/>
      <c r="H14" s="31"/>
      <c r="I14" s="95"/>
      <c r="J14" s="95"/>
      <c r="K14" s="95"/>
      <c r="L14" s="96"/>
      <c r="M14" s="95"/>
      <c r="N14" s="31"/>
      <c r="O14" s="31"/>
      <c r="P14" s="32"/>
      <c r="R14" s="30"/>
      <c r="S14" s="31"/>
      <c r="T14" s="31"/>
      <c r="U14" s="31"/>
      <c r="V14" s="31"/>
      <c r="W14" s="31"/>
      <c r="X14" s="31"/>
      <c r="Y14" s="31"/>
      <c r="Z14" s="32"/>
    </row>
    <row r="15" spans="2:26" ht="14.5" customHeight="1" x14ac:dyDescent="0.2">
      <c r="B15" s="33"/>
      <c r="C15" s="29"/>
      <c r="D15" s="29"/>
      <c r="E15" s="34"/>
      <c r="G15" s="61"/>
      <c r="H15" s="45"/>
      <c r="I15" s="97"/>
      <c r="J15" s="98"/>
      <c r="K15" s="99"/>
      <c r="L15" s="99"/>
      <c r="M15" s="98"/>
      <c r="N15" s="29"/>
      <c r="O15" s="29"/>
      <c r="P15" s="34"/>
      <c r="R15" s="33"/>
      <c r="S15" s="98"/>
      <c r="T15" s="98"/>
      <c r="U15" s="98"/>
      <c r="V15" s="98"/>
      <c r="W15" s="98"/>
      <c r="X15" s="29"/>
      <c r="Y15" s="29"/>
      <c r="Z15" s="34"/>
    </row>
    <row r="16" spans="2:26" ht="14.5" customHeight="1" x14ac:dyDescent="0.2">
      <c r="B16" s="33"/>
      <c r="C16" s="29"/>
      <c r="D16" s="29"/>
      <c r="E16" s="34"/>
      <c r="G16" s="61"/>
      <c r="H16" s="45"/>
      <c r="I16" s="97"/>
      <c r="J16" s="98"/>
      <c r="K16" s="99"/>
      <c r="L16" s="99"/>
      <c r="M16" s="98"/>
      <c r="N16" s="29"/>
      <c r="O16" s="29"/>
      <c r="P16" s="34"/>
      <c r="R16" s="33"/>
      <c r="S16" s="98"/>
      <c r="T16" s="98"/>
      <c r="U16" s="98"/>
      <c r="V16" s="98"/>
      <c r="W16" s="98"/>
      <c r="X16" s="29"/>
      <c r="Y16" s="29"/>
      <c r="Z16" s="34"/>
    </row>
    <row r="17" spans="2:34" ht="14.5" customHeight="1" x14ac:dyDescent="0.25">
      <c r="B17" s="33"/>
      <c r="C17" s="29"/>
      <c r="D17" s="29"/>
      <c r="E17" s="34"/>
      <c r="G17" s="33"/>
      <c r="H17" s="29"/>
      <c r="I17" s="100"/>
      <c r="J17" s="100"/>
      <c r="K17" s="100"/>
      <c r="L17" s="100"/>
      <c r="M17" s="98"/>
      <c r="N17" s="49"/>
      <c r="O17" s="98"/>
      <c r="P17" s="62"/>
      <c r="R17" s="33"/>
      <c r="S17" s="98"/>
      <c r="T17" s="98"/>
      <c r="U17" s="98"/>
      <c r="V17" s="98"/>
      <c r="W17" s="98"/>
      <c r="X17" s="29"/>
      <c r="Y17" s="29"/>
      <c r="Z17" s="34"/>
      <c r="AA17" s="2"/>
    </row>
    <row r="18" spans="2:34" ht="14.5" customHeight="1" thickBot="1" x14ac:dyDescent="0.25">
      <c r="B18" s="33"/>
      <c r="C18" s="29"/>
      <c r="D18" s="29"/>
      <c r="E18" s="34"/>
      <c r="G18" s="33"/>
      <c r="H18" s="29"/>
      <c r="I18" s="98"/>
      <c r="J18" s="98"/>
      <c r="K18" s="98"/>
      <c r="L18" s="98"/>
      <c r="M18" s="98"/>
      <c r="N18" s="29"/>
      <c r="O18" s="98"/>
      <c r="P18" s="34"/>
      <c r="R18" s="33"/>
      <c r="S18" s="98"/>
      <c r="T18" s="98"/>
      <c r="U18" s="98"/>
      <c r="V18" s="98"/>
      <c r="W18" s="98"/>
      <c r="X18" s="29"/>
      <c r="Y18" s="29"/>
      <c r="Z18" s="34"/>
      <c r="AA18" s="2"/>
    </row>
    <row r="19" spans="2:34" ht="13.5" customHeight="1" thickBot="1" x14ac:dyDescent="0.25">
      <c r="B19" s="33"/>
      <c r="C19" s="29"/>
      <c r="D19" s="29"/>
      <c r="E19" s="34"/>
      <c r="G19" s="33"/>
      <c r="H19" s="50"/>
      <c r="I19" s="101"/>
      <c r="J19" s="101"/>
      <c r="K19" s="101"/>
      <c r="L19" s="114" t="s">
        <v>92</v>
      </c>
      <c r="M19" s="98"/>
      <c r="N19" s="29"/>
      <c r="O19" s="115" t="s">
        <v>44</v>
      </c>
      <c r="P19" s="34"/>
      <c r="R19" s="33"/>
      <c r="S19" s="98"/>
      <c r="T19" s="98"/>
      <c r="U19" s="98"/>
      <c r="V19" s="98"/>
      <c r="W19" s="98"/>
      <c r="X19" s="29"/>
      <c r="Y19" s="29"/>
      <c r="Z19" s="34"/>
      <c r="AA19" s="2"/>
    </row>
    <row r="20" spans="2:34" ht="14" customHeight="1" thickBot="1" x14ac:dyDescent="0.25">
      <c r="B20" s="33"/>
      <c r="C20" s="29"/>
      <c r="D20" s="29"/>
      <c r="E20" s="34"/>
      <c r="G20" s="33"/>
      <c r="H20" s="50"/>
      <c r="I20" s="101"/>
      <c r="J20" s="101"/>
      <c r="K20" s="98"/>
      <c r="L20" s="98"/>
      <c r="M20" s="98"/>
      <c r="N20" s="29"/>
      <c r="O20" s="98"/>
      <c r="P20" s="34"/>
      <c r="R20" s="33"/>
      <c r="S20" s="98"/>
      <c r="T20" s="98"/>
      <c r="U20" s="98"/>
      <c r="V20" s="98"/>
      <c r="W20" s="98"/>
      <c r="X20" s="29"/>
      <c r="Y20" s="29"/>
      <c r="Z20" s="34"/>
      <c r="AA20" s="2"/>
      <c r="AH20" t="s">
        <v>222</v>
      </c>
    </row>
    <row r="21" spans="2:34" ht="14.5" customHeight="1" thickBot="1" x14ac:dyDescent="0.25">
      <c r="B21" s="33"/>
      <c r="C21" s="29"/>
      <c r="D21" s="29"/>
      <c r="E21" s="34"/>
      <c r="G21" s="33"/>
      <c r="H21" s="50"/>
      <c r="I21" s="101"/>
      <c r="J21" s="98"/>
      <c r="K21" s="98"/>
      <c r="L21" s="117">
        <v>4000</v>
      </c>
      <c r="M21" s="101"/>
      <c r="N21" s="47"/>
      <c r="O21" s="116">
        <v>100</v>
      </c>
      <c r="P21" s="34"/>
      <c r="R21" s="33"/>
      <c r="S21" s="98"/>
      <c r="T21" s="98"/>
      <c r="U21" s="98"/>
      <c r="V21" s="98"/>
      <c r="W21" s="98"/>
      <c r="X21" s="29"/>
      <c r="Y21" s="29"/>
      <c r="Z21" s="34"/>
      <c r="AA21" s="2"/>
    </row>
    <row r="22" spans="2:34" ht="14.5" customHeight="1" x14ac:dyDescent="0.2">
      <c r="B22" s="33"/>
      <c r="C22" s="29"/>
      <c r="D22" s="29"/>
      <c r="E22" s="34"/>
      <c r="G22" s="33"/>
      <c r="H22" s="50"/>
      <c r="I22" s="101"/>
      <c r="J22" s="150" t="str">
        <f>IF(L21&gt;4000, "      Warehousing cost", "")</f>
        <v/>
      </c>
      <c r="K22" s="150"/>
      <c r="L22" s="102" t="str">
        <f>IF(L21&gt;4000, (L21-4000)*0.3, "")</f>
        <v/>
      </c>
      <c r="M22" s="103"/>
      <c r="N22" s="46"/>
      <c r="O22" s="29"/>
      <c r="P22" s="34"/>
      <c r="R22" s="33"/>
      <c r="S22" s="98"/>
      <c r="T22" s="98"/>
      <c r="U22" s="98"/>
      <c r="V22" s="98"/>
      <c r="W22" s="98"/>
      <c r="X22" s="29"/>
      <c r="Y22" s="29"/>
      <c r="Z22" s="34"/>
      <c r="AA22" s="2"/>
    </row>
    <row r="23" spans="2:34" ht="14.5" customHeight="1" x14ac:dyDescent="0.2">
      <c r="B23" s="33"/>
      <c r="C23" s="29"/>
      <c r="D23" s="29"/>
      <c r="E23" s="34"/>
      <c r="G23" s="33"/>
      <c r="H23" s="52"/>
      <c r="I23" s="101"/>
      <c r="J23" s="101"/>
      <c r="K23" s="101"/>
      <c r="L23" s="101"/>
      <c r="M23" s="103"/>
      <c r="N23" s="46"/>
      <c r="O23" s="29"/>
      <c r="P23" s="34"/>
      <c r="R23" s="33"/>
      <c r="S23" s="98"/>
      <c r="T23" s="98"/>
      <c r="U23" s="98"/>
      <c r="V23" s="98"/>
      <c r="W23" s="98"/>
      <c r="X23" s="29"/>
      <c r="Y23" s="29"/>
      <c r="Z23" s="34"/>
    </row>
    <row r="24" spans="2:34" ht="14.5" customHeight="1" x14ac:dyDescent="0.2">
      <c r="B24" s="33"/>
      <c r="C24" s="29"/>
      <c r="D24" s="29"/>
      <c r="E24" s="34"/>
      <c r="G24" s="33"/>
      <c r="H24" s="51"/>
      <c r="I24" s="101"/>
      <c r="J24" s="101"/>
      <c r="K24" s="101"/>
      <c r="L24" s="101"/>
      <c r="M24" s="98"/>
      <c r="N24" s="29"/>
      <c r="O24" s="29"/>
      <c r="P24" s="34"/>
      <c r="R24" s="33"/>
      <c r="S24" s="98"/>
      <c r="T24" s="98"/>
      <c r="U24" s="98"/>
      <c r="V24" s="98"/>
      <c r="W24" s="98"/>
      <c r="X24" s="29"/>
      <c r="Y24" s="29"/>
      <c r="Z24" s="34"/>
    </row>
    <row r="25" spans="2:34" ht="14.5" customHeight="1" x14ac:dyDescent="0.2">
      <c r="B25" s="33"/>
      <c r="C25" s="29"/>
      <c r="D25" s="29"/>
      <c r="E25" s="34"/>
      <c r="G25" s="33"/>
      <c r="H25" s="52"/>
      <c r="I25" s="101"/>
      <c r="J25" s="101"/>
      <c r="K25" s="101"/>
      <c r="L25" s="101"/>
      <c r="M25" s="98"/>
      <c r="N25" s="29"/>
      <c r="O25" s="29"/>
      <c r="P25" s="34"/>
      <c r="R25" s="33"/>
      <c r="S25" s="98"/>
      <c r="T25" s="98"/>
      <c r="U25" s="98"/>
      <c r="V25" s="98"/>
      <c r="W25" s="98"/>
      <c r="X25" s="29"/>
      <c r="Y25" s="29"/>
      <c r="Z25" s="34"/>
    </row>
    <row r="26" spans="2:34" ht="14.5" customHeight="1" x14ac:dyDescent="0.2">
      <c r="B26" s="33"/>
      <c r="C26" s="29"/>
      <c r="D26" s="29"/>
      <c r="E26" s="34"/>
      <c r="G26" s="33"/>
      <c r="H26" s="51"/>
      <c r="I26" s="101"/>
      <c r="J26" s="101"/>
      <c r="K26" s="101"/>
      <c r="L26" s="101"/>
      <c r="M26" s="98"/>
      <c r="N26" s="29"/>
      <c r="O26" s="29"/>
      <c r="P26" s="34"/>
      <c r="R26" s="33"/>
      <c r="S26" s="98"/>
      <c r="T26" s="98"/>
      <c r="U26" s="98"/>
      <c r="V26" s="98"/>
      <c r="W26" s="98"/>
      <c r="X26" s="29"/>
      <c r="Y26" s="29"/>
      <c r="Z26" s="34"/>
    </row>
    <row r="27" spans="2:34" ht="14.5" customHeight="1" x14ac:dyDescent="0.2">
      <c r="B27" s="33"/>
      <c r="C27" s="29"/>
      <c r="D27" s="29"/>
      <c r="E27" s="34"/>
      <c r="G27" s="33"/>
      <c r="H27" s="50"/>
      <c r="I27" s="101"/>
      <c r="J27" s="101"/>
      <c r="K27" s="101"/>
      <c r="L27" s="101"/>
      <c r="M27" s="98"/>
      <c r="N27" s="29"/>
      <c r="O27" s="29"/>
      <c r="P27" s="34"/>
      <c r="R27" s="33"/>
      <c r="S27" s="98"/>
      <c r="T27" s="98"/>
      <c r="U27" s="98"/>
      <c r="V27" s="98"/>
      <c r="W27" s="98"/>
      <c r="X27" s="29"/>
      <c r="Y27" s="29"/>
      <c r="Z27" s="34"/>
    </row>
    <row r="28" spans="2:34" ht="14.5" customHeight="1" x14ac:dyDescent="0.2">
      <c r="B28" s="33"/>
      <c r="C28" s="29"/>
      <c r="D28" s="29"/>
      <c r="E28" s="34"/>
      <c r="G28" s="33"/>
      <c r="H28" s="50"/>
      <c r="I28" s="101"/>
      <c r="J28" s="101"/>
      <c r="K28" s="101"/>
      <c r="L28" s="101"/>
      <c r="M28" s="98"/>
      <c r="N28" s="29"/>
      <c r="O28" s="29"/>
      <c r="P28" s="34"/>
      <c r="R28" s="33"/>
      <c r="S28" s="98"/>
      <c r="T28" s="98"/>
      <c r="U28" s="98"/>
      <c r="V28" s="98"/>
      <c r="W28" s="98"/>
      <c r="X28" s="29"/>
      <c r="Y28" s="29"/>
      <c r="Z28" s="34"/>
    </row>
    <row r="29" spans="2:34" ht="14.5" customHeight="1" x14ac:dyDescent="0.2">
      <c r="B29" s="33"/>
      <c r="C29" s="29"/>
      <c r="D29" s="29"/>
      <c r="E29" s="34"/>
      <c r="G29" s="33"/>
      <c r="H29" s="50"/>
      <c r="I29" s="101"/>
      <c r="J29" s="101"/>
      <c r="K29" s="101"/>
      <c r="L29" s="101"/>
      <c r="M29" s="98"/>
      <c r="N29" s="29"/>
      <c r="O29" s="29"/>
      <c r="P29" s="34"/>
      <c r="R29" s="33"/>
      <c r="S29" s="98"/>
      <c r="T29" s="98"/>
      <c r="U29" s="98"/>
      <c r="V29" s="98"/>
      <c r="W29" s="98"/>
      <c r="X29" s="29"/>
      <c r="Y29" s="29"/>
      <c r="Z29" s="34"/>
    </row>
    <row r="30" spans="2:34" ht="14.5" customHeight="1" x14ac:dyDescent="0.2">
      <c r="B30" s="33"/>
      <c r="C30" s="29"/>
      <c r="D30" s="29"/>
      <c r="E30" s="34"/>
      <c r="G30" s="33"/>
      <c r="H30" s="50"/>
      <c r="I30" s="101"/>
      <c r="J30" s="98"/>
      <c r="K30" s="98"/>
      <c r="L30" s="98"/>
      <c r="M30" s="98"/>
      <c r="N30" s="29"/>
      <c r="O30" s="29"/>
      <c r="P30" s="34"/>
      <c r="R30" s="106"/>
      <c r="S30" s="98"/>
      <c r="T30" s="98"/>
      <c r="U30" s="98"/>
      <c r="V30" s="98"/>
      <c r="W30" s="98"/>
      <c r="X30" s="98"/>
      <c r="Y30" s="75"/>
      <c r="Z30" s="34"/>
    </row>
    <row r="31" spans="2:34" ht="14.5" customHeight="1" x14ac:dyDescent="0.2">
      <c r="B31" s="33"/>
      <c r="C31" s="29"/>
      <c r="D31" s="29"/>
      <c r="E31" s="34"/>
      <c r="G31" s="33"/>
      <c r="H31" s="29"/>
      <c r="I31" s="29"/>
      <c r="J31" s="29"/>
      <c r="K31" s="29"/>
      <c r="L31" s="29"/>
      <c r="M31" s="29"/>
      <c r="N31" s="29"/>
      <c r="O31" s="29"/>
      <c r="P31" s="34"/>
      <c r="R31" s="106"/>
      <c r="S31" s="98"/>
      <c r="T31" s="98"/>
      <c r="U31" s="98"/>
      <c r="V31" s="98"/>
      <c r="W31" s="98"/>
      <c r="X31" s="98"/>
      <c r="Y31" s="75"/>
      <c r="Z31" s="107"/>
    </row>
    <row r="32" spans="2:34" ht="14.5" customHeight="1" x14ac:dyDescent="0.2">
      <c r="B32" s="33"/>
      <c r="C32" s="29"/>
      <c r="D32" s="29"/>
      <c r="E32" s="34"/>
      <c r="G32" s="33"/>
      <c r="H32" s="29"/>
      <c r="I32" s="29"/>
      <c r="J32" s="29"/>
      <c r="K32" s="29"/>
      <c r="L32" s="29"/>
      <c r="M32" s="29"/>
      <c r="N32" s="29"/>
      <c r="O32" s="29"/>
      <c r="P32" s="34"/>
      <c r="R32" s="106"/>
      <c r="S32" s="98"/>
      <c r="T32" s="98"/>
      <c r="U32" s="98"/>
      <c r="V32" s="98"/>
      <c r="W32" s="98"/>
      <c r="X32" s="98"/>
      <c r="Y32" s="98"/>
      <c r="Z32" s="108"/>
    </row>
    <row r="33" spans="2:30" ht="14.5" customHeight="1" thickBot="1" x14ac:dyDescent="0.25">
      <c r="B33" s="33"/>
      <c r="C33" s="29"/>
      <c r="D33" s="29"/>
      <c r="E33" s="34"/>
      <c r="G33" s="35"/>
      <c r="H33" s="36"/>
      <c r="I33" s="36"/>
      <c r="J33" s="36"/>
      <c r="K33" s="36"/>
      <c r="L33" s="36"/>
      <c r="M33" s="36"/>
      <c r="N33" s="36"/>
      <c r="O33" s="36"/>
      <c r="P33" s="37"/>
      <c r="R33" s="106"/>
      <c r="S33" s="98"/>
      <c r="T33" s="98"/>
      <c r="U33" s="98"/>
      <c r="V33" s="98"/>
      <c r="W33" s="105"/>
      <c r="X33" s="105"/>
      <c r="Y33" s="105"/>
      <c r="Z33" s="108"/>
    </row>
    <row r="34" spans="2:30" ht="17.25" customHeight="1" thickBot="1" x14ac:dyDescent="0.25">
      <c r="B34" s="33"/>
      <c r="C34" s="29"/>
      <c r="D34" s="29"/>
      <c r="E34" s="34"/>
      <c r="R34" s="33"/>
      <c r="S34" s="98"/>
      <c r="T34" s="98"/>
      <c r="U34" s="98"/>
      <c r="V34" s="98"/>
      <c r="W34" s="104"/>
      <c r="X34" s="109"/>
      <c r="Y34" s="109"/>
      <c r="Z34" s="110"/>
    </row>
    <row r="35" spans="2:30" ht="16.5" customHeight="1" x14ac:dyDescent="0.2">
      <c r="B35" s="33"/>
      <c r="C35" s="29"/>
      <c r="D35" s="29"/>
      <c r="E35" s="34"/>
      <c r="G35" s="30"/>
      <c r="H35" s="31"/>
      <c r="I35" s="31"/>
      <c r="J35" s="31"/>
      <c r="K35" s="31"/>
      <c r="L35" s="31"/>
      <c r="M35" s="31"/>
      <c r="N35" s="31"/>
      <c r="O35" s="31"/>
      <c r="P35" s="32"/>
      <c r="R35" s="33"/>
      <c r="S35" s="98"/>
      <c r="T35" s="149"/>
      <c r="U35" s="149"/>
      <c r="V35" s="98"/>
      <c r="W35" s="104"/>
      <c r="X35" s="111"/>
      <c r="Y35" s="111"/>
      <c r="Z35" s="112"/>
    </row>
    <row r="36" spans="2:30" ht="14.5" customHeight="1" x14ac:dyDescent="0.2">
      <c r="B36" s="33"/>
      <c r="C36" s="29"/>
      <c r="D36" s="29"/>
      <c r="E36" s="34"/>
      <c r="G36" s="33"/>
      <c r="H36" s="29"/>
      <c r="I36" s="29"/>
      <c r="J36" s="29"/>
      <c r="K36" s="29"/>
      <c r="L36" s="29"/>
      <c r="M36" s="29"/>
      <c r="N36" s="29"/>
      <c r="O36" s="29"/>
      <c r="P36" s="34"/>
      <c r="R36" s="33"/>
      <c r="S36" s="29"/>
      <c r="T36" s="29"/>
      <c r="U36" s="98"/>
      <c r="V36" s="98"/>
      <c r="W36" s="98"/>
      <c r="X36" s="98"/>
      <c r="Y36" s="98"/>
      <c r="Z36" s="108"/>
    </row>
    <row r="37" spans="2:30" ht="14.5" customHeight="1" x14ac:dyDescent="0.2">
      <c r="B37" s="33"/>
      <c r="C37" s="29"/>
      <c r="D37" s="29"/>
      <c r="E37" s="34"/>
      <c r="G37" s="33"/>
      <c r="H37" s="29"/>
      <c r="I37" s="29"/>
      <c r="J37" s="29"/>
      <c r="K37" s="29"/>
      <c r="L37" s="29"/>
      <c r="M37" s="29"/>
      <c r="N37" s="29"/>
      <c r="O37" s="29"/>
      <c r="P37" s="34"/>
      <c r="R37" s="33"/>
      <c r="S37" s="29"/>
      <c r="T37" s="29"/>
      <c r="U37" s="29"/>
      <c r="V37" s="29"/>
      <c r="W37" s="29"/>
      <c r="X37" s="29"/>
      <c r="Y37" s="29"/>
      <c r="Z37" s="34"/>
    </row>
    <row r="38" spans="2:30" ht="14.5" customHeight="1" x14ac:dyDescent="0.2">
      <c r="B38" s="33"/>
      <c r="C38" s="29"/>
      <c r="D38" s="29"/>
      <c r="E38" s="34"/>
      <c r="G38" s="33"/>
      <c r="H38" s="29"/>
      <c r="I38" s="29"/>
      <c r="J38" s="29"/>
      <c r="K38" s="29"/>
      <c r="L38" s="29"/>
      <c r="M38" s="29"/>
      <c r="N38" s="29"/>
      <c r="O38" s="29"/>
      <c r="P38" s="34"/>
      <c r="R38" s="33"/>
      <c r="S38" s="29"/>
      <c r="T38" s="29"/>
      <c r="U38" s="29"/>
      <c r="V38" s="29"/>
      <c r="W38" s="29"/>
      <c r="X38" s="29"/>
      <c r="Y38" s="29"/>
      <c r="Z38" s="34"/>
    </row>
    <row r="39" spans="2:30" ht="14.5" customHeight="1" x14ac:dyDescent="0.2">
      <c r="B39" s="33"/>
      <c r="C39" s="29"/>
      <c r="D39" s="29"/>
      <c r="E39" s="34"/>
      <c r="G39" s="33"/>
      <c r="H39" s="29"/>
      <c r="I39" s="29"/>
      <c r="J39" s="29"/>
      <c r="K39" s="29"/>
      <c r="L39" s="29"/>
      <c r="M39" s="29"/>
      <c r="N39" s="29"/>
      <c r="O39" s="29"/>
      <c r="P39" s="34"/>
      <c r="R39" s="33"/>
      <c r="S39" s="29"/>
      <c r="T39" s="29"/>
      <c r="U39" s="29"/>
      <c r="V39" s="29"/>
      <c r="W39" s="29"/>
      <c r="X39" s="29"/>
      <c r="Y39" s="29"/>
      <c r="Z39" s="34"/>
    </row>
    <row r="40" spans="2:30" ht="14.5" customHeight="1" x14ac:dyDescent="0.2">
      <c r="B40" s="33"/>
      <c r="C40" s="29"/>
      <c r="D40" s="29"/>
      <c r="E40" s="34"/>
      <c r="G40" s="33"/>
      <c r="H40" s="29"/>
      <c r="I40" s="29"/>
      <c r="J40" s="29"/>
      <c r="K40" s="29"/>
      <c r="L40" s="29"/>
      <c r="M40" s="29"/>
      <c r="N40" s="29"/>
      <c r="O40" s="29"/>
      <c r="P40" s="34"/>
      <c r="R40" s="33"/>
      <c r="S40" s="29"/>
      <c r="T40" s="29"/>
      <c r="U40" s="29"/>
      <c r="V40" s="29"/>
      <c r="W40" s="29"/>
      <c r="X40" s="29"/>
      <c r="Y40" s="29"/>
      <c r="Z40" s="34"/>
    </row>
    <row r="41" spans="2:30" ht="14.5" customHeight="1" x14ac:dyDescent="0.2">
      <c r="B41" s="33"/>
      <c r="C41" s="29"/>
      <c r="D41" s="29"/>
      <c r="E41" s="34"/>
      <c r="G41" s="33"/>
      <c r="H41" s="29"/>
      <c r="I41" s="29"/>
      <c r="J41" s="29"/>
      <c r="K41" s="29"/>
      <c r="L41" s="47"/>
      <c r="M41" s="29"/>
      <c r="N41" s="29"/>
      <c r="O41" s="29"/>
      <c r="P41" s="34"/>
      <c r="R41" s="33"/>
      <c r="S41" s="29"/>
      <c r="T41" s="29"/>
      <c r="U41" s="29"/>
      <c r="V41" s="29"/>
      <c r="W41" s="29"/>
      <c r="X41" s="29"/>
      <c r="Y41" s="29"/>
      <c r="Z41" s="34"/>
    </row>
    <row r="42" spans="2:30" ht="14.5" customHeight="1" x14ac:dyDescent="0.2">
      <c r="B42" s="33"/>
      <c r="C42" s="29"/>
      <c r="D42" s="29"/>
      <c r="E42" s="34"/>
      <c r="G42" s="33"/>
      <c r="H42" s="29"/>
      <c r="I42" s="29"/>
      <c r="J42" s="29"/>
      <c r="K42" s="29"/>
      <c r="L42" s="47"/>
      <c r="M42" s="29"/>
      <c r="N42" s="29"/>
      <c r="O42" s="29"/>
      <c r="P42" s="34"/>
      <c r="R42" s="33"/>
      <c r="S42" s="29"/>
      <c r="T42" s="29"/>
      <c r="U42" s="29"/>
      <c r="V42" s="29"/>
      <c r="W42" s="29"/>
      <c r="X42" s="29"/>
      <c r="Y42" s="29"/>
      <c r="Z42" s="34"/>
    </row>
    <row r="43" spans="2:30" ht="14.5" customHeight="1" x14ac:dyDescent="0.2">
      <c r="B43" s="33"/>
      <c r="C43" s="29"/>
      <c r="D43" s="29"/>
      <c r="E43" s="34"/>
      <c r="G43" s="33"/>
      <c r="H43" s="29"/>
      <c r="I43" s="29"/>
      <c r="J43" s="29"/>
      <c r="K43" s="29"/>
      <c r="L43" s="29"/>
      <c r="M43" s="29"/>
      <c r="N43" s="29"/>
      <c r="O43" s="29"/>
      <c r="P43" s="34"/>
      <c r="R43" s="33"/>
      <c r="S43" s="29"/>
      <c r="T43" s="29"/>
      <c r="U43" s="29"/>
      <c r="V43" s="29"/>
      <c r="W43" s="29"/>
      <c r="X43" s="29"/>
      <c r="Y43" s="29"/>
      <c r="Z43" s="34"/>
    </row>
    <row r="44" spans="2:30" ht="14.5" customHeight="1" x14ac:dyDescent="0.25">
      <c r="B44" s="33"/>
      <c r="C44" s="29"/>
      <c r="D44" s="29"/>
      <c r="E44" s="34"/>
      <c r="G44" s="33"/>
      <c r="H44" s="29"/>
      <c r="I44" s="29"/>
      <c r="J44" s="29"/>
      <c r="K44" s="29"/>
      <c r="L44" s="29"/>
      <c r="M44" s="29"/>
      <c r="N44" s="29"/>
      <c r="O44" s="29"/>
      <c r="P44" s="34"/>
      <c r="R44" s="33"/>
      <c r="S44" s="29"/>
      <c r="T44" s="29"/>
      <c r="U44" s="29"/>
      <c r="V44" s="29"/>
      <c r="W44" s="29"/>
      <c r="X44" s="29"/>
      <c r="Y44" s="29"/>
      <c r="Z44" s="34"/>
      <c r="AD44" s="113"/>
    </row>
    <row r="45" spans="2:30" ht="14.5" customHeight="1" x14ac:dyDescent="0.2">
      <c r="B45" s="33"/>
      <c r="C45" s="29"/>
      <c r="D45" s="29"/>
      <c r="E45" s="34"/>
      <c r="G45" s="33"/>
      <c r="H45" s="29"/>
      <c r="I45" s="29"/>
      <c r="J45" s="29"/>
      <c r="K45" s="29"/>
      <c r="L45" s="29"/>
      <c r="M45" s="29"/>
      <c r="N45" s="29"/>
      <c r="O45" s="29"/>
      <c r="P45" s="34"/>
      <c r="R45" s="33"/>
      <c r="S45" s="29"/>
      <c r="T45" s="29"/>
      <c r="U45" s="29"/>
      <c r="V45" s="29"/>
      <c r="W45" s="29"/>
      <c r="X45" s="29"/>
      <c r="Y45" s="29"/>
      <c r="Z45" s="34"/>
    </row>
    <row r="46" spans="2:30" ht="14.5" customHeight="1" x14ac:dyDescent="0.2">
      <c r="B46" s="33"/>
      <c r="C46" s="29"/>
      <c r="D46" s="29"/>
      <c r="E46" s="34"/>
      <c r="G46" s="33"/>
      <c r="H46" s="29"/>
      <c r="I46" s="29"/>
      <c r="J46" s="29"/>
      <c r="K46" s="29"/>
      <c r="L46" s="29"/>
      <c r="M46" s="29"/>
      <c r="N46" s="29"/>
      <c r="O46" s="29"/>
      <c r="P46" s="34"/>
      <c r="R46" s="33"/>
      <c r="S46" s="29"/>
      <c r="T46" s="29"/>
      <c r="U46" s="29"/>
      <c r="V46" s="29"/>
      <c r="W46" s="29"/>
      <c r="X46" s="29"/>
      <c r="Y46" s="29"/>
      <c r="Z46" s="34"/>
    </row>
    <row r="47" spans="2:30" ht="14.5" customHeight="1" x14ac:dyDescent="0.2">
      <c r="B47" s="33"/>
      <c r="C47" s="29"/>
      <c r="D47" s="29"/>
      <c r="E47" s="34"/>
      <c r="G47" s="33"/>
      <c r="H47" s="29"/>
      <c r="I47" s="29"/>
      <c r="J47" s="29"/>
      <c r="K47" s="29"/>
      <c r="L47" s="29"/>
      <c r="M47" s="29"/>
      <c r="N47" s="29"/>
      <c r="O47" s="29"/>
      <c r="P47" s="34"/>
      <c r="R47" s="33"/>
      <c r="S47" s="29"/>
      <c r="T47" s="29"/>
      <c r="U47" s="29"/>
      <c r="V47" s="29"/>
      <c r="W47" s="29"/>
      <c r="X47" s="29"/>
      <c r="Y47" s="29"/>
      <c r="Z47" s="34"/>
    </row>
    <row r="48" spans="2:30" ht="14.5" customHeight="1" x14ac:dyDescent="0.2">
      <c r="B48" s="33"/>
      <c r="C48" s="29"/>
      <c r="D48" s="29"/>
      <c r="E48" s="34"/>
      <c r="G48" s="33"/>
      <c r="H48" s="29"/>
      <c r="I48" s="29"/>
      <c r="J48" s="29"/>
      <c r="K48" s="29"/>
      <c r="L48" s="29"/>
      <c r="M48" s="29"/>
      <c r="N48" s="29"/>
      <c r="O48" s="29"/>
      <c r="P48" s="34"/>
      <c r="R48" s="33"/>
      <c r="S48" s="29"/>
      <c r="T48" s="29"/>
      <c r="U48" s="29"/>
      <c r="V48" s="29"/>
      <c r="W48" s="29"/>
      <c r="X48" s="29"/>
      <c r="Y48" s="29"/>
      <c r="Z48" s="34"/>
    </row>
    <row r="49" spans="2:26" ht="14.5" customHeight="1" x14ac:dyDescent="0.2">
      <c r="B49" s="33"/>
      <c r="C49" s="29"/>
      <c r="D49" s="29"/>
      <c r="E49" s="34"/>
      <c r="G49" s="33"/>
      <c r="H49" s="29"/>
      <c r="I49" s="29"/>
      <c r="J49" s="29"/>
      <c r="K49" s="29"/>
      <c r="L49" s="29"/>
      <c r="M49" s="29"/>
      <c r="N49" s="29"/>
      <c r="O49" s="29"/>
      <c r="P49" s="34"/>
      <c r="R49" s="33"/>
      <c r="S49" s="29"/>
      <c r="T49" s="29"/>
      <c r="U49" s="29"/>
      <c r="V49" s="29"/>
      <c r="W49" s="29"/>
      <c r="X49" s="29"/>
      <c r="Y49" s="29"/>
      <c r="Z49" s="34"/>
    </row>
    <row r="50" spans="2:26" ht="51" customHeight="1" thickBot="1" x14ac:dyDescent="0.25">
      <c r="B50" s="35"/>
      <c r="C50" s="36"/>
      <c r="D50" s="36"/>
      <c r="E50" s="37"/>
      <c r="G50" s="35"/>
      <c r="H50" s="36"/>
      <c r="I50" s="36"/>
      <c r="J50" s="36"/>
      <c r="K50" s="36"/>
      <c r="L50" s="36"/>
      <c r="M50" s="36"/>
      <c r="N50" s="36"/>
      <c r="O50" s="36"/>
      <c r="P50" s="37"/>
      <c r="R50" s="35"/>
      <c r="S50" s="36"/>
      <c r="T50" s="36"/>
      <c r="U50" s="36"/>
      <c r="V50" s="36"/>
      <c r="W50" s="36"/>
      <c r="X50" s="36"/>
      <c r="Y50" s="36"/>
      <c r="Z50" s="37"/>
    </row>
    <row r="53" spans="2:26" ht="14.5" customHeight="1" x14ac:dyDescent="0.2">
      <c r="B53" s="3" t="s">
        <v>281</v>
      </c>
    </row>
    <row r="54" spans="2:26" ht="14.5" customHeight="1" x14ac:dyDescent="0.2">
      <c r="B54" s="134" t="s">
        <v>271</v>
      </c>
    </row>
    <row r="55" spans="2:26" ht="14.5" customHeight="1" x14ac:dyDescent="0.2">
      <c r="B55" s="134" t="s">
        <v>272</v>
      </c>
    </row>
    <row r="56" spans="2:26" ht="14.5" customHeight="1" x14ac:dyDescent="0.2">
      <c r="B56" s="134" t="s">
        <v>273</v>
      </c>
    </row>
    <row r="57" spans="2:26" ht="14.5" customHeight="1" x14ac:dyDescent="0.2">
      <c r="B57" s="134" t="s">
        <v>274</v>
      </c>
    </row>
    <row r="58" spans="2:26" ht="14.5" customHeight="1" x14ac:dyDescent="0.2">
      <c r="B58" s="134" t="s">
        <v>279</v>
      </c>
    </row>
    <row r="59" spans="2:26" ht="14.5" customHeight="1" x14ac:dyDescent="0.2">
      <c r="B59" s="134" t="s">
        <v>276</v>
      </c>
    </row>
    <row r="60" spans="2:26" ht="14.5" customHeight="1" x14ac:dyDescent="0.2">
      <c r="B60" s="134" t="s">
        <v>280</v>
      </c>
    </row>
    <row r="61" spans="2:26" ht="14.5" customHeight="1" x14ac:dyDescent="0.2">
      <c r="B61" s="134" t="s">
        <v>277</v>
      </c>
    </row>
    <row r="62" spans="2:26" ht="14.5" customHeight="1" x14ac:dyDescent="0.2">
      <c r="B62" s="134" t="s">
        <v>278</v>
      </c>
    </row>
    <row r="63" spans="2:26" ht="14.5" customHeight="1" x14ac:dyDescent="0.2">
      <c r="B63" s="134" t="s">
        <v>270</v>
      </c>
    </row>
    <row r="64" spans="2:26" ht="14.5" customHeight="1" x14ac:dyDescent="0.2">
      <c r="B64" s="134" t="s">
        <v>282</v>
      </c>
    </row>
    <row r="65" spans="2:2" ht="14.5" customHeight="1" x14ac:dyDescent="0.2">
      <c r="B65" s="134" t="s">
        <v>283</v>
      </c>
    </row>
  </sheetData>
  <sheetProtection sheet="1" autoFilter="0" pivotTables="0"/>
  <mergeCells count="2">
    <mergeCell ref="T35:U35"/>
    <mergeCell ref="J22:K22"/>
  </mergeCells>
  <phoneticPr fontId="5" type="noConversion"/>
  <conditionalFormatting sqref="W34:W35">
    <cfRule type="iconSet" priority="10">
      <iconSet showValue="0">
        <cfvo type="percent" val="0"/>
        <cfvo type="num" val="0"/>
        <cfvo type="num" val="1"/>
      </iconSet>
    </cfRule>
  </conditionalFormatting>
  <dataValidations count="3">
    <dataValidation type="list" allowBlank="1" showInputMessage="1" showErrorMessage="1" sqref="D7" xr:uid="{2B2DABC3-4C38-2F4E-A757-FD22626E5B40}">
      <formula1>"Butter, Cheese, Cream, Ice Cream, Milk, Yoghurt"</formula1>
    </dataValidation>
    <dataValidation type="list" allowBlank="1" showInputMessage="1" showErrorMessage="1" sqref="D9" xr:uid="{4BCA3DF2-E409-B441-83D2-1E2A8561D625}">
      <formula1>"North, South, West"</formula1>
    </dataValidation>
    <dataValidation type="list" allowBlank="1" showInputMessage="1" showErrorMessage="1" sqref="L19" xr:uid="{97782305-C3B3-4E74-85B7-EA4E33F46D52}">
      <formula1>"Profit, Quantity sold, Revenue"</formula1>
    </dataValidation>
  </dataValidations>
  <hyperlinks>
    <hyperlink ref="B54" location="Financials!B62:F80" display="Section 2: Financial Highlights (Profit)" xr:uid="{48706191-7F95-2D41-8B84-FB0CDF568276}"/>
    <hyperlink ref="B55" location="Financials!H62:L80" display="Section 2: Financial Highlights (Revenue)" xr:uid="{BFD11D6B-BC38-6C43-A7E1-36B0FAD0557E}"/>
    <hyperlink ref="B56" location="Financials!N62:R80" display="Section 2: Financial Highlights (Costs)" xr:uid="{ACE91188-2CA9-D046-9BED-511FC251D8E4}"/>
    <hyperlink ref="B57" location="Financials!B83:D90" display="Section 2: Financial Highlights (Profit Margin)" xr:uid="{66CD22A1-F92D-4041-AF4A-A2F9CB991332}"/>
    <hyperlink ref="B58" location="Current_Stock!B3:H33" display="Section 3: Cross Sector Performance" xr:uid="{86347DDD-E735-E048-9308-C3787CFB4F09}"/>
    <hyperlink ref="B59" location="Sales!B163:L170" display="Section 4: Product Diagonostics (Star Products)" xr:uid="{39D625E8-ADF2-2245-97D6-21C426BDD0CC}"/>
    <hyperlink ref="B60" location="Sales!B174:H195" display="Section 4: Product Diagonostics (Standard Inventory Distribution)" xr:uid="{B69B22C4-E9D6-5747-91F4-CBB215896868}"/>
    <hyperlink ref="B61" location="Sales!B103:G147" display="Section 5: Pricing Strategy (Demand Plot and Optimal Price Level)" xr:uid="{1FA12E95-373A-6646-ACEE-7E71C02C217B}"/>
    <hyperlink ref="B62" location="Sales!I103:U148" display="Section 5: Pricing Strategy (Price Elasticity of Demand)" xr:uid="{C6E9DFF9-68C8-1F43-A434-5DDC2563B7EB}"/>
    <hyperlink ref="B63" location="Sales!B50:Y98" display="Section 6: Inventory Diagonostics" xr:uid="{EEEF6A5F-E459-6648-936A-AA70864C23B4}"/>
    <hyperlink ref="B64:B65" location="Sales!B50:Y98" display="Section 6: Inventory Diagonostics" xr:uid="{49A6BAC5-EAC1-FF48-BCFA-2D0631F8F894}"/>
    <hyperlink ref="B64" location="Historical_Stock!B413:S449" display="Section 6: Inventory Diagonostics (Purchase Order)" xr:uid="{C6EA7399-D669-FE48-AF73-CCF49C040561}"/>
    <hyperlink ref="B65" location="Historical_Stock!B465:X687" display="Section 6: Inventory Diagonostics (Regional Transfer)" xr:uid="{14DFD3CA-E9BE-8044-A055-B62CCFC15247}"/>
  </hyperlinks>
  <pageMargins left="0.7" right="0.7" top="0.75" bottom="0.75" header="0.3" footer="0.3"/>
  <pageSetup paperSize="9" fitToWidth="0"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Spinner 2">
              <controlPr defaultSize="0" autoPict="0">
                <anchor moveWithCells="1" sizeWithCells="1">
                  <from>
                    <xdr:col>11</xdr:col>
                    <xdr:colOff>749300</xdr:colOff>
                    <xdr:row>20</xdr:row>
                    <xdr:rowOff>12700</xdr:rowOff>
                  </from>
                  <to>
                    <xdr:col>11</xdr:col>
                    <xdr:colOff>952500</xdr:colOff>
                    <xdr:row>20</xdr:row>
                    <xdr:rowOff>165100</xdr:rowOff>
                  </to>
                </anchor>
              </controlPr>
            </control>
          </mc:Choice>
        </mc:AlternateContent>
        <mc:AlternateContent xmlns:mc="http://schemas.openxmlformats.org/markup-compatibility/2006">
          <mc:Choice Requires="x14">
            <control shapeId="4103" r:id="rId5" name="Spinner 7">
              <controlPr defaultSize="0" autoPict="0">
                <anchor moveWithCells="1" sizeWithCells="1">
                  <from>
                    <xdr:col>14</xdr:col>
                    <xdr:colOff>647700</xdr:colOff>
                    <xdr:row>20</xdr:row>
                    <xdr:rowOff>12700</xdr:rowOff>
                  </from>
                  <to>
                    <xdr:col>14</xdr:col>
                    <xdr:colOff>825500</xdr:colOff>
                    <xdr:row>20</xdr:row>
                    <xdr:rowOff>165100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2F4AC94E-C0E3-459E-9B91-357959F47F2A}">
          <x14:formula1>
            <xm:f>Historical_Stock!$I$415:$I$420</xm:f>
          </x14:formula1>
          <xm:sqref>O19</xm:sqref>
        </x14:dataValidation>
      </x14:dataValidations>
    </ex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Current_Stock</vt:lpstr>
      <vt:lpstr>Historical_Stock</vt:lpstr>
      <vt:lpstr>Sales</vt:lpstr>
      <vt:lpstr>Financials</vt:lpstr>
      <vt:lpstr>Dashboard</vt:lpstr>
    </vt:vector>
  </TitlesOfParts>
  <Manager/>
  <Company>HEC Montréal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dc:creator>
  <cp:keywords/>
  <dc:description/>
  <cp:lastModifiedBy>Songlin Yang</cp:lastModifiedBy>
  <cp:revision/>
  <cp:lastPrinted>2021-04-05T17:39:12Z</cp:lastPrinted>
  <dcterms:created xsi:type="dcterms:W3CDTF">2012-06-20T18:05:31Z</dcterms:created>
  <dcterms:modified xsi:type="dcterms:W3CDTF">2023-09-04T21:11:44Z</dcterms:modified>
  <cp:category/>
  <cp:contentStatus/>
</cp:coreProperties>
</file>