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6643C56A-6D0D-465F-80DA-7009DC3F4F24}" xr6:coauthVersionLast="47" xr6:coauthVersionMax="47" xr10:uidLastSave="{00000000-0000-0000-0000-000000000000}"/>
  <bookViews>
    <workbookView xWindow="-120" yWindow="-120" windowWidth="29040" windowHeight="15990" activeTab="2" xr2:uid="{00000000-000D-0000-FFFF-FFFF00000000}"/>
  </bookViews>
  <sheets>
    <sheet name="iterative" sheetId="2" r:id="rId1"/>
    <sheet name="quality" sheetId="7" r:id="rId2"/>
    <sheet name="quality 2" sheetId="12" r:id="rId3"/>
    <sheet name="as-run reduct" sheetId="11" r:id="rId4"/>
    <sheet name="reduction" sheetId="10" r:id="rId5"/>
    <sheet name="Sheet2" sheetId="8" r:id="rId6"/>
    <sheet name="Sheet3" sheetId="9" r:id="rId7"/>
    <sheet name="gauss cruncher" sheetId="5" r:id="rId8"/>
    <sheet name="run speed" sheetId="3" r:id="rId9"/>
    <sheet name="pitch outcomes" sheetId="1" r:id="rId10"/>
    <sheet name="hit quality truth table" sheetId="6" r:id="rId11"/>
  </sheets>
  <definedNames>
    <definedName name="basis">#REF!</definedName>
    <definedName name="bs">#REF!</definedName>
    <definedName name="counts">#REF!</definedName>
    <definedName name="dratings">iterative!$B$2:$L$2</definedName>
    <definedName name="factors">#REF!</definedName>
    <definedName name="home" localSheetId="2">Table3[[#Headers],[Rep '#]]</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hrowingfactor">Sheet2!$F$1</definedName>
    <definedName name="throwingmean">Sheet2!$B$1</definedName>
    <definedName name="throwingstdv">Sheet2!$D$1</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2" l="1"/>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D32" i="12"/>
  <c r="D31" i="12"/>
  <c r="D30" i="12"/>
  <c r="D28" i="12"/>
  <c r="D26" i="12"/>
  <c r="D24" i="12"/>
  <c r="D23" i="12"/>
  <c r="D22" i="12"/>
  <c r="D20" i="12"/>
  <c r="D19" i="12"/>
  <c r="D18" i="12"/>
  <c r="D16" i="12"/>
  <c r="D15" i="12"/>
  <c r="D14" i="12"/>
  <c r="D12" i="12"/>
  <c r="D11" i="12"/>
  <c r="D10" i="12"/>
  <c r="D8" i="12"/>
  <c r="D7" i="12"/>
  <c r="D6" i="12"/>
  <c r="D2" i="12"/>
  <c r="B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D5" i="10"/>
  <c r="D9" i="10"/>
  <c r="D13" i="10"/>
  <c r="D17" i="10"/>
  <c r="D21" i="10"/>
  <c r="D25" i="10"/>
  <c r="D29" i="10"/>
  <c r="D2" i="10"/>
  <c r="D3" i="10"/>
  <c r="D4" i="10"/>
  <c r="D6" i="10"/>
  <c r="D7" i="10"/>
  <c r="D8" i="10"/>
  <c r="D10" i="10"/>
  <c r="D11" i="10"/>
  <c r="D12" i="10"/>
  <c r="D14" i="10"/>
  <c r="D15" i="10"/>
  <c r="D16" i="10"/>
  <c r="D18" i="10"/>
  <c r="D19" i="10"/>
  <c r="D20" i="10"/>
  <c r="D22" i="10"/>
  <c r="D23" i="10"/>
  <c r="D24" i="10"/>
  <c r="D26" i="10"/>
  <c r="D27" i="10"/>
  <c r="D28" i="10"/>
  <c r="D30" i="10"/>
  <c r="D31" i="10"/>
  <c r="D32" i="10"/>
  <c r="C3" i="8"/>
  <c r="C4" i="8"/>
  <c r="C5" i="8"/>
  <c r="C6" i="8"/>
  <c r="C7" i="8"/>
  <c r="C8" i="8"/>
  <c r="C9" i="8"/>
  <c r="C10" i="8"/>
  <c r="C11" i="8"/>
  <c r="C12" i="8"/>
  <c r="C13" i="8"/>
  <c r="C14" i="8"/>
  <c r="C15" i="8"/>
  <c r="C16" i="8"/>
  <c r="C17" i="8"/>
  <c r="C18" i="8"/>
  <c r="C19" i="8"/>
  <c r="C20" i="8"/>
  <c r="C21" i="8"/>
  <c r="C22" i="8"/>
  <c r="C23" i="8"/>
  <c r="D3" i="8"/>
  <c r="E3" i="8"/>
  <c r="F3" i="8"/>
  <c r="G3" i="8"/>
  <c r="H3" i="8"/>
  <c r="I3" i="8"/>
  <c r="J3" i="8"/>
  <c r="K3" i="8"/>
  <c r="L3" i="8"/>
  <c r="M3" i="8"/>
  <c r="N3" i="8"/>
  <c r="O3" i="8"/>
  <c r="P3" i="8"/>
  <c r="Q3" i="8"/>
  <c r="R3" i="8"/>
  <c r="S3" i="8"/>
  <c r="T3" i="8"/>
  <c r="U3" i="8"/>
  <c r="V3" i="8"/>
  <c r="W3" i="8"/>
  <c r="D4" i="8"/>
  <c r="E4" i="8"/>
  <c r="F4" i="8"/>
  <c r="G4" i="8"/>
  <c r="H4" i="8"/>
  <c r="I4" i="8"/>
  <c r="J4" i="8"/>
  <c r="K4" i="8"/>
  <c r="L4" i="8"/>
  <c r="M4" i="8"/>
  <c r="N4" i="8"/>
  <c r="O4" i="8"/>
  <c r="P4" i="8"/>
  <c r="Q4" i="8"/>
  <c r="R4" i="8"/>
  <c r="S4" i="8"/>
  <c r="T4" i="8"/>
  <c r="U4" i="8"/>
  <c r="V4" i="8"/>
  <c r="W4" i="8"/>
  <c r="D5" i="8"/>
  <c r="E5" i="8"/>
  <c r="F5" i="8"/>
  <c r="G5" i="8"/>
  <c r="H5" i="8"/>
  <c r="I5" i="8"/>
  <c r="J5" i="8"/>
  <c r="K5" i="8"/>
  <c r="L5" i="8"/>
  <c r="M5" i="8"/>
  <c r="N5" i="8"/>
  <c r="O5" i="8"/>
  <c r="P5" i="8"/>
  <c r="Q5" i="8"/>
  <c r="R5" i="8"/>
  <c r="S5" i="8"/>
  <c r="T5" i="8"/>
  <c r="U5" i="8"/>
  <c r="V5" i="8"/>
  <c r="W5" i="8"/>
  <c r="D6" i="8"/>
  <c r="E6" i="8"/>
  <c r="F6" i="8"/>
  <c r="G6" i="8"/>
  <c r="H6" i="8"/>
  <c r="I6" i="8"/>
  <c r="J6" i="8"/>
  <c r="K6" i="8"/>
  <c r="L6" i="8"/>
  <c r="M6" i="8"/>
  <c r="N6" i="8"/>
  <c r="O6" i="8"/>
  <c r="P6" i="8"/>
  <c r="Q6" i="8"/>
  <c r="R6" i="8"/>
  <c r="S6" i="8"/>
  <c r="T6" i="8"/>
  <c r="U6" i="8"/>
  <c r="V6" i="8"/>
  <c r="W6" i="8"/>
  <c r="D7" i="8"/>
  <c r="E7" i="8"/>
  <c r="F7" i="8"/>
  <c r="G7" i="8"/>
  <c r="H7" i="8"/>
  <c r="I7" i="8"/>
  <c r="J7" i="8"/>
  <c r="K7" i="8"/>
  <c r="L7" i="8"/>
  <c r="M7" i="8"/>
  <c r="N7" i="8"/>
  <c r="O7" i="8"/>
  <c r="P7" i="8"/>
  <c r="Q7" i="8"/>
  <c r="R7" i="8"/>
  <c r="S7" i="8"/>
  <c r="T7" i="8"/>
  <c r="U7" i="8"/>
  <c r="V7" i="8"/>
  <c r="W7" i="8"/>
  <c r="D8" i="8"/>
  <c r="E8" i="8"/>
  <c r="F8" i="8"/>
  <c r="G8" i="8"/>
  <c r="H8" i="8"/>
  <c r="I8" i="8"/>
  <c r="J8" i="8"/>
  <c r="K8" i="8"/>
  <c r="L8" i="8"/>
  <c r="M8" i="8"/>
  <c r="N8" i="8"/>
  <c r="O8" i="8"/>
  <c r="P8" i="8"/>
  <c r="Q8" i="8"/>
  <c r="R8" i="8"/>
  <c r="S8" i="8"/>
  <c r="T8" i="8"/>
  <c r="U8" i="8"/>
  <c r="V8" i="8"/>
  <c r="W8" i="8"/>
  <c r="D9" i="8"/>
  <c r="E9" i="8"/>
  <c r="F9" i="8"/>
  <c r="G9" i="8"/>
  <c r="H9" i="8"/>
  <c r="I9" i="8"/>
  <c r="J9" i="8"/>
  <c r="K9" i="8"/>
  <c r="L9" i="8"/>
  <c r="M9" i="8"/>
  <c r="N9" i="8"/>
  <c r="O9" i="8"/>
  <c r="P9" i="8"/>
  <c r="Q9" i="8"/>
  <c r="R9" i="8"/>
  <c r="S9" i="8"/>
  <c r="T9" i="8"/>
  <c r="U9" i="8"/>
  <c r="V9" i="8"/>
  <c r="W9" i="8"/>
  <c r="D10" i="8"/>
  <c r="E10" i="8"/>
  <c r="F10" i="8"/>
  <c r="G10" i="8"/>
  <c r="H10" i="8"/>
  <c r="I10" i="8"/>
  <c r="J10" i="8"/>
  <c r="K10" i="8"/>
  <c r="L10" i="8"/>
  <c r="M10" i="8"/>
  <c r="N10" i="8"/>
  <c r="O10" i="8"/>
  <c r="P10" i="8"/>
  <c r="Q10" i="8"/>
  <c r="R10" i="8"/>
  <c r="S10" i="8"/>
  <c r="T10" i="8"/>
  <c r="U10" i="8"/>
  <c r="V10" i="8"/>
  <c r="W10" i="8"/>
  <c r="D11" i="8"/>
  <c r="E11" i="8"/>
  <c r="F11" i="8"/>
  <c r="G11" i="8"/>
  <c r="H11" i="8"/>
  <c r="I11" i="8"/>
  <c r="J11" i="8"/>
  <c r="K11" i="8"/>
  <c r="L11" i="8"/>
  <c r="M11" i="8"/>
  <c r="N11" i="8"/>
  <c r="O11" i="8"/>
  <c r="P11" i="8"/>
  <c r="Q11" i="8"/>
  <c r="R11" i="8"/>
  <c r="S11" i="8"/>
  <c r="T11" i="8"/>
  <c r="U11" i="8"/>
  <c r="V11" i="8"/>
  <c r="W11" i="8"/>
  <c r="D12" i="8"/>
  <c r="E12" i="8"/>
  <c r="F12" i="8"/>
  <c r="G12" i="8"/>
  <c r="H12" i="8"/>
  <c r="I12" i="8"/>
  <c r="J12" i="8"/>
  <c r="K12" i="8"/>
  <c r="L12" i="8"/>
  <c r="M12" i="8"/>
  <c r="N12" i="8"/>
  <c r="O12" i="8"/>
  <c r="P12" i="8"/>
  <c r="Q12" i="8"/>
  <c r="R12" i="8"/>
  <c r="S12" i="8"/>
  <c r="T12" i="8"/>
  <c r="U12" i="8"/>
  <c r="V12" i="8"/>
  <c r="W12" i="8"/>
  <c r="D13" i="8"/>
  <c r="E13" i="8"/>
  <c r="F13" i="8"/>
  <c r="G13" i="8"/>
  <c r="H13" i="8"/>
  <c r="I13" i="8"/>
  <c r="J13" i="8"/>
  <c r="K13" i="8"/>
  <c r="L13" i="8"/>
  <c r="M13" i="8"/>
  <c r="N13" i="8"/>
  <c r="O13" i="8"/>
  <c r="P13" i="8"/>
  <c r="Q13" i="8"/>
  <c r="R13" i="8"/>
  <c r="S13" i="8"/>
  <c r="T13" i="8"/>
  <c r="U13" i="8"/>
  <c r="V13" i="8"/>
  <c r="W13" i="8"/>
  <c r="D14" i="8"/>
  <c r="E14" i="8"/>
  <c r="F14" i="8"/>
  <c r="G14" i="8"/>
  <c r="H14" i="8"/>
  <c r="I14" i="8"/>
  <c r="J14" i="8"/>
  <c r="K14" i="8"/>
  <c r="L14" i="8"/>
  <c r="M14" i="8"/>
  <c r="N14" i="8"/>
  <c r="O14" i="8"/>
  <c r="P14" i="8"/>
  <c r="Q14" i="8"/>
  <c r="R14" i="8"/>
  <c r="S14" i="8"/>
  <c r="T14" i="8"/>
  <c r="U14" i="8"/>
  <c r="V14" i="8"/>
  <c r="W14" i="8"/>
  <c r="D15" i="8"/>
  <c r="E15" i="8"/>
  <c r="F15" i="8"/>
  <c r="G15" i="8"/>
  <c r="H15" i="8"/>
  <c r="I15" i="8"/>
  <c r="J15" i="8"/>
  <c r="K15" i="8"/>
  <c r="L15" i="8"/>
  <c r="M15" i="8"/>
  <c r="N15" i="8"/>
  <c r="O15" i="8"/>
  <c r="P15" i="8"/>
  <c r="Q15" i="8"/>
  <c r="R15" i="8"/>
  <c r="S15" i="8"/>
  <c r="T15" i="8"/>
  <c r="U15" i="8"/>
  <c r="V15" i="8"/>
  <c r="W15" i="8"/>
  <c r="D16" i="8"/>
  <c r="E16" i="8"/>
  <c r="F16" i="8"/>
  <c r="G16" i="8"/>
  <c r="H16" i="8"/>
  <c r="I16" i="8"/>
  <c r="J16" i="8"/>
  <c r="K16" i="8"/>
  <c r="L16" i="8"/>
  <c r="M16" i="8"/>
  <c r="N16" i="8"/>
  <c r="O16" i="8"/>
  <c r="P16" i="8"/>
  <c r="Q16" i="8"/>
  <c r="R16" i="8"/>
  <c r="S16" i="8"/>
  <c r="T16" i="8"/>
  <c r="U16" i="8"/>
  <c r="V16" i="8"/>
  <c r="W16" i="8"/>
  <c r="D17" i="8"/>
  <c r="E17" i="8"/>
  <c r="F17" i="8"/>
  <c r="G17" i="8"/>
  <c r="H17" i="8"/>
  <c r="I17" i="8"/>
  <c r="J17" i="8"/>
  <c r="K17" i="8"/>
  <c r="L17" i="8"/>
  <c r="M17" i="8"/>
  <c r="N17" i="8"/>
  <c r="O17" i="8"/>
  <c r="P17" i="8"/>
  <c r="Q17" i="8"/>
  <c r="R17" i="8"/>
  <c r="S17" i="8"/>
  <c r="T17" i="8"/>
  <c r="U17" i="8"/>
  <c r="V17" i="8"/>
  <c r="W17" i="8"/>
  <c r="D18" i="8"/>
  <c r="E18" i="8"/>
  <c r="F18" i="8"/>
  <c r="G18" i="8"/>
  <c r="H18" i="8"/>
  <c r="I18" i="8"/>
  <c r="J18" i="8"/>
  <c r="K18" i="8"/>
  <c r="L18" i="8"/>
  <c r="M18" i="8"/>
  <c r="N18" i="8"/>
  <c r="O18" i="8"/>
  <c r="P18" i="8"/>
  <c r="Q18" i="8"/>
  <c r="R18" i="8"/>
  <c r="S18" i="8"/>
  <c r="T18" i="8"/>
  <c r="U18" i="8"/>
  <c r="V18" i="8"/>
  <c r="W18" i="8"/>
  <c r="D19" i="8"/>
  <c r="E19" i="8"/>
  <c r="F19" i="8"/>
  <c r="G19" i="8"/>
  <c r="H19" i="8"/>
  <c r="I19" i="8"/>
  <c r="J19" i="8"/>
  <c r="K19" i="8"/>
  <c r="L19" i="8"/>
  <c r="M19" i="8"/>
  <c r="N19" i="8"/>
  <c r="O19" i="8"/>
  <c r="P19" i="8"/>
  <c r="Q19" i="8"/>
  <c r="R19" i="8"/>
  <c r="S19" i="8"/>
  <c r="T19" i="8"/>
  <c r="U19" i="8"/>
  <c r="V19" i="8"/>
  <c r="W19" i="8"/>
  <c r="D20" i="8"/>
  <c r="E20" i="8"/>
  <c r="F20" i="8"/>
  <c r="G20" i="8"/>
  <c r="H20" i="8"/>
  <c r="I20" i="8"/>
  <c r="J20" i="8"/>
  <c r="K20" i="8"/>
  <c r="L20" i="8"/>
  <c r="M20" i="8"/>
  <c r="N20" i="8"/>
  <c r="O20" i="8"/>
  <c r="P20" i="8"/>
  <c r="Q20" i="8"/>
  <c r="R20" i="8"/>
  <c r="S20" i="8"/>
  <c r="T20" i="8"/>
  <c r="U20" i="8"/>
  <c r="V20" i="8"/>
  <c r="W20" i="8"/>
  <c r="D21" i="8"/>
  <c r="E21" i="8"/>
  <c r="F21" i="8"/>
  <c r="G21" i="8"/>
  <c r="H21" i="8"/>
  <c r="I21" i="8"/>
  <c r="J21" i="8"/>
  <c r="K21" i="8"/>
  <c r="L21" i="8"/>
  <c r="M21" i="8"/>
  <c r="N21" i="8"/>
  <c r="O21" i="8"/>
  <c r="P21" i="8"/>
  <c r="Q21" i="8"/>
  <c r="R21" i="8"/>
  <c r="S21" i="8"/>
  <c r="T21" i="8"/>
  <c r="U21" i="8"/>
  <c r="V21" i="8"/>
  <c r="W21" i="8"/>
  <c r="D22" i="8"/>
  <c r="E22" i="8"/>
  <c r="F22" i="8"/>
  <c r="G22" i="8"/>
  <c r="H22" i="8"/>
  <c r="I22" i="8"/>
  <c r="J22" i="8"/>
  <c r="K22" i="8"/>
  <c r="L22" i="8"/>
  <c r="M22" i="8"/>
  <c r="N22" i="8"/>
  <c r="O22" i="8"/>
  <c r="P22" i="8"/>
  <c r="Q22" i="8"/>
  <c r="R22" i="8"/>
  <c r="S22" i="8"/>
  <c r="T22" i="8"/>
  <c r="U22" i="8"/>
  <c r="V22" i="8"/>
  <c r="W22" i="8"/>
  <c r="D23" i="8"/>
  <c r="E23" i="8"/>
  <c r="F23" i="8"/>
  <c r="G23" i="8"/>
  <c r="H23" i="8"/>
  <c r="I23" i="8"/>
  <c r="J23" i="8"/>
  <c r="K23" i="8"/>
  <c r="L23" i="8"/>
  <c r="M23" i="8"/>
  <c r="N23" i="8"/>
  <c r="O23" i="8"/>
  <c r="P23" i="8"/>
  <c r="Q23" i="8"/>
  <c r="R23" i="8"/>
  <c r="S23" i="8"/>
  <c r="T23" i="8"/>
  <c r="U23" i="8"/>
  <c r="V23" i="8"/>
  <c r="W23" i="8"/>
  <c r="L13" i="7"/>
  <c r="L14" i="7"/>
  <c r="L15" i="7"/>
  <c r="L16" i="7"/>
  <c r="L17" i="7"/>
  <c r="L18" i="7"/>
  <c r="D27" i="12" l="1"/>
  <c r="D5" i="12"/>
  <c r="D9" i="12"/>
  <c r="D13" i="12"/>
  <c r="D17" i="12"/>
  <c r="D21" i="12"/>
  <c r="D25" i="12"/>
  <c r="D29" i="12"/>
  <c r="D4" i="12"/>
  <c r="D3" i="1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BE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BE22" i="2" s="1"/>
  <c r="A7" i="2"/>
  <c r="C7" i="2" s="1"/>
  <c r="B3" i="2"/>
  <c r="AZ7" i="2" l="1"/>
  <c r="P7" i="2"/>
  <c r="BV22" i="2"/>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R7" i="2"/>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E18" i="2" s="1"/>
  <c r="B10" i="2"/>
  <c r="BE10" i="2" s="1"/>
  <c r="B21" i="2"/>
  <c r="BE21" i="2" s="1"/>
  <c r="B17" i="2"/>
  <c r="BE17" i="2" s="1"/>
  <c r="B13" i="2"/>
  <c r="BE13" i="2" s="1"/>
  <c r="B9" i="2"/>
  <c r="BE9" i="2" s="1"/>
  <c r="C22" i="2"/>
  <c r="AZ22" i="2" s="1"/>
  <c r="C14" i="2"/>
  <c r="AZ14" i="2" s="1"/>
  <c r="B20" i="2"/>
  <c r="BE20" i="2" s="1"/>
  <c r="B16" i="2"/>
  <c r="BE16" i="2" s="1"/>
  <c r="B12" i="2"/>
  <c r="BE12" i="2" s="1"/>
  <c r="B8" i="2"/>
  <c r="BE8" i="2" s="1"/>
  <c r="B19" i="2"/>
  <c r="BE19" i="2" s="1"/>
  <c r="B15" i="2"/>
  <c r="BE15" i="2" s="1"/>
  <c r="B11" i="2"/>
  <c r="BE11" i="2" s="1"/>
  <c r="B7" i="2"/>
  <c r="BE7" i="2" s="1"/>
  <c r="C17" i="1"/>
  <c r="D17" i="1"/>
  <c r="E17" i="1"/>
  <c r="F17" i="1"/>
  <c r="B17" i="1"/>
  <c r="CD14" i="2" l="1"/>
  <c r="CC14" i="2"/>
  <c r="CE14" i="2" s="1"/>
  <c r="BV15" i="2"/>
  <c r="CA15" i="2"/>
  <c r="BV16" i="2"/>
  <c r="CA16" i="2"/>
  <c r="BV9" i="2"/>
  <c r="CA9" i="2"/>
  <c r="CD9" i="2" s="1"/>
  <c r="BV10" i="2"/>
  <c r="CA10" i="2"/>
  <c r="BV12" i="2"/>
  <c r="CA12" i="2"/>
  <c r="BV13" i="2"/>
  <c r="CA13" i="2"/>
  <c r="BV18" i="2"/>
  <c r="CA18" i="2"/>
  <c r="CC22" i="2"/>
  <c r="CD22" i="2"/>
  <c r="BV11" i="2"/>
  <c r="CA11" i="2"/>
  <c r="CB11" i="2" s="1"/>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B16" i="2"/>
  <c r="CF16" i="2"/>
  <c r="CD16" i="2"/>
  <c r="CC16" i="2"/>
  <c r="CB8" i="2"/>
  <c r="CF8" i="2"/>
  <c r="CD8" i="2"/>
  <c r="CC8" i="2"/>
  <c r="CB20" i="2"/>
  <c r="CF20" i="2"/>
  <c r="CD20" i="2"/>
  <c r="CC20" i="2"/>
  <c r="CB21" i="2"/>
  <c r="CF21" i="2"/>
  <c r="CD21" i="2"/>
  <c r="CC21" i="2"/>
  <c r="CB18" i="2"/>
  <c r="CC18" i="2"/>
  <c r="CF18" i="2"/>
  <c r="CD18" i="2"/>
  <c r="CB12" i="2"/>
  <c r="CF12" i="2"/>
  <c r="CD12" i="2"/>
  <c r="CC12" i="2"/>
  <c r="CB9" i="2"/>
  <c r="CF9" i="2"/>
  <c r="CC9" i="2"/>
  <c r="CE9" i="2" s="1"/>
  <c r="CB15" i="2"/>
  <c r="CF15" i="2"/>
  <c r="CD15" i="2"/>
  <c r="CC15" i="2"/>
  <c r="CE15" i="2" s="1"/>
  <c r="CF14" i="2"/>
  <c r="CB17" i="2"/>
  <c r="CF17" i="2"/>
  <c r="CD17" i="2"/>
  <c r="CC17" i="2"/>
  <c r="CF11" i="2"/>
  <c r="CD11" i="2"/>
  <c r="CC11" i="2"/>
  <c r="CB13" i="2"/>
  <c r="CF13" i="2"/>
  <c r="CD13" i="2"/>
  <c r="CC13" i="2"/>
  <c r="CB10" i="2"/>
  <c r="CC10" i="2"/>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10" i="2" l="1"/>
  <c r="CE12" i="2"/>
  <c r="CE21" i="2"/>
  <c r="CE20" i="2"/>
  <c r="CE8" i="2"/>
  <c r="CE16" i="2"/>
  <c r="CE19" i="2"/>
  <c r="CE7" i="2"/>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S7" i="2"/>
  <c r="AS17" i="2"/>
  <c r="AS16" i="2"/>
  <c r="AS12" i="2"/>
  <c r="AS20" i="2"/>
  <c r="AS13" i="2"/>
  <c r="AS10" i="2"/>
  <c r="AT7" i="2"/>
  <c r="AT13" i="2"/>
  <c r="AS21" i="2"/>
  <c r="AT17" i="2"/>
  <c r="AT15" i="2"/>
  <c r="AT12" i="2"/>
  <c r="AT20" i="2"/>
  <c r="AT16" i="2"/>
  <c r="AT9" i="2"/>
  <c r="AT10" i="2"/>
  <c r="AT19" i="2" l="1"/>
  <c r="AS11" i="2"/>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CL24" authorId="0" shapeId="0" xr:uid="{64760257-3A41-434E-A0A3-17AAC2BB181B}">
      <text>
        <r>
          <rPr>
            <sz val="9"/>
            <color indexed="81"/>
            <rFont val="Tahoma"/>
            <family val="2"/>
          </rPr>
          <t>worst case infielder distance is probably 45 feet; worst case outfielder distance is probably like 120 feet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<sst xmlns="http://schemas.openxmlformats.org/spreadsheetml/2006/main" count="400" uniqueCount="314">
  <si>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</si>
  <si>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</si>
  <si>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</si>
  <si>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</si>
  <si>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</si>
  <si>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</si>
  <si>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</si>
  <si>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</si>
  <si>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</si>
  <si>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</si>
  <si>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</si>
  <si>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</si>
  <si>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</si>
  <si>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</si>
  <si>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</si>
  <si>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</si>
  <si>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</si>
  <si>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</si>
  <si>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</si>
  <si>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</si>
  <si>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</si>
  <si>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</si>
  <si>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</si>
  <si>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</si>
  <si>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</si>
  <si>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</si>
  <si>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</si>
  <si>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</si>
  <si>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</si>
  <si>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</si>
  <si>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</si>
  <si>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</si>
  <si>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</si>
  <si>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</si>
  <si>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</si>
  <si>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</si>
  <si>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</si>
  <si>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</si>
  <si>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</si>
  <si>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</si>
  <si>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</si>
  <si>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</si>
  <si>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</si>
  <si>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</si>
  <si>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</si>
  <si>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</si>
  <si>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</si>
  <si>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</si>
  <si>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</si>
  <si>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</si>
  <si>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</si>
  <si>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</si>
  <si>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</si>
  <si>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</si>
  <si>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</si>
  <si>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</si>
  <si>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</si>
  <si>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</si>
  <si>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</si>
  <si>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</si>
  <si>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</si>
  <si>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</si>
  <si>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</si>
  <si>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</si>
  <si>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</si>
  <si>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</si>
  <si>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</si>
  <si>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</si>
  <si>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</si>
  <si>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</si>
  <si>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</si>
  <si>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</si>
  <si>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</si>
  <si>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</si>
  <si>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</si>
  <si>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</si>
  <si>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</si>
  <si>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</si>
  <si>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</si>
  <si>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</si>
  <si>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</si>
  <si>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</si>
  <si>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</si>
  <si>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</si>
  <si>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</si>
  <si>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</si>
  <si>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</si>
  <si>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</si>
  <si>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</si>
  <si>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</si>
  <si>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</si>
  <si>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</si>
  <si>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</si>
  <si>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</si>
  <si>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</si>
  <si>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</si>
  <si>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</si>
  <si>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</si>
  <si>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</si>
  <si>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</si>
  <si>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</si>
  <si>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</si>
  <si>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</si>
  <si>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</si>
  <si>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</si>
  <si>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</si>
  <si>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</si>
  <si>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</si>
  <si>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</si>
  <si>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</si>
  <si>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</si>
  <si>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</si>
  <si>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</si>
  <si>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</si>
  <si>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</si>
  <si>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</si>
  <si>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</si>
  <si>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</si>
  <si>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</si>
  <si>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</si>
  <si>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</si>
  <si>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</si>
  <si>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</si>
  <si>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</si>
  <si>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</si>
  <si>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</si>
  <si>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</si>
  <si>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</si>
  <si>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</si>
  <si>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</si>
  <si>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</si>
  <si>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</si>
  <si>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</si>
  <si>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</si>
  <si>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</si>
  <si>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</si>
  <si>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</si>
  <si>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</si>
  <si>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</si>
  <si>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</si>
  <si>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</si>
  <si>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</si>
  <si>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</si>
  <si>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</si>
  <si>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</si>
  <si>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</si>
  <si>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</si>
  <si>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</si>
  <si>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</si>
  <si>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</si>
  <si>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</si>
  <si>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</si>
  <si>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</si>
  <si>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</si>
  <si>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</si>
  <si>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</si>
  <si>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</si>
  <si>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</si>
  <si>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</si>
  <si>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</si>
  <si>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</si>
  <si>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</si>
  <si>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</si>
  <si>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</si>
  <si>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</si>
  <si>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</si>
  <si>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</si>
  <si>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</si>
  <si>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</si>
  <si>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</si>
  <si>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</si>
  <si>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</si>
  <si>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</si>
  <si>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</si>
  <si>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</si>
  <si>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</si>
  <si>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</si>
  <si>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</si>
  <si>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</si>
  <si>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</si>
  <si>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</si>
  <si>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</si>
  <si>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</si>
  <si>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</si>
  <si>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</si>
  <si>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</si>
  <si>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</si>
  <si>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</si>
  <si>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</si>
  <si>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</si>
  <si>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</si>
  <si>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</si>
  <si>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</si>
  <si>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</si>
  <si>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</si>
  <si>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</si>
  <si>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</si>
  <si>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</si>
  <si>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</si>
  <si>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</si>
  <si>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</si>
  <si>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</si>
  <si>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</si>
  <si>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</si>
  <si>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</si>
  <si>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</si>
  <si>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</si>
  <si>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</si>
  <si>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</si>
  <si>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</si>
  <si>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</si>
  <si>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</si>
  <si>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</si>
  <si>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</si>
  <si>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</si>
  <si>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</si>
  <si>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</si>
  <si>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</si>
  <si>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</si>
  <si>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</si>
  <si>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</si>
  <si>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</si>
  <si>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</si>
  <si>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</si>
  <si>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</si>
  <si>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</si>
  <si>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</si>
  <si>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</si>
  <si>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</si>
  <si>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</si>
  <si>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</si>
  <si>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</si>
  <si>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</si>
  <si>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</si>
  <si>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</si>
  <si>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</si>
  <si>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</si>
  <si>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</si>
  <si>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</si>
  <si>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</si>
  <si>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</si>
  <si>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</si>
  <si>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</si>
  <si>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</si>
  <si>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</si>
  <si>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</si>
  <si>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</si>
  <si>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</si>
  <si>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</si>
  <si>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</si>
  <si>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</si>
  <si>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</si>
  <si>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</si>
  <si>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</si>
  <si>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</si>
  <si>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</si>
  <si>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</si>
  <si>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</si>
  <si>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</si>
  <si>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</si>
  <si>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</si>
  <si>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</si>
  <si>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</si>
  <si>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</si>
  <si>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</si>
  <si>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</si>
  <si>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</si>
  <si>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</si>
  <si>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</si>
  <si>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</si>
  <si>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</si>
  <si>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</si>
  <si>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</si>
  <si>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</si>
  <si>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</si>
  <si>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</si>
  <si>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</si>
  <si>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</si>
  <si>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</si>
  <si>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</si>
  <si>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</si>
  <si>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</si>
  <si>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</si>
  <si>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</si>
  <si>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</si>
  <si>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</si>
  <si>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</si>
  <si>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</si>
  <si>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</si>
  <si>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</si>
  <si>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</si>
  <si>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</si>
  <si>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</si>
  <si>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</si>
  <si>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</si>
  <si>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</si>
  <si>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</si>
  <si>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</si>
  <si>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</si>
  <si>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</si>
  <si>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</si>
  <si>
    <t>net</t>
  </si>
  <si>
    <t>form</t>
  </si>
  <si>
    <t>grabbiness</t>
  </si>
  <si>
    <t>throwing</t>
  </si>
  <si>
    <t>factor:</t>
  </si>
  <si>
    <t>catching</t>
  </si>
  <si>
    <t>Column1</t>
  </si>
  <si>
    <t>ball speed:</t>
  </si>
  <si>
    <t>timing</t>
  </si>
  <si>
    <t>bravery</t>
  </si>
  <si>
    <t>y</t>
  </si>
  <si>
    <t>target</t>
  </si>
  <si>
    <t>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</si>
</sst>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76">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14" xfId="0" applyBorder="1"/>
    <xf numFmtId="0" fontId="0" fillId="0" borderId="35" xfId="0" applyBorder="1"/>
  </cellXfs>
  <cellStyles count="3">
    <cellStyle name="Neutral" xfId="2" builtinId="28"/>
    <cellStyle name="Normal" xfId="0" builtinId="0"/>
    <cellStyle name="Percent" xfId="1" builtinId="5"/>
  </cellStyles>
  <dxfs count="87">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quality!$K$12</c:f>
              <c:strCache>
                <c:ptCount val="1"/>
                <c:pt idx="0">
                  <c:v>net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quality!$J$13:$J$18</c:f>
              <c:numCache>
                <c:formatCode>General</c:formatCode>
                <c:ptCount val="6"/>
                <c:pt idx="0">
                  <c:v>1</c:v>
                </c:pt>
                <c:pt idx="1">
                  <c:v>1.5</c:v>
                </c:pt>
                <c:pt idx="2">
                  <c:v>2</c:v>
                </c:pt>
                <c:pt idx="3">
                  <c:v>3</c:v>
                </c:pt>
                <c:pt idx="4">
                  <c:v>5</c:v>
                </c:pt>
                <c:pt idx="5">
                  <c:v>3.35</c:v>
                </c:pt>
              </c:numCache>
            </c:numRef>
          </c:xVal>
          <c:yVal>
            <c:numRef>
              <c:f>quality!$K$13:$K$18</c:f>
              <c:numCache>
                <c:formatCode>General</c:formatCode>
                <c:ptCount val="6"/>
                <c:pt idx="0">
                  <c:v>0.5</c:v>
                </c:pt>
                <c:pt idx="1">
                  <c:v>0.75</c:v>
                </c:pt>
                <c:pt idx="2">
                  <c:v>1</c:v>
                </c:pt>
                <c:pt idx="3">
                  <c:v>1.4</c:v>
                </c:pt>
                <c:pt idx="4">
                  <c:v>2</c:v>
                </c:pt>
              </c:numCache>
            </c:numRef>
          </c:yVal>
          <c:smooth val="1"/>
          <c:extLst>
            <c:ext xmlns:c16="http://schemas.microsoft.com/office/drawing/2014/chart" uri="{C3380CC4-5D6E-409C-BE32-E72D297353CC}">
              <c16:uniqueId val="{00000000-75D4-4E4F-95C9-DA0E719BFEDE}"/>
            </c:ext>
          </c:extLst>
        </c:ser>
        <c:ser>
          <c:idx val="1"/>
          <c:order val="1"/>
          <c:tx>
            <c:strRef>
              <c:f>quality!$L$12</c:f>
              <c:strCache>
                <c:ptCount val="1"/>
                <c:pt idx="0">
                  <c:v>form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quality!$J$13:$J$18</c:f>
              <c:numCache>
                <c:formatCode>General</c:formatCode>
                <c:ptCount val="6"/>
                <c:pt idx="0">
                  <c:v>1</c:v>
                </c:pt>
                <c:pt idx="1">
                  <c:v>1.5</c:v>
                </c:pt>
                <c:pt idx="2">
                  <c:v>2</c:v>
                </c:pt>
                <c:pt idx="3">
                  <c:v>3</c:v>
                </c:pt>
                <c:pt idx="4">
                  <c:v>5</c:v>
                </c:pt>
                <c:pt idx="5">
                  <c:v>3.35</c:v>
                </c:pt>
              </c:numCache>
            </c:numRef>
          </c:xVal>
          <c:yVal>
            <c:numRef>
              <c:f>quality!$L$13:$L$18</c:f>
              <c:numCache>
                <c:formatCode>General</c:formatCode>
                <c:ptCount val="6"/>
                <c:pt idx="0">
                  <c:v>0.66874030497642201</c:v>
                </c:pt>
                <c:pt idx="1">
                  <c:v>0.91469121922869445</c:v>
                </c:pt>
                <c:pt idx="2">
                  <c:v>1.0466351393921056</c:v>
                </c:pt>
                <c:pt idx="3">
                  <c:v>1.2178832856309068</c:v>
                </c:pt>
                <c:pt idx="4">
                  <c:v>1.4315691227432645</c:v>
                </c:pt>
                <c:pt idx="5">
                  <c:v>1.2636739857523107</c:v>
                </c:pt>
              </c:numCache>
            </c:numRef>
          </c:yVal>
          <c:smooth val="1"/>
          <c:extLst>
            <c:ext xmlns:c16="http://schemas.microsoft.com/office/drawing/2014/chart" uri="{C3380CC4-5D6E-409C-BE32-E72D297353CC}">
              <c16:uniqueId val="{00000001-75D4-4E4F-95C9-DA0E719BFEDE}"/>
            </c:ext>
          </c:extLst>
        </c:ser>
        <c:dLbls>
          <c:showLegendKey val="0"/>
          <c:showVal val="0"/>
          <c:showCatName val="0"/>
          <c:showSerName val="0"/>
          <c:showPercent val="0"/>
          <c:showBubbleSize val="0"/>
        </c:dLbls>
        <c:axId val="447991871"/>
        <c:axId val="447989375"/>
      </c:scatterChart>
      <c:valAx>
        <c:axId val="44799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9375"/>
        <c:crosses val="autoZero"/>
        <c:crossBetween val="midCat"/>
      </c:valAx>
      <c:valAx>
        <c:axId val="4479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91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'quality 2'!$B$1</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'quality 2'!$A$2:$A$32</c:f>
              <c:numCache>
                <c:formatCode>General</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'quality 2'!$B$2:$B$32</c:f>
              <c:numCache>
                <c:formatCode>General</c:formatCode>
                <c:ptCount val="31"/>
                <c:pt idx="0">
                  <c:v>0.66874030497642201</c:v>
                </c:pt>
                <c:pt idx="1">
                  <c:v>0.74008280449228525</c:v>
                </c:pt>
                <c:pt idx="2">
                  <c:v>0.79527072876705063</c:v>
                </c:pt>
                <c:pt idx="3">
                  <c:v>0.8408964152537145</c:v>
                </c:pt>
                <c:pt idx="4">
                  <c:v>0.88011173679339338</c:v>
                </c:pt>
                <c:pt idx="5">
                  <c:v>0.91469121922869445</c:v>
                </c:pt>
                <c:pt idx="6">
                  <c:v>0.94574160900317583</c:v>
                </c:pt>
                <c:pt idx="7">
                  <c:v>0.97400374642529675</c:v>
                </c:pt>
                <c:pt idx="8">
                  <c:v>1</c:v>
                </c:pt>
                <c:pt idx="9">
                  <c:v>1.0241136890844451</c:v>
                </c:pt>
                <c:pt idx="10">
                  <c:v>1.0466351393921056</c:v>
                </c:pt>
                <c:pt idx="11">
                  <c:v>1.0677899723724409</c:v>
                </c:pt>
                <c:pt idx="12">
                  <c:v>1.0877573059372772</c:v>
                </c:pt>
                <c:pt idx="13">
                  <c:v>1.1066819197003217</c:v>
                </c:pt>
                <c:pt idx="14">
                  <c:v>1.1246826503806981</c:v>
                </c:pt>
                <c:pt idx="15">
                  <c:v>1.1418583454354265</c:v>
                </c:pt>
                <c:pt idx="16">
                  <c:v>1.158292185288269</c:v>
                </c:pt>
                <c:pt idx="17">
                  <c:v>1.1740548859440185</c:v>
                </c:pt>
                <c:pt idx="18">
                  <c:v>1.189207115002721</c:v>
                </c:pt>
                <c:pt idx="19">
                  <c:v>1.2038013435027159</c:v>
                </c:pt>
                <c:pt idx="20">
                  <c:v>1.2178832856309068</c:v>
                </c:pt>
                <c:pt idx="21">
                  <c:v>1.2314930323839881</c:v>
                </c:pt>
                <c:pt idx="22">
                  <c:v>1.2446659545769567</c:v>
                </c:pt>
                <c:pt idx="23">
                  <c:v>1.2574334296829355</c:v>
                </c:pt>
                <c:pt idx="24">
                  <c:v>1.2698234324738655</c:v>
                </c:pt>
                <c:pt idx="25">
                  <c:v>1.2818610191887023</c:v>
                </c:pt>
                <c:pt idx="26">
                  <c:v>1.2935687276168018</c:v>
                </c:pt>
                <c:pt idx="27">
                  <c:v>1.3049669101523764</c:v>
                </c:pt>
                <c:pt idx="28">
                  <c:v>1.3160740129524926</c:v>
                </c:pt>
                <c:pt idx="29">
                  <c:v>1.3269068114098672</c:v>
                </c:pt>
                <c:pt idx="30">
                  <c:v>1.337480609952844</c:v>
                </c:pt>
              </c:numCache>
            </c:numRef>
          </c:yVal>
          <c:smooth val="0"/>
          <c:extLst>
            <c:ext xmlns:c16="http://schemas.microsoft.com/office/drawing/2014/chart" uri="{C3380CC4-5D6E-409C-BE32-E72D297353CC}">
              <c16:uniqueId val="{00000000-59AD-4912-8E16-5DFC34BA8A87}"/>
            </c:ext>
          </c:extLst>
        </c:ser>
        <c:ser>
          <c:idx val="1"/>
          <c:order val="1"/>
          <c:tx>
            <c:strRef>
              <c:f>'quality 2'!$C$1</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'quality 2'!$A$2:$A$32</c:f>
              <c:numCache>
                <c:formatCode>General</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'quality 2'!$C$2:$C$32</c:f>
              <c:numCache>
                <c:formatCode>General</c:formatCode>
                <c:ptCount val="31"/>
                <c:pt idx="0">
                  <c:v>0.5</c:v>
                </c:pt>
                <c:pt idx="10">
                  <c:v>1</c:v>
                </c:pt>
                <c:pt idx="20">
                  <c:v>1.2</c:v>
                </c:pt>
                <c:pt idx="30">
                  <c:v>1.3</c:v>
                </c:pt>
              </c:numCache>
            </c:numRef>
          </c:yVal>
          <c:smooth val="0"/>
          <c:extLst>
            <c:ext xmlns:c16="http://schemas.microsoft.com/office/drawing/2014/chart" uri="{C3380CC4-5D6E-409C-BE32-E72D297353CC}">
              <c16:uniqueId val="{00000001-59AD-4912-8E16-5DFC34BA8A87}"/>
            </c:ext>
          </c:extLst>
        </c:ser>
        <c:ser>
          <c:idx val="2"/>
          <c:order val="2"/>
          <c:tx>
            <c:strRef>
              <c:f>'quality 2'!$D$1</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'quality 2'!$A$2:$A$32</c:f>
              <c:numCache>
                <c:formatCode>General</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'quality 2'!$D$2:$D$32</c:f>
              <c:numCache>
                <c:formatCode>General</c:formatCode>
                <c:ptCount val="31"/>
                <c:pt idx="0">
                  <c:v>0</c:v>
                </c:pt>
                <c:pt idx="1">
                  <c:v>7.1342499515863245E-2</c:v>
                </c:pt>
                <c:pt idx="2">
                  <c:v>5.5187924274765376E-2</c:v>
                </c:pt>
                <c:pt idx="3">
                  <c:v>4.5625686486663874E-2</c:v>
                </c:pt>
                <c:pt idx="4">
                  <c:v>3.9215321539678882E-2</c:v>
                </c:pt>
                <c:pt idx="5">
                  <c:v>3.4579482435301068E-2</c:v>
                </c:pt>
                <c:pt idx="6">
                  <c:v>3.1050389774481379E-2</c:v>
                </c:pt>
                <c:pt idx="7">
                  <c:v>2.8262137422120914E-2</c:v>
                </c:pt>
                <c:pt idx="8">
                  <c:v>2.5996253574703254E-2</c:v>
                </c:pt>
                <c:pt idx="9">
                  <c:v>2.4113689084445111E-2</c:v>
                </c:pt>
                <c:pt idx="10">
                  <c:v>2.2521450307660507E-2</c:v>
                </c:pt>
                <c:pt idx="11">
                  <c:v>2.115483298033527E-2</c:v>
                </c:pt>
                <c:pt idx="12">
                  <c:v>1.9967333564836265E-2</c:v>
                </c:pt>
                <c:pt idx="13">
                  <c:v>1.8924613763044551E-2</c:v>
                </c:pt>
                <c:pt idx="14">
                  <c:v>1.8000730680376442E-2</c:v>
                </c:pt>
                <c:pt idx="15">
                  <c:v>1.7175695054728379E-2</c:v>
                </c:pt>
                <c:pt idx="16">
                  <c:v>1.6433839852842524E-2</c:v>
                </c:pt>
                <c:pt idx="17">
                  <c:v>1.5762700655749473E-2</c:v>
                </c:pt>
                <c:pt idx="18">
                  <c:v>1.5152229058702504E-2</c:v>
                </c:pt>
                <c:pt idx="19">
                  <c:v>1.4594228499994921E-2</c:v>
                </c:pt>
                <c:pt idx="20">
                  <c:v>1.4081942128190805E-2</c:v>
                </c:pt>
                <c:pt idx="21">
                  <c:v>1.3609746753081353E-2</c:v>
                </c:pt>
                <c:pt idx="22">
                  <c:v>1.3172922192968617E-2</c:v>
                </c:pt>
                <c:pt idx="23">
                  <c:v>1.2767475105978754E-2</c:v>
                </c:pt>
                <c:pt idx="24">
                  <c:v>1.2390002790930055E-2</c:v>
                </c:pt>
                <c:pt idx="25">
                  <c:v>1.203758671483679E-2</c:v>
                </c:pt>
                <c:pt idx="26">
                  <c:v>1.1707708428099428E-2</c:v>
                </c:pt>
                <c:pt idx="27">
                  <c:v>1.1398182535574675E-2</c:v>
                </c:pt>
                <c:pt idx="28">
                  <c:v>1.1107102800116175E-2</c:v>
                </c:pt>
                <c:pt idx="29">
                  <c:v>1.0832798457374615E-2</c:v>
                </c:pt>
                <c:pt idx="30">
                  <c:v>1.0573798542976798E-2</c:v>
                </c:pt>
              </c:numCache>
            </c:numRef>
          </c:yVal>
          <c:smooth val="0"/>
          <c:extLst>
            <c:ext xmlns:c16="http://schemas.microsoft.com/office/drawing/2014/chart" uri="{C3380CC4-5D6E-409C-BE32-E72D297353CC}">
              <c16:uniqueId val="{00000002-59AD-4912-8E16-5DFC34BA8A87}"/>
            </c:ext>
          </c:extLst>
        </c:ser>
        <c:dLbls>
          <c:showLegendKey val="0"/>
          <c:showVal val="0"/>
          <c:showCatName val="0"/>
          <c:showSerName val="0"/>
          <c:showPercent val="0"/>
          <c:showBubbleSize val="0"/>
        </c:dLbls>
        <c:axId val="2112011648"/>
        <c:axId val="2112012480"/>
      </c:scatterChart>
      <c:valAx>
        <c:axId val="2112011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2480"/>
        <c:crosses val="autoZero"/>
        <c:crossBetween val="midCat"/>
      </c:valAx>
      <c:valAx>
        <c:axId val="211201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1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'as-run reduct'!$A$2:$CV$2</c:f>
              <c:numCache>
                <c:formatCode>General</c:formatCode>
                <c:ptCount val="100"/>
                <c:pt idx="0">
                  <c:v>42.212801833565102</c:v>
                </c:pt>
                <c:pt idx="1">
                  <c:v>42.934887913960999</c:v>
                </c:pt>
                <c:pt idx="2">
                  <c:v>42.898730355704302</c:v>
                </c:pt>
                <c:pt idx="3">
                  <c:v>41.656111618988803</c:v>
                </c:pt>
                <c:pt idx="4">
                  <c:v>38.088802865929203</c:v>
                </c:pt>
                <c:pt idx="5">
                  <c:v>36.283573380573003</c:v>
                </c:pt>
                <c:pt idx="6">
                  <c:v>34.977259720042497</c:v>
                </c:pt>
                <c:pt idx="7">
                  <c:v>33.909741670306197</c:v>
                </c:pt>
                <c:pt idx="8">
                  <c:v>32.986494885463202</c:v>
                </c:pt>
                <c:pt idx="9">
                  <c:v>32.161158910431297</c:v>
                </c:pt>
                <c:pt idx="10">
                  <c:v>31.4071344909994</c:v>
                </c:pt>
                <c:pt idx="11">
                  <c:v>30.707576594918599</c:v>
                </c:pt>
                <c:pt idx="12">
                  <c:v>30.051060991771799</c:v>
                </c:pt>
                <c:pt idx="13">
                  <c:v>29.429437819890701</c:v>
                </c:pt>
                <c:pt idx="14">
                  <c:v>28.836661700422098</c:v>
                </c:pt>
                <c:pt idx="15">
                  <c:v>28.268106510022601</c:v>
                </c:pt>
                <c:pt idx="16">
                  <c:v>27.720140767285901</c:v>
                </c:pt>
                <c:pt idx="17">
                  <c:v>27.189852293771501</c:v>
                </c:pt>
                <c:pt idx="18">
                  <c:v>26.674862864410802</c:v>
                </c:pt>
                <c:pt idx="19">
                  <c:v>26.173199454009101</c:v>
                </c:pt>
                <c:pt idx="20">
                  <c:v>25.6832023704597</c:v>
                </c:pt>
                <c:pt idx="21">
                  <c:v>25.203458172670601</c:v>
                </c:pt>
                <c:pt idx="22">
                  <c:v>24.732749686016099</c:v>
                </c:pt>
                <c:pt idx="23">
                  <c:v>24.270018086598199</c:v>
                </c:pt>
                <c:pt idx="24">
                  <c:v>23.8143336787242</c:v>
                </c:pt>
                <c:pt idx="25">
                  <c:v>23.364873047401002</c:v>
                </c:pt>
                <c:pt idx="26">
                  <c:v>22.9209009611025</c:v>
                </c:pt>
                <c:pt idx="27">
                  <c:v>22.4817558651011</c:v>
                </c:pt>
                <c:pt idx="28">
                  <c:v>22.046838123804999</c:v>
                </c:pt>
                <c:pt idx="29">
                  <c:v>21.615600392170901</c:v>
                </c:pt>
                <c:pt idx="30">
                  <c:v>21.1875396531895</c:v>
                </c:pt>
                <c:pt idx="31">
                  <c:v>20.7621905712273</c:v>
                </c:pt>
                <c:pt idx="32">
                  <c:v>20.339119893166199</c:v>
                </c:pt>
                <c:pt idx="33">
                  <c:v>20.011713709635799</c:v>
                </c:pt>
                <c:pt idx="34">
                  <c:v>20.071248189251101</c:v>
                </c:pt>
                <c:pt idx="35">
                  <c:v>20.130028834074501</c:v>
                </c:pt>
                <c:pt idx="36">
                  <c:v>20.188124066911701</c:v>
                </c:pt>
                <c:pt idx="37">
                  <c:v>20.245597638021898</c:v>
                </c:pt>
                <c:pt idx="38">
                  <c:v>20.302509224591599</c:v>
                </c:pt>
                <c:pt idx="39">
                  <c:v>20.358914953995999</c:v>
                </c:pt>
                <c:pt idx="40">
                  <c:v>20.414867863754701</c:v>
                </c:pt>
                <c:pt idx="41">
                  <c:v>20.470418308789402</c:v>
                </c:pt>
                <c:pt idx="42">
                  <c:v>20.525614324777099</c:v>
                </c:pt>
                <c:pt idx="43">
                  <c:v>20.5805019549544</c:v>
                </c:pt>
                <c:pt idx="44">
                  <c:v>20.6351255465785</c:v>
                </c:pt>
                <c:pt idx="45">
                  <c:v>20.689528022341101</c:v>
                </c:pt>
                <c:pt idx="46">
                  <c:v>20.7437511313037</c:v>
                </c:pt>
                <c:pt idx="47">
                  <c:v>20.797835683351199</c:v>
                </c:pt>
                <c:pt idx="48">
                  <c:v>20.851821770710799</c:v>
                </c:pt>
                <c:pt idx="49">
                  <c:v>20.905748979740999</c:v>
                </c:pt>
                <c:pt idx="50">
                  <c:v>20.959656595943098</c:v>
                </c:pt>
                <c:pt idx="51">
                  <c:v>21.013583804973401</c:v>
                </c:pt>
                <c:pt idx="52">
                  <c:v>21.067569892333001</c:v>
                </c:pt>
                <c:pt idx="53">
                  <c:v>21.1216544443805</c:v>
                </c:pt>
                <c:pt idx="54">
                  <c:v>21.175877553343</c:v>
                </c:pt>
                <c:pt idx="55">
                  <c:v>21.2302800291056</c:v>
                </c:pt>
                <c:pt idx="56">
                  <c:v>21.2849036207297</c:v>
                </c:pt>
                <c:pt idx="57">
                  <c:v>21.339791250906998</c:v>
                </c:pt>
                <c:pt idx="58">
                  <c:v>21.394987266894699</c:v>
                </c:pt>
                <c:pt idx="59">
                  <c:v>21.4505377119294</c:v>
                </c:pt>
                <c:pt idx="60">
                  <c:v>21.506490621688101</c:v>
                </c:pt>
                <c:pt idx="61">
                  <c:v>21.562896351092501</c:v>
                </c:pt>
                <c:pt idx="62">
                  <c:v>21.619807937662198</c:v>
                </c:pt>
                <c:pt idx="63">
                  <c:v>21.677281508772399</c:v>
                </c:pt>
                <c:pt idx="64">
                  <c:v>21.735376741609599</c:v>
                </c:pt>
                <c:pt idx="65">
                  <c:v>21.794157386433</c:v>
                </c:pt>
                <c:pt idx="66">
                  <c:v>21.853691866048301</c:v>
                </c:pt>
                <c:pt idx="67">
                  <c:v>21.914053967316502</c:v>
                </c:pt>
                <c:pt idx="68">
                  <c:v>21.975323644259301</c:v>
                </c:pt>
                <c:pt idx="69">
                  <c:v>22.037587957135599</c:v>
                </c:pt>
                <c:pt idx="70">
                  <c:v>22.100942178116199</c:v>
                </c:pt>
                <c:pt idx="71">
                  <c:v>22.165491102371799</c:v>
                </c:pt>
                <c:pt idx="72">
                  <c:v>22.231350614215</c:v>
                </c:pt>
                <c:pt idx="73">
                  <c:v>22.298649572394101</c:v>
                </c:pt>
                <c:pt idx="74">
                  <c:v>22.367532098154999</c:v>
                </c:pt>
                <c:pt idx="75">
                  <c:v>22.4381603763584</c:v>
                </c:pt>
                <c:pt idx="76">
                  <c:v>22.510718116853301</c:v>
                </c:pt>
                <c:pt idx="77">
                  <c:v>22.585414875136799</c:v>
                </c:pt>
                <c:pt idx="78">
                  <c:v>22.6624915052126</c:v>
                </c:pt>
                <c:pt idx="79">
                  <c:v>22.742227124704499</c:v>
                </c:pt>
                <c:pt idx="80">
                  <c:v>22.824948130571201</c:v>
                </c:pt>
                <c:pt idx="81">
                  <c:v>22.9110400425233</c:v>
                </c:pt>
                <c:pt idx="82">
                  <c:v>23.000963319756298</c:v>
                </c:pt>
                <c:pt idx="83">
                  <c:v>23.095274880314001</c:v>
                </c:pt>
                <c:pt idx="84">
                  <c:v>23.1946580043324</c:v>
                </c:pt>
                <c:pt idx="85">
                  <c:v>23.299964907415799</c:v>
                </c:pt>
                <c:pt idx="86">
                  <c:v>23.412279082039699</c:v>
                </c:pt>
                <c:pt idx="87">
                  <c:v>23.5330096545689</c:v>
                </c:pt>
                <c:pt idx="88">
                  <c:v>23.664039946016299</c:v>
                </c:pt>
                <c:pt idx="89">
                  <c:v>23.8079728605322</c:v>
                </c:pt>
                <c:pt idx="90">
                  <c:v>23.968561107030599</c:v>
                </c:pt>
                <c:pt idx="91">
                  <c:v>24.151521308655902</c:v>
                </c:pt>
                <c:pt idx="92">
                  <c:v>24.3662394945848</c:v>
                </c:pt>
                <c:pt idx="93">
                  <c:v>24.629895364844899</c:v>
                </c:pt>
                <c:pt idx="94">
                  <c:v>24.979913904377401</c:v>
                </c:pt>
                <c:pt idx="95">
                  <c:v>25.530687395308298</c:v>
                </c:pt>
                <c:pt idx="96">
                  <c:v>27.113167400177701</c:v>
                </c:pt>
                <c:pt idx="97">
                  <c:v>28.370735758753501</c:v>
                </c:pt>
                <c:pt idx="98">
                  <c:v>29.462484375689701</c:v>
                </c:pt>
                <c:pt idx="99">
                  <c:v>30.439551405476202</c:v>
                </c:pt>
              </c:numCache>
            </c:numRef>
          </c:val>
          <c:smooth val="0"/>
          <c:extLst>
            <c:ext xmlns:c16="http://schemas.microsoft.com/office/drawing/2014/chart" uri="{C3380CC4-5D6E-409C-BE32-E72D297353CC}">
              <c16:uniqueId val="{00000000-90CC-42DB-815A-DA4C21CE1798}"/>
            </c:ext>
          </c:extLst>
        </c:ser>
        <c:dLbls>
          <c:showLegendKey val="0"/>
          <c:showVal val="0"/>
          <c:showCatName val="0"/>
          <c:showSerName val="0"/>
          <c:showPercent val="0"/>
          <c:showBubbleSize val="0"/>
        </c:dLbls>
        <c:smooth val="0"/>
        <c:axId val="92815936"/>
        <c:axId val="92817600"/>
      </c:lineChart>
      <c:catAx>
        <c:axId val="928159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7600"/>
        <c:crosses val="autoZero"/>
        <c:auto val="1"/>
        <c:lblAlgn val="ctr"/>
        <c:lblOffset val="100"/>
        <c:noMultiLvlLbl val="0"/>
      </c:catAx>
      <c:valAx>
        <c:axId val="9281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reduction!$B$1</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reduction!$B$2:$B$32</c:f>
              <c:numCache>
                <c:formatCode>General</c:formatCode>
                <c:ptCount val="31"/>
                <c:pt idx="0">
                  <c:v>0</c:v>
                </c:pt>
                <c:pt idx="1">
                  <c:v>4.4444444444444444E-3</c:v>
                </c:pt>
                <c:pt idx="2">
                  <c:v>1.7777777777777778E-2</c:v>
                </c:pt>
                <c:pt idx="3">
                  <c:v>4.0000000000000008E-2</c:v>
                </c:pt>
                <c:pt idx="4">
                  <c:v>7.1111111111111111E-2</c:v>
                </c:pt>
                <c:pt idx="5">
                  <c:v>0.1111111111111111</c:v>
                </c:pt>
                <c:pt idx="6">
                  <c:v>0.16000000000000003</c:v>
                </c:pt>
                <c:pt idx="7">
                  <c:v>0.21777777777777779</c:v>
                </c:pt>
                <c:pt idx="8">
                  <c:v>0.28444444444444444</c:v>
                </c:pt>
                <c:pt idx="9">
                  <c:v>0.36</c:v>
                </c:pt>
                <c:pt idx="10">
                  <c:v>0.44444444444444442</c:v>
                </c:pt>
                <c:pt idx="11">
                  <c:v>0.53777777777777769</c:v>
                </c:pt>
                <c:pt idx="12">
                  <c:v>0.64000000000000012</c:v>
                </c:pt>
                <c:pt idx="13">
                  <c:v>0.75111111111111117</c:v>
                </c:pt>
                <c:pt idx="14">
                  <c:v>0.87111111111111117</c:v>
                </c:pt>
                <c:pt idx="15">
                  <c:v>1</c:v>
                </c:pt>
                <c:pt idx="16">
                  <c:v>1.0666666666666667</c:v>
                </c:pt>
                <c:pt idx="17">
                  <c:v>1.1333333333333333</c:v>
                </c:pt>
                <c:pt idx="18">
                  <c:v>1.2</c:v>
                </c:pt>
                <c:pt idx="19">
                  <c:v>1.2666666666666666</c:v>
                </c:pt>
                <c:pt idx="20">
                  <c:v>1.3333333333333333</c:v>
                </c:pt>
                <c:pt idx="21">
                  <c:v>1.4</c:v>
                </c:pt>
                <c:pt idx="22">
                  <c:v>1.4666666666666666</c:v>
                </c:pt>
                <c:pt idx="23">
                  <c:v>1.5333333333333334</c:v>
                </c:pt>
                <c:pt idx="24">
                  <c:v>1.6</c:v>
                </c:pt>
                <c:pt idx="25">
                  <c:v>1.6666666666666667</c:v>
                </c:pt>
                <c:pt idx="26">
                  <c:v>1.7333333333333334</c:v>
                </c:pt>
                <c:pt idx="27">
                  <c:v>1.8</c:v>
                </c:pt>
                <c:pt idx="28">
                  <c:v>1.8666666666666667</c:v>
                </c:pt>
                <c:pt idx="29">
                  <c:v>1.9333333333333333</c:v>
                </c:pt>
                <c:pt idx="30">
                  <c:v>2</c:v>
                </c:pt>
              </c:numCache>
            </c:numRef>
          </c:yVal>
          <c:smooth val="0"/>
          <c:extLst>
            <c:ext xmlns:c16="http://schemas.microsoft.com/office/drawing/2014/chart" uri="{C3380CC4-5D6E-409C-BE32-E72D297353CC}">
              <c16:uniqueId val="{00000000-FF7B-4C12-B683-363228E72117}"/>
            </c:ext>
          </c:extLst>
        </c:ser>
        <c:ser>
          <c:idx val="1"/>
          <c:order val="1"/>
          <c:tx>
            <c:strRef>
              <c:f>reduction!$C$1</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reduction!$C$2:$C$32</c:f>
              <c:numCache>
                <c:formatCode>General</c:formatCode>
                <c:ptCount val="31"/>
                <c:pt idx="0">
                  <c:v>0</c:v>
                </c:pt>
                <c:pt idx="15">
                  <c:v>1</c:v>
                </c:pt>
              </c:numCache>
            </c:numRef>
          </c:yVal>
          <c:smooth val="0"/>
          <c:extLst>
            <c:ext xmlns:c16="http://schemas.microsoft.com/office/drawing/2014/chart" uri="{C3380CC4-5D6E-409C-BE32-E72D297353CC}">
              <c16:uniqueId val="{00000001-FF7B-4C12-B683-363228E72117}"/>
            </c:ext>
          </c:extLst>
        </c:ser>
        <c:ser>
          <c:idx val="2"/>
          <c:order val="2"/>
          <c:tx>
            <c:strRef>
              <c:f>reduction!$D$1</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reduction!$D$2:$D$32</c:f>
              <c:numCache>
                <c:formatCode>General</c:formatCode>
                <c:ptCount val="31"/>
                <c:pt idx="0">
                  <c:v>0</c:v>
                </c:pt>
                <c:pt idx="1">
                  <c:v>4.4444444444444444E-3</c:v>
                </c:pt>
                <c:pt idx="2">
                  <c:v>1.3333333333333332E-2</c:v>
                </c:pt>
                <c:pt idx="3">
                  <c:v>2.222222222222223E-2</c:v>
                </c:pt>
                <c:pt idx="4">
                  <c:v>3.1111111111111103E-2</c:v>
                </c:pt>
                <c:pt idx="5">
                  <c:v>3.9999999999999994E-2</c:v>
                </c:pt>
                <c:pt idx="6">
                  <c:v>4.8888888888888926E-2</c:v>
                </c:pt>
                <c:pt idx="7">
                  <c:v>5.7777777777777761E-2</c:v>
                </c:pt>
                <c:pt idx="8">
                  <c:v>6.6666666666666652E-2</c:v>
                </c:pt>
                <c:pt idx="9">
                  <c:v>7.5555555555555542E-2</c:v>
                </c:pt>
                <c:pt idx="10">
                  <c:v>8.4444444444444433E-2</c:v>
                </c:pt>
                <c:pt idx="11">
                  <c:v>9.3333333333333268E-2</c:v>
                </c:pt>
                <c:pt idx="12">
                  <c:v>0.10222222222222244</c:v>
                </c:pt>
                <c:pt idx="13">
                  <c:v>0.11111111111111105</c:v>
                </c:pt>
                <c:pt idx="14">
                  <c:v>0.12</c:v>
                </c:pt>
                <c:pt idx="15">
                  <c:v>0.12888888888888883</c:v>
                </c:pt>
                <c:pt idx="16">
                  <c:v>6.6666666666666652E-2</c:v>
                </c:pt>
                <c:pt idx="17">
                  <c:v>6.6666666666666652E-2</c:v>
                </c:pt>
                <c:pt idx="18">
                  <c:v>6.6666666666666652E-2</c:v>
                </c:pt>
                <c:pt idx="19">
                  <c:v>6.6666666666666652E-2</c:v>
                </c:pt>
                <c:pt idx="20">
                  <c:v>6.6666666666666652E-2</c:v>
                </c:pt>
                <c:pt idx="21">
                  <c:v>6.6666666666666652E-2</c:v>
                </c:pt>
                <c:pt idx="22">
                  <c:v>6.6666666666666652E-2</c:v>
                </c:pt>
                <c:pt idx="23">
                  <c:v>6.6666666666666874E-2</c:v>
                </c:pt>
                <c:pt idx="24">
                  <c:v>6.6666666666666652E-2</c:v>
                </c:pt>
                <c:pt idx="25">
                  <c:v>6.6666666666666652E-2</c:v>
                </c:pt>
                <c:pt idx="26">
                  <c:v>6.6666666666666652E-2</c:v>
                </c:pt>
                <c:pt idx="27">
                  <c:v>6.6666666666666652E-2</c:v>
                </c:pt>
                <c:pt idx="28">
                  <c:v>6.6666666666666652E-2</c:v>
                </c:pt>
                <c:pt idx="29">
                  <c:v>6.6666666666666652E-2</c:v>
                </c:pt>
                <c:pt idx="30">
                  <c:v>6.6666666666666652E-2</c:v>
                </c:pt>
              </c:numCache>
            </c:numRef>
          </c:yVal>
          <c:smooth val="0"/>
          <c:extLst>
            <c:ext xmlns:c16="http://schemas.microsoft.com/office/drawing/2014/chart" uri="{C3380CC4-5D6E-409C-BE32-E72D297353CC}">
              <c16:uniqueId val="{00000003-FF7B-4C12-B683-363228E72117}"/>
            </c:ext>
          </c:extLst>
        </c:ser>
        <c:dLbls>
          <c:showLegendKey val="0"/>
          <c:showVal val="0"/>
          <c:showCatName val="0"/>
          <c:showSerName val="0"/>
          <c:showPercent val="0"/>
          <c:showBubbleSize val="0"/>
        </c:dLbls>
        <c:axId val="2112011648"/>
        <c:axId val="2112012480"/>
      </c:scatterChart>
      <c:valAx>
        <c:axId val="2112011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2480"/>
        <c:crosses val="autoZero"/>
        <c:crossBetween val="midCat"/>
      </c:valAx>
      <c:valAx>
        <c:axId val="211201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1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13</xdr:col>
      <xdr:colOff>295275</xdr:colOff>
      <xdr:row>7</xdr:row>
      <xdr:rowOff>147637</xdr:rowOff>
    </xdr:from>
    <xdr:to>
      <xdr:col>20</xdr:col>
      <xdr:colOff>600075</xdr:colOff>
      <xdr:row>22</xdr:row>
      <xdr:rowOff>33337</xdr:rowOff>
    </xdr:to>
    <xdr:graphicFrame macro="">
      <xdr:nvGraphicFramePr>
        <xdr:cNvPr id="2" name="Chart 1">
          <a:extLst>
            <a:ext uri="{FF2B5EF4-FFF2-40B4-BE49-F238E27FC236}">
              <a16:creationId xmlns:a16="http://schemas.microsoft.com/office/drawing/2014/main" id="{8F29DAB7-FE10-4932-9272-279881F0B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552450</xdr:colOff>
      <xdr:row>9</xdr:row>
      <xdr:rowOff>142875</xdr:rowOff>
    </xdr:from>
    <xdr:to>
      <xdr:col>18</xdr:col>
      <xdr:colOff>247650</xdr:colOff>
      <xdr:row>24</xdr:row>
      <xdr:rowOff>28575</xdr:rowOff>
    </xdr:to>
    <xdr:graphicFrame macro="">
      <xdr:nvGraphicFramePr>
        <xdr:cNvPr id="2" name="Chart 1">
          <a:extLst>
            <a:ext uri="{FF2B5EF4-FFF2-40B4-BE49-F238E27FC236}">
              <a16:creationId xmlns:a16="http://schemas.microsoft.com/office/drawing/2014/main" id="{2A3A3AA7-2041-4864-8BA7-3AA6A9019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533400</xdr:colOff>
      <xdr:row>9</xdr:row>
      <xdr:rowOff>171450</xdr:rowOff>
    </xdr:from>
    <xdr:to>
      <xdr:col>18</xdr:col>
      <xdr:colOff>228600</xdr:colOff>
      <xdr:row>24</xdr:row>
      <xdr:rowOff>57150</xdr:rowOff>
    </xdr:to>
    <xdr:graphicFrame macro="">
      <xdr:nvGraphicFramePr>
        <xdr:cNvPr id="2" name="Chart 1">
          <a:extLst>
            <a:ext uri="{FF2B5EF4-FFF2-40B4-BE49-F238E27FC236}">
              <a16:creationId xmlns:a16="http://schemas.microsoft.com/office/drawing/2014/main" id="{BC51C21A-BA3B-4275-8130-A74F7BAA3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533400</xdr:colOff>
      <xdr:row>9</xdr:row>
      <xdr:rowOff>171450</xdr:rowOff>
    </xdr:from>
    <xdr:to>
      <xdr:col>18</xdr:col>
      <xdr:colOff>228600</xdr:colOff>
      <xdr:row>24</xdr:row>
      <xdr:rowOff>57150</xdr:rowOff>
    </xdr:to>
    <xdr:graphicFrame macro="">
      <xdr:nvGraphicFramePr>
        <xdr:cNvPr id="2" name="Chart 1">
          <a:extLst>
            <a:ext uri="{FF2B5EF4-FFF2-40B4-BE49-F238E27FC236}">
              <a16:creationId xmlns:a16="http://schemas.microsoft.com/office/drawing/2014/main" id="{7C4E4E4C-B340-4675-AA5A-B675624FF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5">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84">
      <calculatedColumnFormula>INDEX(oratings, 1, 1+MOD(Table3[[#This Row],[Rep '#]]-1, COUNT(oratings)))</calculatedColumnFormula>
    </tableColumn>
    <tableColumn id="3" xr3:uid="{00000000-0010-0000-0000-000003000000}" name="defense" dataDxfId="83">
      <calculatedColumnFormula>INDEX(dratings, 1, MOD(FLOOR( (Table3[[#This Row],[Rep '#]]-1) / COUNT(oratings), 1), COUNT(dratings))+1)</calculatedColumnFormula>
    </tableColumn>
    <tableColumn id="4" xr3:uid="{00000000-0010-0000-0000-000004000000}" name="base leadoff" dataDxfId="82">
      <calculatedColumnFormula>Table3[[#This Row],[offense]]*$D$26+0.05</calculatedColumnFormula>
    </tableColumn>
    <tableColumn id="5" xr3:uid="{00000000-0010-0000-0000-000005000000}" name="leadoff modifier" dataDxfId="81">
      <calculatedColumnFormula>((2*Table3[[#This Row],[defense]]+1*Table3[[#This Row],[defense]])-1.5)*Table3[[#This Row],[offense]]*$E$26</calculatedColumnFormula>
    </tableColumn>
    <tableColumn id="6" xr3:uid="{00000000-0010-0000-0000-000006000000}" name="total leadoff (ft)" dataDxfId="80">
      <calculatedColumnFormula>MAX(Table3[[#This Row],[base leadoff]]*(1-Table3[[#This Row],[leadoff modifier]]) * 90, 0)</calculatedColumnFormula>
    </tableColumn>
    <tableColumn id="7" xr3:uid="{00000000-0010-0000-0000-000007000000}" name="pickoff manuver (s)" dataDxfId="79">
      <calculatedColumnFormula>1.1 - Table3[[#This Row],[defense]]*0.1</calculatedColumnFormula>
    </tableColumn>
    <tableColumn id="8" xr3:uid="{00000000-0010-0000-0000-000008000000}" name="throw speed (s/ft)" dataDxfId="78">
      <calculatedColumnFormula xml:space="preserve"> 0.01 - 0.0025 *  Table3[[#This Row],[defense]]</calculatedColumnFormula>
    </tableColumn>
    <tableColumn id="32" xr3:uid="{00000000-0010-0000-0000-000020000000}" name="throw speed (mph)" dataDxfId="77">
      <calculatedColumnFormula>1 / Table3[[#This Row],[throw speed (s/ft)]] * ((60 * 60)/5280)</calculatedColumnFormula>
    </tableColumn>
    <tableColumn id="9" xr3:uid="{00000000-0010-0000-0000-000009000000}" name="pickoff time" dataDxfId="76">
      <calculatedColumnFormula>Table3[[#This Row],[pickoff manuver (s)]]+60*Table3[[#This Row],[throw speed (s/ft)]]</calculatedColumnFormula>
    </tableColumn>
    <tableColumn id="10" xr3:uid="{00000000-0010-0000-0000-00000A000000}" name="runner reaction" dataDxfId="75">
      <calculatedColumnFormula>$K$28-$K$26*Table3[[#This Row],[offense]]</calculatedColumnFormula>
    </tableColumn>
    <tableColumn id="11" xr3:uid="{00000000-0010-0000-0000-00000B000000}" name="runner speed (s/ft)" dataDxfId="74">
      <calculatedColumnFormula>0.05 - Table3[[#This Row],[offense]]*$L$26</calculatedColumnFormula>
    </tableColumn>
    <tableColumn id="12" xr3:uid="{00000000-0010-0000-0000-00000C000000}" name="runner speed (mph)" dataDxfId="73">
      <calculatedColumnFormula>1 / Table3[[#This Row],[runner speed (s/ft)]] * ((60 * 60)/5280)</calculatedColumnFormula>
    </tableColumn>
    <tableColumn id="13" xr3:uid="{00000000-0010-0000-0000-00000D000000}" name="pickoff evade time" dataDxfId="72">
      <calculatedColumnFormula>Table3[[#This Row],[runner reaction]]+Table3[[#This Row],[runner speed (s/ft)]]*Table3[[#This Row],[total leadoff (ft)]]</calculatedColumnFormula>
    </tableColumn>
    <tableColumn id="14" xr3:uid="{00000000-0010-0000-0000-00000E000000}" name="pickoff probability" dataDxfId="71" dataCellStyle="Percent">
      <calculatedColumnFormula>1 - _xlfn.NORM.DIST(Table3[[#This Row],[pickoff time]], Table3[[#This Row],[pickoff evade time]], $O$4, TRUE)</calculatedColumnFormula>
    </tableColumn>
    <tableColumn id="17" xr3:uid="{00000000-0010-0000-0000-000011000000}" name="Fielding Odds" dataDxfId="70" dataCellStyle="Percent">
      <calculatedColumnFormula>_xlfn.NORM.DIST(Table3[[#This Row],[defense]], $P$26, $P$27, TRUE)</calculatedColumnFormula>
    </tableColumn>
    <tableColumn id="18" xr3:uid="{00000000-0010-0000-0000-000012000000}" name="pickoff worth it?" dataDxfId="69">
      <calculatedColumnFormula>Table3[[#This Row],[pickoff probability]] &gt; 1-Table3[[#This Row],[Fielding Odds]]</calculatedColumnFormula>
    </tableColumn>
    <tableColumn id="19" xr3:uid="{00000000-0010-0000-0000-000013000000}" name="Error %" dataDxfId="68" dataCellStyle="Percent">
      <calculatedColumnFormula>1-Table3[[#This Row],[Fielding Odds]]</calculatedColumnFormula>
    </tableColumn>
    <tableColumn id="20" xr3:uid="{00000000-0010-0000-0000-000014000000}" name="Blatant steal time" dataDxfId="67">
      <calculatedColumnFormula>(90-Table3[[#This Row],[total leadoff (ft)]])*Table3[[#This Row],[runner speed (s/ft)]]</calculatedColumnFormula>
    </tableColumn>
    <tableColumn id="21" xr3:uid="{00000000-0010-0000-0000-000015000000}" name="Response speed" dataDxfId="66">
      <calculatedColumnFormula>$T$26*(2-Table3[[#This Row],[defense]]) + Table3[[#This Row],[pickoff time]]</calculatedColumnFormula>
    </tableColumn>
    <tableColumn id="22" xr3:uid="{00000000-0010-0000-0000-000016000000}" name="blatant steal probability" dataDxfId="65" dataCellStyle="Percent">
      <calculatedColumnFormula>_xlfn.NORM.DIST(Table3[[#This Row],[Response speed]], Table3[[#This Row],[Blatant steal time]], $U$4, TRUE)</calculatedColumnFormula>
    </tableColumn>
    <tableColumn id="23" xr3:uid="{00000000-0010-0000-0000-000017000000}" name="defense fear" dataDxfId="64">
      <calculatedColumnFormula>Table3[[#This Row],[defense]]+Table3[[#This Row],[defense]]*Table3[[#This Row],[offense]]*$E$26</calculatedColumnFormula>
    </tableColumn>
    <tableColumn id="24" xr3:uid="{00000000-0010-0000-0000-000018000000}" name="ball factor" dataDxfId="63">
      <calculatedColumnFormula>(1-$W$32)</calculatedColumnFormula>
    </tableColumn>
    <tableColumn id="25" xr3:uid="{00000000-0010-0000-0000-000019000000}" name="desperation" dataDxfId="62" dataCellStyle="Percent">
      <calculatedColumnFormula>Table3[[#This Row],[ball factor]]/$X$32*(1-$X$34)+$X$34</calculatedColumnFormula>
    </tableColumn>
    <tableColumn id="26" xr3:uid="{00000000-0010-0000-0000-00001A000000}" name="player control" dataDxfId="61">
      <calculatedColumnFormula>Table3[[#This Row],[offense]]</calculatedColumnFormula>
    </tableColumn>
    <tableColumn id="27" xr3:uid="{00000000-0010-0000-0000-00001B000000}" name="ideal steer" dataDxfId="60">
      <calculatedColumnFormula>$AA$33</calculatedColumnFormula>
    </tableColumn>
    <tableColumn id="28" xr3:uid="{00000000-0010-0000-0000-00001C000000}" name="scaled control" dataDxfId="59">
      <calculatedColumnFormula>IF(Table3[[#This Row],[player control]]&gt;1,Table3[[#This Row],[player control]]*$AA$41+$AA$40,Table3[[#This Row],[player control]]*$AA$39+$AA$38)</calculatedColumnFormula>
    </tableColumn>
    <tableColumn id="29" xr3:uid="{00000000-0010-0000-0000-00001D000000}" name="unmod foul percent 3rd" dataDxfId="58" dataCellStyle="Percent">
      <calculatedColumnFormula>_xlfn.NORM.DIST(-1,Table3[[#This Row],[ideal steer]],($AB$25-Table3[[#This Row],[scaled control]])*$AB$27,TRUE)</calculatedColumnFormula>
    </tableColumn>
    <tableColumn id="30" xr3:uid="{00000000-0010-0000-0000-00001E000000}" name="unmod foul percent 1st" dataDxfId="57" dataCellStyle="Percent">
      <calculatedColumnFormula>1-_xlfn.NORM.DIST(1,Table3[[#This Row],[ideal steer]],($AB$25-Table3[[#This Row],[scaled control]])*$AB$27,TRUE)</calculatedColumnFormula>
    </tableColumn>
    <tableColumn id="31" xr3:uid="{00000000-0010-0000-0000-00001F000000}" name="total unmod foul percent" dataDxfId="56" dataCellStyle="Percent">
      <calculatedColumnFormula>1-(1-Table3[[#This Row],[unmod foul percent 3rd]])*(1-Table3[[#This Row],[unmod foul percent 1st]])</calculatedColumnFormula>
    </tableColumn>
    <tableColumn id="15" xr3:uid="{00000000-0010-0000-0000-00000F000000}" name="unmod dead center foul%" dataDxfId="55" dataCellStyle="Percent">
      <calculatedColumnFormula>1-((1-_xlfn.NORM.DIST(-1,0,($AB$25-Table3[[#This Row],[scaled control]])*$AB$27,TRUE))*_xlfn.NORM.DIST(1,0,($AB$25-Table3[[#This Row],[scaled control]])*$AB$27,TRUE))</calculatedColumnFormula>
    </tableColumn>
    <tableColumn id="16" xr3:uid="{00000000-0010-0000-0000-000010000000}" name="count" dataDxfId="54">
      <calculatedColumnFormula>$AF$34*$AF$25</calculatedColumnFormula>
    </tableColumn>
    <tableColumn id="33" xr3:uid="{00000000-0010-0000-0000-000021000000}" name="hitter discipline bias" dataDxfId="53">
      <calculatedColumnFormula>$AG$25*($AG$34*Table3[[#This Row],[offense]])</calculatedColumnFormula>
    </tableColumn>
    <tableColumn id="34" xr3:uid="{00000000-0010-0000-0000-000022000000}" name="bases loaded" dataDxfId="52">
      <calculatedColumnFormula>$AH$25*$AH$34</calculatedColumnFormula>
    </tableColumn>
    <tableColumn id="35" xr3:uid="{00000000-0010-0000-0000-000023000000}" name="number of outs" dataDxfId="51">
      <calculatedColumnFormula>$AI$34*$AI$25</calculatedColumnFormula>
    </tableColumn>
    <tableColumn id="36" xr3:uid="{00000000-0010-0000-0000-000024000000}" name="current hitter vs next hitter" dataDxfId="50">
      <calculatedColumnFormula>$AJ$25*(Table3[[#This Row],[offense]]-$AJ$27)</calculatedColumnFormula>
    </tableColumn>
    <tableColumn id="37" xr3:uid="{00000000-0010-0000-0000-000025000000}" name="calling modifier" dataDxfId="49">
      <calculatedColumnFormula array="1">SUM(Table3[[#This Row],[count]:[current hitter vs next hitter]]*MIN(1, Table3[[#This Row],[defense]]))</calculatedColumnFormula>
    </tableColumn>
    <tableColumn id="38" xr3:uid="{00000000-0010-0000-0000-000026000000}" name="sigmoid strike percent" dataDxfId="48" dataCellStyle="Percent">
      <calculatedColumnFormula>$AL$25-(Table3[[#This Row],[calling modifier]]/(ABS(Table3[[#This Row],[calling modifier]])+$AL$29)*$AL$27)</calculatedColumnFormula>
    </tableColumn>
    <tableColumn id="39" xr3:uid="{00000000-0010-0000-0000-000027000000}" name="tanh strike percent" dataDxfId="47" dataCellStyle="Percent">
      <calculatedColumnFormula>$AL$25-$AL$27*TANH(Table3[[#This Row],[calling modifier]]/$AM$29)</calculatedColumnFormula>
    </tableColumn>
    <tableColumn id="40" xr3:uid="{00000000-0010-0000-0000-000028000000}" name="called position" dataDxfId="46" dataCellStyle="Percent">
      <calculatedColumnFormula>MAX(0, 1-_xlfn.NORM.S.INV(Table3[[#This Row],[tanh strike percent]])*($AN$25*($AN$27-Table3[[#This Row],[defense]])))</calculatedColumnFormula>
    </tableColumn>
    <tableColumn id="41" xr3:uid="{00000000-0010-0000-0000-000029000000}" name="called pos 0.2 pitch" dataDxfId="45">
      <calculatedColumnFormula>MAX(0, 1-_xlfn.NORM.S.INV(Table3[[#This Row],[tanh strike percent]])*($AN$25*($AN$27-0.2)))</calculatedColumnFormula>
    </tableColumn>
    <tableColumn id="42" xr3:uid="{00000000-0010-0000-0000-00002A000000}" name="called pos 2 pitch" dataDxfId="44">
      <calculatedColumnFormula>MAX(0, 1-_xlfn.NORM.S.INV(Table3[[#This Row],[tanh strike percent]])*($AN$25*($AN$27-2)))</calculatedColumnFormula>
    </tableColumn>
    <tableColumn id="43" xr3:uid="{00000000-0010-0000-0000-00002B000000}" name="location -1  stdv" dataDxfId="43">
      <calculatedColumnFormula>Table3[[#This Row],[called position]]-pitchmod*(pitchstdv-Table3[[#This Row],[defense]])</calculatedColumnFormula>
    </tableColumn>
    <tableColumn id="44" xr3:uid="{00000000-0010-0000-0000-00002C000000}" name="location +1 stdv" dataDxfId="42">
      <calculatedColumnFormula>ABS(Table3[[#This Row],[called position]]+pitchmod*(pitchstdv-Table3[[#This Row],[defense]]))</calculatedColumnFormula>
    </tableColumn>
    <tableColumn id="46" xr3:uid="{00000000-0010-0000-0000-00002E000000}" name="min dist to sz 1stdv" dataDxfId="41">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40">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9">
      <calculatedColumnFormula>$AU$30/(ABS(Table3[[#This Row],[called position]]-1)+$AU$27)+$AU$32*Table3[[#This Row],[defense]]</calculatedColumnFormula>
    </tableColumn>
    <tableColumn id="51" xr3:uid="{00000000-0010-0000-0000-000033000000}" name="obscurity at _x000a_0.5" dataDxfId="38">
      <calculatedColumnFormula>$AU$30/(ABS(0.5-1)+$AU$27)+$AU$32*Table3[[#This Row],[defense]]</calculatedColumnFormula>
    </tableColumn>
    <tableColumn id="52" xr3:uid="{00000000-0010-0000-0000-000034000000}" name="obscurity at  0.9" dataDxfId="37">
      <calculatedColumnFormula>$AU$30/(ABS(0.9-1)+$AU$27)+$AU$32*Table3[[#This Row],[defense]]</calculatedColumnFormula>
    </tableColumn>
    <tableColumn id="53" xr3:uid="{00000000-0010-0000-0000-000035000000}" name="average difficulty" dataDxfId="36">
      <calculatedColumnFormula>Table3[[#This Row],[defense]]*$AX$30+MAX(0, Table3[[#This Row],[called position]]-$AX$27)^$AX$25</calculatedColumnFormula>
    </tableColumn>
    <tableColumn id="54" xr3:uid="{00000000-0010-0000-0000-000036000000}" name="+1stdv difficulty" dataDxfId="35">
      <calculatedColumnFormula>Table3[[#This Row],[defense]]*$AX$30 + MAX(0, Table3[[#This Row],[location +1 stdv]]-$AX$27)^$AX$25</calculatedColumnFormula>
    </tableColumn>
    <tableColumn id="55" xr3:uid="{00000000-0010-0000-0000-000037000000}" name="difficulty at 1" dataDxfId="34">
      <calculatedColumnFormula>Table3[[#This Row],[defense]]*$AX$30+MAX(0, 1-$AX$27)^$AX$25</calculatedColumnFormula>
    </tableColumn>
    <tableColumn id="62" xr3:uid="{6513900D-2CAC-4022-A6B3-8A00EE6C566B}" name="reduction" dataDxfId="33">
      <calculatedColumnFormula>MAX(0, 0.1*(1-Table3[[#This Row],[defense]]))</calculatedColumnFormula>
    </tableColumn>
    <tableColumn id="63" xr3:uid="{12464915-1D8C-4EB5-9BBD-0FF526658E5B}" name="Location" dataDxfId="32">
      <calculatedColumnFormula>$BB$25</calculatedColumnFormula>
    </tableColumn>
    <tableColumn id="64" xr3:uid="{5F0F19BE-6D04-4E9E-81B2-B324AB353F5C}" name="obscurity" dataDxfId="31">
      <calculatedColumnFormula>$AU$30/(ABS(Table3[[#This Row],[Location]]-1)+$AU$27)+$AU$32*Table3[[#This Row],[defense]]</calculatedColumnFormula>
    </tableColumn>
    <tableColumn id="65" xr3:uid="{EA3D32E7-A2E2-482C-B6E9-2E17651C5F77}" name="Strike?" dataDxfId="30">
      <calculatedColumnFormula>Table3[[#This Row],[Location]]&lt;= (1+MAX(0, (Table3[[#This Row],[defense]]-1)*0.1))</calculatedColumnFormula>
    </tableColumn>
    <tableColumn id="66" xr3:uid="{0C7E9B06-240B-481E-B495-54026E2F00AA}" name="discipline modifier" dataDxfId="29">
      <calculatedColumnFormula>1/(1+Table3[[#This Row],[offense]])</calculatedColumnFormula>
    </tableColumn>
    <tableColumn id="67" xr3:uid="{D3B0837D-02D4-4F62-A2E2-876739E497B0}" name="effective obscurity" dataDxfId="28">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7">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6">
      <calculatedColumnFormula>Table3[[#This Row],[offense]]</calculatedColumnFormula>
    </tableColumn>
    <tableColumn id="75" xr3:uid="{074A9F48-3941-4E36-90C2-7710217D32C8}" name="pitch carry forward diff" dataDxfId="25">
      <calculatedColumnFormula>Table3[[#This Row],[average difficulty]]</calculatedColumnFormula>
    </tableColumn>
    <tableColumn id="76" xr3:uid="{628DDA60-D380-4EE8-AA7D-7EF6C4AAD8A5}" name="CF contact readiness" dataDxfId="24">
      <calculatedColumnFormula>Table3[[#This Row],[contact echo]]-Table3[[#This Row],[pitch carry forward diff]]</calculatedColumnFormula>
    </tableColumn>
    <tableColumn id="77" xr3:uid="{DBF18AD6-8593-42C7-9058-D19737088E6D}" name="foul %" dataDxfId="23" dataCellStyle="Percent">
      <calculatedColumnFormula>1-_xlfn.NORM.DIST($BP$27,Table3[[#This Row],[CF contact readiness]], $BP$30,TRUE)</calculatedColumnFormula>
    </tableColumn>
    <tableColumn id="78" xr3:uid="{6354951A-151E-4E04-9897-9CB39D6098C8}" name="clean %" dataDxfId="22" dataCellStyle="Percent">
      <calculatedColumnFormula>1-_xlfn.NORM.DIST($BP$25,Table3[[#This Row],[CF contact readiness]], $BP$30,TRUE)</calculatedColumnFormula>
    </tableColumn>
    <tableColumn id="79" xr3:uid="{0070F673-D13C-467D-95AC-FF8413A02F3F}" name="strike swinging %" dataDxfId="21" dataCellStyle="Percent">
      <calculatedColumnFormula>1-Table3[[#This Row],[foul %]]</calculatedColumnFormula>
    </tableColumn>
    <tableColumn id="80" xr3:uid="{9504D0CF-7CD0-472F-8289-44B30538D80C}" name="ave. hit quality" dataDxfId="20">
      <calculatedColumnFormula>(Table3[[#This Row],[CF contact readiness]]-$BP$27)/$BP$30</calculatedColumnFormula>
    </tableColumn>
    <tableColumn id="132" xr3:uid="{0BB169E4-F345-4B7D-A549-DE28DC5FB113}" name="hit quality +1stdv" dataDxfId="19">
      <calculatedColumnFormula>(Table3[[#This Row],[CF contact readiness]]+$BP$30-$BP$27)/$BP$30</calculatedColumnFormula>
    </tableColumn>
    <tableColumn id="81" xr3:uid="{37438EAA-344A-486C-A4C2-68EE17D67C60}" name="hit quality remainder" dataDxfId="18">
      <calculatedColumnFormula>MAX(0, IF(ISBLANK($BU$28), Table3[[#This Row],[hit quality +1stdv]], $BU$28)-1)</calculatedColumnFormula>
    </tableColumn>
    <tableColumn id="82" xr3:uid="{CBA11BEE-0412-44C3-979C-1888629B3C7A}" name="adjusted launch angle" dataDxfId="17">
      <calculatedColumnFormula>$BV$25+Table3[[#This Row],[offense]]*$BV$28</calculatedColumnFormula>
    </tableColumn>
    <tableColumn id="83" xr3:uid="{8DC0E209-2987-40FE-9521-B3339A7D8E1F}" name="angle stdev" dataDxfId="16">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5" dataCellStyle="Percent">
      <calculatedColumnFormula>1-_xlfn.NORM.DIST(70, $BZ$28,$BZ$25,TRUE)</calculatedColumnFormula>
    </tableColumn>
    <tableColumn id="87" xr3:uid="{E9F9DFB6-4A26-4CA7-9318-6ECA478690D6}" name="exit velocity mean" dataDxfId="14">
      <calculatedColumnFormula>$CA$25+Table3[[#This Row],[offense]]*($CA$27-$CA$25)/2</calculatedColumnFormula>
    </tableColumn>
    <tableColumn id="88" xr3:uid="{EB865A5D-CC1D-49FA-9709-DC5F30F55DD8}" name="after reduction" dataDxfId="13">
      <calculatedColumnFormula>Table3[[#This Row],[exit velocity mean]]-Table3[[#This Row],[reduction]]*100</calculatedColumnFormula>
    </tableColumn>
    <tableColumn id="89" xr3:uid="{949E8C38-C424-4A4E-9A6F-FCA93496D192}" name="theoretical distance" dataDxfId="12">
      <calculatedColumnFormula>Table3[[#This Row],[exit velocity mean]]^2*2*SIN(RADIANS(Table3[[#This Row],[adjusted launch angle]]))/$CC$28*5280</calculatedColumnFormula>
    </tableColumn>
    <tableColumn id="90" xr3:uid="{9FD0A88A-D0D9-4369-8D70-6C7485CA1509}" name="flight time" dataDxfId="11">
      <calculatedColumnFormula>2*Table3[[#This Row],[exit velocity mean]]*SIN(RADIANS(Table3[[#This Row],[adjusted launch angle]]))/$CC$28*60*60</calculatedColumnFormula>
    </tableColumn>
    <tableColumn id="91" xr3:uid="{D9D5DFED-BD09-4CB6-A82E-D289D2DAB08D}" name="actual distance" dataDxfId="10">
      <calculatedColumnFormula>Table3[[#This Row],[theoretical distance]]-Table3[[#This Row],[flight time]]^2*$CE$25</calculatedColumnFormula>
    </tableColumn>
    <tableColumn id="92" xr3:uid="{3D80331E-564D-462D-81B5-E5CE730D1EE5}" name="+1stdv EV" dataDxfId="9">
      <calculatedColumnFormula>Table3[[#This Row],[exit velocity mean]]+$CC$25-Table3[[#This Row],[reduction]]*100</calculatedColumnFormula>
    </tableColumn>
    <tableColumn id="93" xr3:uid="{211123A1-65C0-4F59-AB86-C344CFF47F70}" name="+1stdv LA" dataDxfId="8">
      <calculatedColumnFormula>MIN(Table3[[#This Row],[adjusted launch angle]]+Table3[[#This Row],[angle stdev]], 30)</calculatedColumnFormula>
    </tableColumn>
    <tableColumn id="94" xr3:uid="{C8736D16-AF27-436D-BF61-CA3E58298CD3}" name="+1stdv flight time" dataDxfId="7">
      <calculatedColumnFormula>2*Table3[[#This Row],[+1stdv EV]]*SIN(RADIANS(Table3[[#This Row],[+1stdv LA]]))/$CC$28*60*60</calculatedColumnFormula>
    </tableColumn>
    <tableColumn id="95" xr3:uid="{C9967388-9755-4293-82E9-4E43A4770599}" name="+1stdev distance" dataDxfId="6">
      <calculatedColumnFormula>Table3[[#This Row],[+1stdv EV]]^2*2*SIN(RADIANS(Table3[[#This Row],[+1stdv LA]]))/$CC$28*5280-Table3[[#This Row],[+1stdv flight time]]^2*$CE$25</calculatedColumnFormula>
    </tableColumn>
    <tableColumn id="96" xr3:uid="{52B6BA3A-87F7-49FD-BFE7-811EA76B03FD}" name="+1stdev delta" dataDxfId="5">
      <calculatedColumnFormula>Table3[[#This Row],[+1stdev distance]]-Table3[[#This Row],[actual distance]]</calculatedColumnFormula>
    </tableColumn>
    <tableColumn id="97" xr3:uid="{50EEB2EF-C836-4BBC-A8B3-EAD31BF29B54}" name="Column95"/>
    <tableColumn id="98" xr3:uid="{823DCE3F-2A43-4BFF-AFF7-BC15E601D901}" name="Column1"/>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DBF5C-F1E0-410B-9FAD-D2E7399866B7}" name="Table1" displayName="Table1" ref="J12:L18" totalsRowShown="0">
  <autoFilter ref="J12:L18" xr:uid="{727DBF5C-F1E0-410B-9FAD-D2E7399866B7}"/>
  <tableColumns count="3">
    <tableColumn id="1" xr3:uid="{23FB116D-6CB4-49F6-A874-F1C610DEF5E1}" name="quality"/>
    <tableColumn id="2" xr3:uid="{6204ECDD-C980-4BE0-AFC7-9F83BF472BE8}" name="net"/>
    <tableColumn id="3" xr3:uid="{E9208F79-490A-4A40-B3B7-0914BA16AC90}" name="form" dataDxfId="4">
      <calculatedColumnFormula>POWER(Table1[[#This Row],[quality]]-0.8, 1/4)</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27CA8-91E1-4775-BB6E-505D391365E1}" name="Table25" displayName="Table25" ref="A1:D32" totalsRowShown="0">
  <autoFilter ref="A1:D32" xr:uid="{CEC18A43-64FC-4CDC-9CAF-1945616C5259}"/>
  <tableColumns count="4">
    <tableColumn id="1" xr3:uid="{1F927288-9DCD-4C9F-99B6-231C93B232BD}" name="x"/>
    <tableColumn id="2" xr3:uid="{CF4782DD-2BE1-475B-9CA8-67CD24EC8ECA}" name="y" dataDxfId="0">
      <calculatedColumnFormula>(Table25[[#This Row],[x]]+0.2)^(1/4)</calculatedColumnFormula>
    </tableColumn>
    <tableColumn id="3" xr3:uid="{3EC13FAB-E206-4412-9C6D-B9F2F09BDB60}" name="target"/>
    <tableColumn id="4" xr3:uid="{31C9552B-0B66-4C6C-8D29-F1BB69F6879E}" name="delta" dataDxfId="1">
      <calculatedColumnFormula>Table25[[#This Row],[y]]-B1</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C18A43-64FC-4CDC-9CAF-1945616C5259}" name="Table2" displayName="Table2" ref="A1:D32" totalsRowShown="0">
  <autoFilter ref="A1:D32" xr:uid="{CEC18A43-64FC-4CDC-9CAF-1945616C5259}"/>
  <tableColumns count="4">
    <tableColumn id="1" xr3:uid="{1AE5C4EC-1E31-4AB8-9D00-52347412BAAD}" name="x"/>
    <tableColumn id="2" xr3:uid="{DE2F5C94-46DF-4FEE-9B65-021E2F22BA8F}" name="y" dataDxfId="3">
      <calculatedColumnFormula>IF(Table2[[#This Row],[x]]&gt;300, Table2[[#This Row],[x]]/300, (Table2[[#This Row],[x]]/300)^2)</calculatedColumnFormula>
    </tableColumn>
    <tableColumn id="3" xr3:uid="{7F7D12A9-EB9C-4F1E-AA19-600982A4A24A}" name="target"/>
    <tableColumn id="4" xr3:uid="{7C986021-1ABB-4A6F-8B01-CE482AFA0C81}" name="delta" dataDxfId="2">
      <calculatedColumnFormula>Table2[[#This Row],[y]]-B1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opLeftCell="BQ1" zoomScaleNormal="100" workbookViewId="0">
      <selection activeCell="CB11" sqref="CB11"/>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248</v>
      </c>
      <c r="BC5" s="75"/>
      <c r="BD5" s="75"/>
      <c r="BE5" s="75"/>
      <c r="BF5" s="75"/>
      <c r="BG5" s="75"/>
      <c r="BH5" s="75"/>
      <c r="BI5" s="75"/>
      <c r="BJ5" s="76"/>
      <c r="BK5" s="74"/>
      <c r="BL5" s="76"/>
      <c r="BM5" s="74" t="s">
        <v>257</v>
      </c>
      <c r="BN5" s="75"/>
      <c r="BO5" s="75"/>
      <c r="BP5" s="75"/>
      <c r="BQ5" s="75"/>
      <c r="BR5" s="75"/>
      <c r="BS5" s="76"/>
      <c r="BT5" s="167"/>
      <c r="BU5" s="74" t="s">
        <v>272</v>
      </c>
      <c r="BV5" s="75"/>
      <c r="BW5" s="75"/>
      <c r="BX5" s="75"/>
      <c r="BY5" s="75"/>
      <c r="BZ5" s="75"/>
      <c r="CA5" s="75"/>
      <c r="CB5" s="75"/>
      <c r="CC5" s="75"/>
      <c r="CD5" s="75"/>
      <c r="CE5" s="76"/>
      <c r="CL5" t="s">
        <v>306</v>
      </c>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217</v>
      </c>
      <c r="AW6" s="2" t="s">
        <v>218</v>
      </c>
      <c r="AX6" s="2" t="s">
        <v>220</v>
      </c>
      <c r="AY6" s="153" t="s">
        <v>222</v>
      </c>
      <c r="AZ6" s="2" t="s">
        <v>263</v>
      </c>
      <c r="BA6" s="2" t="s">
        <v>246</v>
      </c>
      <c r="BB6" s="2" t="s">
        <v>250</v>
      </c>
      <c r="BC6" s="2" t="s">
        <v>201</v>
      </c>
      <c r="BD6" s="2" t="s">
        <v>251</v>
      </c>
      <c r="BE6" s="2" t="s">
        <v>252</v>
      </c>
      <c r="BF6" s="2" t="s">
        <v>253</v>
      </c>
      <c r="BG6" s="2" t="s">
        <v>254</v>
      </c>
      <c r="BH6" s="2" t="s">
        <v>255</v>
      </c>
      <c r="BI6" s="2" t="s">
        <v>249</v>
      </c>
      <c r="BJ6" s="2" t="s">
        <v>256</v>
      </c>
      <c r="BK6" s="2" t="s">
        <v>260</v>
      </c>
      <c r="BL6" s="2" t="s">
        <v>261</v>
      </c>
      <c r="BM6" s="2" t="s">
        <v>258</v>
      </c>
      <c r="BN6" s="2" t="s">
        <v>259</v>
      </c>
      <c r="BO6" s="2" t="s">
        <v>269</v>
      </c>
      <c r="BP6" s="2" t="s">
        <v>267</v>
      </c>
      <c r="BQ6" s="2" t="s">
        <v>268</v>
      </c>
      <c r="BR6" s="2" t="s">
        <v>265</v>
      </c>
      <c r="BS6" s="2" t="s">
        <v>271</v>
      </c>
      <c r="BT6" s="2" t="s">
        <v>282</v>
      </c>
      <c r="BU6" s="2" t="s">
        <v>274</v>
      </c>
      <c r="BV6" s="2" t="s">
        <v>278</v>
      </c>
      <c r="BW6" s="2" t="s">
        <v>281</v>
      </c>
      <c r="BX6" s="2" t="s">
        <v>279</v>
      </c>
      <c r="BY6" s="2" t="s">
        <v>283</v>
      </c>
      <c r="BZ6" s="2" t="s">
        <v>285</v>
      </c>
      <c r="CA6" s="2" t="s">
        <v>286</v>
      </c>
      <c r="CB6" s="2" t="s">
        <v>289</v>
      </c>
      <c r="CC6" s="2" t="s">
        <v>291</v>
      </c>
      <c r="CD6" s="2" t="s">
        <v>293</v>
      </c>
      <c r="CE6" s="2" t="s">
        <v>295</v>
      </c>
      <c r="CF6" s="153" t="s">
        <v>296</v>
      </c>
      <c r="CG6" s="153" t="s">
        <v>297</v>
      </c>
      <c r="CH6" s="153" t="s">
        <v>298</v>
      </c>
      <c r="CI6" s="153" t="s">
        <v>299</v>
      </c>
      <c r="CJ6" s="153" t="s">
        <v>300</v>
      </c>
      <c r="CK6" s="2" t="s">
        <v>209</v>
      </c>
      <c r="CL6" s="2" t="s">
        <v>307</v>
      </c>
      <c r="CM6" s="2" t="s">
        <v>210</v>
      </c>
      <c r="CN6" s="2" t="s">
        <v>211</v>
      </c>
      <c r="CO6" s="2" t="s">
        <v>212</v>
      </c>
      <c r="CP6" s="2" t="s">
        <v>213</v>
      </c>
      <c r="CQ6" s="2" t="s">
        <v>214</v>
      </c>
      <c r="CR6" s="2" t="s">
        <v>215</v>
      </c>
      <c r="CS6" s="2" t="s">
        <v>216</v>
      </c>
      <c r="CT6" s="2" t="s">
        <v>223</v>
      </c>
      <c r="CU6" s="2" t="s">
        <v>224</v>
      </c>
      <c r="CV6" s="2" t="s">
        <v>225</v>
      </c>
      <c r="CW6" s="2" t="s">
        <v>226</v>
      </c>
      <c r="CX6" s="2" t="s">
        <v>227</v>
      </c>
      <c r="CY6" s="2" t="s">
        <v>228</v>
      </c>
      <c r="CZ6" s="2" t="s">
        <v>229</v>
      </c>
      <c r="DA6" s="2" t="s">
        <v>230</v>
      </c>
      <c r="DB6" s="2" t="s">
        <v>231</v>
      </c>
      <c r="DC6" s="2" t="s">
        <v>232</v>
      </c>
      <c r="DD6" s="2" t="s">
        <v>233</v>
      </c>
      <c r="DE6" s="2" t="s">
        <v>234</v>
      </c>
      <c r="DF6" s="2" t="s">
        <v>235</v>
      </c>
      <c r="DG6" s="2" t="s">
        <v>236</v>
      </c>
      <c r="DH6" s="2" t="s">
        <v>237</v>
      </c>
      <c r="DI6" s="2" t="s">
        <v>238</v>
      </c>
      <c r="DJ6" s="2" t="s">
        <v>239</v>
      </c>
      <c r="DK6" s="2" t="s">
        <v>240</v>
      </c>
      <c r="DL6" s="2" t="s">
        <v>241</v>
      </c>
      <c r="DM6" s="2" t="s">
        <v>242</v>
      </c>
      <c r="DN6" s="2" t="s">
        <v>243</v>
      </c>
      <c r="DO6" s="2" t="s">
        <v>244</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1</v>
      </c>
      <c r="X7" s="48">
        <f>Table3[[#This Row],[ball factor]]/$X$32*(1-$X$34)+$X$34</f>
        <v>1.1411764705882355</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0.64192855525320414</v>
      </c>
      <c r="BV7" s="29">
        <f>$BV$25+Table3[[#This Row],[offense]]*$BV$28</f>
        <v>10.5</v>
      </c>
      <c r="BW7" s="29">
        <f>$BW$25*$BW$28/($BW$28+Table3[[#This Row],[hit quality remainder]])</f>
        <v>17.514230560216898</v>
      </c>
      <c r="BX7" s="105">
        <f>_xlfn.NORM.DIST(10,Table3[[#This Row],[adjusted launch angle]],Table3[[#This Row],[angle stdev]],TRUE)</f>
        <v>0.48861245728266545</v>
      </c>
      <c r="BY7" s="105">
        <f>1-_xlfn.NORM.DIST(50, Table3[[#This Row],[adjusted launch angle]],Table3[[#This Row],[angle stdev]],TRUE)</f>
        <v>1.2056973296676654E-2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28.014230560216898</v>
      </c>
      <c r="CH7" s="117">
        <f>2*Table3[[#This Row],[+1stdv EV]]*SIN(RADIANS(Table3[[#This Row],[+1stdv LA]]))/$CC$28*60*60</f>
        <v>3.1915492993304175</v>
      </c>
      <c r="CI7" s="155">
        <f>Table3[[#This Row],[+1stdv EV]]^2*2*SIN(RADIANS(Table3[[#This Row],[+1stdv LA]]))/$CC$28*5280-Table3[[#This Row],[+1stdv flight time]]^2*$CE$25</f>
        <v>190.43510153161782</v>
      </c>
      <c r="CJ7" s="155">
        <f>Table3[[#This Row],[+1stdev distance]]-Table3[[#This Row],[actual distance]]</f>
        <v>88.045393937342411</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1</v>
      </c>
      <c r="X8" s="49">
        <f>Table3[[#This Row],[ball factor]]/$X$32*(1-$X$34)+$X$34</f>
        <v>1.1411764705882355</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0.77475244561117029</v>
      </c>
      <c r="BV8" s="3">
        <f>$BV$25+Table3[[#This Row],[offense]]*$BV$28</f>
        <v>12.5</v>
      </c>
      <c r="BW8" s="3">
        <f>$BW$25*$BW$28/($BW$28+Table3[[#This Row],[hit quality remainder]])</f>
        <v>15.689320753106029</v>
      </c>
      <c r="BX8" s="106">
        <f>_xlfn.NORM.DIST(10,Table3[[#This Row],[adjusted launch angle]],Table3[[#This Row],[angle stdev]],TRUE)</f>
        <v>0.43669890635404063</v>
      </c>
      <c r="BY8" s="106">
        <f>1-_xlfn.NORM.DIST(50, Table3[[#This Row],[adjusted launch angle]],Table3[[#This Row],[angle stdev]],TRUE)</f>
        <v>8.4204979670932101E-3</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28.189320753106031</v>
      </c>
      <c r="CH8" s="118">
        <f>2*Table3[[#This Row],[+1stdv EV]]*SIN(RADIANS(Table3[[#This Row],[+1stdv LA]]))/$CC$28*60*60</f>
        <v>3.5499844893060266</v>
      </c>
      <c r="CI8" s="156">
        <f>Table3[[#This Row],[+1stdv EV]]^2*2*SIN(RADIANS(Table3[[#This Row],[+1stdv LA]]))/$CC$28*5280-Table3[[#This Row],[+1stdv flight time]]^2*$CE$25</f>
        <v>233.11652913466412</v>
      </c>
      <c r="CJ8" s="156">
        <f>Table3[[#This Row],[+1stdev distance]]-Table3[[#This Row],[actual distance]]</f>
        <v>89.124377839915354</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1</v>
      </c>
      <c r="X9" s="50">
        <f>Table3[[#This Row],[ball factor]]/$X$32*(1-$X$34)+$X$34</f>
        <v>1.1411764705882355</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0.94077781252657178</v>
      </c>
      <c r="BV9" s="4">
        <f>$BV$25+Table3[[#This Row],[offense]]*$BV$28</f>
        <v>15</v>
      </c>
      <c r="BW9" s="4">
        <f>$BW$25*$BW$28/($BW$28+Table3[[#This Row],[hit quality remainder]])</f>
        <v>13.881390889083494</v>
      </c>
      <c r="BX9" s="107">
        <f>_xlfn.NORM.DIST(10,Table3[[#This Row],[adjusted launch angle]],Table3[[#This Row],[angle stdev]],TRUE)</f>
        <v>0.35935086123913501</v>
      </c>
      <c r="BY9" s="107">
        <f>1-_xlfn.NORM.DIST(50, Table3[[#This Row],[adjusted launch angle]],Table3[[#This Row],[angle stdev]],TRUE)</f>
        <v>5.8450897212606323E-3</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28.881390889083494</v>
      </c>
      <c r="CH9" s="119">
        <f>2*Table3[[#This Row],[+1stdv EV]]*SIN(RADIANS(Table3[[#This Row],[+1stdv LA]]))/$CC$28*60*60</f>
        <v>4.0644282997712828</v>
      </c>
      <c r="CI9" s="157">
        <f>Table3[[#This Row],[+1stdv EV]]^2*2*SIN(RADIANS(Table3[[#This Row],[+1stdv LA]]))/$CC$28*5280-Table3[[#This Row],[+1stdv flight time]]^2*$CE$25</f>
        <v>293.05536237826169</v>
      </c>
      <c r="CJ9" s="157">
        <f>Table3[[#This Row],[+1stdev distance]]-Table3[[#This Row],[actual distance]]</f>
        <v>86.646625416270325</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1</v>
      </c>
      <c r="X10" s="49">
        <f>Table3[[#This Row],[ball factor]]/$X$32*(1-$X$34)+$X$34</f>
        <v>1.1411764705882355</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1.2728137779146098</v>
      </c>
      <c r="BV10" s="3">
        <f>$BV$25+Table3[[#This Row],[offense]]*$BV$28</f>
        <v>20</v>
      </c>
      <c r="BW10" s="3">
        <f>$BW$25*$BW$28/($BW$28+Table3[[#This Row],[hit quality remainder]])</f>
        <v>11.281500769655757</v>
      </c>
      <c r="BX10" s="106">
        <f>_xlfn.NORM.DIST(10,Table3[[#This Row],[adjusted launch angle]],Table3[[#This Row],[angle stdev]],TRUE)</f>
        <v>0.18769915416172575</v>
      </c>
      <c r="BY10" s="106">
        <f>1-_xlfn.NORM.DIST(50, Table3[[#This Row],[adjusted launch angle]],Table3[[#This Row],[angle stdev]],TRUE)</f>
        <v>3.9160823204601458E-3</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1</v>
      </c>
      <c r="X11" s="51">
        <f>Table3[[#This Row],[ball factor]]/$X$32*(1-$X$34)+$X$34</f>
        <v>1.1411764705882355</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0.51981588845550086</v>
      </c>
      <c r="BV11" s="13">
        <f>$BV$25+Table3[[#This Row],[offense]]*$BV$28</f>
        <v>10.5</v>
      </c>
      <c r="BW11" s="13">
        <f>$BW$25*$BW$28/($BW$28+Table3[[#This Row],[hit quality remainder]])</f>
        <v>19.611383021586146</v>
      </c>
      <c r="BX11" s="108">
        <f>_xlfn.NORM.DIST(10,Table3[[#This Row],[adjusted launch angle]],Table3[[#This Row],[angle stdev]],TRUE)</f>
        <v>0.4898299098943425</v>
      </c>
      <c r="BY11" s="108">
        <f>1-_xlfn.NORM.DIST(50, Table3[[#This Row],[adjusted launch angle]],Table3[[#This Row],[angle stdev]],TRUE)</f>
        <v>2.1997608469818908E-2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1</v>
      </c>
      <c r="X12" s="52">
        <f>Table3[[#This Row],[ball factor]]/$X$32*(1-$X$34)+$X$34</f>
        <v>1.1411764705882355</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0.65128513288121859</v>
      </c>
      <c r="BV12" s="26">
        <f>$BV$25+Table3[[#This Row],[offense]]*$BV$28</f>
        <v>12.5</v>
      </c>
      <c r="BW12" s="26">
        <f>$BW$25*$BW$28/($BW$28+Table3[[#This Row],[hit quality remainder]])</f>
        <v>17.371891140423038</v>
      </c>
      <c r="BX12" s="109">
        <f>_xlfn.NORM.DIST(10,Table3[[#This Row],[adjusted launch angle]],Table3[[#This Row],[angle stdev]],TRUE)</f>
        <v>0.44278551618726236</v>
      </c>
      <c r="BY12" s="109">
        <f>1-_xlfn.NORM.DIST(50, Table3[[#This Row],[adjusted launch angle]],Table3[[#This Row],[angle stdev]],TRUE)</f>
        <v>1.5438291680317628E-2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29.871891140423038</v>
      </c>
      <c r="CH12" s="121">
        <f>2*Table3[[#This Row],[+1stdv EV]]*SIN(RADIANS(Table3[[#This Row],[+1stdv LA]]))/$CC$28*60*60</f>
        <v>3.9222412979718122</v>
      </c>
      <c r="CI12" s="159">
        <f>Table3[[#This Row],[+1stdv EV]]^2*2*SIN(RADIANS(Table3[[#This Row],[+1stdv LA]]))/$CC$28*5280-Table3[[#This Row],[+1stdv flight time]]^2*$CE$25</f>
        <v>257.21067111413299</v>
      </c>
      <c r="CJ12" s="159">
        <f>Table3[[#This Row],[+1stdev distance]]-Table3[[#This Row],[actual distance]]</f>
        <v>113.21851981938423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1</v>
      </c>
      <c r="X13" s="51">
        <f>Table3[[#This Row],[ball factor]]/$X$32*(1-$X$34)+$X$34</f>
        <v>1.1411764705882355</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0.81551632831883869</v>
      </c>
      <c r="BV13" s="13">
        <f>$BV$25+Table3[[#This Row],[offense]]*$BV$28</f>
        <v>15</v>
      </c>
      <c r="BW13" s="13">
        <f>$BW$25*$BW$28/($BW$28+Table3[[#This Row],[hit quality remainder]])</f>
        <v>15.203156030422639</v>
      </c>
      <c r="BX13" s="108">
        <f>_xlfn.NORM.DIST(10,Table3[[#This Row],[adjusted launch angle]],Table3[[#This Row],[angle stdev]],TRUE)</f>
        <v>0.37112354285281923</v>
      </c>
      <c r="BY13" s="108">
        <f>1-_xlfn.NORM.DIST(50, Table3[[#This Row],[adjusted launch angle]],Table3[[#This Row],[angle stdev]],TRUE)</f>
        <v>1.066325651585287E-2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1</v>
      </c>
      <c r="X14" s="53">
        <f>Table3[[#This Row],[ball factor]]/$X$32*(1-$X$34)+$X$34</f>
        <v>1.1411764705882355</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1.1436529529332398</v>
      </c>
      <c r="BV14" s="5">
        <f>$BV$25+Table3[[#This Row],[offense]]*$BV$28</f>
        <v>20</v>
      </c>
      <c r="BW14" s="5">
        <f>$BW$25*$BW$28/($BW$28+Table3[[#This Row],[hit quality remainder]])</f>
        <v>12.16801878055114</v>
      </c>
      <c r="BX14" s="110">
        <f>_xlfn.NORM.DIST(10,Table3[[#This Row],[adjusted launch angle]],Table3[[#This Row],[angle stdev]],TRUE)</f>
        <v>0.20558783134270991</v>
      </c>
      <c r="BY14" s="110">
        <f>1-_xlfn.NORM.DIST(50, Table3[[#This Row],[adjusted launch angle]],Table3[[#This Row],[angle stdev]],TRUE)</f>
        <v>6.8415015827276715E-3</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1</v>
      </c>
      <c r="X15" s="54">
        <f>Table3[[#This Row],[ball factor]]/$X$32*(1-$X$34)+$X$34</f>
        <v>1.1411764705882355</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0.35774740885014045</v>
      </c>
      <c r="BV15" s="17">
        <f>$BV$25+Table3[[#This Row],[offense]]*$BV$28</f>
        <v>10.5</v>
      </c>
      <c r="BW15" s="17">
        <f>$BW$25*$BW$28/($BW$28+Table3[[#This Row],[hit quality remainder]])</f>
        <v>23.316887691693697</v>
      </c>
      <c r="BX15" s="111">
        <f>_xlfn.NORM.DIST(10,Table3[[#This Row],[adjusted launch angle]],Table3[[#This Row],[angle stdev]],TRUE)</f>
        <v>0.49144586289978898</v>
      </c>
      <c r="BY15" s="111">
        <f>1-_xlfn.NORM.DIST(50, Table3[[#This Row],[adjusted launch angle]],Table3[[#This Row],[angle stdev]],TRUE)</f>
        <v>4.512778355562419E-2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1</v>
      </c>
      <c r="X16" s="55">
        <f>Table3[[#This Row],[ball factor]]/$X$32*(1-$X$34)+$X$34</f>
        <v>1.1411764705882355</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0.48838349853526819</v>
      </c>
      <c r="BV16" s="6">
        <f>$BV$25+Table3[[#This Row],[offense]]*$BV$28</f>
        <v>12.5</v>
      </c>
      <c r="BW16" s="6">
        <f>$BW$25*$BW$28/($BW$28+Table3[[#This Row],[hit quality remainder]])</f>
        <v>20.235060611229283</v>
      </c>
      <c r="BX16" s="112">
        <f>_xlfn.NORM.DIST(10,Table3[[#This Row],[adjusted launch angle]],Table3[[#This Row],[angle stdev]],TRUE)</f>
        <v>0.45083660826844291</v>
      </c>
      <c r="BY16" s="112">
        <f>1-_xlfn.NORM.DIST(50, Table3[[#This Row],[adjusted launch angle]],Table3[[#This Row],[angle stdev]],TRUE)</f>
        <v>3.1925483442733937E-2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9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1</v>
      </c>
      <c r="X17" s="56">
        <f>Table3[[#This Row],[ball factor]]/$X$32*(1-$X$34)+$X$34</f>
        <v>1.1411764705882355</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0.65136813528909987</v>
      </c>
      <c r="BV17" s="23">
        <f>$BV$25+Table3[[#This Row],[offense]]*$BV$28</f>
        <v>15</v>
      </c>
      <c r="BW17" s="23">
        <f>$BW$25*$BW$28/($BW$28+Table3[[#This Row],[hit quality remainder]])</f>
        <v>17.370638796581034</v>
      </c>
      <c r="BX17" s="113">
        <f>_xlfn.NORM.DIST(10,Table3[[#This Row],[adjusted launch angle]],Table3[[#This Row],[angle stdev]],TRUE)</f>
        <v>0.3867338300086321</v>
      </c>
      <c r="BY17" s="113">
        <f>1-_xlfn.NORM.DIST(50, Table3[[#This Row],[adjusted launch angle]],Table3[[#This Row],[angle stdev]],TRUE)</f>
        <v>2.1957866000810844E-2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9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1</v>
      </c>
      <c r="X18" s="55">
        <f>Table3[[#This Row],[ball factor]]/$X$32*(1-$X$34)+$X$34</f>
        <v>1.1411764705882355</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0.97642865745633256</v>
      </c>
      <c r="BV18" s="6">
        <f>$BV$25+Table3[[#This Row],[offense]]*$BV$28</f>
        <v>20</v>
      </c>
      <c r="BW18" s="6">
        <f>$BW$25*$BW$28/($BW$28+Table3[[#This Row],[hit quality remainder]])</f>
        <v>13.546201436144589</v>
      </c>
      <c r="BX18" s="112">
        <f>_xlfn.NORM.DIST(10,Table3[[#This Row],[adjusted launch angle]],Table3[[#This Row],[angle stdev]],TRUE)</f>
        <v>0.23019210849816696</v>
      </c>
      <c r="BY18" s="112">
        <f>1-_xlfn.NORM.DIST(50, Table3[[#This Row],[adjusted launch angle]],Table3[[#This Row],[angle stdev]],TRUE)</f>
        <v>1.3392289526165668E-2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9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1</v>
      </c>
      <c r="X19" s="57">
        <f>Table3[[#This Row],[ball factor]]/$X$32*(1-$X$34)+$X$34</f>
        <v>1.1411764705882355</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v>
      </c>
      <c r="BV19" s="15">
        <f>$BV$25+Table3[[#This Row],[offense]]*$BV$28</f>
        <v>10.5</v>
      </c>
      <c r="BW19" s="15">
        <f>$BW$25*$BW$28/($BW$28+Table3[[#This Row],[hit quality remainder]])</f>
        <v>40</v>
      </c>
      <c r="BX19" s="114">
        <f>_xlfn.NORM.DIST(10,Table3[[#This Row],[adjusted launch angle]],Table3[[#This Row],[angle stdev]],TRUE)</f>
        <v>0.49501335135596203</v>
      </c>
      <c r="BY19" s="114">
        <f>1-_xlfn.NORM.DIST(50, Table3[[#This Row],[adjusted launch angle]],Table3[[#This Row],[angle stdev]],TRUE)</f>
        <v>0.16169879145728561</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9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1</v>
      </c>
      <c r="X20" s="58">
        <f>Table3[[#This Row],[ball factor]]/$X$32*(1-$X$34)+$X$34</f>
        <v>1.1411764705882355</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0.11097554731590242</v>
      </c>
      <c r="BV20" s="11">
        <f>$BV$25+Table3[[#This Row],[offense]]*$BV$28</f>
        <v>12.5</v>
      </c>
      <c r="BW20" s="11">
        <f>$BW$25*$BW$28/($BW$28+Table3[[#This Row],[hit quality remainder]])</f>
        <v>32.73453428351214</v>
      </c>
      <c r="BX20" s="115">
        <f>_xlfn.NORM.DIST(10,Table3[[#This Row],[adjusted launch angle]],Table3[[#This Row],[angle stdev]],TRUE)</f>
        <v>0.46956159515502022</v>
      </c>
      <c r="BY20" s="115">
        <f>1-_xlfn.NORM.DIST(50, Table3[[#This Row],[adjusted launch angle]],Table3[[#This Row],[angle stdev]],TRUE)</f>
        <v>0.12598466394930252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9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1</v>
      </c>
      <c r="X21" s="57">
        <f>Table3[[#This Row],[ball factor]]/$X$32*(1-$X$34)+$X$34</f>
        <v>1.1411764705882355</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0.27465629389675161</v>
      </c>
      <c r="BV21" s="15">
        <f>$BV$25+Table3[[#This Row],[offense]]*$BV$28</f>
        <v>15</v>
      </c>
      <c r="BW21" s="15">
        <f>$BW$25*$BW$28/($BW$28+Table3[[#This Row],[hit quality remainder]])</f>
        <v>25.817901639182519</v>
      </c>
      <c r="BX21" s="114">
        <f>_xlfn.NORM.DIST(10,Table3[[#This Row],[adjusted launch angle]],Table3[[#This Row],[angle stdev]],TRUE)</f>
        <v>0.42321946220952417</v>
      </c>
      <c r="BY21" s="114">
        <f>1-_xlfn.NORM.DIST(50, Table3[[#This Row],[adjusted launch angle]],Table3[[#This Row],[angle stdev]],TRUE)</f>
        <v>8.7605514015848596E-2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9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1</v>
      </c>
      <c r="X22" s="59">
        <f>Table3[[#This Row],[ball factor]]/$X$32*(1-$X$34)+$X$34</f>
        <v>1.1411764705882355</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0.60188972504376359</v>
      </c>
      <c r="BV22" s="20">
        <f>$BV$25+Table3[[#This Row],[offense]]*$BV$28</f>
        <v>20</v>
      </c>
      <c r="BW22" s="20">
        <f>$BW$25*$BW$28/($BW$28+Table3[[#This Row],[hit quality remainder]])</f>
        <v>18.150636624917855</v>
      </c>
      <c r="BX22" s="116">
        <f>_xlfn.NORM.DIST(10,Table3[[#This Row],[adjusted launch angle]],Table3[[#This Row],[angle stdev]],TRUE)</f>
        <v>0.29083573622253345</v>
      </c>
      <c r="BY22" s="116">
        <f>1-_xlfn.NORM.DIST(50, Table3[[#This Row],[adjusted launch angle]],Table3[[#This Row],[angle stdev]],TRUE)</f>
        <v>4.9182266373134054E-2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90" x14ac:dyDescent="0.25">
      <c r="AW23" s="154"/>
      <c r="BK23" s="73"/>
      <c r="BL23" s="73"/>
    </row>
    <row r="24" spans="1:90" x14ac:dyDescent="0.25">
      <c r="Y24" s="63" t="s">
        <v>141</v>
      </c>
      <c r="Z24" s="64"/>
      <c r="AA24" s="65"/>
      <c r="AB24" t="s">
        <v>160</v>
      </c>
      <c r="AF24" s="63" t="s">
        <v>169</v>
      </c>
      <c r="AG24" s="104" t="s">
        <v>178</v>
      </c>
      <c r="AH24" s="64"/>
      <c r="AI24" s="64"/>
      <c r="AJ24" s="65"/>
      <c r="AL24" t="s">
        <v>187</v>
      </c>
      <c r="AN24" t="s">
        <v>196</v>
      </c>
      <c r="AU24" t="s">
        <v>204</v>
      </c>
      <c r="AX24" t="s">
        <v>219</v>
      </c>
      <c r="BA24" t="s">
        <v>247</v>
      </c>
      <c r="BB24" t="s">
        <v>199</v>
      </c>
      <c r="BP24" t="s">
        <v>270</v>
      </c>
      <c r="BV24" t="s">
        <v>277</v>
      </c>
      <c r="BW24" t="s">
        <v>276</v>
      </c>
      <c r="BZ24" t="s">
        <v>284</v>
      </c>
      <c r="CA24" t="s">
        <v>288</v>
      </c>
      <c r="CC24" t="s">
        <v>290</v>
      </c>
      <c r="CE24" t="s">
        <v>294</v>
      </c>
      <c r="CL24" t="s">
        <v>113</v>
      </c>
    </row>
    <row r="25" spans="1:90"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c r="CL25">
        <v>80</v>
      </c>
    </row>
    <row r="26" spans="1:90" x14ac:dyDescent="0.25">
      <c r="D26">
        <v>0.1</v>
      </c>
      <c r="E26">
        <v>0.1</v>
      </c>
      <c r="G26">
        <v>0.1</v>
      </c>
      <c r="H26">
        <v>2.5000000000000001E-3</v>
      </c>
      <c r="K26">
        <v>0.2</v>
      </c>
      <c r="L26">
        <v>0.01</v>
      </c>
      <c r="O26" t="s">
        <v>87</v>
      </c>
      <c r="P26">
        <v>-3</v>
      </c>
      <c r="T26">
        <v>0.2</v>
      </c>
      <c r="W26">
        <v>0</v>
      </c>
      <c r="X26">
        <v>0.5</v>
      </c>
      <c r="Y26" s="68"/>
      <c r="Z26" s="69" t="s">
        <v>139</v>
      </c>
      <c r="AA26" s="70" t="s">
        <v>99</v>
      </c>
      <c r="AB26" t="s">
        <v>161</v>
      </c>
      <c r="AF26" s="60" t="s">
        <v>131</v>
      </c>
      <c r="AG26" s="60" t="s">
        <v>172</v>
      </c>
      <c r="AH26" s="60" t="s">
        <v>176</v>
      </c>
      <c r="AI26" s="60" t="s">
        <v>181</v>
      </c>
      <c r="AJ26" s="60" t="s">
        <v>183</v>
      </c>
      <c r="AL26" t="s">
        <v>190</v>
      </c>
      <c r="AN26" t="s">
        <v>197</v>
      </c>
      <c r="AU26" t="s">
        <v>205</v>
      </c>
      <c r="AX26" t="s">
        <v>262</v>
      </c>
      <c r="BP26" t="s">
        <v>266</v>
      </c>
      <c r="CA26" t="s">
        <v>287</v>
      </c>
    </row>
    <row r="27" spans="1:90"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275</v>
      </c>
      <c r="BV27" t="s">
        <v>245</v>
      </c>
      <c r="BW27" t="s">
        <v>280</v>
      </c>
      <c r="BZ27" t="s">
        <v>273</v>
      </c>
      <c r="CA27">
        <v>110</v>
      </c>
      <c r="CC27" t="s">
        <v>292</v>
      </c>
      <c r="CE27">
        <f>CE10/CE9</f>
        <v>1.7578456475284747</v>
      </c>
      <c r="CL27" t="s">
        <v>308</v>
      </c>
    </row>
    <row r="28" spans="1:90" x14ac:dyDescent="0.25">
      <c r="K28">
        <v>0.9</v>
      </c>
      <c r="W28">
        <v>2</v>
      </c>
      <c r="Y28" s="71" t="s">
        <v>148</v>
      </c>
      <c r="Z28" s="32">
        <v>-0.2</v>
      </c>
      <c r="AA28" s="67">
        <f>Z28</f>
        <v>-0.2</v>
      </c>
      <c r="AF28" s="61" t="s">
        <v>132</v>
      </c>
      <c r="AG28" s="61" t="s">
        <v>171</v>
      </c>
      <c r="AH28" s="61" t="s">
        <v>177</v>
      </c>
      <c r="AI28" s="61"/>
      <c r="AJ28" s="61"/>
      <c r="AL28" t="s">
        <v>189</v>
      </c>
      <c r="AM28" t="s">
        <v>189</v>
      </c>
      <c r="AU28" t="s">
        <v>221</v>
      </c>
      <c r="BB28" t="s">
        <v>136</v>
      </c>
      <c r="BV28">
        <v>5</v>
      </c>
      <c r="BW28">
        <v>0.5</v>
      </c>
      <c r="BZ28">
        <f>0.6*90</f>
        <v>54</v>
      </c>
      <c r="CC28">
        <v>80000</v>
      </c>
      <c r="CL28">
        <v>90</v>
      </c>
    </row>
    <row r="29" spans="1:90" x14ac:dyDescent="0.25">
      <c r="W29" t="s">
        <v>130</v>
      </c>
      <c r="Y29" s="71" t="s">
        <v>145</v>
      </c>
      <c r="Z29" s="32">
        <v>-0.4</v>
      </c>
      <c r="AA29" s="67">
        <f>IF(ISBLANK(AA26),0,Z29)</f>
        <v>-0.4</v>
      </c>
      <c r="AF29" s="61">
        <v>0</v>
      </c>
      <c r="AG29" s="61">
        <v>1</v>
      </c>
      <c r="AH29" s="61">
        <f>-POWER(AH27,1.5)/2</f>
        <v>0</v>
      </c>
      <c r="AI29" s="61"/>
      <c r="AJ29" s="61"/>
      <c r="AL29">
        <v>20</v>
      </c>
      <c r="AM29">
        <v>20</v>
      </c>
      <c r="AU29">
        <v>5</v>
      </c>
      <c r="AX29" t="s">
        <v>245</v>
      </c>
      <c r="BB29">
        <v>1</v>
      </c>
      <c r="BP29" t="s">
        <v>264</v>
      </c>
    </row>
    <row r="30" spans="1:90"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90" x14ac:dyDescent="0.25">
      <c r="W31" t="s">
        <v>133</v>
      </c>
      <c r="X31" t="s">
        <v>142</v>
      </c>
      <c r="Y31" s="71" t="s">
        <v>147</v>
      </c>
      <c r="Z31" s="32">
        <v>0.8</v>
      </c>
      <c r="AA31" s="67">
        <f>IF(ISBLANK(Y26),0,Z31)</f>
        <v>0</v>
      </c>
      <c r="AF31" s="61">
        <v>-0.2</v>
      </c>
      <c r="AG31" s="61"/>
      <c r="AH31" s="61" t="b">
        <v>0</v>
      </c>
      <c r="AI31" s="61"/>
      <c r="AJ31" s="61"/>
      <c r="AL31" t="s">
        <v>191</v>
      </c>
      <c r="AU31" t="s">
        <v>206</v>
      </c>
    </row>
    <row r="32" spans="1:90" x14ac:dyDescent="0.25">
      <c r="W32">
        <f>MAX(0, ((W26+X26)/(3+X26))-(W28/2))</f>
        <v>0</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86"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5913-BB23-45EF-B183-28069296EF50}">
  <dimension ref="J12:L18"/>
  <sheetViews>
    <sheetView topLeftCell="A10" workbookViewId="0">
      <selection activeCell="E35" sqref="A24:E35"/>
    </sheetView>
  </sheetViews>
  <sheetFormatPr defaultRowHeight="15" x14ac:dyDescent="0.25"/>
  <cols>
    <col min="10" max="10" width="9.28515625" customWidth="1"/>
  </cols>
  <sheetData>
    <row r="12" spans="10:12" x14ac:dyDescent="0.25">
      <c r="J12" t="s">
        <v>112</v>
      </c>
      <c r="K12" t="s">
        <v>301</v>
      </c>
      <c r="L12" t="s">
        <v>302</v>
      </c>
    </row>
    <row r="13" spans="10:12" x14ac:dyDescent="0.25">
      <c r="J13">
        <v>1</v>
      </c>
      <c r="K13">
        <v>0.5</v>
      </c>
      <c r="L13">
        <f>POWER(Table1[[#This Row],[quality]]-0.8, 1/4)</f>
        <v>0.66874030497642201</v>
      </c>
    </row>
    <row r="14" spans="10:12" x14ac:dyDescent="0.25">
      <c r="J14">
        <v>1.5</v>
      </c>
      <c r="K14">
        <v>0.75</v>
      </c>
      <c r="L14">
        <f>POWER(Table1[[#This Row],[quality]]-0.8, 1/4)</f>
        <v>0.91469121922869445</v>
      </c>
    </row>
    <row r="15" spans="10:12" x14ac:dyDescent="0.25">
      <c r="J15">
        <v>2</v>
      </c>
      <c r="K15">
        <v>1</v>
      </c>
      <c r="L15">
        <f>POWER(Table1[[#This Row],[quality]]-0.8, 1/4)</f>
        <v>1.0466351393921056</v>
      </c>
    </row>
    <row r="16" spans="10:12" x14ac:dyDescent="0.25">
      <c r="J16">
        <v>3</v>
      </c>
      <c r="K16">
        <v>1.4</v>
      </c>
      <c r="L16">
        <f>POWER(Table1[[#This Row],[quality]]-0.8, 1/4)</f>
        <v>1.2178832856309068</v>
      </c>
    </row>
    <row r="17" spans="10:12" x14ac:dyDescent="0.25">
      <c r="J17">
        <v>5</v>
      </c>
      <c r="K17">
        <v>2</v>
      </c>
      <c r="L17">
        <f>POWER(Table1[[#This Row],[quality]]-0.8, 1/4)</f>
        <v>1.4315691227432645</v>
      </c>
    </row>
    <row r="18" spans="10:12" x14ac:dyDescent="0.25">
      <c r="J18">
        <v>3.35</v>
      </c>
      <c r="L18" s="73">
        <f>POWER(Table1[[#This Row],[quality]]-0.8, 1/4)</f>
        <v>1.2636739857523107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AB81-5C79-4CBA-9F02-17B2DAAECB82}">
  <dimension ref="A1:D32"/>
  <sheetViews>
    <sheetView tabSelected="1" workbookViewId="0">
      <selection activeCell="R10" sqref="R10"/>
    </sheetView>
  </sheetViews>
  <sheetFormatPr defaultRowHeight="15" x14ac:dyDescent="0.25"/>
  <sheetData>
    <row r="1" spans="1:4" x14ac:dyDescent="0.25">
      <c r="A1" t="s">
        <v>99</v>
      </c>
      <c r="B1" t="s">
        <v>311</v>
      </c>
      <c r="C1" t="s">
        <v>312</v>
      </c>
      <c r="D1" t="s">
        <v>313</v>
      </c>
    </row>
    <row r="2" spans="1:4" x14ac:dyDescent="0.25">
      <c r="A2">
        <v>0</v>
      </c>
      <c r="B2">
        <f>(Table25[[#This Row],[x]]+0.2)^(1/4)</f>
        <v>0.66874030497642201</v>
      </c>
      <c r="C2">
        <v>0.5</v>
      </c>
      <c r="D2" t="e">
        <f>Table25[[#This Row],[y]]-B1</f>
        <v>#VALUE!</v>
      </c>
    </row>
    <row r="3" spans="1:4" x14ac:dyDescent="0.25">
      <c r="A3">
        <v>0.1</v>
      </c>
      <c r="B3">
        <f>(Table25[[#This Row],[x]]+0.2)^(1/4)</f>
        <v>0.74008280449228525</v>
      </c>
      <c r="D3">
        <f>Table25[[#This Row],[y]]-B2</f>
        <v>7.1342499515863245E-2</v>
      </c>
    </row>
    <row r="4" spans="1:4" x14ac:dyDescent="0.25">
      <c r="A4">
        <v>0.2</v>
      </c>
      <c r="B4">
        <f>(Table25[[#This Row],[x]]+0.2)^(1/4)</f>
        <v>0.79527072876705063</v>
      </c>
      <c r="D4">
        <f>Table25[[#This Row],[y]]-B3</f>
        <v>5.5187924274765376E-2</v>
      </c>
    </row>
    <row r="5" spans="1:4" x14ac:dyDescent="0.25">
      <c r="A5">
        <v>0.3</v>
      </c>
      <c r="B5">
        <f>(Table25[[#This Row],[x]]+0.2)^(1/4)</f>
        <v>0.8408964152537145</v>
      </c>
      <c r="D5">
        <f>Table25[[#This Row],[y]]-B4</f>
        <v>4.5625686486663874E-2</v>
      </c>
    </row>
    <row r="6" spans="1:4" x14ac:dyDescent="0.25">
      <c r="A6">
        <v>0.4</v>
      </c>
      <c r="B6">
        <f>(Table25[[#This Row],[x]]+0.2)^(1/4)</f>
        <v>0.88011173679339338</v>
      </c>
      <c r="D6">
        <f>Table25[[#This Row],[y]]-B5</f>
        <v>3.9215321539678882E-2</v>
      </c>
    </row>
    <row r="7" spans="1:4" x14ac:dyDescent="0.25">
      <c r="A7">
        <v>0.5</v>
      </c>
      <c r="B7">
        <f>(Table25[[#This Row],[x]]+0.2)^(1/4)</f>
        <v>0.91469121922869445</v>
      </c>
      <c r="D7">
        <f>Table25[[#This Row],[y]]-B6</f>
        <v>3.4579482435301068E-2</v>
      </c>
    </row>
    <row r="8" spans="1:4" x14ac:dyDescent="0.25">
      <c r="A8">
        <v>0.6</v>
      </c>
      <c r="B8">
        <f>(Table25[[#This Row],[x]]+0.2)^(1/4)</f>
        <v>0.94574160900317583</v>
      </c>
      <c r="D8">
        <f>Table25[[#This Row],[y]]-B7</f>
        <v>3.1050389774481379E-2</v>
      </c>
    </row>
    <row r="9" spans="1:4" x14ac:dyDescent="0.25">
      <c r="A9">
        <v>0.7</v>
      </c>
      <c r="B9">
        <f>(Table25[[#This Row],[x]]+0.2)^(1/4)</f>
        <v>0.97400374642529675</v>
      </c>
      <c r="D9">
        <f>Table25[[#This Row],[y]]-B8</f>
        <v>2.8262137422120914E-2</v>
      </c>
    </row>
    <row r="10" spans="1:4" x14ac:dyDescent="0.25">
      <c r="A10">
        <v>0.8</v>
      </c>
      <c r="B10">
        <f>(Table25[[#This Row],[x]]+0.2)^(1/4)</f>
        <v>1</v>
      </c>
      <c r="D10">
        <f>Table25[[#This Row],[y]]-B9</f>
        <v>2.5996253574703254E-2</v>
      </c>
    </row>
    <row r="11" spans="1:4" x14ac:dyDescent="0.25">
      <c r="A11">
        <v>0.9</v>
      </c>
      <c r="B11">
        <f>(Table25[[#This Row],[x]]+0.2)^(1/4)</f>
        <v>1.0241136890844451</v>
      </c>
      <c r="D11">
        <f>Table25[[#This Row],[y]]-B10</f>
        <v>2.4113689084445111E-2</v>
      </c>
    </row>
    <row r="12" spans="1:4" x14ac:dyDescent="0.25">
      <c r="A12">
        <v>1</v>
      </c>
      <c r="B12">
        <f>(Table25[[#This Row],[x]]+0.2)^(1/4)</f>
        <v>1.0466351393921056</v>
      </c>
      <c r="C12">
        <v>1</v>
      </c>
      <c r="D12">
        <f>Table25[[#This Row],[y]]-B11</f>
        <v>2.2521450307660507E-2</v>
      </c>
    </row>
    <row r="13" spans="1:4" x14ac:dyDescent="0.25">
      <c r="A13">
        <v>1.1000000000000001</v>
      </c>
      <c r="B13">
        <f>(Table25[[#This Row],[x]]+0.2)^(1/4)</f>
        <v>1.0677899723724409</v>
      </c>
      <c r="D13">
        <f>Table25[[#This Row],[y]]-B12</f>
        <v>2.115483298033527E-2</v>
      </c>
    </row>
    <row r="14" spans="1:4" x14ac:dyDescent="0.25">
      <c r="A14">
        <v>1.2</v>
      </c>
      <c r="B14">
        <f>(Table25[[#This Row],[x]]+0.2)^(1/4)</f>
        <v>1.0877573059372772</v>
      </c>
      <c r="D14">
        <f>Table25[[#This Row],[y]]-B13</f>
        <v>1.9967333564836265E-2</v>
      </c>
    </row>
    <row r="15" spans="1:4" x14ac:dyDescent="0.25">
      <c r="A15">
        <v>1.3</v>
      </c>
      <c r="B15">
        <f>(Table25[[#This Row],[x]]+0.2)^(1/4)</f>
        <v>1.1066819197003217</v>
      </c>
      <c r="D15">
        <f>Table25[[#This Row],[y]]-B14</f>
        <v>1.8924613763044551E-2</v>
      </c>
    </row>
    <row r="16" spans="1:4" x14ac:dyDescent="0.25">
      <c r="A16">
        <v>1.4</v>
      </c>
      <c r="B16">
        <f>(Table25[[#This Row],[x]]+0.2)^(1/4)</f>
        <v>1.1246826503806981</v>
      </c>
      <c r="D16">
        <f>Table25[[#This Row],[y]]-B15</f>
        <v>1.8000730680376442E-2</v>
      </c>
    </row>
    <row r="17" spans="1:4" x14ac:dyDescent="0.25">
      <c r="A17">
        <v>1.5</v>
      </c>
      <c r="B17">
        <f>(Table25[[#This Row],[x]]+0.2)^(1/4)</f>
        <v>1.1418583454354265</v>
      </c>
      <c r="D17">
        <f>Table25[[#This Row],[y]]-B16</f>
        <v>1.7175695054728379E-2</v>
      </c>
    </row>
    <row r="18" spans="1:4" x14ac:dyDescent="0.25">
      <c r="A18">
        <v>1.6</v>
      </c>
      <c r="B18">
        <f>(Table25[[#This Row],[x]]+0.2)^(1/4)</f>
        <v>1.158292185288269</v>
      </c>
      <c r="D18">
        <f>Table25[[#This Row],[y]]-B17</f>
        <v>1.6433839852842524E-2</v>
      </c>
    </row>
    <row r="19" spans="1:4" x14ac:dyDescent="0.25">
      <c r="A19">
        <v>1.7</v>
      </c>
      <c r="B19">
        <f>(Table25[[#This Row],[x]]+0.2)^(1/4)</f>
        <v>1.1740548859440185</v>
      </c>
      <c r="D19">
        <f>Table25[[#This Row],[y]]-B18</f>
        <v>1.5762700655749473E-2</v>
      </c>
    </row>
    <row r="20" spans="1:4" x14ac:dyDescent="0.25">
      <c r="A20">
        <v>1.8</v>
      </c>
      <c r="B20">
        <f>(Table25[[#This Row],[x]]+0.2)^(1/4)</f>
        <v>1.189207115002721</v>
      </c>
      <c r="D20">
        <f>Table25[[#This Row],[y]]-B19</f>
        <v>1.5152229058702504E-2</v>
      </c>
    </row>
    <row r="21" spans="1:4" x14ac:dyDescent="0.25">
      <c r="A21">
        <v>1.9</v>
      </c>
      <c r="B21">
        <f>(Table25[[#This Row],[x]]+0.2)^(1/4)</f>
        <v>1.2038013435027159</v>
      </c>
      <c r="D21">
        <f>Table25[[#This Row],[y]]-B20</f>
        <v>1.4594228499994921E-2</v>
      </c>
    </row>
    <row r="22" spans="1:4" x14ac:dyDescent="0.25">
      <c r="A22">
        <v>2</v>
      </c>
      <c r="B22">
        <f>(Table25[[#This Row],[x]]+0.2)^(1/4)</f>
        <v>1.2178832856309068</v>
      </c>
      <c r="C22">
        <v>1.2</v>
      </c>
      <c r="D22">
        <f>Table25[[#This Row],[y]]-B21</f>
        <v>1.4081942128190805E-2</v>
      </c>
    </row>
    <row r="23" spans="1:4" x14ac:dyDescent="0.25">
      <c r="A23">
        <v>2.1</v>
      </c>
      <c r="B23">
        <f>(Table25[[#This Row],[x]]+0.2)^(1/4)</f>
        <v>1.2314930323839881</v>
      </c>
      <c r="D23">
        <f>Table25[[#This Row],[y]]-B22</f>
        <v>1.3609746753081353E-2</v>
      </c>
    </row>
    <row r="24" spans="1:4" x14ac:dyDescent="0.25">
      <c r="A24">
        <v>2.2000000000000002</v>
      </c>
      <c r="B24">
        <f>(Table25[[#This Row],[x]]+0.2)^(1/4)</f>
        <v>1.2446659545769567</v>
      </c>
      <c r="D24">
        <f>Table25[[#This Row],[y]]-B23</f>
        <v>1.3172922192968617E-2</v>
      </c>
    </row>
    <row r="25" spans="1:4" x14ac:dyDescent="0.25">
      <c r="A25">
        <v>2.2999999999999998</v>
      </c>
      <c r="B25">
        <f>(Table25[[#This Row],[x]]+0.2)^(1/4)</f>
        <v>1.2574334296829355</v>
      </c>
      <c r="D25">
        <f>Table25[[#This Row],[y]]-B24</f>
        <v>1.2767475105978754E-2</v>
      </c>
    </row>
    <row r="26" spans="1:4" x14ac:dyDescent="0.25">
      <c r="A26">
        <v>2.4</v>
      </c>
      <c r="B26">
        <f>(Table25[[#This Row],[x]]+0.2)^(1/4)</f>
        <v>1.2698234324738655</v>
      </c>
      <c r="D26">
        <f>Table25[[#This Row],[y]]-B25</f>
        <v>1.2390002790930055E-2</v>
      </c>
    </row>
    <row r="27" spans="1:4" x14ac:dyDescent="0.25">
      <c r="A27">
        <v>2.5</v>
      </c>
      <c r="B27">
        <f>(Table25[[#This Row],[x]]+0.2)^(1/4)</f>
        <v>1.2818610191887023</v>
      </c>
      <c r="D27">
        <f>Table25[[#This Row],[y]]-B26</f>
        <v>1.203758671483679E-2</v>
      </c>
    </row>
    <row r="28" spans="1:4" x14ac:dyDescent="0.25">
      <c r="A28">
        <v>2.6</v>
      </c>
      <c r="B28">
        <f>(Table25[[#This Row],[x]]+0.2)^(1/4)</f>
        <v>1.2935687276168018</v>
      </c>
      <c r="D28">
        <f>Table25[[#This Row],[y]]-B27</f>
        <v>1.1707708428099428E-2</v>
      </c>
    </row>
    <row r="29" spans="1:4" x14ac:dyDescent="0.25">
      <c r="A29">
        <v>2.7</v>
      </c>
      <c r="B29">
        <f>(Table25[[#This Row],[x]]+0.2)^(1/4)</f>
        <v>1.3049669101523764</v>
      </c>
      <c r="D29">
        <f>Table25[[#This Row],[y]]-B28</f>
        <v>1.1398182535574675E-2</v>
      </c>
    </row>
    <row r="30" spans="1:4" x14ac:dyDescent="0.25">
      <c r="A30">
        <v>2.8</v>
      </c>
      <c r="B30">
        <f>(Table25[[#This Row],[x]]+0.2)^(1/4)</f>
        <v>1.3160740129524926</v>
      </c>
      <c r="D30">
        <f>Table25[[#This Row],[y]]-B29</f>
        <v>1.1107102800116175E-2</v>
      </c>
    </row>
    <row r="31" spans="1:4" x14ac:dyDescent="0.25">
      <c r="A31">
        <v>2.9</v>
      </c>
      <c r="B31">
        <f>(Table25[[#This Row],[x]]+0.2)^(1/4)</f>
        <v>1.3269068114098672</v>
      </c>
      <c r="D31">
        <f>Table25[[#This Row],[y]]-B30</f>
        <v>1.0832798457374615E-2</v>
      </c>
    </row>
    <row r="32" spans="1:4" x14ac:dyDescent="0.25">
      <c r="A32">
        <v>3</v>
      </c>
      <c r="B32">
        <f>(Table25[[#This Row],[x]]+0.2)^(1/4)</f>
        <v>1.337480609952844</v>
      </c>
      <c r="C32">
        <v>1.3</v>
      </c>
      <c r="D32">
        <f>Table25[[#This Row],[y]]-B31</f>
        <v>1.0573798542976798E-2</v>
      </c>
    </row>
  </sheetData>
  <pageMargins left="0.7" right="0.7" top="0.75" bottom="0.75" header="0.3" footer="0.3"/>
  <pageSetup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F72A-6EF1-4451-BFA6-39EE9D1AFD85}">
  <dimension ref="A2:CV2"/>
  <sheetViews>
    <sheetView workbookViewId="0">
      <selection activeCell="G22" sqref="G22"/>
    </sheetView>
  </sheetViews>
  <sheetFormatPr defaultRowHeight="15" x14ac:dyDescent="0.25"/>
  <sheetData>
    <row r="2" spans="1:100" x14ac:dyDescent="0.25">
      <c r="A2">
        <v>42.212801833565102</v>
      </c>
      <c r="B2">
        <v>42.934887913960999</v>
      </c>
      <c r="C2">
        <v>42.898730355704302</v>
      </c>
      <c r="D2">
        <v>41.656111618988803</v>
      </c>
      <c r="E2">
        <v>38.088802865929203</v>
      </c>
      <c r="F2">
        <v>36.283573380573003</v>
      </c>
      <c r="G2">
        <v>34.977259720042497</v>
      </c>
      <c r="H2">
        <v>33.909741670306197</v>
      </c>
      <c r="I2">
        <v>32.986494885463202</v>
      </c>
      <c r="J2">
        <v>32.161158910431297</v>
      </c>
      <c r="K2">
        <v>31.4071344909994</v>
      </c>
      <c r="L2">
        <v>30.707576594918599</v>
      </c>
      <c r="M2">
        <v>30.051060991771799</v>
      </c>
      <c r="N2">
        <v>29.429437819890701</v>
      </c>
      <c r="O2">
        <v>28.836661700422098</v>
      </c>
      <c r="P2">
        <v>28.268106510022601</v>
      </c>
      <c r="Q2">
        <v>27.720140767285901</v>
      </c>
      <c r="R2">
        <v>27.189852293771501</v>
      </c>
      <c r="S2">
        <v>26.674862864410802</v>
      </c>
      <c r="T2">
        <v>26.173199454009101</v>
      </c>
      <c r="U2">
        <v>25.6832023704597</v>
      </c>
      <c r="V2">
        <v>25.203458172670601</v>
      </c>
      <c r="W2">
        <v>24.732749686016099</v>
      </c>
      <c r="X2">
        <v>24.270018086598199</v>
      </c>
      <c r="Y2">
        <v>23.8143336787242</v>
      </c>
      <c r="Z2">
        <v>23.364873047401002</v>
      </c>
      <c r="AA2">
        <v>22.9209009611025</v>
      </c>
      <c r="AB2">
        <v>22.4817558651011</v>
      </c>
      <c r="AC2">
        <v>22.046838123804999</v>
      </c>
      <c r="AD2">
        <v>21.615600392170901</v>
      </c>
      <c r="AE2">
        <v>21.1875396531895</v>
      </c>
      <c r="AF2">
        <v>20.7621905712273</v>
      </c>
      <c r="AG2">
        <v>20.339119893166199</v>
      </c>
      <c r="AH2">
        <v>20.011713709635799</v>
      </c>
      <c r="AI2">
        <v>20.071248189251101</v>
      </c>
      <c r="AJ2">
        <v>20.130028834074501</v>
      </c>
      <c r="AK2">
        <v>20.188124066911701</v>
      </c>
      <c r="AL2">
        <v>20.245597638021898</v>
      </c>
      <c r="AM2">
        <v>20.302509224591599</v>
      </c>
      <c r="AN2">
        <v>20.358914953995999</v>
      </c>
      <c r="AO2">
        <v>20.414867863754701</v>
      </c>
      <c r="AP2">
        <v>20.470418308789402</v>
      </c>
      <c r="AQ2">
        <v>20.525614324777099</v>
      </c>
      <c r="AR2">
        <v>20.5805019549544</v>
      </c>
      <c r="AS2">
        <v>20.6351255465785</v>
      </c>
      <c r="AT2">
        <v>20.689528022341101</v>
      </c>
      <c r="AU2">
        <v>20.7437511313037</v>
      </c>
      <c r="AV2">
        <v>20.797835683351199</v>
      </c>
      <c r="AW2">
        <v>20.851821770710799</v>
      </c>
      <c r="AX2">
        <v>20.905748979740999</v>
      </c>
      <c r="AY2">
        <v>20.959656595943098</v>
      </c>
      <c r="AZ2">
        <v>21.013583804973401</v>
      </c>
      <c r="BA2">
        <v>21.067569892333001</v>
      </c>
      <c r="BB2">
        <v>21.1216544443805</v>
      </c>
      <c r="BC2">
        <v>21.175877553343</v>
      </c>
      <c r="BD2">
        <v>21.2302800291056</v>
      </c>
      <c r="BE2">
        <v>21.2849036207297</v>
      </c>
      <c r="BF2">
        <v>21.339791250906998</v>
      </c>
      <c r="BG2">
        <v>21.394987266894699</v>
      </c>
      <c r="BH2">
        <v>21.4505377119294</v>
      </c>
      <c r="BI2">
        <v>21.506490621688101</v>
      </c>
      <c r="BJ2">
        <v>21.562896351092501</v>
      </c>
      <c r="BK2">
        <v>21.619807937662198</v>
      </c>
      <c r="BL2">
        <v>21.677281508772399</v>
      </c>
      <c r="BM2">
        <v>21.735376741609599</v>
      </c>
      <c r="BN2">
        <v>21.794157386433</v>
      </c>
      <c r="BO2">
        <v>21.853691866048301</v>
      </c>
      <c r="BP2">
        <v>21.914053967316502</v>
      </c>
      <c r="BQ2">
        <v>21.975323644259301</v>
      </c>
      <c r="BR2">
        <v>22.037587957135599</v>
      </c>
      <c r="BS2">
        <v>22.100942178116199</v>
      </c>
      <c r="BT2">
        <v>22.165491102371799</v>
      </c>
      <c r="BU2">
        <v>22.231350614215</v>
      </c>
      <c r="BV2">
        <v>22.298649572394101</v>
      </c>
      <c r="BW2">
        <v>22.367532098154999</v>
      </c>
      <c r="BX2">
        <v>22.4381603763584</v>
      </c>
      <c r="BY2">
        <v>22.510718116853301</v>
      </c>
      <c r="BZ2">
        <v>22.585414875136799</v>
      </c>
      <c r="CA2">
        <v>22.6624915052126</v>
      </c>
      <c r="CB2">
        <v>22.742227124704499</v>
      </c>
      <c r="CC2">
        <v>22.824948130571201</v>
      </c>
      <c r="CD2">
        <v>22.9110400425233</v>
      </c>
      <c r="CE2">
        <v>23.000963319756298</v>
      </c>
      <c r="CF2">
        <v>23.095274880314001</v>
      </c>
      <c r="CG2">
        <v>23.1946580043324</v>
      </c>
      <c r="CH2">
        <v>23.299964907415799</v>
      </c>
      <c r="CI2">
        <v>23.412279082039699</v>
      </c>
      <c r="CJ2">
        <v>23.5330096545689</v>
      </c>
      <c r="CK2">
        <v>23.664039946016299</v>
      </c>
      <c r="CL2">
        <v>23.8079728605322</v>
      </c>
      <c r="CM2">
        <v>23.968561107030599</v>
      </c>
      <c r="CN2">
        <v>24.151521308655902</v>
      </c>
      <c r="CO2">
        <v>24.3662394945848</v>
      </c>
      <c r="CP2">
        <v>24.629895364844899</v>
      </c>
      <c r="CQ2">
        <v>24.979913904377401</v>
      </c>
      <c r="CR2">
        <v>25.530687395308298</v>
      </c>
      <c r="CS2">
        <v>27.113167400177701</v>
      </c>
      <c r="CT2">
        <v>28.370735758753501</v>
      </c>
      <c r="CU2">
        <v>29.462484375689701</v>
      </c>
      <c r="CV2">
        <v>30.439551405476202</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6B93-1A07-417B-961A-AB8D0F990765}">
  <dimension ref="A1:D32"/>
  <sheetViews>
    <sheetView workbookViewId="0">
      <selection activeCell="E1" sqref="E1"/>
    </sheetView>
  </sheetViews>
  <sheetFormatPr defaultRowHeight="15" x14ac:dyDescent="0.25"/>
  <sheetData>
    <row r="1" spans="1:4" x14ac:dyDescent="0.25">
      <c r="A1" t="s">
        <v>99</v>
      </c>
      <c r="B1" t="s">
        <v>311</v>
      </c>
      <c r="C1" t="s">
        <v>312</v>
      </c>
      <c r="D1" t="s">
        <v>313</v>
      </c>
    </row>
    <row r="2" spans="1:4" x14ac:dyDescent="0.25">
      <c r="A2">
        <v>0</v>
      </c>
      <c r="B2">
        <f>IF(Table2[[#This Row],[x]]&gt;300, Table2[[#This Row],[x]]/300, (Table2[[#This Row],[x]]/300)^2)</f>
        <v>0</v>
      </c>
      <c r="C2">
        <v>0</v>
      </c>
      <c r="D2" t="e">
        <f>Table2[[#This Row],[y]]-B1</f>
        <v>#VALUE!</v>
      </c>
    </row>
    <row r="3" spans="1:4" x14ac:dyDescent="0.25">
      <c r="A3">
        <v>20</v>
      </c>
      <c r="B3">
        <f>IF(Table2[[#This Row],[x]]&gt;300, Table2[[#This Row],[x]]/300, (Table2[[#This Row],[x]]/300)^2)</f>
        <v>4.4444444444444444E-3</v>
      </c>
      <c r="D3">
        <f>Table2[[#This Row],[y]]-B2</f>
        <v>4.4444444444444444E-3</v>
      </c>
    </row>
    <row r="4" spans="1:4" x14ac:dyDescent="0.25">
      <c r="A4">
        <v>40</v>
      </c>
      <c r="B4">
        <f>IF(Table2[[#This Row],[x]]&gt;300, Table2[[#This Row],[x]]/300, (Table2[[#This Row],[x]]/300)^2)</f>
        <v>1.7777777777777778E-2</v>
      </c>
      <c r="D4">
        <f>Table2[[#This Row],[y]]-B3</f>
        <v>1.3333333333333332E-2</v>
      </c>
    </row>
    <row r="5" spans="1:4" x14ac:dyDescent="0.25">
      <c r="A5">
        <v>60</v>
      </c>
      <c r="B5">
        <f>IF(Table2[[#This Row],[x]]&gt;300, Table2[[#This Row],[x]]/300, (Table2[[#This Row],[x]]/300)^2)</f>
        <v>4.0000000000000008E-2</v>
      </c>
      <c r="D5">
        <f>Table2[[#This Row],[y]]-B4</f>
        <v>2.222222222222223E-2</v>
      </c>
    </row>
    <row r="6" spans="1:4" x14ac:dyDescent="0.25">
      <c r="A6">
        <v>80</v>
      </c>
      <c r="B6">
        <f>IF(Table2[[#This Row],[x]]&gt;300, Table2[[#This Row],[x]]/300, (Table2[[#This Row],[x]]/300)^2)</f>
        <v>7.1111111111111111E-2</v>
      </c>
      <c r="D6">
        <f>Table2[[#This Row],[y]]-B5</f>
        <v>3.1111111111111103E-2</v>
      </c>
    </row>
    <row r="7" spans="1:4" x14ac:dyDescent="0.25">
      <c r="A7">
        <v>100</v>
      </c>
      <c r="B7">
        <f>IF(Table2[[#This Row],[x]]&gt;300, Table2[[#This Row],[x]]/300, (Table2[[#This Row],[x]]/300)^2)</f>
        <v>0.1111111111111111</v>
      </c>
      <c r="D7">
        <f>Table2[[#This Row],[y]]-B6</f>
        <v>3.9999999999999994E-2</v>
      </c>
    </row>
    <row r="8" spans="1:4" x14ac:dyDescent="0.25">
      <c r="A8">
        <v>120</v>
      </c>
      <c r="B8">
        <f>IF(Table2[[#This Row],[x]]&gt;300, Table2[[#This Row],[x]]/300, (Table2[[#This Row],[x]]/300)^2)</f>
        <v>0.16000000000000003</v>
      </c>
      <c r="D8">
        <f>Table2[[#This Row],[y]]-B7</f>
        <v>4.8888888888888926E-2</v>
      </c>
    </row>
    <row r="9" spans="1:4" x14ac:dyDescent="0.25">
      <c r="A9">
        <v>140</v>
      </c>
      <c r="B9">
        <f>IF(Table2[[#This Row],[x]]&gt;300, Table2[[#This Row],[x]]/300, (Table2[[#This Row],[x]]/300)^2)</f>
        <v>0.21777777777777779</v>
      </c>
      <c r="D9">
        <f>Table2[[#This Row],[y]]-B8</f>
        <v>5.7777777777777761E-2</v>
      </c>
    </row>
    <row r="10" spans="1:4" x14ac:dyDescent="0.25">
      <c r="A10">
        <v>160</v>
      </c>
      <c r="B10">
        <f>IF(Table2[[#This Row],[x]]&gt;300, Table2[[#This Row],[x]]/300, (Table2[[#This Row],[x]]/300)^2)</f>
        <v>0.28444444444444444</v>
      </c>
      <c r="D10">
        <f>Table2[[#This Row],[y]]-B9</f>
        <v>6.6666666666666652E-2</v>
      </c>
    </row>
    <row r="11" spans="1:4" x14ac:dyDescent="0.25">
      <c r="A11">
        <v>180</v>
      </c>
      <c r="B11">
        <f>IF(Table2[[#This Row],[x]]&gt;300, Table2[[#This Row],[x]]/300, (Table2[[#This Row],[x]]/300)^2)</f>
        <v>0.36</v>
      </c>
      <c r="D11">
        <f>Table2[[#This Row],[y]]-B10</f>
        <v>7.5555555555555542E-2</v>
      </c>
    </row>
    <row r="12" spans="1:4" x14ac:dyDescent="0.25">
      <c r="A12">
        <v>200</v>
      </c>
      <c r="B12">
        <f>IF(Table2[[#This Row],[x]]&gt;300, Table2[[#This Row],[x]]/300, (Table2[[#This Row],[x]]/300)^2)</f>
        <v>0.44444444444444442</v>
      </c>
      <c r="D12">
        <f>Table2[[#This Row],[y]]-B11</f>
        <v>8.4444444444444433E-2</v>
      </c>
    </row>
    <row r="13" spans="1:4" x14ac:dyDescent="0.25">
      <c r="A13">
        <v>220</v>
      </c>
      <c r="B13">
        <f>IF(Table2[[#This Row],[x]]&gt;300, Table2[[#This Row],[x]]/300, (Table2[[#This Row],[x]]/300)^2)</f>
        <v>0.53777777777777769</v>
      </c>
      <c r="D13">
        <f>Table2[[#This Row],[y]]-B12</f>
        <v>9.3333333333333268E-2</v>
      </c>
    </row>
    <row r="14" spans="1:4" x14ac:dyDescent="0.25">
      <c r="A14">
        <v>240</v>
      </c>
      <c r="B14">
        <f>IF(Table2[[#This Row],[x]]&gt;300, Table2[[#This Row],[x]]/300, (Table2[[#This Row],[x]]/300)^2)</f>
        <v>0.64000000000000012</v>
      </c>
      <c r="D14">
        <f>Table2[[#This Row],[y]]-B13</f>
        <v>0.10222222222222244</v>
      </c>
    </row>
    <row r="15" spans="1:4" x14ac:dyDescent="0.25">
      <c r="A15">
        <v>260</v>
      </c>
      <c r="B15">
        <f>IF(Table2[[#This Row],[x]]&gt;300, Table2[[#This Row],[x]]/300, (Table2[[#This Row],[x]]/300)^2)</f>
        <v>0.75111111111111117</v>
      </c>
      <c r="D15">
        <f>Table2[[#This Row],[y]]-B14</f>
        <v>0.11111111111111105</v>
      </c>
    </row>
    <row r="16" spans="1:4" x14ac:dyDescent="0.25">
      <c r="A16">
        <v>280</v>
      </c>
      <c r="B16">
        <f>IF(Table2[[#This Row],[x]]&gt;300, Table2[[#This Row],[x]]/300, (Table2[[#This Row],[x]]/300)^2)</f>
        <v>0.87111111111111117</v>
      </c>
      <c r="D16">
        <f>Table2[[#This Row],[y]]-B15</f>
        <v>0.12</v>
      </c>
    </row>
    <row r="17" spans="1:4" x14ac:dyDescent="0.25">
      <c r="A17">
        <v>300</v>
      </c>
      <c r="B17">
        <f>IF(Table2[[#This Row],[x]]&gt;300, Table2[[#This Row],[x]]/300, (Table2[[#This Row],[x]]/300)^2)</f>
        <v>1</v>
      </c>
      <c r="C17">
        <v>1</v>
      </c>
      <c r="D17">
        <f>Table2[[#This Row],[y]]-B16</f>
        <v>0.12888888888888883</v>
      </c>
    </row>
    <row r="18" spans="1:4" x14ac:dyDescent="0.25">
      <c r="A18">
        <v>320</v>
      </c>
      <c r="B18">
        <f>IF(Table2[[#This Row],[x]]&gt;300, Table2[[#This Row],[x]]/300, (Table2[[#This Row],[x]]/300)^2)</f>
        <v>1.0666666666666667</v>
      </c>
      <c r="D18">
        <f>Table2[[#This Row],[y]]-B17</f>
        <v>6.6666666666666652E-2</v>
      </c>
    </row>
    <row r="19" spans="1:4" x14ac:dyDescent="0.25">
      <c r="A19">
        <v>340</v>
      </c>
      <c r="B19">
        <f>IF(Table2[[#This Row],[x]]&gt;300, Table2[[#This Row],[x]]/300, (Table2[[#This Row],[x]]/300)^2)</f>
        <v>1.1333333333333333</v>
      </c>
      <c r="D19">
        <f>Table2[[#This Row],[y]]-B18</f>
        <v>6.6666666666666652E-2</v>
      </c>
    </row>
    <row r="20" spans="1:4" x14ac:dyDescent="0.25">
      <c r="A20">
        <v>360</v>
      </c>
      <c r="B20">
        <f>IF(Table2[[#This Row],[x]]&gt;300, Table2[[#This Row],[x]]/300, (Table2[[#This Row],[x]]/300)^2)</f>
        <v>1.2</v>
      </c>
      <c r="D20">
        <f>Table2[[#This Row],[y]]-B19</f>
        <v>6.6666666666666652E-2</v>
      </c>
    </row>
    <row r="21" spans="1:4" x14ac:dyDescent="0.25">
      <c r="A21">
        <v>380</v>
      </c>
      <c r="B21">
        <f>IF(Table2[[#This Row],[x]]&gt;300, Table2[[#This Row],[x]]/300, (Table2[[#This Row],[x]]/300)^2)</f>
        <v>1.2666666666666666</v>
      </c>
      <c r="D21">
        <f>Table2[[#This Row],[y]]-B20</f>
        <v>6.6666666666666652E-2</v>
      </c>
    </row>
    <row r="22" spans="1:4" x14ac:dyDescent="0.25">
      <c r="A22">
        <v>400</v>
      </c>
      <c r="B22">
        <f>IF(Table2[[#This Row],[x]]&gt;300, Table2[[#This Row],[x]]/300, (Table2[[#This Row],[x]]/300)^2)</f>
        <v>1.3333333333333333</v>
      </c>
      <c r="D22">
        <f>Table2[[#This Row],[y]]-B21</f>
        <v>6.6666666666666652E-2</v>
      </c>
    </row>
    <row r="23" spans="1:4" x14ac:dyDescent="0.25">
      <c r="A23">
        <v>420</v>
      </c>
      <c r="B23">
        <f>IF(Table2[[#This Row],[x]]&gt;300, Table2[[#This Row],[x]]/300, (Table2[[#This Row],[x]]/300)^2)</f>
        <v>1.4</v>
      </c>
      <c r="D23">
        <f>Table2[[#This Row],[y]]-B22</f>
        <v>6.6666666666666652E-2</v>
      </c>
    </row>
    <row r="24" spans="1:4" x14ac:dyDescent="0.25">
      <c r="A24">
        <v>440</v>
      </c>
      <c r="B24">
        <f>IF(Table2[[#This Row],[x]]&gt;300, Table2[[#This Row],[x]]/300, (Table2[[#This Row],[x]]/300)^2)</f>
        <v>1.4666666666666666</v>
      </c>
      <c r="D24">
        <f>Table2[[#This Row],[y]]-B23</f>
        <v>6.6666666666666652E-2</v>
      </c>
    </row>
    <row r="25" spans="1:4" x14ac:dyDescent="0.25">
      <c r="A25">
        <v>460</v>
      </c>
      <c r="B25">
        <f>IF(Table2[[#This Row],[x]]&gt;300, Table2[[#This Row],[x]]/300, (Table2[[#This Row],[x]]/300)^2)</f>
        <v>1.5333333333333334</v>
      </c>
      <c r="D25">
        <f>Table2[[#This Row],[y]]-B24</f>
        <v>6.6666666666666874E-2</v>
      </c>
    </row>
    <row r="26" spans="1:4" x14ac:dyDescent="0.25">
      <c r="A26">
        <v>480</v>
      </c>
      <c r="B26">
        <f>IF(Table2[[#This Row],[x]]&gt;300, Table2[[#This Row],[x]]/300, (Table2[[#This Row],[x]]/300)^2)</f>
        <v>1.6</v>
      </c>
      <c r="D26">
        <f>Table2[[#This Row],[y]]-B25</f>
        <v>6.6666666666666652E-2</v>
      </c>
    </row>
    <row r="27" spans="1:4" x14ac:dyDescent="0.25">
      <c r="A27">
        <v>500</v>
      </c>
      <c r="B27">
        <f>IF(Table2[[#This Row],[x]]&gt;300, Table2[[#This Row],[x]]/300, (Table2[[#This Row],[x]]/300)^2)</f>
        <v>1.6666666666666667</v>
      </c>
      <c r="D27">
        <f>Table2[[#This Row],[y]]-B26</f>
        <v>6.6666666666666652E-2</v>
      </c>
    </row>
    <row r="28" spans="1:4" x14ac:dyDescent="0.25">
      <c r="A28">
        <v>520</v>
      </c>
      <c r="B28">
        <f>IF(Table2[[#This Row],[x]]&gt;300, Table2[[#This Row],[x]]/300, (Table2[[#This Row],[x]]/300)^2)</f>
        <v>1.7333333333333334</v>
      </c>
      <c r="D28">
        <f>Table2[[#This Row],[y]]-B27</f>
        <v>6.6666666666666652E-2</v>
      </c>
    </row>
    <row r="29" spans="1:4" x14ac:dyDescent="0.25">
      <c r="A29">
        <v>540</v>
      </c>
      <c r="B29">
        <f>IF(Table2[[#This Row],[x]]&gt;300, Table2[[#This Row],[x]]/300, (Table2[[#This Row],[x]]/300)^2)</f>
        <v>1.8</v>
      </c>
      <c r="D29">
        <f>Table2[[#This Row],[y]]-B28</f>
        <v>6.6666666666666652E-2</v>
      </c>
    </row>
    <row r="30" spans="1:4" x14ac:dyDescent="0.25">
      <c r="A30">
        <v>560</v>
      </c>
      <c r="B30">
        <f>IF(Table2[[#This Row],[x]]&gt;300, Table2[[#This Row],[x]]/300, (Table2[[#This Row],[x]]/300)^2)</f>
        <v>1.8666666666666667</v>
      </c>
      <c r="D30">
        <f>Table2[[#This Row],[y]]-B29</f>
        <v>6.6666666666666652E-2</v>
      </c>
    </row>
    <row r="31" spans="1:4" x14ac:dyDescent="0.25">
      <c r="A31">
        <v>580</v>
      </c>
      <c r="B31">
        <f>IF(Table2[[#This Row],[x]]&gt;300, Table2[[#This Row],[x]]/300, (Table2[[#This Row],[x]]/300)^2)</f>
        <v>1.9333333333333333</v>
      </c>
      <c r="D31">
        <f>Table2[[#This Row],[y]]-B30</f>
        <v>6.6666666666666652E-2</v>
      </c>
    </row>
    <row r="32" spans="1:4" x14ac:dyDescent="0.25">
      <c r="A32">
        <v>600</v>
      </c>
      <c r="B32">
        <f>IF(Table2[[#This Row],[x]]&gt;300, Table2[[#This Row],[x]]/300, (Table2[[#This Row],[x]]/300)^2)</f>
        <v>2</v>
      </c>
      <c r="D32">
        <f>Table2[[#This Row],[y]]-B31</f>
        <v>6.6666666666666652E-2</v>
      </c>
    </row>
  </sheetData>
  <pageMargins left="0.7" right="0.7" top="0.75" bottom="0.75" header="0.3" footer="0.3"/>
  <pageSetup orientation="portrait"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CA5A-0B13-43BB-84FB-82799C654ACD}">
  <dimension ref="A1:W23"/>
  <sheetViews>
    <sheetView workbookViewId="0">
      <selection activeCell="E18" sqref="E18"/>
    </sheetView>
  </sheetViews>
  <sheetFormatPr defaultRowHeight="15" x14ac:dyDescent="0.25"/>
  <sheetData>
    <row r="1" spans="1:23" x14ac:dyDescent="0.25">
      <c r="A1" t="s">
        <v>87</v>
      </c>
      <c r="B1">
        <v>-3</v>
      </c>
      <c r="C1" t="s">
        <v>81</v>
      </c>
      <c r="D1">
        <v>2</v>
      </c>
      <c r="E1" t="s">
        <v>305</v>
      </c>
      <c r="F1">
        <v>-0.3</v>
      </c>
    </row>
    <row r="2" spans="1:23" x14ac:dyDescent="0.25">
      <c r="B2" t="s">
        <v>304</v>
      </c>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303</v>
      </c>
      <c r="B3">
        <v>0</v>
      </c>
      <c r="C3">
        <f t="shared" ref="C3:L12" si="0">_xlfn.NORM.DIST($B3, throwingmean, throwingstdv + throwingfactor *C$2, TRUE)</f>
        <v>0.93319279873114191</v>
      </c>
      <c r="D3">
        <f t="shared" si="0"/>
        <v>0.93610096034524259</v>
      </c>
      <c r="E3">
        <f t="shared" si="0"/>
        <v>0.93899500761383359</v>
      </c>
      <c r="F3">
        <f t="shared" si="0"/>
        <v>0.941871574470311</v>
      </c>
      <c r="G3">
        <f t="shared" si="0"/>
        <v>0.94472709570688829</v>
      </c>
      <c r="H3">
        <f t="shared" si="0"/>
        <v>0.94755780490616992</v>
      </c>
      <c r="I3">
        <f t="shared" si="0"/>
        <v>0.95035973404319185</v>
      </c>
      <c r="J3">
        <f t="shared" si="0"/>
        <v>0.95312871510773034</v>
      </c>
      <c r="K3">
        <f t="shared" si="0"/>
        <v>0.95586038414193264</v>
      </c>
      <c r="L3">
        <f t="shared" si="0"/>
        <v>0.95855018813574422</v>
      </c>
      <c r="M3">
        <f t="shared" ref="M3:W12" si="1">_xlfn.NORM.DIST($B3, throwingmean, throwingstdv + throwingfactor *M$2, TRUE)</f>
        <v>0.96119339527114878</v>
      </c>
      <c r="N3">
        <f t="shared" si="1"/>
        <v>0.96378510905435966</v>
      </c>
      <c r="O3">
        <f t="shared" si="1"/>
        <v>0.96632028692061955</v>
      </c>
      <c r="P3">
        <f t="shared" si="1"/>
        <v>0.96879376393622496</v>
      </c>
      <c r="Q3">
        <f t="shared" si="1"/>
        <v>0.97120028225284716</v>
      </c>
      <c r="R3">
        <f t="shared" si="1"/>
        <v>0.97353452698506504</v>
      </c>
      <c r="S3">
        <f t="shared" si="1"/>
        <v>0.97579116917672093</v>
      </c>
      <c r="T3">
        <f t="shared" si="1"/>
        <v>0.97796491648714601</v>
      </c>
      <c r="U3">
        <f t="shared" si="1"/>
        <v>0.98005057215450919</v>
      </c>
      <c r="V3">
        <f t="shared" si="1"/>
        <v>0.98204310266867123</v>
      </c>
      <c r="W3">
        <f t="shared" si="1"/>
        <v>0.98393771439617173</v>
      </c>
    </row>
    <row r="4" spans="1:23" x14ac:dyDescent="0.25">
      <c r="B4">
        <v>0.1</v>
      </c>
      <c r="C4">
        <f t="shared" si="0"/>
        <v>0.93942924199794098</v>
      </c>
      <c r="D4">
        <f t="shared" si="0"/>
        <v>0.94221049307757543</v>
      </c>
      <c r="E4">
        <f t="shared" si="0"/>
        <v>0.94497162805414114</v>
      </c>
      <c r="F4">
        <f t="shared" si="0"/>
        <v>0.94770921469607072</v>
      </c>
      <c r="G4">
        <f t="shared" si="0"/>
        <v>0.95041964397531165</v>
      </c>
      <c r="H4">
        <f t="shared" si="0"/>
        <v>0.95309913157177895</v>
      </c>
      <c r="I4">
        <f t="shared" si="0"/>
        <v>0.95574372137968222</v>
      </c>
      <c r="J4">
        <f t="shared" si="0"/>
        <v>0.9583492913688767</v>
      </c>
      <c r="K4">
        <f t="shared" si="0"/>
        <v>0.96091156219176899</v>
      </c>
      <c r="L4">
        <f t="shared" si="0"/>
        <v>0.96342610896336511</v>
      </c>
      <c r="M4">
        <f t="shared" si="1"/>
        <v>0.96588837667724492</v>
      </c>
      <c r="N4">
        <f t="shared" si="1"/>
        <v>0.96829369975146407</v>
      </c>
      <c r="O4">
        <f t="shared" si="1"/>
        <v>0.97063732622285248</v>
      </c>
      <c r="P4">
        <f t="shared" si="1"/>
        <v>0.97291444712231223</v>
      </c>
      <c r="Q4">
        <f t="shared" si="1"/>
        <v>0.97512023156297545</v>
      </c>
      <c r="R4">
        <f t="shared" si="1"/>
        <v>0.97724986805182079</v>
      </c>
      <c r="S4">
        <f t="shared" si="1"/>
        <v>0.97929861248667271</v>
      </c>
      <c r="T4">
        <f t="shared" si="1"/>
        <v>0.98126184321621246</v>
      </c>
      <c r="U4">
        <f t="shared" si="1"/>
        <v>0.98313512341112752</v>
      </c>
      <c r="V4">
        <f t="shared" si="1"/>
        <v>0.98491427080899996</v>
      </c>
      <c r="W4">
        <f t="shared" si="1"/>
        <v>0.98659543464220212</v>
      </c>
    </row>
    <row r="5" spans="1:23" x14ac:dyDescent="0.25">
      <c r="B5">
        <v>0.2</v>
      </c>
      <c r="C5">
        <f t="shared" si="0"/>
        <v>0.94520070830044201</v>
      </c>
      <c r="D5">
        <f t="shared" si="0"/>
        <v>0.94785108530229123</v>
      </c>
      <c r="E5">
        <f t="shared" si="0"/>
        <v>0.95047579566670537</v>
      </c>
      <c r="F5">
        <f t="shared" si="0"/>
        <v>0.95307139309539912</v>
      </c>
      <c r="G5">
        <f t="shared" si="0"/>
        <v>0.9556342800557962</v>
      </c>
      <c r="H5">
        <f t="shared" si="0"/>
        <v>0.95816071278906079</v>
      </c>
      <c r="I5">
        <f t="shared" si="0"/>
        <v>0.96064680858347651</v>
      </c>
      <c r="J5">
        <f t="shared" si="0"/>
        <v>0.96308855565481921</v>
      </c>
      <c r="K5">
        <f t="shared" si="0"/>
        <v>0.96548182600279242</v>
      </c>
      <c r="L5">
        <f t="shared" si="0"/>
        <v>0.96782239163714201</v>
      </c>
      <c r="M5">
        <f t="shared" si="1"/>
        <v>0.97010594458676791</v>
      </c>
      <c r="N5">
        <f t="shared" si="1"/>
        <v>0.97232812111745404</v>
      </c>
      <c r="O5">
        <f t="shared" si="1"/>
        <v>0.97448453058555684</v>
      </c>
      <c r="P5">
        <f t="shared" si="1"/>
        <v>0.97657078934214148</v>
      </c>
      <c r="Q5">
        <f t="shared" si="1"/>
        <v>0.97858256006982691</v>
      </c>
      <c r="R5">
        <f t="shared" si="1"/>
        <v>0.98051559687722489</v>
      </c>
      <c r="S5">
        <f t="shared" si="1"/>
        <v>0.98236579638662769</v>
      </c>
      <c r="T5">
        <f t="shared" si="1"/>
        <v>0.98412925492187275</v>
      </c>
      <c r="U5">
        <f t="shared" si="1"/>
        <v>0.98580233172670073</v>
      </c>
      <c r="V5">
        <f t="shared" si="1"/>
        <v>0.98738171791059692</v>
      </c>
      <c r="W5">
        <f t="shared" si="1"/>
        <v>0.9888645105203836</v>
      </c>
    </row>
    <row r="6" spans="1:23" x14ac:dyDescent="0.25">
      <c r="B6">
        <v>0.3</v>
      </c>
      <c r="C6">
        <f t="shared" si="0"/>
        <v>0.9505285319663519</v>
      </c>
      <c r="D6">
        <f t="shared" si="0"/>
        <v>0.95304533229487931</v>
      </c>
      <c r="E6">
        <f t="shared" si="0"/>
        <v>0.95553141012261578</v>
      </c>
      <c r="F6">
        <f t="shared" si="0"/>
        <v>0.95798335506905641</v>
      </c>
      <c r="G6">
        <f t="shared" si="0"/>
        <v>0.96039763356816699</v>
      </c>
      <c r="H6">
        <f t="shared" si="0"/>
        <v>0.96277059720355673</v>
      </c>
      <c r="I6">
        <f t="shared" si="0"/>
        <v>0.96509849349527255</v>
      </c>
      <c r="J6">
        <f t="shared" si="0"/>
        <v>0.96737747945404673</v>
      </c>
      <c r="K6">
        <f t="shared" si="0"/>
        <v>0.96960363823473861</v>
      </c>
      <c r="L6">
        <f t="shared" si="0"/>
        <v>0.97177299923126637</v>
      </c>
      <c r="M6">
        <f t="shared" si="1"/>
        <v>0.97388156195825992</v>
      </c>
      <c r="N6">
        <f t="shared" si="1"/>
        <v>0.97592532405714871</v>
      </c>
      <c r="O6">
        <f t="shared" si="1"/>
        <v>0.97790031374301589</v>
      </c>
      <c r="P6">
        <f t="shared" si="1"/>
        <v>0.97980262696922982</v>
      </c>
      <c r="Q6">
        <f t="shared" si="1"/>
        <v>0.98162846952483385</v>
      </c>
      <c r="R6">
        <f t="shared" si="1"/>
        <v>0.98337420418952204</v>
      </c>
      <c r="S6">
        <f t="shared" si="1"/>
        <v>0.98503640294671146</v>
      </c>
      <c r="T6">
        <f t="shared" si="1"/>
        <v>0.98661190409033794</v>
      </c>
      <c r="U6">
        <f t="shared" si="1"/>
        <v>0.98809787384903192</v>
      </c>
      <c r="V6">
        <f t="shared" si="1"/>
        <v>0.98949187188624066</v>
      </c>
      <c r="W6">
        <f t="shared" si="1"/>
        <v>0.99079191971184799</v>
      </c>
    </row>
    <row r="7" spans="1:23" x14ac:dyDescent="0.25">
      <c r="B7">
        <v>0.4</v>
      </c>
      <c r="C7">
        <f t="shared" si="0"/>
        <v>0.95543453724145699</v>
      </c>
      <c r="D7">
        <f t="shared" si="0"/>
        <v>0.95781624723514713</v>
      </c>
      <c r="E7">
        <f t="shared" si="0"/>
        <v>0.96016270640197721</v>
      </c>
      <c r="F7">
        <f t="shared" si="0"/>
        <v>0.96247058720650747</v>
      </c>
      <c r="G7">
        <f t="shared" si="0"/>
        <v>0.96473646869703567</v>
      </c>
      <c r="H7">
        <f t="shared" si="0"/>
        <v>0.96695684789416148</v>
      </c>
      <c r="I7">
        <f t="shared" si="0"/>
        <v>0.96912815373421313</v>
      </c>
      <c r="J7">
        <f t="shared" si="0"/>
        <v>0.97124676384449027</v>
      </c>
      <c r="K7">
        <f t="shared" si="0"/>
        <v>0.9733090244307121</v>
      </c>
      <c r="L7">
        <f t="shared" si="0"/>
        <v>0.97531127355290825</v>
      </c>
      <c r="M7">
        <f t="shared" si="1"/>
        <v>0.97724986805182079</v>
      </c>
      <c r="N7">
        <f t="shared" si="1"/>
        <v>0.9791212143607767</v>
      </c>
      <c r="O7">
        <f t="shared" si="1"/>
        <v>0.98092180339453061</v>
      </c>
      <c r="P7">
        <f t="shared" si="1"/>
        <v>0.98264824964288278</v>
      </c>
      <c r="Q7">
        <f t="shared" si="1"/>
        <v>0.98429733450858192</v>
      </c>
      <c r="R7">
        <f t="shared" si="1"/>
        <v>0.98586605381145986</v>
      </c>
      <c r="S7">
        <f t="shared" si="1"/>
        <v>0.98735166922903572</v>
      </c>
      <c r="T7">
        <f t="shared" si="1"/>
        <v>0.98875176325331959</v>
      </c>
      <c r="U7">
        <f t="shared" si="1"/>
        <v>0.99006429701015009</v>
      </c>
      <c r="V7">
        <f t="shared" si="1"/>
        <v>0.99128767000840101</v>
      </c>
      <c r="W7">
        <f t="shared" si="1"/>
        <v>0.99242078056128025</v>
      </c>
    </row>
    <row r="8" spans="1:23" x14ac:dyDescent="0.25">
      <c r="B8">
        <v>0.5</v>
      </c>
      <c r="C8">
        <f t="shared" si="0"/>
        <v>0.95994084313618289</v>
      </c>
      <c r="D8">
        <f t="shared" si="0"/>
        <v>0.9621870572995479</v>
      </c>
      <c r="E8">
        <f t="shared" si="0"/>
        <v>0.96439404232427384</v>
      </c>
      <c r="F8">
        <f t="shared" si="0"/>
        <v>0.96655859658087928</v>
      </c>
      <c r="G8">
        <f t="shared" si="0"/>
        <v>0.96867745573741471</v>
      </c>
      <c r="H8">
        <f t="shared" si="0"/>
        <v>0.97074730684334809</v>
      </c>
      <c r="I8">
        <f t="shared" si="0"/>
        <v>0.97276480498626128</v>
      </c>
      <c r="J8">
        <f t="shared" si="0"/>
        <v>0.97472659274822582</v>
      </c>
      <c r="K8">
        <f t="shared" si="0"/>
        <v>0.97662932267937719</v>
      </c>
      <c r="L8">
        <f t="shared" si="0"/>
        <v>0.97846968298743109</v>
      </c>
      <c r="M8">
        <f t="shared" si="1"/>
        <v>0.98024442661121902</v>
      </c>
      <c r="N8">
        <f t="shared" si="1"/>
        <v>0.98195040380095566</v>
      </c>
      <c r="O8">
        <f t="shared" si="1"/>
        <v>0.98358459826471212</v>
      </c>
      <c r="P8">
        <f t="shared" si="1"/>
        <v>0.98514416685602335</v>
      </c>
      <c r="Q8">
        <f t="shared" si="1"/>
        <v>0.98662648266809205</v>
      </c>
      <c r="R8">
        <f t="shared" si="1"/>
        <v>0.98802918126206773</v>
      </c>
      <c r="S8">
        <f t="shared" si="1"/>
        <v>0.98935020958708397</v>
      </c>
      <c r="T8">
        <f t="shared" si="1"/>
        <v>0.99058787694556816</v>
      </c>
      <c r="U8">
        <f t="shared" si="1"/>
        <v>0.99174090711751128</v>
      </c>
      <c r="V8">
        <f t="shared" si="1"/>
        <v>0.99280849048270048</v>
      </c>
      <c r="W8">
        <f t="shared" si="1"/>
        <v>0.99379033467422384</v>
      </c>
    </row>
    <row r="9" spans="1:23" x14ac:dyDescent="0.25">
      <c r="B9">
        <v>0.6</v>
      </c>
      <c r="C9">
        <f t="shared" si="0"/>
        <v>0.96406968088707423</v>
      </c>
      <c r="D9">
        <f t="shared" si="0"/>
        <v>0.96618101424832259</v>
      </c>
      <c r="E9">
        <f t="shared" si="0"/>
        <v>0.96824970264897547</v>
      </c>
      <c r="F9">
        <f t="shared" si="0"/>
        <v>0.97027270889703676</v>
      </c>
      <c r="G9">
        <f t="shared" si="0"/>
        <v>0.97224696399442845</v>
      </c>
      <c r="H9">
        <f t="shared" si="0"/>
        <v>0.97416938348928472</v>
      </c>
      <c r="I9">
        <f t="shared" si="0"/>
        <v>0.97603688633498631</v>
      </c>
      <c r="J9">
        <f t="shared" si="0"/>
        <v>0.97784641642385983</v>
      </c>
      <c r="K9">
        <f t="shared" si="0"/>
        <v>0.9795949669416939</v>
      </c>
      <c r="L9">
        <f t="shared" si="0"/>
        <v>0.98127960765667077</v>
      </c>
      <c r="M9">
        <f t="shared" si="1"/>
        <v>0.98289751521066271</v>
      </c>
      <c r="N9">
        <f t="shared" si="1"/>
        <v>0.98444600641955393</v>
      </c>
      <c r="O9">
        <f t="shared" si="1"/>
        <v>0.98592257450963416</v>
      </c>
      <c r="P9">
        <f t="shared" si="1"/>
        <v>0.98732492811641093</v>
      </c>
      <c r="Q9">
        <f t="shared" si="1"/>
        <v>0.98865103274781108</v>
      </c>
      <c r="R9">
        <f t="shared" si="1"/>
        <v>0.98989915426344599</v>
      </c>
      <c r="S9">
        <f t="shared" si="1"/>
        <v>0.99106790374392784</v>
      </c>
      <c r="T9">
        <f t="shared" si="1"/>
        <v>0.99215628291889535</v>
      </c>
      <c r="U9">
        <f t="shared" si="1"/>
        <v>0.99316372909104689</v>
      </c>
      <c r="V9">
        <f t="shared" si="1"/>
        <v>0.99409015824032565</v>
      </c>
      <c r="W9">
        <f t="shared" si="1"/>
        <v>0.99493600472530463</v>
      </c>
    </row>
    <row r="10" spans="1:23" x14ac:dyDescent="0.25">
      <c r="B10">
        <v>0.7</v>
      </c>
      <c r="C10">
        <f t="shared" si="0"/>
        <v>0.96784322520438626</v>
      </c>
      <c r="D10">
        <f t="shared" si="0"/>
        <v>0.96982122064229781</v>
      </c>
      <c r="E10">
        <f t="shared" si="0"/>
        <v>0.97175372082062006</v>
      </c>
      <c r="F10">
        <f t="shared" si="0"/>
        <v>0.97363788647703964</v>
      </c>
      <c r="G10">
        <f t="shared" si="0"/>
        <v>0.97547087689619361</v>
      </c>
      <c r="H10">
        <f t="shared" si="0"/>
        <v>0.97724986805182079</v>
      </c>
      <c r="I10">
        <f t="shared" si="0"/>
        <v>0.97897207311016909</v>
      </c>
      <c r="J10">
        <f t="shared" si="0"/>
        <v>0.98063476539748684</v>
      </c>
      <c r="K10">
        <f t="shared" si="0"/>
        <v>0.98223530390123148</v>
      </c>
      <c r="L10">
        <f t="shared" si="0"/>
        <v>0.98377116132986453</v>
      </c>
      <c r="M10">
        <f t="shared" si="1"/>
        <v>0.98523995469775305</v>
      </c>
      <c r="N10">
        <f t="shared" si="1"/>
        <v>0.98663947832768129</v>
      </c>
      <c r="O10">
        <f t="shared" si="1"/>
        <v>0.98796773907173285</v>
      </c>
      <c r="P10">
        <f t="shared" si="1"/>
        <v>0.98922299344000109</v>
      </c>
      <c r="Q10">
        <f t="shared" si="1"/>
        <v>0.99040378619428515</v>
      </c>
      <c r="R10">
        <f t="shared" si="1"/>
        <v>0.9915089898099565</v>
      </c>
      <c r="S10">
        <f t="shared" si="1"/>
        <v>0.99253784403396828</v>
      </c>
      <c r="T10">
        <f t="shared" si="1"/>
        <v>0.993489994572619</v>
      </c>
      <c r="U10">
        <f t="shared" si="1"/>
        <v>0.99436552973351766</v>
      </c>
      <c r="V10">
        <f t="shared" si="1"/>
        <v>0.9951650136295519</v>
      </c>
      <c r="W10">
        <f t="shared" si="1"/>
        <v>0.99588951433965567</v>
      </c>
    </row>
    <row r="11" spans="1:23" x14ac:dyDescent="0.25">
      <c r="B11">
        <v>0.8</v>
      </c>
      <c r="C11">
        <f t="shared" si="0"/>
        <v>0.97128344018399815</v>
      </c>
      <c r="D11">
        <f t="shared" si="0"/>
        <v>0.97313047249844897</v>
      </c>
      <c r="E11">
        <f t="shared" si="0"/>
        <v>0.97492971907180315</v>
      </c>
      <c r="F11">
        <f t="shared" si="0"/>
        <v>0.9766785666692418</v>
      </c>
      <c r="G11">
        <f t="shared" si="0"/>
        <v>0.97837442974191546</v>
      </c>
      <c r="H11">
        <f t="shared" si="0"/>
        <v>0.98001476984692537</v>
      </c>
      <c r="I11">
        <f t="shared" si="0"/>
        <v>0.9815971172112371</v>
      </c>
      <c r="J11">
        <f t="shared" si="0"/>
        <v>0.98311909447403878</v>
      </c>
      <c r="K11">
        <f t="shared" si="0"/>
        <v>0.98457844259899263</v>
      </c>
      <c r="L11">
        <f t="shared" si="0"/>
        <v>0.98597304889303117</v>
      </c>
      <c r="M11">
        <f t="shared" si="1"/>
        <v>0.98730097700023178</v>
      </c>
      <c r="N11">
        <f t="shared" si="1"/>
        <v>0.98856049865636386</v>
      </c>
      <c r="O11">
        <f t="shared" si="1"/>
        <v>0.98975012689068897</v>
      </c>
      <c r="P11">
        <f t="shared" si="1"/>
        <v>0.99086865024566873</v>
      </c>
      <c r="Q11">
        <f t="shared" si="1"/>
        <v>0.99191516745228692</v>
      </c>
      <c r="R11">
        <f t="shared" si="1"/>
        <v>0.99288912184959954</v>
      </c>
      <c r="S11">
        <f t="shared" si="1"/>
        <v>0.99379033467422384</v>
      </c>
      <c r="T11">
        <f t="shared" si="1"/>
        <v>0.99461903617301051</v>
      </c>
      <c r="U11">
        <f t="shared" si="1"/>
        <v>0.9953758933168243</v>
      </c>
      <c r="V11">
        <f t="shared" si="1"/>
        <v>0.99606203272497285</v>
      </c>
      <c r="W11">
        <f t="shared" si="1"/>
        <v>0.99667905726178674</v>
      </c>
    </row>
    <row r="12" spans="1:23" x14ac:dyDescent="0.25">
      <c r="B12">
        <v>0.9</v>
      </c>
      <c r="C12">
        <f t="shared" si="0"/>
        <v>0.97441194047836144</v>
      </c>
      <c r="D12">
        <f t="shared" si="0"/>
        <v>0.97613111888135196</v>
      </c>
      <c r="E12">
        <f t="shared" si="0"/>
        <v>0.9778007672556237</v>
      </c>
      <c r="F12">
        <f t="shared" si="0"/>
        <v>0.9794185208944417</v>
      </c>
      <c r="G12">
        <f t="shared" si="0"/>
        <v>0.98098207010284577</v>
      </c>
      <c r="H12">
        <f t="shared" si="0"/>
        <v>0.98248918036829402</v>
      </c>
      <c r="I12">
        <f t="shared" si="0"/>
        <v>0.98393771439617173</v>
      </c>
      <c r="J12">
        <f t="shared" si="0"/>
        <v>0.98532565597611843</v>
      </c>
      <c r="K12">
        <f t="shared" si="0"/>
        <v>0.98665113559422191</v>
      </c>
      <c r="L12">
        <f t="shared" si="0"/>
        <v>0.98791245764394509</v>
      </c>
      <c r="M12">
        <f t="shared" si="1"/>
        <v>0.98910812901414658</v>
      </c>
      <c r="N12">
        <f t="shared" si="1"/>
        <v>0.99023688874489857</v>
      </c>
      <c r="O12">
        <f t="shared" si="1"/>
        <v>0.99129773834062174</v>
      </c>
      <c r="P12">
        <f t="shared" si="1"/>
        <v>0.99228997221560522</v>
      </c>
      <c r="Q12">
        <f t="shared" si="1"/>
        <v>0.99321320762041643</v>
      </c>
      <c r="R12">
        <f t="shared" si="1"/>
        <v>0.99406741326145165</v>
      </c>
      <c r="S12">
        <f t="shared" si="1"/>
        <v>0.99485293568395028</v>
      </c>
      <c r="T12">
        <f t="shared" si="1"/>
        <v>0.99557052234725518</v>
      </c>
      <c r="U12">
        <f t="shared" si="1"/>
        <v>0.9962213401885005</v>
      </c>
      <c r="V12">
        <f t="shared" si="1"/>
        <v>0.99680698835864645</v>
      </c>
      <c r="W12">
        <f t="shared" si="1"/>
        <v>0.99732950373746643</v>
      </c>
    </row>
    <row r="13" spans="1:23" x14ac:dyDescent="0.25">
      <c r="B13">
        <v>1</v>
      </c>
      <c r="C13">
        <f t="shared" ref="C13:L23" si="2">_xlfn.NORM.DIST($B13, throwingmean, throwingstdv + throwingfactor *C$2, TRUE)</f>
        <v>0.97724986805182079</v>
      </c>
      <c r="D13">
        <f t="shared" si="2"/>
        <v>0.97884493863434063</v>
      </c>
      <c r="E13">
        <f t="shared" si="2"/>
        <v>0.98038926046139385</v>
      </c>
      <c r="F13">
        <f t="shared" si="2"/>
        <v>0.98188073420027189</v>
      </c>
      <c r="G13">
        <f t="shared" si="2"/>
        <v>0.98331734052759789</v>
      </c>
      <c r="H13">
        <f t="shared" si="2"/>
        <v>0.98469716052612621</v>
      </c>
      <c r="I13">
        <f t="shared" si="2"/>
        <v>0.98601839761764787</v>
      </c>
      <c r="J13">
        <f t="shared" si="2"/>
        <v>0.98727940093204036</v>
      </c>
      <c r="K13">
        <f t="shared" si="2"/>
        <v>0.98847868995611909</v>
      </c>
      <c r="L13">
        <f t="shared" si="2"/>
        <v>0.98961498023936256</v>
      </c>
      <c r="M13">
        <f t="shared" ref="M13:W23" si="3">_xlfn.NORM.DIST($B13, throwingmean, throwingstdv + throwingfactor *M$2, TRUE)</f>
        <v>0.99068720985629855</v>
      </c>
      <c r="N13">
        <f t="shared" si="3"/>
        <v>0.99169456623730734</v>
      </c>
      <c r="O13">
        <f t="shared" si="3"/>
        <v>0.99263651288131527</v>
      </c>
      <c r="P13">
        <f t="shared" si="3"/>
        <v>0.99351281535665104</v>
      </c>
      <c r="Q13">
        <f t="shared" si="3"/>
        <v>0.9943235658825752</v>
      </c>
      <c r="R13">
        <f t="shared" si="3"/>
        <v>0.99506920566743162</v>
      </c>
      <c r="S13">
        <f t="shared" si="3"/>
        <v>0.99575054406539887</v>
      </c>
      <c r="T13">
        <f t="shared" si="3"/>
        <v>0.99636877350986042</v>
      </c>
      <c r="U13">
        <f t="shared" si="3"/>
        <v>0.99692547909715257</v>
      </c>
      <c r="V13">
        <f t="shared" si="3"/>
        <v>0.99742264164199901</v>
      </c>
      <c r="W13">
        <f t="shared" si="3"/>
        <v>0.99786263301991374</v>
      </c>
    </row>
    <row r="14" spans="1:23" x14ac:dyDescent="0.25">
      <c r="B14">
        <v>1.1000000000000001</v>
      </c>
      <c r="C14">
        <f t="shared" si="2"/>
        <v>0.97981778459429558</v>
      </c>
      <c r="D14">
        <f t="shared" si="2"/>
        <v>0.98129303418367897</v>
      </c>
      <c r="E14">
        <f t="shared" si="2"/>
        <v>0.98271681517805853</v>
      </c>
      <c r="F14">
        <f t="shared" si="2"/>
        <v>0.98408730488766094</v>
      </c>
      <c r="G14">
        <f t="shared" si="2"/>
        <v>0.98540278287955929</v>
      </c>
      <c r="H14">
        <f t="shared" si="2"/>
        <v>0.9866616510953955</v>
      </c>
      <c r="I14">
        <f t="shared" si="2"/>
        <v>0.98786245514015714</v>
      </c>
      <c r="J14">
        <f t="shared" si="2"/>
        <v>0.98900390658142112</v>
      </c>
      <c r="K14">
        <f t="shared" si="2"/>
        <v>0.9900849060392205</v>
      </c>
      <c r="L14">
        <f t="shared" si="2"/>
        <v>0.99110456677879533</v>
      </c>
      <c r="M14">
        <f t="shared" si="3"/>
        <v>0.99206223844209485</v>
      </c>
      <c r="N14">
        <f t="shared" si="3"/>
        <v>0.99295753046970459</v>
      </c>
      <c r="O14">
        <f t="shared" si="3"/>
        <v>0.99379033467422384</v>
      </c>
      <c r="P14">
        <f t="shared" si="3"/>
        <v>0.99456084633132047</v>
      </c>
      <c r="Q14">
        <f t="shared" si="3"/>
        <v>0.99526958305914193</v>
      </c>
      <c r="R14">
        <f t="shared" si="3"/>
        <v>0.99591740066526613</v>
      </c>
      <c r="S14">
        <f t="shared" si="3"/>
        <v>0.99650550505931867</v>
      </c>
      <c r="T14">
        <f t="shared" si="3"/>
        <v>0.99703545926696446</v>
      </c>
      <c r="U14">
        <f t="shared" si="3"/>
        <v>0.99750918454727489</v>
      </c>
      <c r="V14">
        <f t="shared" si="3"/>
        <v>0.99792895462238751</v>
      </c>
      <c r="W14">
        <f t="shared" si="3"/>
        <v>0.99829738208935259</v>
      </c>
    </row>
    <row r="15" spans="1:23" x14ac:dyDescent="0.25">
      <c r="B15">
        <v>1.2</v>
      </c>
      <c r="C15">
        <f t="shared" si="2"/>
        <v>0.98213557943718344</v>
      </c>
      <c r="D15">
        <f t="shared" si="2"/>
        <v>0.98349574210455681</v>
      </c>
      <c r="E15">
        <f t="shared" si="2"/>
        <v>0.98480418351194976</v>
      </c>
      <c r="F15">
        <f t="shared" si="2"/>
        <v>0.98605936350374279</v>
      </c>
      <c r="G15">
        <f t="shared" si="2"/>
        <v>0.98725986335550087</v>
      </c>
      <c r="H15">
        <f t="shared" si="2"/>
        <v>0.98840440514152805</v>
      </c>
      <c r="I15">
        <f t="shared" si="2"/>
        <v>0.98949187188624066</v>
      </c>
      <c r="J15">
        <f t="shared" si="2"/>
        <v>0.99052132828574579</v>
      </c>
      <c r="K15">
        <f t="shared" si="2"/>
        <v>0.99149204172653183</v>
      </c>
      <c r="L15">
        <f t="shared" si="2"/>
        <v>0.99240350326205273</v>
      </c>
      <c r="M15">
        <f t="shared" si="3"/>
        <v>0.99325544813598621</v>
      </c>
      <c r="N15">
        <f t="shared" si="3"/>
        <v>0.99404787536444239</v>
      </c>
      <c r="O15">
        <f t="shared" si="3"/>
        <v>0.99478106581052672</v>
      </c>
      <c r="P15">
        <f t="shared" si="3"/>
        <v>0.99545559810651818</v>
      </c>
      <c r="Q15">
        <f t="shared" si="3"/>
        <v>0.99607236170571123</v>
      </c>
      <c r="R15">
        <f t="shared" si="3"/>
        <v>0.99663256628319929</v>
      </c>
      <c r="S15">
        <f t="shared" si="3"/>
        <v>0.99713774665945876</v>
      </c>
      <c r="T15">
        <f t="shared" si="3"/>
        <v>0.99758976240089414</v>
      </c>
      <c r="U15">
        <f t="shared" si="3"/>
        <v>0.99799079126726198</v>
      </c>
      <c r="V15">
        <f t="shared" si="3"/>
        <v>0.99834331573791169</v>
      </c>
      <c r="W15">
        <f t="shared" si="3"/>
        <v>0.9986501019683699</v>
      </c>
    </row>
    <row r="16" spans="1:23" x14ac:dyDescent="0.25">
      <c r="B16">
        <v>1.3</v>
      </c>
      <c r="C16">
        <f t="shared" si="2"/>
        <v>0.98422239260890954</v>
      </c>
      <c r="D16">
        <f t="shared" si="2"/>
        <v>0.9854725599216041</v>
      </c>
      <c r="E16">
        <f t="shared" si="2"/>
        <v>0.98667118474140514</v>
      </c>
      <c r="F16">
        <f t="shared" si="2"/>
        <v>0.98781701026588054</v>
      </c>
      <c r="G16">
        <f t="shared" si="2"/>
        <v>0.98890891700233552</v>
      </c>
      <c r="H16">
        <f t="shared" si="2"/>
        <v>0.98994594096094168</v>
      </c>
      <c r="I16">
        <f t="shared" si="2"/>
        <v>0.99092729223645926</v>
      </c>
      <c r="J16">
        <f t="shared" si="2"/>
        <v>0.99185237372137502</v>
      </c>
      <c r="K16">
        <f t="shared" si="2"/>
        <v>0.99272079963615401</v>
      </c>
      <c r="L16">
        <f t="shared" si="2"/>
        <v>0.99353241350084198</v>
      </c>
      <c r="M16">
        <f t="shared" si="3"/>
        <v>0.99428730510778573</v>
      </c>
      <c r="N16">
        <f t="shared" si="3"/>
        <v>0.99498582598973795</v>
      </c>
      <c r="O16">
        <f t="shared" si="3"/>
        <v>0.99562860281384891</v>
      </c>
      <c r="P16">
        <f t="shared" si="3"/>
        <v>0.99621654807370474</v>
      </c>
      <c r="Q16">
        <f t="shared" si="3"/>
        <v>0.99675086740336638</v>
      </c>
      <c r="R16">
        <f t="shared" si="3"/>
        <v>0.99723306280512991</v>
      </c>
      <c r="S16">
        <f t="shared" si="3"/>
        <v>0.99766493107341181</v>
      </c>
      <c r="T16">
        <f t="shared" si="3"/>
        <v>0.9980485567187205</v>
      </c>
      <c r="U16">
        <f t="shared" si="3"/>
        <v>0.99838629875681095</v>
      </c>
      <c r="V16">
        <f t="shared" si="3"/>
        <v>0.99868077083778739</v>
      </c>
      <c r="W16">
        <f t="shared" si="3"/>
        <v>0.99893481435657228</v>
      </c>
    </row>
    <row r="17" spans="2:23" x14ac:dyDescent="0.25">
      <c r="B17">
        <v>1.4</v>
      </c>
      <c r="C17">
        <f t="shared" si="2"/>
        <v>0.98609655248650141</v>
      </c>
      <c r="D17">
        <f t="shared" si="2"/>
        <v>0.98724208843039174</v>
      </c>
      <c r="E17">
        <f t="shared" si="2"/>
        <v>0.98833665330160048</v>
      </c>
      <c r="F17">
        <f t="shared" si="2"/>
        <v>0.98937926979223911</v>
      </c>
      <c r="G17">
        <f t="shared" si="2"/>
        <v>0.99036911036340736</v>
      </c>
      <c r="H17">
        <f t="shared" si="2"/>
        <v>0.99130551389665644</v>
      </c>
      <c r="I17">
        <f t="shared" si="2"/>
        <v>0.99218800234452975</v>
      </c>
      <c r="J17">
        <f t="shared" si="2"/>
        <v>0.99301629709024808</v>
      </c>
      <c r="K17">
        <f t="shared" si="2"/>
        <v>0.99379033467422384</v>
      </c>
      <c r="L17">
        <f t="shared" si="2"/>
        <v>0.99451028149084664</v>
      </c>
      <c r="M17">
        <f t="shared" si="3"/>
        <v>0.99517654700468294</v>
      </c>
      <c r="N17">
        <f t="shared" si="3"/>
        <v>0.99578979498334452</v>
      </c>
      <c r="O17">
        <f t="shared" si="3"/>
        <v>0.99635095219800218</v>
      </c>
      <c r="P17">
        <f t="shared" si="3"/>
        <v>0.99686121400590511</v>
      </c>
      <c r="Q17">
        <f t="shared" si="3"/>
        <v>0.99732204620721154</v>
      </c>
      <c r="R17">
        <f t="shared" si="3"/>
        <v>0.99773518256671845</v>
      </c>
      <c r="S17">
        <f t="shared" si="3"/>
        <v>0.99810261741620365</v>
      </c>
      <c r="T17">
        <f t="shared" si="3"/>
        <v>0.99842659281208423</v>
      </c>
      <c r="U17">
        <f t="shared" si="3"/>
        <v>0.99870957982304531</v>
      </c>
      <c r="V17">
        <f t="shared" si="3"/>
        <v>0.99895425366976121</v>
      </c>
      <c r="W17">
        <f t="shared" si="3"/>
        <v>0.99916346263892386</v>
      </c>
    </row>
    <row r="18" spans="2:23" x14ac:dyDescent="0.25">
      <c r="B18">
        <v>1.5</v>
      </c>
      <c r="C18">
        <f t="shared" si="2"/>
        <v>0.98777552734495533</v>
      </c>
      <c r="D18">
        <f t="shared" si="2"/>
        <v>0.98882198867076931</v>
      </c>
      <c r="E18">
        <f t="shared" si="2"/>
        <v>0.989818402138959</v>
      </c>
      <c r="F18">
        <f t="shared" si="2"/>
        <v>0.99076406186531352</v>
      </c>
      <c r="G18">
        <f t="shared" si="2"/>
        <v>0.99165842074571242</v>
      </c>
      <c r="H18">
        <f t="shared" si="2"/>
        <v>0.99250110526320356</v>
      </c>
      <c r="I18">
        <f t="shared" si="2"/>
        <v>0.99329192992302162</v>
      </c>
      <c r="J18">
        <f t="shared" si="2"/>
        <v>0.99403091100447794</v>
      </c>
      <c r="K18">
        <f t="shared" si="2"/>
        <v>0.99471827927308554</v>
      </c>
      <c r="L18">
        <f t="shared" si="2"/>
        <v>0.99535449125135822</v>
      </c>
      <c r="M18">
        <f t="shared" si="3"/>
        <v>0.99594023860462444</v>
      </c>
      <c r="N18">
        <f t="shared" si="3"/>
        <v>0.99647645516170658</v>
      </c>
      <c r="O18">
        <f t="shared" si="3"/>
        <v>0.99696432106288702</v>
      </c>
      <c r="P18">
        <f t="shared" si="3"/>
        <v>0.99740526351334968</v>
      </c>
      <c r="Q18">
        <f t="shared" si="3"/>
        <v>0.99780095362404031</v>
      </c>
      <c r="R18">
        <f t="shared" si="3"/>
        <v>0.9981532988489582</v>
      </c>
      <c r="S18">
        <f t="shared" si="3"/>
        <v>0.9984644305839443</v>
      </c>
      <c r="T18">
        <f t="shared" si="3"/>
        <v>0.99873668658270343</v>
      </c>
      <c r="U18">
        <f t="shared" si="3"/>
        <v>0.99897258797617372</v>
      </c>
      <c r="V18">
        <f t="shared" si="3"/>
        <v>0.99917481085525794</v>
      </c>
      <c r="W18">
        <f t="shared" si="3"/>
        <v>0.99934615259594539</v>
      </c>
    </row>
    <row r="19" spans="2:23" x14ac:dyDescent="0.25">
      <c r="B19">
        <v>1.6</v>
      </c>
      <c r="C19">
        <f t="shared" si="2"/>
        <v>0.98927588997832416</v>
      </c>
      <c r="D19">
        <f t="shared" si="2"/>
        <v>0.99022895255784427</v>
      </c>
      <c r="E19">
        <f t="shared" si="2"/>
        <v>0.99113320025518947</v>
      </c>
      <c r="F19">
        <f t="shared" si="2"/>
        <v>0.99198818684480428</v>
      </c>
      <c r="G19">
        <f t="shared" si="2"/>
        <v>0.99279363050302394</v>
      </c>
      <c r="H19">
        <f t="shared" si="2"/>
        <v>0.99354942653731249</v>
      </c>
      <c r="I19">
        <f t="shared" si="2"/>
        <v>0.99425565940188498</v>
      </c>
      <c r="J19">
        <f t="shared" si="2"/>
        <v>0.99491261367939154</v>
      </c>
      <c r="K19">
        <f t="shared" si="2"/>
        <v>0.99552078367125296</v>
      </c>
      <c r="L19">
        <f t="shared" si="2"/>
        <v>0.99608088120520577</v>
      </c>
      <c r="M19">
        <f t="shared" si="3"/>
        <v>0.99659384124004158</v>
      </c>
      <c r="N19">
        <f t="shared" si="3"/>
        <v>0.99706082482737046</v>
      </c>
      <c r="O19">
        <f t="shared" si="3"/>
        <v>0.99748321898197434</v>
      </c>
      <c r="P19">
        <f t="shared" si="3"/>
        <v>0.99786263301991374</v>
      </c>
      <c r="Q19">
        <f t="shared" si="3"/>
        <v>0.99820089095140607</v>
      </c>
      <c r="R19">
        <f t="shared" si="3"/>
        <v>0.9985000195681506</v>
      </c>
      <c r="S19">
        <f t="shared" si="3"/>
        <v>0.99876223194673974</v>
      </c>
      <c r="T19">
        <f t="shared" si="3"/>
        <v>0.99898990620501338</v>
      </c>
      <c r="U19">
        <f t="shared" si="3"/>
        <v>0.9991855594995066</v>
      </c>
      <c r="V19">
        <f t="shared" si="3"/>
        <v>0.99935181744050361</v>
      </c>
      <c r="W19">
        <f t="shared" si="3"/>
        <v>0.99949137932483567</v>
      </c>
    </row>
    <row r="20" spans="2:23" x14ac:dyDescent="0.25">
      <c r="B20">
        <v>1.7</v>
      </c>
      <c r="C20">
        <f t="shared" si="2"/>
        <v>0.99061329446516144</v>
      </c>
      <c r="D20">
        <f t="shared" si="2"/>
        <v>0.9914786860812399</v>
      </c>
      <c r="E20">
        <f t="shared" si="2"/>
        <v>0.99229676317508175</v>
      </c>
      <c r="F20">
        <f t="shared" si="2"/>
        <v>0.99306732427326405</v>
      </c>
      <c r="G20">
        <f t="shared" si="2"/>
        <v>0.99379033467422384</v>
      </c>
      <c r="H20">
        <f t="shared" si="2"/>
        <v>0.99446593693750274</v>
      </c>
      <c r="I20">
        <f t="shared" si="2"/>
        <v>0.99509446035679117</v>
      </c>
      <c r="J20">
        <f t="shared" si="2"/>
        <v>0.99567642909881338</v>
      </c>
      <c r="K20">
        <f t="shared" si="2"/>
        <v>0.99621256866269048</v>
      </c>
      <c r="L20">
        <f t="shared" si="2"/>
        <v>0.99670381029225796</v>
      </c>
      <c r="M20">
        <f t="shared" si="3"/>
        <v>0.99715129295938176</v>
      </c>
      <c r="N20">
        <f t="shared" si="3"/>
        <v>0.99755636253257118</v>
      </c>
      <c r="O20">
        <f t="shared" si="3"/>
        <v>0.99792056775540883</v>
      </c>
      <c r="P20">
        <f t="shared" si="3"/>
        <v>0.99824565268711207</v>
      </c>
      <c r="Q20">
        <f t="shared" si="3"/>
        <v>0.99853354530660077</v>
      </c>
      <c r="R20">
        <f t="shared" si="3"/>
        <v>0.99878634205533956</v>
      </c>
      <c r="S20">
        <f t="shared" si="3"/>
        <v>0.99900628819602255</v>
      </c>
      <c r="T20">
        <f t="shared" si="3"/>
        <v>0.99919575399596294</v>
      </c>
      <c r="U20">
        <f t="shared" si="3"/>
        <v>0.99935720690637442</v>
      </c>
      <c r="V20">
        <f t="shared" si="3"/>
        <v>0.99949318009983712</v>
      </c>
      <c r="W20">
        <f t="shared" si="3"/>
        <v>0.99960623794332182</v>
      </c>
    </row>
    <row r="21" spans="2:23" x14ac:dyDescent="0.25">
      <c r="B21">
        <v>1.8</v>
      </c>
      <c r="C21">
        <f t="shared" si="2"/>
        <v>0.99180246407540384</v>
      </c>
      <c r="D21">
        <f t="shared" si="2"/>
        <v>0.9925859039167042</v>
      </c>
      <c r="E21">
        <f t="shared" si="2"/>
        <v>0.99332375501779535</v>
      </c>
      <c r="F21">
        <f t="shared" si="2"/>
        <v>0.9940160431794185</v>
      </c>
      <c r="G21">
        <f t="shared" si="2"/>
        <v>0.99466296029774037</v>
      </c>
      <c r="H21">
        <f t="shared" si="2"/>
        <v>0.99526487252223783</v>
      </c>
      <c r="I21">
        <f t="shared" si="2"/>
        <v>0.99582232714110541</v>
      </c>
      <c r="J21">
        <f t="shared" si="2"/>
        <v>0.99633605788946533</v>
      </c>
      <c r="K21">
        <f t="shared" si="2"/>
        <v>0.99680698835864645</v>
      </c>
      <c r="L21">
        <f t="shared" si="2"/>
        <v>0.9972362331748813</v>
      </c>
      <c r="M21">
        <f t="shared" si="3"/>
        <v>0.99762509661539056</v>
      </c>
      <c r="N21">
        <f t="shared" si="3"/>
        <v>0.99797506834174698</v>
      </c>
      <c r="O21">
        <f t="shared" si="3"/>
        <v>0.99828781595757443</v>
      </c>
      <c r="P21">
        <f t="shared" si="3"/>
        <v>0.99856517414304602</v>
      </c>
      <c r="Q21">
        <f t="shared" si="3"/>
        <v>0.99880913018513184</v>
      </c>
      <c r="R21">
        <f t="shared" si="3"/>
        <v>0.99902180581250244</v>
      </c>
      <c r="S21">
        <f t="shared" si="3"/>
        <v>0.99920543535894968</v>
      </c>
      <c r="T21">
        <f t="shared" si="3"/>
        <v>0.99936234041936356</v>
      </c>
      <c r="U21">
        <f t="shared" si="3"/>
        <v>0.99949490132603891</v>
      </c>
      <c r="V21">
        <f t="shared" si="3"/>
        <v>0.99960552595622765</v>
      </c>
      <c r="W21">
        <f t="shared" si="3"/>
        <v>0.99969661657718201</v>
      </c>
    </row>
    <row r="22" spans="2:23" x14ac:dyDescent="0.25">
      <c r="B22">
        <v>1.9</v>
      </c>
      <c r="C22">
        <f t="shared" si="2"/>
        <v>0.99285718926472855</v>
      </c>
      <c r="D22">
        <f t="shared" si="2"/>
        <v>0.99356433425440716</v>
      </c>
      <c r="E22">
        <f t="shared" si="2"/>
        <v>0.9942278008261155</v>
      </c>
      <c r="F22">
        <f t="shared" si="2"/>
        <v>0.99484782257686355</v>
      </c>
      <c r="G22">
        <f t="shared" si="2"/>
        <v>0.995424795737889</v>
      </c>
      <c r="H22">
        <f t="shared" si="2"/>
        <v>0.99595928497776753</v>
      </c>
      <c r="I22">
        <f t="shared" si="2"/>
        <v>0.99645202772823449</v>
      </c>
      <c r="J22">
        <f t="shared" si="2"/>
        <v>0.9969039367509489</v>
      </c>
      <c r="K22">
        <f t="shared" si="2"/>
        <v>0.99731610065702081</v>
      </c>
      <c r="L22">
        <f t="shared" si="2"/>
        <v>0.99768978209323977</v>
      </c>
      <c r="M22">
        <f t="shared" si="3"/>
        <v>0.99802641332185826</v>
      </c>
      <c r="N22">
        <f t="shared" si="3"/>
        <v>0.99832758894694029</v>
      </c>
      <c r="O22">
        <f t="shared" si="3"/>
        <v>0.99859505558209449</v>
      </c>
      <c r="P22">
        <f t="shared" si="3"/>
        <v>0.99883069831415505</v>
      </c>
      <c r="Q22">
        <f t="shared" si="3"/>
        <v>0.99903652389688324</v>
      </c>
      <c r="R22">
        <f t="shared" si="3"/>
        <v>0.99921464070916677</v>
      </c>
      <c r="S22">
        <f t="shared" si="3"/>
        <v>0.99936723563349539</v>
      </c>
      <c r="T22">
        <f t="shared" si="3"/>
        <v>0.99949654815113109</v>
      </c>
      <c r="U22">
        <f t="shared" si="3"/>
        <v>0.99960484210678979</v>
      </c>
      <c r="V22">
        <f t="shared" si="3"/>
        <v>0.99969437576173004</v>
      </c>
      <c r="W22">
        <f t="shared" si="3"/>
        <v>0.99976737092096446</v>
      </c>
    </row>
    <row r="23" spans="2:23" x14ac:dyDescent="0.25">
      <c r="B23">
        <v>2</v>
      </c>
      <c r="C23">
        <f t="shared" si="2"/>
        <v>0.99379033467422384</v>
      </c>
      <c r="D23">
        <f t="shared" si="2"/>
        <v>0.99442673263320192</v>
      </c>
      <c r="E23">
        <f t="shared" si="2"/>
        <v>0.99502150780925247</v>
      </c>
      <c r="F23">
        <f t="shared" si="2"/>
        <v>0.99557508067649803</v>
      </c>
      <c r="G23">
        <f t="shared" si="2"/>
        <v>0.99608802840283917</v>
      </c>
      <c r="H23">
        <f t="shared" si="2"/>
        <v>0.99656108833800094</v>
      </c>
      <c r="I23">
        <f t="shared" si="2"/>
        <v>0.99699515987387455</v>
      </c>
      <c r="J23">
        <f t="shared" si="2"/>
        <v>0.99739130442657642</v>
      </c>
      <c r="K23">
        <f t="shared" si="2"/>
        <v>0.99775074329355862</v>
      </c>
      <c r="L23">
        <f t="shared" si="2"/>
        <v>0.99807485315250621</v>
      </c>
      <c r="M23">
        <f t="shared" si="3"/>
        <v>0.99836515899365319</v>
      </c>
      <c r="N23">
        <f t="shared" si="3"/>
        <v>0.99862332431550138</v>
      </c>
      <c r="O23">
        <f t="shared" si="3"/>
        <v>0.99885113846754769</v>
      </c>
      <c r="P23">
        <f t="shared" si="3"/>
        <v>0.99905050109394478</v>
      </c>
      <c r="Q23">
        <f t="shared" si="3"/>
        <v>0.99922340371983398</v>
      </c>
      <c r="R23">
        <f t="shared" si="3"/>
        <v>0.99937190862726821</v>
      </c>
      <c r="S23">
        <f t="shared" si="3"/>
        <v>0.99949812528874615</v>
      </c>
      <c r="T23">
        <f t="shared" si="3"/>
        <v>0.99960418476031487</v>
      </c>
      <c r="U23">
        <f t="shared" si="3"/>
        <v>0.99969221257784135</v>
      </c>
      <c r="V23">
        <f t="shared" si="3"/>
        <v>0.9997643008419731</v>
      </c>
      <c r="W23">
        <f t="shared" si="3"/>
        <v>0.9998224803096265</v>
      </c>
    </row>
  </sheetData>
  <conditionalFormatting sqref="C3:W23">
    <cfRule type="colorScale" priority="1">
      <colorScale>
        <cfvo type="num" val="0.95"/>
        <cfvo type="num" val="0.98"/>
        <cfvo type="num" val="1"/>
        <color rgb="FFF8696B"/>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148E4-8960-49BB-84B7-B9F77657BF02}">
  <dimension ref="A1:W23"/>
  <sheetViews>
    <sheetView workbookViewId="0">
      <selection activeCell="AA6" sqref="AA6"/>
    </sheetView>
  </sheetViews>
  <sheetFormatPr defaultRowHeight="15" x14ac:dyDescent="0.25"/>
  <cols>
    <col min="3" max="23" width="6.140625" customWidth="1"/>
  </cols>
  <sheetData>
    <row r="1" spans="1:23" x14ac:dyDescent="0.25">
      <c r="C1" t="s">
        <v>309</v>
      </c>
    </row>
    <row r="2" spans="1:23" ht="15.75" thickBot="1" x14ac:dyDescent="0.3">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310</v>
      </c>
      <c r="B3">
        <v>0</v>
      </c>
      <c r="C3" s="168"/>
      <c r="D3" s="169"/>
      <c r="E3" s="169"/>
      <c r="F3" s="169"/>
      <c r="G3" s="169"/>
      <c r="H3" s="169"/>
      <c r="I3" s="169"/>
      <c r="J3" s="169"/>
      <c r="K3" s="169"/>
      <c r="L3" s="169"/>
      <c r="M3" s="170"/>
    </row>
    <row r="4" spans="1:23" x14ac:dyDescent="0.25">
      <c r="B4">
        <v>0.1</v>
      </c>
      <c r="C4" s="171"/>
      <c r="D4" s="32"/>
      <c r="E4" s="32"/>
      <c r="F4" s="32"/>
      <c r="G4" s="32"/>
      <c r="H4" s="32"/>
      <c r="I4" s="32"/>
      <c r="J4" s="32"/>
      <c r="K4" s="32"/>
      <c r="L4" s="32"/>
      <c r="M4" s="172"/>
    </row>
    <row r="5" spans="1:23" x14ac:dyDescent="0.25">
      <c r="B5">
        <v>0.2</v>
      </c>
      <c r="C5" s="171"/>
      <c r="D5" s="32"/>
      <c r="E5" s="32"/>
      <c r="F5" s="32"/>
      <c r="G5" s="32"/>
      <c r="H5" s="32"/>
      <c r="I5" s="32"/>
      <c r="J5" s="32"/>
      <c r="K5" s="32"/>
      <c r="L5" s="32"/>
      <c r="M5" s="172"/>
    </row>
    <row r="6" spans="1:23" x14ac:dyDescent="0.25">
      <c r="B6">
        <v>0.3</v>
      </c>
      <c r="C6" s="171"/>
      <c r="D6" s="32"/>
      <c r="E6" s="32"/>
      <c r="F6" s="32"/>
      <c r="G6" s="32"/>
      <c r="H6" s="32"/>
      <c r="I6" s="32"/>
      <c r="J6" s="32"/>
      <c r="K6" s="32"/>
      <c r="L6" s="32"/>
      <c r="M6" s="172"/>
    </row>
    <row r="7" spans="1:23" x14ac:dyDescent="0.25">
      <c r="B7">
        <v>0.4</v>
      </c>
      <c r="C7" s="171"/>
      <c r="D7" s="32"/>
      <c r="E7" s="32"/>
      <c r="F7" s="32"/>
      <c r="G7" s="32"/>
      <c r="H7" s="32"/>
      <c r="I7" s="32"/>
      <c r="J7" s="32"/>
      <c r="K7" s="32"/>
      <c r="L7" s="32"/>
      <c r="M7" s="172"/>
    </row>
    <row r="8" spans="1:23" x14ac:dyDescent="0.25">
      <c r="B8">
        <v>0.5</v>
      </c>
      <c r="C8" s="171"/>
      <c r="D8" s="32"/>
      <c r="E8" s="32"/>
      <c r="F8" s="32"/>
      <c r="G8" s="32"/>
      <c r="H8" s="32"/>
      <c r="I8" s="32"/>
      <c r="J8" s="32"/>
      <c r="K8" s="32"/>
      <c r="L8" s="32"/>
      <c r="M8" s="172"/>
    </row>
    <row r="9" spans="1:23" x14ac:dyDescent="0.25">
      <c r="B9">
        <v>0.6</v>
      </c>
      <c r="C9" s="171"/>
      <c r="D9" s="32"/>
      <c r="E9" s="32"/>
      <c r="F9" s="32"/>
      <c r="G9" s="32"/>
      <c r="H9" s="32"/>
      <c r="I9" s="32"/>
      <c r="J9" s="32"/>
      <c r="K9" s="32"/>
      <c r="L9" s="32"/>
      <c r="M9" s="172"/>
    </row>
    <row r="10" spans="1:23" x14ac:dyDescent="0.25">
      <c r="B10">
        <v>0.7</v>
      </c>
      <c r="C10" s="171"/>
      <c r="D10" s="32"/>
      <c r="E10" s="32"/>
      <c r="F10" s="32"/>
      <c r="G10" s="32"/>
      <c r="H10" s="32"/>
      <c r="I10" s="32"/>
      <c r="J10" s="32"/>
      <c r="K10" s="32"/>
      <c r="L10" s="32"/>
      <c r="M10" s="172"/>
    </row>
    <row r="11" spans="1:23" x14ac:dyDescent="0.25">
      <c r="B11">
        <v>0.8</v>
      </c>
      <c r="C11" s="171"/>
      <c r="D11" s="32"/>
      <c r="E11" s="32"/>
      <c r="F11" s="32"/>
      <c r="G11" s="32"/>
      <c r="H11" s="32"/>
      <c r="I11" s="32"/>
      <c r="J11" s="32"/>
      <c r="K11" s="32"/>
      <c r="L11" s="32"/>
      <c r="M11" s="172"/>
    </row>
    <row r="12" spans="1:23" x14ac:dyDescent="0.25">
      <c r="B12">
        <v>0.9</v>
      </c>
      <c r="C12" s="171"/>
      <c r="D12" s="32"/>
      <c r="E12" s="32"/>
      <c r="F12" s="32"/>
      <c r="G12" s="32"/>
      <c r="H12" s="32"/>
      <c r="I12" s="32"/>
      <c r="J12" s="32"/>
      <c r="K12" s="32"/>
      <c r="L12" s="32"/>
      <c r="M12" s="172"/>
    </row>
    <row r="13" spans="1:23" ht="15.75" thickBot="1" x14ac:dyDescent="0.3">
      <c r="B13">
        <v>1</v>
      </c>
      <c r="C13" s="173"/>
      <c r="D13" s="174"/>
      <c r="E13" s="174"/>
      <c r="F13" s="174"/>
      <c r="G13" s="174"/>
      <c r="H13" s="174"/>
      <c r="I13" s="174"/>
      <c r="J13" s="174"/>
      <c r="K13" s="174"/>
      <c r="L13" s="174"/>
      <c r="M13" s="175"/>
    </row>
    <row r="14" spans="1:23" x14ac:dyDescent="0.25">
      <c r="B14">
        <v>1.1000000000000001</v>
      </c>
    </row>
    <row r="15" spans="1:23" x14ac:dyDescent="0.25">
      <c r="B15">
        <v>1.2</v>
      </c>
    </row>
    <row r="16" spans="1:23" x14ac:dyDescent="0.25">
      <c r="B16">
        <v>1.3</v>
      </c>
    </row>
    <row r="17" spans="2:2" x14ac:dyDescent="0.25">
      <c r="B17">
        <v>1.4</v>
      </c>
    </row>
    <row r="18" spans="2:2" x14ac:dyDescent="0.25">
      <c r="B18">
        <v>1.5</v>
      </c>
    </row>
    <row r="19" spans="2:2" x14ac:dyDescent="0.25">
      <c r="B19">
        <v>1.6</v>
      </c>
    </row>
    <row r="20" spans="2:2" x14ac:dyDescent="0.25">
      <c r="B20">
        <v>1.7</v>
      </c>
    </row>
    <row r="21" spans="2:2" x14ac:dyDescent="0.25">
      <c r="B21">
        <v>1.8</v>
      </c>
    </row>
    <row r="22" spans="2:2" x14ac:dyDescent="0.25">
      <c r="B22">
        <v>1.9</v>
      </c>
    </row>
    <row r="23" spans="2:2" x14ac:dyDescent="0.25">
      <c r="B2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D36" sqref="D3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K1" workbookViewId="0">
      <selection activeCell="AC15" sqref="AC1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iterative</vt:lpstr>
      <vt:lpstr>quality</vt:lpstr>
      <vt:lpstr>quality 2</vt:lpstr>
      <vt:lpstr>as-run reduct</vt:lpstr>
      <vt:lpstr>reduction</vt:lpstr>
      <vt:lpstr>Sheet2</vt:lpstr>
      <vt:lpstr>Sheet3</vt:lpstr>
      <vt:lpstr>gauss cruncher</vt:lpstr>
      <vt:lpstr>run speed</vt:lpstr>
      <vt:lpstr>pitch outcomes</vt:lpstr>
      <vt:lpstr>hit quality truth table</vt:lpstr>
      <vt:lpstr>dratings</vt:lpstr>
      <vt:lpstr>'quality 2'!home</vt:lpstr>
      <vt:lpstr>home</vt:lpstr>
      <vt:lpstr>oratings</vt:lpstr>
      <vt:lpstr>pitchmod</vt:lpstr>
      <vt:lpstr>pitchstdv</vt:lpstr>
      <vt:lpstr>stratfactor</vt:lpstr>
      <vt:lpstr>throwingfactor</vt:lpstr>
      <vt:lpstr>throwingmean</vt:lpstr>
      <vt:lpstr>throwingstdv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2022-06-11T18:01:10Z</dcterms:modified>
</cp:coreProperties>
</file>