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cgiffenk\Desktop\newpy\xtreemblaseball99\plans\"/>
    </mc:Choice>
  </mc:AlternateContent>
  <xr:revisionPtr revIDLastSave="0" documentId="13_ncr:1_{24DD4418-24DB-4305-B617-38102F732D15}" xr6:coauthVersionLast="47" xr6:coauthVersionMax="47" xr10:uidLastSave="{00000000-0000-0000-0000-000000000000}"/>
  <bookViews>
    <workbookView xWindow="-120" yWindow="-120" windowWidth="29040" windowHeight="15990" xr2:uid="{00000000-000D-0000-FFFF-FFFF00000000}"/>
  </bookViews>
  <sheets>
    <sheet name="iterative" sheetId="2" r:id="rId1"/>
    <sheet name="gauss cruncher" sheetId="5" r:id="rId2"/>
    <sheet name="run speed" sheetId="3" r:id="rId3"/>
    <sheet name="pitch outcomes" sheetId="1" r:id="rId4"/>
    <sheet name="hit quality truth table" sheetId="6" r:id="rId5"/>
  </sheets>
  <definedNames>
    <definedName name="basis">#REF!</definedName>
    <definedName name="bs">#REF!</definedName>
    <definedName name="counts">#REF!</definedName>
    <definedName name="dratings">iterative!$B$2:$L$2</definedName>
    <definedName name="factors">#REF!</definedName>
    <definedName name="home">Table3[[#Headers],[Rep '#]]</definedName>
    <definedName name="ms">#REF!</definedName>
    <definedName name="oratings">iterative!$B$1:$L$1</definedName>
    <definedName name="stratfactor">iterative!$E$26</definedName>
    <definedName name="total">#REF!</definedName>
    <definedName name="values">#REF!</definedName>
    <definedName name="weightedvalues">#REF!</definedName>
    <definedName name="weights">#REF!</definedName>
    <definedName name="zeros">#REF!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8" i="5" l="1"/>
  <c r="AL34" i="2"/>
  <c r="AL32" i="2"/>
  <c r="AG34" i="2"/>
  <c r="AF34" i="2"/>
  <c r="AI34" i="2"/>
  <c r="AI7" i="2" s="1"/>
  <c r="AH32" i="2"/>
  <c r="AH29" i="2"/>
  <c r="AI22" i="2" l="1"/>
  <c r="AI18" i="2"/>
  <c r="AI10" i="2"/>
  <c r="AI21" i="2"/>
  <c r="AI17" i="2"/>
  <c r="AI13" i="2"/>
  <c r="AI9" i="2"/>
  <c r="AI14" i="2"/>
  <c r="AI20" i="2"/>
  <c r="AI16" i="2"/>
  <c r="AI12" i="2"/>
  <c r="AI8" i="2"/>
  <c r="AI19" i="2"/>
  <c r="AI15" i="2"/>
  <c r="AI11" i="2"/>
  <c r="AH34" i="2"/>
  <c r="AH7" i="2" l="1"/>
  <c r="AH11" i="2"/>
  <c r="AH15" i="2"/>
  <c r="AH19" i="2"/>
  <c r="AH8" i="2"/>
  <c r="AH12" i="2"/>
  <c r="AH16" i="2"/>
  <c r="AH20" i="2"/>
  <c r="AH9" i="2"/>
  <c r="AH13" i="2"/>
  <c r="AH17" i="2"/>
  <c r="AH21" i="2"/>
  <c r="AH10" i="2"/>
  <c r="AH14" i="2"/>
  <c r="AH18" i="2"/>
  <c r="AH22" i="2"/>
  <c r="AA41" i="2" l="1"/>
  <c r="AA40" i="2" s="1"/>
  <c r="AA39" i="2"/>
  <c r="AA38" i="2"/>
  <c r="AA31" i="2"/>
  <c r="AA30" i="2"/>
  <c r="AA29" i="2"/>
  <c r="AA28" i="2"/>
  <c r="AF7" i="2" l="1"/>
  <c r="AK7" i="2" s="1" a="1"/>
  <c r="AK7" i="2" s="1"/>
  <c r="AM7" i="2" s="1"/>
  <c r="AN7" i="2" s="1"/>
  <c r="AF11" i="2"/>
  <c r="AK11" i="2" s="1" a="1"/>
  <c r="AK11" i="2" s="1"/>
  <c r="AM11" i="2" s="1"/>
  <c r="AN11" i="2" s="1"/>
  <c r="AF15" i="2"/>
  <c r="AK15" i="2" s="1" a="1"/>
  <c r="AK15" i="2" s="1"/>
  <c r="AM15" i="2" s="1"/>
  <c r="AN15" i="2" s="1"/>
  <c r="AF19" i="2"/>
  <c r="AK19" i="2" s="1" a="1"/>
  <c r="AK19" i="2" s="1"/>
  <c r="AM19" i="2" s="1"/>
  <c r="AN19" i="2" s="1"/>
  <c r="AF13" i="2"/>
  <c r="AK13" i="2" s="1" a="1"/>
  <c r="AK13" i="2" s="1"/>
  <c r="AM13" i="2" s="1"/>
  <c r="AN13" i="2" s="1"/>
  <c r="AF21" i="2"/>
  <c r="AK21" i="2" s="1" a="1"/>
  <c r="AK21" i="2" s="1"/>
  <c r="AM21" i="2" s="1"/>
  <c r="AN21" i="2" s="1"/>
  <c r="AF18" i="2"/>
  <c r="AK18" i="2" s="1" a="1"/>
  <c r="AK18" i="2" s="1"/>
  <c r="AM18" i="2" s="1"/>
  <c r="AN18" i="2" s="1"/>
  <c r="AF8" i="2"/>
  <c r="AK8" i="2" s="1" a="1"/>
  <c r="AK8" i="2" s="1"/>
  <c r="AM8" i="2" s="1"/>
  <c r="AN8" i="2" s="1"/>
  <c r="AF12" i="2"/>
  <c r="AK12" i="2" s="1" a="1"/>
  <c r="AK12" i="2" s="1"/>
  <c r="AM12" i="2" s="1"/>
  <c r="AN12" i="2" s="1"/>
  <c r="AF16" i="2"/>
  <c r="AK16" i="2" s="1" a="1"/>
  <c r="AK16" i="2" s="1"/>
  <c r="AM16" i="2" s="1"/>
  <c r="AN16" i="2" s="1"/>
  <c r="AF20" i="2"/>
  <c r="AK20" i="2" s="1" a="1"/>
  <c r="AK20" i="2" s="1"/>
  <c r="AM20" i="2" s="1"/>
  <c r="AN20" i="2" s="1"/>
  <c r="AF9" i="2"/>
  <c r="AK9" i="2" s="1" a="1"/>
  <c r="AK9" i="2" s="1"/>
  <c r="AM9" i="2" s="1"/>
  <c r="AN9" i="2" s="1"/>
  <c r="AF14" i="2"/>
  <c r="AK14" i="2" s="1" a="1"/>
  <c r="AK14" i="2" s="1"/>
  <c r="AM14" i="2" s="1"/>
  <c r="AN14" i="2" s="1"/>
  <c r="AF22" i="2"/>
  <c r="AK22" i="2" s="1" a="1"/>
  <c r="AK22" i="2" s="1"/>
  <c r="AM22" i="2" s="1"/>
  <c r="AN22" i="2" s="1"/>
  <c r="AF17" i="2"/>
  <c r="AK17" i="2" s="1" a="1"/>
  <c r="AK17" i="2" s="1"/>
  <c r="AM17" i="2" s="1"/>
  <c r="AN17" i="2" s="1"/>
  <c r="AF10" i="2"/>
  <c r="AK10" i="2" s="1" a="1"/>
  <c r="AK10" i="2" s="1"/>
  <c r="AM10" i="2" s="1"/>
  <c r="AN10" i="2" s="1"/>
  <c r="AA32" i="2"/>
  <c r="AA33" i="2" s="1"/>
  <c r="AL10" i="2" l="1"/>
  <c r="AL8" i="2"/>
  <c r="AL17" i="2"/>
  <c r="AL18" i="2"/>
  <c r="AL22" i="2"/>
  <c r="AL16" i="2"/>
  <c r="AL21" i="2"/>
  <c r="AL11" i="2"/>
  <c r="AL9" i="2"/>
  <c r="AL19" i="2"/>
  <c r="AL20" i="2"/>
  <c r="AL15" i="2"/>
  <c r="AL14" i="2"/>
  <c r="AL12" i="2"/>
  <c r="AL13" i="2"/>
  <c r="AL7" i="2"/>
  <c r="Z7" i="2"/>
  <c r="Z11" i="2"/>
  <c r="Z15" i="2"/>
  <c r="Z19" i="2"/>
  <c r="Z18" i="2"/>
  <c r="Z8" i="2"/>
  <c r="Z12" i="2"/>
  <c r="Z16" i="2"/>
  <c r="Z20" i="2"/>
  <c r="Z10" i="2"/>
  <c r="Z14" i="2"/>
  <c r="Z22" i="2"/>
  <c r="Z9" i="2"/>
  <c r="Z13" i="2"/>
  <c r="Z17" i="2"/>
  <c r="Z21" i="2"/>
  <c r="W32" i="2" l="1"/>
  <c r="W7" i="2" s="1"/>
  <c r="X7" i="2" s="1"/>
  <c r="W30" i="2"/>
  <c r="W14" i="2" l="1"/>
  <c r="X14" i="2" s="1"/>
  <c r="W10" i="2"/>
  <c r="X10" i="2" s="1"/>
  <c r="W21" i="2"/>
  <c r="X21" i="2" s="1"/>
  <c r="W17" i="2"/>
  <c r="X17" i="2" s="1"/>
  <c r="W13" i="2"/>
  <c r="X13" i="2" s="1"/>
  <c r="W9" i="2"/>
  <c r="X9" i="2" s="1"/>
  <c r="W22" i="2"/>
  <c r="X22" i="2" s="1"/>
  <c r="W18" i="2"/>
  <c r="X18" i="2" s="1"/>
  <c r="W20" i="2"/>
  <c r="X20" i="2" s="1"/>
  <c r="W16" i="2"/>
  <c r="X16" i="2" s="1"/>
  <c r="W12" i="2"/>
  <c r="X12" i="2" s="1"/>
  <c r="W8" i="2"/>
  <c r="X8" i="2" s="1"/>
  <c r="W19" i="2"/>
  <c r="X19" i="2" s="1"/>
  <c r="W15" i="2"/>
  <c r="X15" i="2" s="1"/>
  <c r="W11" i="2"/>
  <c r="X11" i="2" s="1"/>
  <c r="L8" i="5" l="1"/>
  <c r="N8" i="5"/>
  <c r="P8" i="5"/>
  <c r="R8" i="5"/>
  <c r="S6" i="5"/>
  <c r="S8" i="5" s="1"/>
  <c r="R6" i="5"/>
  <c r="Q6" i="5"/>
  <c r="Q8" i="5" s="1"/>
  <c r="P6" i="5"/>
  <c r="O6" i="5"/>
  <c r="O8" i="5" s="1"/>
  <c r="N6" i="5"/>
  <c r="M6" i="5"/>
  <c r="M8" i="5" s="1"/>
  <c r="L6" i="5"/>
  <c r="E5" i="5"/>
  <c r="H16" i="3"/>
  <c r="I16" i="3"/>
  <c r="J16" i="3"/>
  <c r="K16" i="3"/>
  <c r="L16" i="3"/>
  <c r="M16" i="3"/>
  <c r="N16" i="3"/>
  <c r="O16" i="3"/>
  <c r="P16" i="3"/>
  <c r="Q16" i="3"/>
  <c r="R16" i="3"/>
  <c r="S16" i="3"/>
  <c r="T16" i="3"/>
  <c r="U16" i="3"/>
  <c r="V16" i="3"/>
  <c r="W16" i="3"/>
  <c r="X16" i="3"/>
  <c r="Y16" i="3"/>
  <c r="G16" i="3"/>
  <c r="AA6" i="3"/>
  <c r="AB6" i="3" s="1"/>
  <c r="AA10" i="3"/>
  <c r="AB10" i="3" s="1"/>
  <c r="AA14" i="3"/>
  <c r="AB14" i="3" s="1"/>
  <c r="Z4" i="3"/>
  <c r="Z5" i="3"/>
  <c r="Z18" i="3" s="1"/>
  <c r="Z6" i="3"/>
  <c r="Z7" i="3"/>
  <c r="Z8" i="3"/>
  <c r="Z9" i="3"/>
  <c r="Z10" i="3"/>
  <c r="Z11" i="3"/>
  <c r="Z12" i="3"/>
  <c r="Z13" i="3"/>
  <c r="Z14" i="3"/>
  <c r="Z15" i="3"/>
  <c r="Z3" i="3"/>
  <c r="Z16" i="3" s="1"/>
  <c r="H2" i="3"/>
  <c r="I2" i="3"/>
  <c r="J2" i="3"/>
  <c r="K2" i="3"/>
  <c r="AA4" i="3" s="1"/>
  <c r="AB4" i="3" s="1"/>
  <c r="L2" i="3"/>
  <c r="M2" i="3"/>
  <c r="N2" i="3"/>
  <c r="O2" i="3"/>
  <c r="P2" i="3"/>
  <c r="Q2" i="3"/>
  <c r="R2" i="3"/>
  <c r="S2" i="3"/>
  <c r="T2" i="3"/>
  <c r="U2" i="3"/>
  <c r="V2" i="3"/>
  <c r="W2" i="3"/>
  <c r="X2" i="3"/>
  <c r="Y2" i="3"/>
  <c r="AA7" i="3" s="1"/>
  <c r="AB7" i="3" s="1"/>
  <c r="G2" i="3"/>
  <c r="AA13" i="3" l="1"/>
  <c r="AB13" i="3" s="1"/>
  <c r="AA9" i="3"/>
  <c r="AB9" i="3" s="1"/>
  <c r="AA5" i="3"/>
  <c r="AB5" i="3" s="1"/>
  <c r="Z17" i="3"/>
  <c r="AA3" i="3"/>
  <c r="AA12" i="3"/>
  <c r="AB12" i="3" s="1"/>
  <c r="AA8" i="3"/>
  <c r="AB8" i="3" s="1"/>
  <c r="AA15" i="3"/>
  <c r="AB15" i="3" s="1"/>
  <c r="AA11" i="3"/>
  <c r="AB11" i="3" s="1"/>
  <c r="E8" i="5"/>
  <c r="AA18" i="3" l="1"/>
  <c r="AB3" i="3"/>
  <c r="AB16" i="3" s="1"/>
  <c r="AA17" i="3"/>
  <c r="AA16" i="3"/>
  <c r="A8" i="2"/>
  <c r="C8" i="2" s="1"/>
  <c r="A9" i="2"/>
  <c r="C9" i="2" s="1"/>
  <c r="A10" i="2"/>
  <c r="C10" i="2" s="1"/>
  <c r="A11" i="2"/>
  <c r="C11" i="2" s="1"/>
  <c r="A12" i="2"/>
  <c r="C12" i="2" s="1"/>
  <c r="A13" i="2"/>
  <c r="C13" i="2" s="1"/>
  <c r="A14" i="2"/>
  <c r="B14" i="2" s="1"/>
  <c r="AJ14" i="2" s="1"/>
  <c r="A15" i="2"/>
  <c r="C15" i="2" s="1"/>
  <c r="A16" i="2"/>
  <c r="C16" i="2" s="1"/>
  <c r="A17" i="2"/>
  <c r="C17" i="2" s="1"/>
  <c r="A18" i="2"/>
  <c r="C18" i="2" s="1"/>
  <c r="A19" i="2"/>
  <c r="C19" i="2" s="1"/>
  <c r="A20" i="2"/>
  <c r="C20" i="2" s="1"/>
  <c r="A21" i="2"/>
  <c r="C21" i="2" s="1"/>
  <c r="A22" i="2"/>
  <c r="B22" i="2" s="1"/>
  <c r="AJ22" i="2" s="1"/>
  <c r="A7" i="2"/>
  <c r="C7" i="2" s="1"/>
  <c r="B3" i="2"/>
  <c r="Y22" i="2" l="1"/>
  <c r="AA22" i="2" s="1"/>
  <c r="AG22" i="2"/>
  <c r="Y14" i="2"/>
  <c r="AA14" i="2" s="1"/>
  <c r="AE14" i="2" s="1"/>
  <c r="AG14" i="2"/>
  <c r="AE22" i="2"/>
  <c r="AB22" i="2"/>
  <c r="AC22" i="2"/>
  <c r="P16" i="2"/>
  <c r="R16" i="2" s="1"/>
  <c r="P7" i="2"/>
  <c r="R7" i="2" s="1"/>
  <c r="P19" i="2"/>
  <c r="R19" i="2" s="1"/>
  <c r="P15" i="2"/>
  <c r="R15" i="2" s="1"/>
  <c r="P11" i="2"/>
  <c r="R11" i="2" s="1"/>
  <c r="P21" i="2"/>
  <c r="R21" i="2" s="1"/>
  <c r="L22" i="2"/>
  <c r="M22" i="2" s="1"/>
  <c r="P18" i="2"/>
  <c r="R18" i="2" s="1"/>
  <c r="L14" i="2"/>
  <c r="M14" i="2" s="1"/>
  <c r="P10" i="2"/>
  <c r="R10" i="2" s="1"/>
  <c r="P17" i="2"/>
  <c r="R17" i="2" s="1"/>
  <c r="P13" i="2"/>
  <c r="R13" i="2" s="1"/>
  <c r="P9" i="2"/>
  <c r="R9" i="2" s="1"/>
  <c r="P20" i="2"/>
  <c r="R20" i="2" s="1"/>
  <c r="P12" i="2"/>
  <c r="R12" i="2" s="1"/>
  <c r="P8" i="2"/>
  <c r="R8" i="2" s="1"/>
  <c r="H20" i="2"/>
  <c r="I20" i="2" s="1"/>
  <c r="H16" i="2"/>
  <c r="I16" i="2" s="1"/>
  <c r="H12" i="2"/>
  <c r="I12" i="2" s="1"/>
  <c r="H8" i="2"/>
  <c r="I8" i="2" s="1"/>
  <c r="H7" i="2"/>
  <c r="I7" i="2" s="1"/>
  <c r="H19" i="2"/>
  <c r="I19" i="2" s="1"/>
  <c r="H15" i="2"/>
  <c r="I15" i="2" s="1"/>
  <c r="H11" i="2"/>
  <c r="I11" i="2" s="1"/>
  <c r="D22" i="2"/>
  <c r="K22" i="2"/>
  <c r="H18" i="2"/>
  <c r="I18" i="2" s="1"/>
  <c r="D14" i="2"/>
  <c r="K14" i="2"/>
  <c r="H10" i="2"/>
  <c r="I10" i="2" s="1"/>
  <c r="H21" i="2"/>
  <c r="I21" i="2" s="1"/>
  <c r="H17" i="2"/>
  <c r="I17" i="2" s="1"/>
  <c r="H13" i="2"/>
  <c r="I13" i="2" s="1"/>
  <c r="H9" i="2"/>
  <c r="I9" i="2" s="1"/>
  <c r="G20" i="2"/>
  <c r="G16" i="2"/>
  <c r="G12" i="2"/>
  <c r="G8" i="2"/>
  <c r="G7" i="2"/>
  <c r="G19" i="2"/>
  <c r="G15" i="2"/>
  <c r="G11" i="2"/>
  <c r="G18" i="2"/>
  <c r="G10" i="2"/>
  <c r="G21" i="2"/>
  <c r="G17" i="2"/>
  <c r="G13" i="2"/>
  <c r="G9" i="2"/>
  <c r="B18" i="2"/>
  <c r="AJ18" i="2" s="1"/>
  <c r="B10" i="2"/>
  <c r="AJ10" i="2" s="1"/>
  <c r="B21" i="2"/>
  <c r="AJ21" i="2" s="1"/>
  <c r="B17" i="2"/>
  <c r="AJ17" i="2" s="1"/>
  <c r="B13" i="2"/>
  <c r="AJ13" i="2" s="1"/>
  <c r="B9" i="2"/>
  <c r="AJ9" i="2" s="1"/>
  <c r="C22" i="2"/>
  <c r="C14" i="2"/>
  <c r="B20" i="2"/>
  <c r="AJ20" i="2" s="1"/>
  <c r="B16" i="2"/>
  <c r="AJ16" i="2" s="1"/>
  <c r="B12" i="2"/>
  <c r="AJ12" i="2" s="1"/>
  <c r="B8" i="2"/>
  <c r="AJ8" i="2" s="1"/>
  <c r="B19" i="2"/>
  <c r="AJ19" i="2" s="1"/>
  <c r="B15" i="2"/>
  <c r="AJ15" i="2" s="1"/>
  <c r="B11" i="2"/>
  <c r="AJ11" i="2" s="1"/>
  <c r="B7" i="2"/>
  <c r="AJ7" i="2" s="1"/>
  <c r="C17" i="1"/>
  <c r="D17" i="1"/>
  <c r="E17" i="1"/>
  <c r="F17" i="1"/>
  <c r="B17" i="1"/>
  <c r="AD22" i="2" l="1"/>
  <c r="Y15" i="2"/>
  <c r="AA15" i="2" s="1"/>
  <c r="AE15" i="2" s="1"/>
  <c r="AG15" i="2"/>
  <c r="Y10" i="2"/>
  <c r="AA10" i="2" s="1"/>
  <c r="AE10" i="2" s="1"/>
  <c r="AG10" i="2"/>
  <c r="Y19" i="2"/>
  <c r="AA19" i="2" s="1"/>
  <c r="AE19" i="2" s="1"/>
  <c r="AG19" i="2"/>
  <c r="Y13" i="2"/>
  <c r="AA13" i="2" s="1"/>
  <c r="AB13" i="2" s="1"/>
  <c r="AG13" i="2"/>
  <c r="Y7" i="2"/>
  <c r="AA7" i="2" s="1"/>
  <c r="AE7" i="2" s="1"/>
  <c r="AG7" i="2"/>
  <c r="Y8" i="2"/>
  <c r="AA8" i="2" s="1"/>
  <c r="AC8" i="2" s="1"/>
  <c r="AG8" i="2"/>
  <c r="Y17" i="2"/>
  <c r="AA17" i="2" s="1"/>
  <c r="AE17" i="2" s="1"/>
  <c r="AG17" i="2"/>
  <c r="AB14" i="2"/>
  <c r="Y16" i="2"/>
  <c r="AA16" i="2" s="1"/>
  <c r="AE16" i="2" s="1"/>
  <c r="AG16" i="2"/>
  <c r="Y9" i="2"/>
  <c r="AA9" i="2" s="1"/>
  <c r="AE9" i="2" s="1"/>
  <c r="AG9" i="2"/>
  <c r="Y20" i="2"/>
  <c r="AA20" i="2" s="1"/>
  <c r="AC20" i="2" s="1"/>
  <c r="AG20" i="2"/>
  <c r="Y18" i="2"/>
  <c r="AA18" i="2" s="1"/>
  <c r="AE18" i="2" s="1"/>
  <c r="AG18" i="2"/>
  <c r="AC14" i="2"/>
  <c r="Y11" i="2"/>
  <c r="AA11" i="2" s="1"/>
  <c r="AC11" i="2" s="1"/>
  <c r="AG11" i="2"/>
  <c r="Y12" i="2"/>
  <c r="AA12" i="2" s="1"/>
  <c r="AC12" i="2" s="1"/>
  <c r="AG12" i="2"/>
  <c r="Y21" i="2"/>
  <c r="AA21" i="2" s="1"/>
  <c r="AC21" i="2" s="1"/>
  <c r="AG21" i="2"/>
  <c r="AB7" i="2"/>
  <c r="AE11" i="2"/>
  <c r="AE21" i="2"/>
  <c r="AB21" i="2"/>
  <c r="AC19" i="2"/>
  <c r="AB19" i="2"/>
  <c r="AB20" i="2"/>
  <c r="AB17" i="2"/>
  <c r="AC17" i="2"/>
  <c r="AB15" i="2"/>
  <c r="AC16" i="2"/>
  <c r="J12" i="2"/>
  <c r="T12" i="2" s="1"/>
  <c r="J7" i="2"/>
  <c r="T7" i="2" s="1"/>
  <c r="J20" i="2"/>
  <c r="T20" i="2" s="1"/>
  <c r="J15" i="2"/>
  <c r="T15" i="2" s="1"/>
  <c r="J17" i="2"/>
  <c r="T17" i="2" s="1"/>
  <c r="V12" i="2"/>
  <c r="V21" i="2"/>
  <c r="V20" i="2"/>
  <c r="V7" i="2"/>
  <c r="V17" i="2"/>
  <c r="E11" i="2"/>
  <c r="L11" i="2"/>
  <c r="M11" i="2" s="1"/>
  <c r="L15" i="2"/>
  <c r="M15" i="2" s="1"/>
  <c r="L16" i="2"/>
  <c r="M16" i="2" s="1"/>
  <c r="E9" i="2"/>
  <c r="L9" i="2"/>
  <c r="M9" i="2" s="1"/>
  <c r="L10" i="2"/>
  <c r="M10" i="2" s="1"/>
  <c r="V10" i="2"/>
  <c r="E19" i="2"/>
  <c r="L19" i="2"/>
  <c r="M19" i="2" s="1"/>
  <c r="E20" i="2"/>
  <c r="L20" i="2"/>
  <c r="M20" i="2" s="1"/>
  <c r="E13" i="2"/>
  <c r="L13" i="2"/>
  <c r="M13" i="2" s="1"/>
  <c r="L18" i="2"/>
  <c r="M18" i="2" s="1"/>
  <c r="V19" i="2"/>
  <c r="L7" i="2"/>
  <c r="M7" i="2" s="1"/>
  <c r="L8" i="2"/>
  <c r="M8" i="2" s="1"/>
  <c r="V14" i="2"/>
  <c r="P14" i="2"/>
  <c r="R14" i="2" s="1"/>
  <c r="L17" i="2"/>
  <c r="M17" i="2" s="1"/>
  <c r="V8" i="2"/>
  <c r="V13" i="2"/>
  <c r="V18" i="2"/>
  <c r="V15" i="2"/>
  <c r="E12" i="2"/>
  <c r="L12" i="2"/>
  <c r="M12" i="2" s="1"/>
  <c r="V22" i="2"/>
  <c r="P22" i="2"/>
  <c r="R22" i="2" s="1"/>
  <c r="E21" i="2"/>
  <c r="L21" i="2"/>
  <c r="M21" i="2" s="1"/>
  <c r="V9" i="2"/>
  <c r="V11" i="2"/>
  <c r="V16" i="2"/>
  <c r="J9" i="2"/>
  <c r="T9" i="2" s="1"/>
  <c r="J10" i="2"/>
  <c r="T10" i="2" s="1"/>
  <c r="J13" i="2"/>
  <c r="T13" i="2" s="1"/>
  <c r="J18" i="2"/>
  <c r="T18" i="2" s="1"/>
  <c r="H22" i="2"/>
  <c r="I22" i="2" s="1"/>
  <c r="E22" i="2"/>
  <c r="F22" i="2" s="1"/>
  <c r="N22" i="2" s="1"/>
  <c r="D16" i="2"/>
  <c r="K16" i="2"/>
  <c r="D7" i="2"/>
  <c r="K7" i="2"/>
  <c r="D8" i="2"/>
  <c r="K8" i="2"/>
  <c r="H14" i="2"/>
  <c r="I14" i="2" s="1"/>
  <c r="E14" i="2"/>
  <c r="F14" i="2" s="1"/>
  <c r="N14" i="2" s="1"/>
  <c r="K17" i="2"/>
  <c r="D17" i="2"/>
  <c r="J19" i="2"/>
  <c r="T19" i="2" s="1"/>
  <c r="J16" i="2"/>
  <c r="T16" i="2" s="1"/>
  <c r="E8" i="2"/>
  <c r="E16" i="2"/>
  <c r="D11" i="2"/>
  <c r="K11" i="2"/>
  <c r="K21" i="2"/>
  <c r="D21" i="2"/>
  <c r="D15" i="2"/>
  <c r="K15" i="2"/>
  <c r="D10" i="2"/>
  <c r="K10" i="2"/>
  <c r="J11" i="2"/>
  <c r="T11" i="2" s="1"/>
  <c r="J8" i="2"/>
  <c r="T8" i="2" s="1"/>
  <c r="E17" i="2"/>
  <c r="E10" i="2"/>
  <c r="E15" i="2"/>
  <c r="E7" i="2"/>
  <c r="D12" i="2"/>
  <c r="K12" i="2"/>
  <c r="K9" i="2"/>
  <c r="D9" i="2"/>
  <c r="D19" i="2"/>
  <c r="K19" i="2"/>
  <c r="D20" i="2"/>
  <c r="K20" i="2"/>
  <c r="K13" i="2"/>
  <c r="D13" i="2"/>
  <c r="D18" i="2"/>
  <c r="K18" i="2"/>
  <c r="J21" i="2"/>
  <c r="T21" i="2" s="1"/>
  <c r="E18" i="2"/>
  <c r="G14" i="2"/>
  <c r="G22" i="2"/>
  <c r="AC15" i="2" l="1"/>
  <c r="AB11" i="2"/>
  <c r="AC7" i="2"/>
  <c r="AC9" i="2"/>
  <c r="AE13" i="2"/>
  <c r="AB9" i="2"/>
  <c r="AB8" i="2"/>
  <c r="AB12" i="2"/>
  <c r="AD12" i="2" s="1"/>
  <c r="AC18" i="2"/>
  <c r="AE8" i="2"/>
  <c r="AE12" i="2"/>
  <c r="AC13" i="2"/>
  <c r="AD13" i="2" s="1"/>
  <c r="AB10" i="2"/>
  <c r="AB18" i="2"/>
  <c r="AC10" i="2"/>
  <c r="AB16" i="2"/>
  <c r="AD16" i="2" s="1"/>
  <c r="AE20" i="2"/>
  <c r="AD14" i="2"/>
  <c r="AD17" i="2"/>
  <c r="AD19" i="2"/>
  <c r="AD21" i="2"/>
  <c r="AD15" i="2"/>
  <c r="AD7" i="2"/>
  <c r="AD20" i="2"/>
  <c r="AD11" i="2"/>
  <c r="AD8" i="2"/>
  <c r="F20" i="2"/>
  <c r="N20" i="2" s="1"/>
  <c r="F13" i="2"/>
  <c r="S13" i="2" s="1"/>
  <c r="U13" i="2" s="1"/>
  <c r="F9" i="2"/>
  <c r="S9" i="2" s="1"/>
  <c r="U9" i="2" s="1"/>
  <c r="J22" i="2"/>
  <c r="T22" i="2" s="1"/>
  <c r="F12" i="2"/>
  <c r="N12" i="2" s="1"/>
  <c r="O12" i="2" s="1"/>
  <c r="Q12" i="2" s="1"/>
  <c r="F19" i="2"/>
  <c r="S19" i="2" s="1"/>
  <c r="U19" i="2" s="1"/>
  <c r="F7" i="2"/>
  <c r="S7" i="2" s="1"/>
  <c r="U7" i="2" s="1"/>
  <c r="F21" i="2"/>
  <c r="N21" i="2" s="1"/>
  <c r="O21" i="2" s="1"/>
  <c r="Q21" i="2" s="1"/>
  <c r="F11" i="2"/>
  <c r="S11" i="2" s="1"/>
  <c r="U11" i="2" s="1"/>
  <c r="S14" i="2"/>
  <c r="S22" i="2"/>
  <c r="F10" i="2"/>
  <c r="N10" i="2" s="1"/>
  <c r="J14" i="2"/>
  <c r="T14" i="2" s="1"/>
  <c r="F8" i="2"/>
  <c r="N8" i="2" s="1"/>
  <c r="F18" i="2"/>
  <c r="N18" i="2" s="1"/>
  <c r="F15" i="2"/>
  <c r="N15" i="2" s="1"/>
  <c r="F17" i="2"/>
  <c r="N17" i="2" s="1"/>
  <c r="F16" i="2"/>
  <c r="N16" i="2" s="1"/>
  <c r="AD9" i="2" l="1"/>
  <c r="S20" i="2"/>
  <c r="U20" i="2" s="1"/>
  <c r="AD18" i="2"/>
  <c r="N9" i="2"/>
  <c r="O9" i="2" s="1"/>
  <c r="Q9" i="2" s="1"/>
  <c r="AD10" i="2"/>
  <c r="N13" i="2"/>
  <c r="S21" i="2"/>
  <c r="U21" i="2" s="1"/>
  <c r="U14" i="2"/>
  <c r="U22" i="2"/>
  <c r="N7" i="2"/>
  <c r="O7" i="2" s="1"/>
  <c r="Q7" i="2" s="1"/>
  <c r="N19" i="2"/>
  <c r="N11" i="2"/>
  <c r="O11" i="2" s="1"/>
  <c r="Q11" i="2" s="1"/>
  <c r="S12" i="2"/>
  <c r="U12" i="2" s="1"/>
  <c r="O22" i="2"/>
  <c r="Q22" i="2" s="1"/>
  <c r="O14" i="2"/>
  <c r="Q14" i="2" s="1"/>
  <c r="S8" i="2"/>
  <c r="U8" i="2" s="1"/>
  <c r="S10" i="2"/>
  <c r="U10" i="2" s="1"/>
  <c r="S15" i="2"/>
  <c r="U15" i="2" s="1"/>
  <c r="S17" i="2"/>
  <c r="U17" i="2" s="1"/>
  <c r="S16" i="2"/>
  <c r="U16" i="2" s="1"/>
  <c r="S18" i="2"/>
  <c r="U18" i="2" s="1"/>
  <c r="O10" i="2"/>
  <c r="Q10" i="2" s="1"/>
  <c r="O19" i="2"/>
  <c r="Q19" i="2" s="1"/>
  <c r="O16" i="2"/>
  <c r="Q16" i="2" s="1"/>
  <c r="O20" i="2"/>
  <c r="Q20" i="2" s="1"/>
  <c r="O13" i="2"/>
  <c r="Q13" i="2" s="1"/>
  <c r="O18" i="2"/>
  <c r="Q18" i="2" s="1"/>
  <c r="O17" i="2"/>
  <c r="Q17" i="2" s="1"/>
  <c r="O15" i="2"/>
  <c r="Q15" i="2" s="1"/>
  <c r="O8" i="2"/>
  <c r="Q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Kayla McGiffen</author>
  </authors>
  <commentList>
    <comment ref="AF5" authorId="0" shapeId="0" xr:uid="{5526C213-69A1-4BFD-9AF8-C4E63A295006}">
      <text>
        <r>
          <rPr>
            <sz val="9"/>
            <color indexed="81"/>
            <rFont val="Tahoma"/>
            <family val="2"/>
          </rPr>
          <t>this is a lot of the same issues as hit targeting?</t>
        </r>
      </text>
    </comment>
    <comment ref="D6" authorId="0" shapeId="0" xr:uid="{00000000-0006-0000-0000-000001000000}">
      <text>
        <r>
          <rPr>
            <sz val="9"/>
            <color indexed="81"/>
            <rFont val="Tahoma"/>
            <family val="2"/>
          </rPr>
          <t>MLB average is about 10 feet for a 90 foot basepath, or a little above 0.1</t>
        </r>
      </text>
    </comment>
    <comment ref="G6" authorId="0" shapeId="0" xr:uid="{00000000-0006-0000-0000-000002000000}">
      <text>
        <r>
          <rPr>
            <sz val="9"/>
            <color indexed="81"/>
            <rFont val="Tahoma"/>
            <family val="2"/>
          </rPr>
          <t>0.9 - 1 second approx</t>
        </r>
      </text>
    </comment>
    <comment ref="H6" authorId="0" shapeId="0" xr:uid="{00000000-0006-0000-0000-000003000000}">
      <text>
        <r>
          <rPr>
            <sz val="9"/>
            <color indexed="81"/>
            <rFont val="Tahoma"/>
            <family val="2"/>
          </rPr>
          <t>(0.01 - 0.005 s/ft)</t>
        </r>
      </text>
    </comment>
    <comment ref="J6" authorId="0" shapeId="0" xr:uid="{00000000-0006-0000-0000-000004000000}">
      <text>
        <r>
          <rPr>
            <sz val="9"/>
            <color indexed="81"/>
            <rFont val="Tahoma"/>
            <family val="2"/>
          </rPr>
          <t>pickoff time is 1.3 - 1.5 seconds</t>
        </r>
      </text>
    </comment>
    <comment ref="K6" authorId="0" shapeId="0" xr:uid="{00000000-0006-0000-0000-000005000000}">
      <text>
        <r>
          <rPr>
            <sz val="9"/>
            <color indexed="81"/>
            <rFont val="Tahoma"/>
            <family val="2"/>
          </rPr>
          <t>0.8 - 1</t>
        </r>
      </text>
    </comment>
    <comment ref="L6" authorId="0" shapeId="0" xr:uid="{00000000-0006-0000-0000-000006000000}">
      <text>
        <r>
          <rPr>
            <sz val="9"/>
            <color indexed="81"/>
            <rFont val="Tahoma"/>
            <family val="2"/>
          </rPr>
          <t>0.035 - 0.050</t>
        </r>
      </text>
    </comment>
    <comment ref="P6" authorId="0" shapeId="0" xr:uid="{00000000-0006-0000-0000-000007000000}">
      <text>
        <r>
          <rPr>
            <sz val="9"/>
            <color indexed="81"/>
            <rFont val="Tahoma"/>
            <family val="2"/>
          </rPr>
          <t>MLB FP is 0.985 average, with a minimum around 0.95</t>
        </r>
      </text>
    </comment>
    <comment ref="X6" authorId="0" shapeId="0" xr:uid="{B5D1D0D3-DA2D-4D75-9B34-0F3E11A9E82E}">
      <text>
        <r>
          <rPr>
            <sz val="9"/>
            <color indexed="81"/>
            <rFont val="Tahoma"/>
            <family val="2"/>
          </rPr>
          <t>modifier for pitch read</t>
        </r>
      </text>
    </comment>
    <comment ref="Z6" authorId="0" shapeId="0" xr:uid="{E64EC8D7-40F7-410F-9574-1834399D7CBA}">
      <text>
        <r>
          <rPr>
            <sz val="9"/>
            <color indexed="81"/>
            <rFont val="Tahoma"/>
            <family val="2"/>
          </rPr>
          <t>negative 1 to positive 1
negative 1: striaght to third base
positive 1: straight to first base
do not worry about fouls in this calculation</t>
        </r>
      </text>
    </comment>
    <comment ref="AE6" authorId="0" shapeId="0" xr:uid="{78A19D0D-ED6C-46F4-A408-F5A6D2C23C68}">
      <text>
        <r>
          <rPr>
            <sz val="9"/>
            <color indexed="81"/>
            <rFont val="Tahoma"/>
            <family val="2"/>
          </rPr>
          <t xml:space="preserve">foul percent assuming target is right down the middle to 2nd. Should be very close to zero as actual fouls come from hit quality fuzzing (players basically should never accept fouls to get steer)
</t>
        </r>
      </text>
    </comment>
    <comment ref="AI6" authorId="0" shapeId="0" xr:uid="{7FB6F74D-C6BF-4F8E-A4DE-D1AFBFA9BA38}">
      <text>
        <r>
          <rPr>
            <sz val="9"/>
            <color indexed="81"/>
            <rFont val="Tahoma"/>
            <family val="2"/>
          </rPr>
          <t>at two outs, runners on base are less critical</t>
        </r>
      </text>
    </comment>
    <comment ref="AK6" authorId="0" shapeId="0" xr:uid="{A4D80CCE-A2B4-4732-B1A0-AC7EEBD37D7D}">
      <text>
        <r>
          <rPr>
            <sz val="9"/>
            <color indexed="81"/>
            <rFont val="Tahoma"/>
            <family val="2"/>
          </rPr>
          <t>cap the defense contribution because you don't want to throw too wide - 1 should be "exactly ideal"</t>
        </r>
      </text>
    </comment>
    <comment ref="AM6" authorId="0" shapeId="0" xr:uid="{F3290D02-D257-4972-96A2-CC4C60A9AFDE}">
      <text>
        <r>
          <rPr>
            <sz val="9"/>
            <color indexed="81"/>
            <rFont val="Tahoma"/>
            <family val="2"/>
          </rPr>
          <t>oh god I swear this makes sense somehow
MLB strike percent is about 65% strikes</t>
        </r>
      </text>
    </comment>
    <comment ref="AN6" authorId="0" shapeId="0" xr:uid="{A7127813-21E8-485B-ABDB-12F604DB7038}">
      <text>
        <r>
          <rPr>
            <sz val="9"/>
            <color indexed="81"/>
            <rFont val="Tahoma"/>
            <family val="2"/>
          </rPr>
          <t xml:space="preserve">a ton of work needs to be done to dial in the pitch curves, so we use a placeholder gaussian curve
</t>
        </r>
      </text>
    </comment>
    <comment ref="AH26" authorId="0" shapeId="0" xr:uid="{246EB7CA-2F63-49E7-863F-0B68F2A116B9}">
      <text>
        <r>
          <rPr>
            <sz val="9"/>
            <color indexed="81"/>
            <rFont val="Tahoma"/>
            <family val="2"/>
          </rPr>
          <t>how many runners advance on a walk</t>
        </r>
      </text>
    </comment>
    <comment ref="W30" authorId="0" shapeId="0" xr:uid="{D8DCA7B9-678E-47DB-93A1-F525ACF3FE9E}">
      <text>
        <r>
          <rPr>
            <sz val="9"/>
            <color indexed="81"/>
            <rFont val="Tahoma"/>
            <family val="2"/>
          </rPr>
          <t>higher = more strikes</t>
        </r>
      </text>
    </comment>
    <comment ref="AF31" authorId="0" shapeId="0" xr:uid="{080A9050-38C4-44EF-984F-F1EB60F9CF1E}">
      <text>
        <r>
          <rPr>
            <sz val="9"/>
            <color indexed="81"/>
            <rFont val="Tahoma"/>
            <family val="2"/>
          </rPr>
          <t>MLB first pitch strike rate is about 58%</t>
        </r>
      </text>
    </comment>
    <comment ref="X32" authorId="0" shapeId="0" xr:uid="{EA3D68F0-83F8-43D1-BC3E-EBDFBE194F23}">
      <text>
        <r>
          <rPr>
            <sz val="9"/>
            <color indexed="81"/>
            <rFont val="Tahoma"/>
            <family val="2"/>
          </rPr>
          <t>ball factor for 100% desperation</t>
        </r>
      </text>
    </comment>
    <comment ref="X34" authorId="0" shapeId="0" xr:uid="{7E552806-34C7-44CA-B1E5-89A0535C46A0}">
      <text>
        <r>
          <rPr>
            <sz val="9"/>
            <color indexed="81"/>
            <rFont val="Tahoma"/>
            <family val="2"/>
          </rPr>
          <t>Lowest desperation modifier</t>
        </r>
      </text>
    </comment>
    <comment ref="AF34" authorId="0" shapeId="0" xr:uid="{2D594F3D-E80F-4E82-B70F-2DCBED2E888D}">
      <text>
        <r>
          <rPr>
            <sz val="9"/>
            <color indexed="81"/>
            <rFont val="Tahoma"/>
            <family val="2"/>
          </rPr>
          <t>higher = more strikes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<sst xmlns="http://schemas.openxmlformats.org/spreadsheetml/2006/main" count="286" uniqueCount="211">
  <si>
    <t>Ball</t>
  </si>
  <si>
    <t>Foul</t>
  </si>
  <si>
    <t>Strike, Swinging</t>
  </si>
  <si>
    <t>Strike, Looking</t>
  </si>
  <si>
    <t>Ball In Play</t>
  </si>
  <si>
    <t>offense ratings</t>
  </si>
  <si>
    <t>defense ratings</t>
  </si>
  <si>
    <t>perms</t>
  </si>
  <si>
    <t>Rep #</t>
  </si>
  <si>
    <t>offense</t>
  </si>
  <si>
    <t>defense</t>
  </si>
  <si>
    <t>base leadoff</t>
  </si>
  <si>
    <t>leadoff modifier</t>
  </si>
  <si>
    <t>total leadoff (ft)</t>
  </si>
  <si>
    <t>R</t>
  </si>
  <si>
    <t>1B</t>
  </si>
  <si>
    <t xml:space="preserve"> Pujols, Albert</t>
  </si>
  <si>
    <t xml:space="preserve"> LAD</t>
  </si>
  <si>
    <t xml:space="preserve"> Posey, Buster</t>
  </si>
  <si>
    <t xml:space="preserve"> SF</t>
  </si>
  <si>
    <t>C</t>
  </si>
  <si>
    <t>Rk.</t>
  </si>
  <si>
    <t>Player</t>
  </si>
  <si>
    <t>Bats</t>
  </si>
  <si>
    <t>Team</t>
  </si>
  <si>
    <t>Position</t>
  </si>
  <si>
    <t>Age</t>
  </si>
  <si>
    <t>0ft</t>
  </si>
  <si>
    <t>5ft</t>
  </si>
  <si>
    <t>10ft</t>
  </si>
  <si>
    <t>15ft</t>
  </si>
  <si>
    <t>20ft</t>
  </si>
  <si>
    <t>25ft</t>
  </si>
  <si>
    <t>30ft</t>
  </si>
  <si>
    <t>35ft</t>
  </si>
  <si>
    <t>40ft</t>
  </si>
  <si>
    <t>45ft</t>
  </si>
  <si>
    <t>50ft</t>
  </si>
  <si>
    <t>55ft</t>
  </si>
  <si>
    <t>60ft</t>
  </si>
  <si>
    <t>65ft</t>
  </si>
  <si>
    <t>70ft</t>
  </si>
  <si>
    <t>75ft</t>
  </si>
  <si>
    <t>80ft</t>
  </si>
  <si>
    <t>85ft</t>
  </si>
  <si>
    <t>90ft</t>
  </si>
  <si>
    <t xml:space="preserve"> Craig, Will</t>
  </si>
  <si>
    <t xml:space="preserve"> PIT</t>
  </si>
  <si>
    <t xml:space="preserve"> Garver, Mitch</t>
  </si>
  <si>
    <t xml:space="preserve"> MIN</t>
  </si>
  <si>
    <t xml:space="preserve"> Stephenson, Tyler</t>
  </si>
  <si>
    <t xml:space="preserve"> CIN</t>
  </si>
  <si>
    <t xml:space="preserve"> Bauers, Jake</t>
  </si>
  <si>
    <t>L</t>
  </si>
  <si>
    <t xml:space="preserve"> SEA</t>
  </si>
  <si>
    <t xml:space="preserve"> Davis, Jonathan</t>
  </si>
  <si>
    <t xml:space="preserve"> NYY</t>
  </si>
  <si>
    <t>CF</t>
  </si>
  <si>
    <t xml:space="preserve"> Reynolds, Bryan</t>
  </si>
  <si>
    <t xml:space="preserve"> Dyson, Jarrod</t>
  </si>
  <si>
    <t xml:space="preserve"> TOR</t>
  </si>
  <si>
    <t xml:space="preserve"> Ohtani, Shohei</t>
  </si>
  <si>
    <t xml:space="preserve"> LAA</t>
  </si>
  <si>
    <t>DH</t>
  </si>
  <si>
    <t>LF</t>
  </si>
  <si>
    <t xml:space="preserve"> Jiménez, Eloy</t>
  </si>
  <si>
    <t xml:space="preserve"> CWS</t>
  </si>
  <si>
    <t xml:space="preserve"> India, Jonathan</t>
  </si>
  <si>
    <t>2B</t>
  </si>
  <si>
    <t xml:space="preserve"> Fletcher, David</t>
  </si>
  <si>
    <t>reaction</t>
  </si>
  <si>
    <t>pickoff reaction 10ft</t>
  </si>
  <si>
    <t>speed (seconds per foot)</t>
  </si>
  <si>
    <t>pickoff time</t>
  </si>
  <si>
    <t>runner reaction</t>
  </si>
  <si>
    <t>throw speed (mph)</t>
  </si>
  <si>
    <t>runner speed (s/ft)</t>
  </si>
  <si>
    <t>throw speed (s/ft)</t>
  </si>
  <si>
    <t>pickoff manuver (s)</t>
  </si>
  <si>
    <t>runner speed (mph)</t>
  </si>
  <si>
    <t>pickoff evade time</t>
  </si>
  <si>
    <t>stdv:</t>
  </si>
  <si>
    <t>awe factor:</t>
  </si>
  <si>
    <t>force factor:</t>
  </si>
  <si>
    <t>timing factor:</t>
  </si>
  <si>
    <t>speed factor:</t>
  </si>
  <si>
    <t>stdv</t>
  </si>
  <si>
    <t>mean:</t>
  </si>
  <si>
    <t>pickoff probability</t>
  </si>
  <si>
    <t>bravery factor:</t>
  </si>
  <si>
    <t>strat factor:</t>
  </si>
  <si>
    <t>const:</t>
  </si>
  <si>
    <t>INVERTER BOX:</t>
  </si>
  <si>
    <t>probability</t>
  </si>
  <si>
    <t>z score</t>
  </si>
  <si>
    <t>stdev:</t>
  </si>
  <si>
    <t>x:</t>
  </si>
  <si>
    <t>GUASS CRUNCHER</t>
  </si>
  <si>
    <t>DOUBLE GAUSS CRUNCHER</t>
  </si>
  <si>
    <t>x</t>
  </si>
  <si>
    <t>prob:</t>
  </si>
  <si>
    <t>targets:</t>
  </si>
  <si>
    <t>diff:</t>
  </si>
  <si>
    <t>fielding fuzzer:</t>
  </si>
  <si>
    <t>Fielding Odds</t>
  </si>
  <si>
    <t>pickoff worth it?</t>
  </si>
  <si>
    <t>Error %</t>
  </si>
  <si>
    <t>Blatant steal time</t>
  </si>
  <si>
    <t>Response speed</t>
  </si>
  <si>
    <t>reaction factor</t>
  </si>
  <si>
    <t>blatant steal probability</t>
  </si>
  <si>
    <t>defense fear</t>
  </si>
  <si>
    <t>quality</t>
  </si>
  <si>
    <t>distance</t>
  </si>
  <si>
    <t>launch</t>
  </si>
  <si>
    <t>field</t>
  </si>
  <si>
    <t>result</t>
  </si>
  <si>
    <t>low</t>
  </si>
  <si>
    <t>high</t>
  </si>
  <si>
    <t>infield ground out</t>
  </si>
  <si>
    <t>single or fielder's choice</t>
  </si>
  <si>
    <t>double line drive</t>
  </si>
  <si>
    <t>foul</t>
  </si>
  <si>
    <t>fly out</t>
  </si>
  <si>
    <t>HR</t>
  </si>
  <si>
    <t>Column44</t>
  </si>
  <si>
    <t>Column45</t>
  </si>
  <si>
    <t>Column46</t>
  </si>
  <si>
    <t>Column47</t>
  </si>
  <si>
    <t>Column48</t>
  </si>
  <si>
    <t>Column49</t>
  </si>
  <si>
    <t>Column50</t>
  </si>
  <si>
    <t>Column51</t>
  </si>
  <si>
    <t>Column52</t>
  </si>
  <si>
    <t>Column53</t>
  </si>
  <si>
    <t>Column54</t>
  </si>
  <si>
    <t>Column55</t>
  </si>
  <si>
    <t>Column56</t>
  </si>
  <si>
    <t>Column57</t>
  </si>
  <si>
    <t>Column58</t>
  </si>
  <si>
    <t>count</t>
  </si>
  <si>
    <t>leadoff + pickoff</t>
  </si>
  <si>
    <t>base stats</t>
  </si>
  <si>
    <t>steals</t>
  </si>
  <si>
    <t>hit intent</t>
  </si>
  <si>
    <t>net count</t>
  </si>
  <si>
    <t>balls</t>
  </si>
  <si>
    <t>strikes</t>
  </si>
  <si>
    <t>balls over</t>
  </si>
  <si>
    <t>ball factor</t>
  </si>
  <si>
    <t>bonus ball</t>
  </si>
  <si>
    <t>desperation</t>
  </si>
  <si>
    <t>player control</t>
  </si>
  <si>
    <t>third base v</t>
  </si>
  <si>
    <t>second base ^</t>
  </si>
  <si>
    <t>first base:</t>
  </si>
  <si>
    <t>base simulator:</t>
  </si>
  <si>
    <t>desp midpoint</t>
  </si>
  <si>
    <t>desp floor</t>
  </si>
  <si>
    <t>modifiers:</t>
  </si>
  <si>
    <t>first</t>
  </si>
  <si>
    <t>second</t>
  </si>
  <si>
    <t>third</t>
  </si>
  <si>
    <t>zero:</t>
  </si>
  <si>
    <t>actual?</t>
  </si>
  <si>
    <t>ideal steer</t>
  </si>
  <si>
    <t>sb mod:</t>
  </si>
  <si>
    <t>control at 0:</t>
  </si>
  <si>
    <t>control at 1:</t>
  </si>
  <si>
    <t>control at 2:</t>
  </si>
  <si>
    <t>scaled control</t>
  </si>
  <si>
    <t>seg 1 offset:</t>
  </si>
  <si>
    <t>seg 1 mult:</t>
  </si>
  <si>
    <t>seg 2 offset:</t>
  </si>
  <si>
    <t>seg 2 mult:</t>
  </si>
  <si>
    <t>base stdev</t>
  </si>
  <si>
    <t>accuracy scalar</t>
  </si>
  <si>
    <t>unmod foul percent 3rd</t>
  </si>
  <si>
    <t>unmod foul percent 1st</t>
  </si>
  <si>
    <t>total unmod foul percent</t>
  </si>
  <si>
    <t>unmod dead center foul%</t>
  </si>
  <si>
    <t>bad control calcs</t>
  </si>
  <si>
    <t>pitch location</t>
  </si>
  <si>
    <t>hitter discipline bias</t>
  </si>
  <si>
    <t>weight:</t>
  </si>
  <si>
    <t>power bias</t>
  </si>
  <si>
    <t>discipline (sample)</t>
  </si>
  <si>
    <t>power (sample)</t>
  </si>
  <si>
    <t>bases loaded</t>
  </si>
  <si>
    <t>number of outs</t>
  </si>
  <si>
    <t>current hitter vs next hitter</t>
  </si>
  <si>
    <t>runners to walk</t>
  </si>
  <si>
    <t>RtW scaled</t>
  </si>
  <si>
    <t>note: negative means inside bias (easier to hit, more strikes)</t>
  </si>
  <si>
    <t>runner on third?</t>
  </si>
  <si>
    <t>Total:</t>
  </si>
  <si>
    <t>outs:</t>
  </si>
  <si>
    <t>scaled:</t>
  </si>
  <si>
    <t>next hitter:</t>
  </si>
  <si>
    <t>first pitch bias</t>
  </si>
  <si>
    <t>Column1</t>
  </si>
  <si>
    <t>Column2</t>
  </si>
  <si>
    <t>calling modifier</t>
  </si>
  <si>
    <t>base:</t>
  </si>
  <si>
    <t>sigmoid strike percent</t>
  </si>
  <si>
    <t>width:</t>
  </si>
  <si>
    <t>vert scale</t>
  </si>
  <si>
    <t>min:</t>
  </si>
  <si>
    <t>max:</t>
  </si>
  <si>
    <t>tanh strike percent</t>
  </si>
  <si>
    <t>XYZZY - called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</si>
</sst>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0"/>
      <color rgb="FF252C2F"/>
      <name val="Arial"/>
      <family val="2"/>
    </font>
    <font>
      <sz val="11"/>
      <color theme="1"/>
      <name val="Calibri"/>
      <family val="2"/>
      <scheme val="minor"/>
    </font>
    <font>
      <sz val="11"/>
      <color rgb="FF9C6500"/>
      <name val="Calibri"/>
      <family val="2"/>
      <scheme val="minor"/>
    </font>
    <font>
      <sz val="9"/>
      <color indexed="81"/>
      <name val="Tahoma"/>
      <family val="2"/>
    </font>
    <font>
      <b/>
      <sz val="11"/>
      <color theme="1"/>
      <name val="Calibri"/>
      <family val="2"/>
      <scheme val="minor"/>
    </font>
    <font>
      <strike/>
      <sz val="11"/>
      <color theme="1"/>
      <name val="Calibri"/>
      <family val="2"/>
      <scheme val="minor"/>
    </font>
    <font>
      <i/>
      <sz val="11"/>
      <color theme="1"/>
      <name val="Calibri"/>
      <family val="2"/>
      <scheme val="minor"/>
    </font>
  </fonts>
  <fills count="11">
    <fill>
      <patternFill patternType="none"/>
    </fill>
    <fill>
      <patternFill patternType="gray125"/>
    </fill>
    <fill>
      <patternFill patternType="solid">
        <fgColor rgb="FFFFEB9C"/>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2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top style="double">
        <color auto="1"/>
      </top>
      <bottom style="medium">
        <color indexed="64"/>
      </bottom>
      <diagonal/>
    </border>
    <border>
      <left/>
      <right/>
      <top style="double">
        <color auto="1"/>
      </top>
      <bottom style="medium">
        <color indexed="64"/>
      </bottom>
      <diagonal/>
    </border>
    <border>
      <left/>
      <right style="double">
        <color auto="1"/>
      </right>
      <top style="double">
        <color auto="1"/>
      </top>
      <bottom style="medium">
        <color indexed="64"/>
      </bottom>
      <diagonal/>
    </border>
    <border>
      <left style="medium">
        <color indexed="64"/>
      </left>
      <right style="medium">
        <color indexed="64"/>
      </right>
      <top style="medium">
        <color indexed="64"/>
      </top>
      <bottom style="double">
        <color auto="1"/>
      </bottom>
      <diagonal/>
    </border>
    <border>
      <left style="medium">
        <color indexed="64"/>
      </left>
      <right style="double">
        <color auto="1"/>
      </right>
      <top style="medium">
        <color indexed="64"/>
      </top>
      <bottom style="double">
        <color auto="1"/>
      </bottom>
      <diagonal/>
    </border>
    <border>
      <left style="double">
        <color auto="1"/>
      </left>
      <right/>
      <top/>
      <bottom style="medium">
        <color indexed="64"/>
      </bottom>
      <diagonal/>
    </border>
    <border>
      <left/>
      <right/>
      <top/>
      <bottom style="medium">
        <color indexed="64"/>
      </bottom>
      <diagonal/>
    </border>
    <border>
      <left/>
      <right style="double">
        <color auto="1"/>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9" fontId="2" fillId="0" borderId="0" applyFont="0" applyFill="0" applyBorder="0" applyAlignment="0" applyProtection="0"/>
    <xf numFmtId="0" fontId="3" fillId="2" borderId="0" applyNumberFormat="0" applyBorder="0" applyAlignment="0" applyProtection="0"/>
  </cellStyleXfs>
  <cellXfs count="128">
    <xf numFmtId="0" fontId="0" fillId="0" borderId="0" xfId="0"/>
    <xf numFmtId="0" fontId="1" fillId="0" borderId="0" xfId="0" applyFont="1"/>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6" borderId="0" xfId="0" applyFill="1"/>
    <xf numFmtId="164" fontId="0" fillId="3" borderId="0" xfId="1" applyNumberFormat="1" applyFont="1" applyFill="1"/>
    <xf numFmtId="164" fontId="0" fillId="5" borderId="0" xfId="1" applyNumberFormat="1" applyFont="1" applyFill="1"/>
    <xf numFmtId="164" fontId="0" fillId="6" borderId="0" xfId="1" applyNumberFormat="1" applyFont="1" applyFill="1"/>
    <xf numFmtId="164" fontId="0" fillId="4" borderId="0" xfId="1" applyNumberFormat="1" applyFont="1" applyFill="1"/>
    <xf numFmtId="0" fontId="0" fillId="7" borderId="0" xfId="0" applyFill="1"/>
    <xf numFmtId="164" fontId="0" fillId="7" borderId="0" xfId="1" applyNumberFormat="1" applyFont="1" applyFill="1"/>
    <xf numFmtId="0" fontId="0" fillId="8" borderId="0" xfId="0" applyFill="1"/>
    <xf numFmtId="164" fontId="0" fillId="8" borderId="0" xfId="1" applyNumberFormat="1" applyFont="1" applyFill="1"/>
    <xf numFmtId="0" fontId="0" fillId="9" borderId="0" xfId="0" applyFill="1"/>
    <xf numFmtId="164" fontId="0" fillId="9" borderId="0" xfId="1" applyNumberFormat="1" applyFont="1" applyFill="1"/>
    <xf numFmtId="0" fontId="0" fillId="10" borderId="0" xfId="0" applyFill="1"/>
    <xf numFmtId="164" fontId="0" fillId="10" borderId="0" xfId="1" applyNumberFormat="1" applyFont="1" applyFill="1"/>
    <xf numFmtId="0" fontId="0" fillId="7" borderId="1" xfId="0" applyFill="1" applyBorder="1"/>
    <xf numFmtId="0" fontId="0" fillId="7" borderId="2" xfId="0" applyFill="1" applyBorder="1"/>
    <xf numFmtId="164" fontId="0" fillId="7" borderId="2" xfId="1" applyNumberFormat="1" applyFont="1" applyFill="1" applyBorder="1"/>
    <xf numFmtId="0" fontId="0" fillId="10" borderId="1" xfId="0" applyFill="1" applyBorder="1"/>
    <xf numFmtId="0" fontId="0" fillId="10" borderId="2" xfId="0" applyFill="1" applyBorder="1"/>
    <xf numFmtId="164" fontId="0" fillId="10" borderId="2" xfId="1" applyNumberFormat="1" applyFont="1" applyFill="1" applyBorder="1"/>
    <xf numFmtId="0" fontId="0" fillId="5" borderId="1" xfId="0" applyFill="1" applyBorder="1"/>
    <xf numFmtId="0" fontId="0" fillId="5" borderId="2" xfId="0" applyFill="1" applyBorder="1"/>
    <xf numFmtId="164" fontId="0" fillId="5" borderId="2" xfId="1" applyNumberFormat="1" applyFont="1" applyFill="1" applyBorder="1"/>
    <xf numFmtId="0" fontId="0" fillId="4" borderId="1" xfId="0" applyFill="1" applyBorder="1"/>
    <xf numFmtId="0" fontId="0" fillId="4" borderId="2" xfId="0" applyFill="1" applyBorder="1"/>
    <xf numFmtId="164" fontId="0" fillId="4" borderId="2" xfId="1" applyNumberFormat="1" applyFont="1" applyFill="1"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Border="1"/>
    <xf numFmtId="0" fontId="0" fillId="0" borderId="10" xfId="0" applyBorder="1"/>
    <xf numFmtId="0" fontId="3" fillId="2" borderId="0" xfId="2" applyBorder="1"/>
    <xf numFmtId="0" fontId="3" fillId="2" borderId="4" xfId="2" applyBorder="1"/>
    <xf numFmtId="0" fontId="0" fillId="0" borderId="11" xfId="0" applyBorder="1"/>
    <xf numFmtId="0" fontId="0" fillId="0" borderId="12" xfId="0" applyBorder="1"/>
    <xf numFmtId="0" fontId="0" fillId="0" borderId="13" xfId="0" applyBorder="1"/>
    <xf numFmtId="10" fontId="0" fillId="0" borderId="14" xfId="1" applyNumberFormat="1" applyFont="1" applyBorder="1"/>
    <xf numFmtId="10" fontId="0" fillId="0" borderId="15" xfId="1" applyNumberFormat="1" applyFont="1" applyBorder="1"/>
    <xf numFmtId="10" fontId="0" fillId="0" borderId="6" xfId="0" applyNumberFormat="1" applyBorder="1"/>
    <xf numFmtId="10" fontId="0" fillId="0" borderId="7" xfId="0" applyNumberFormat="1" applyBorder="1"/>
    <xf numFmtId="10" fontId="0" fillId="4" borderId="2" xfId="1" applyNumberFormat="1" applyFont="1" applyFill="1" applyBorder="1"/>
    <xf numFmtId="10" fontId="0" fillId="3" borderId="0" xfId="1" applyNumberFormat="1" applyFont="1" applyFill="1"/>
    <xf numFmtId="10" fontId="0" fillId="4" borderId="0" xfId="1" applyNumberFormat="1" applyFont="1" applyFill="1"/>
    <xf numFmtId="10" fontId="0" fillId="8" borderId="0" xfId="1" applyNumberFormat="1" applyFont="1" applyFill="1"/>
    <xf numFmtId="10" fontId="0" fillId="5" borderId="2" xfId="1" applyNumberFormat="1" applyFont="1" applyFill="1" applyBorder="1"/>
    <xf numFmtId="10" fontId="0" fillId="5" borderId="0" xfId="1" applyNumberFormat="1" applyFont="1" applyFill="1"/>
    <xf numFmtId="10" fontId="0" fillId="10" borderId="0" xfId="1" applyNumberFormat="1" applyFont="1" applyFill="1"/>
    <xf numFmtId="10" fontId="0" fillId="6" borderId="0" xfId="1" applyNumberFormat="1" applyFont="1" applyFill="1"/>
    <xf numFmtId="10" fontId="0" fillId="10" borderId="2" xfId="1" applyNumberFormat="1" applyFont="1" applyFill="1" applyBorder="1"/>
    <xf numFmtId="10" fontId="0" fillId="9" borderId="0" xfId="1" applyNumberFormat="1" applyFont="1" applyFill="1"/>
    <xf numFmtId="10" fontId="0" fillId="7" borderId="0" xfId="1" applyNumberFormat="1" applyFont="1" applyFill="1"/>
    <xf numFmtId="10" fontId="0" fillId="7" borderId="2" xfId="1" applyNumberFormat="1" applyFont="1"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2" xfId="0" applyFill="1" applyBorder="1"/>
    <xf numFmtId="0" fontId="0" fillId="0" borderId="0" xfId="0" applyFill="1" applyBorder="1"/>
    <xf numFmtId="0" fontId="0" fillId="0" borderId="1" xfId="0" applyBorder="1"/>
    <xf numFmtId="0" fontId="0" fillId="0" borderId="2" xfId="0" applyBorder="1"/>
    <xf numFmtId="0" fontId="0" fillId="0" borderId="27" xfId="0" applyBorder="1"/>
    <xf numFmtId="0" fontId="0" fillId="0" borderId="19" xfId="0" applyFill="1" applyBorder="1"/>
    <xf numFmtId="0" fontId="5" fillId="0" borderId="26" xfId="0" applyFont="1" applyBorder="1"/>
    <xf numFmtId="0" fontId="6" fillId="0" borderId="0" xfId="0" applyFont="1" applyAlignment="1">
      <alignment wrapText="1"/>
    </xf>
    <xf numFmtId="0" fontId="6" fillId="4" borderId="2" xfId="0" applyFont="1" applyFill="1" applyBorder="1"/>
    <xf numFmtId="9" fontId="6" fillId="4" borderId="2" xfId="1" applyFont="1" applyFill="1" applyBorder="1"/>
    <xf numFmtId="0" fontId="6" fillId="3" borderId="0" xfId="0" applyFont="1" applyFill="1"/>
    <xf numFmtId="9" fontId="6" fillId="3" borderId="0" xfId="1" applyFont="1" applyFill="1"/>
    <xf numFmtId="0" fontId="6" fillId="4" borderId="0" xfId="0" applyFont="1" applyFill="1"/>
    <xf numFmtId="9" fontId="6" fillId="4" borderId="0" xfId="1" applyFont="1" applyFill="1"/>
    <xf numFmtId="0" fontId="6" fillId="8" borderId="0" xfId="0" applyFont="1" applyFill="1"/>
    <xf numFmtId="9" fontId="6" fillId="8" borderId="0" xfId="1" applyFont="1" applyFill="1"/>
    <xf numFmtId="0" fontId="6" fillId="5" borderId="2" xfId="0" applyFont="1" applyFill="1" applyBorder="1"/>
    <xf numFmtId="9" fontId="6" fillId="5" borderId="2" xfId="1" applyFont="1" applyFill="1" applyBorder="1"/>
    <xf numFmtId="0" fontId="6" fillId="5" borderId="0" xfId="0" applyFont="1" applyFill="1"/>
    <xf numFmtId="9" fontId="6" fillId="5" borderId="0" xfId="1" applyFont="1" applyFill="1"/>
    <xf numFmtId="0" fontId="6" fillId="10" borderId="0" xfId="0" applyFont="1" applyFill="1"/>
    <xf numFmtId="9" fontId="6" fillId="10" borderId="0" xfId="1" applyFont="1" applyFill="1"/>
    <xf numFmtId="0" fontId="6" fillId="6" borderId="0" xfId="0" applyFont="1" applyFill="1"/>
    <xf numFmtId="9" fontId="6" fillId="6" borderId="0" xfId="1" applyFont="1" applyFill="1"/>
    <xf numFmtId="0" fontId="6" fillId="10" borderId="2" xfId="0" applyFont="1" applyFill="1" applyBorder="1"/>
    <xf numFmtId="9" fontId="6" fillId="10" borderId="2" xfId="1" applyFont="1" applyFill="1" applyBorder="1"/>
    <xf numFmtId="0" fontId="6" fillId="9" borderId="0" xfId="0" applyFont="1" applyFill="1"/>
    <xf numFmtId="9" fontId="6" fillId="9" borderId="0" xfId="1" applyFont="1" applyFill="1"/>
    <xf numFmtId="0" fontId="6" fillId="7" borderId="0" xfId="0" applyFont="1" applyFill="1"/>
    <xf numFmtId="9" fontId="6" fillId="7" borderId="0" xfId="1" applyFont="1" applyFill="1"/>
    <xf numFmtId="0" fontId="6" fillId="7" borderId="2" xfId="0" applyFont="1" applyFill="1" applyBorder="1"/>
    <xf numFmtId="9" fontId="6" fillId="7" borderId="2" xfId="1" applyFont="1" applyFill="1" applyBorder="1"/>
    <xf numFmtId="0" fontId="7" fillId="0" borderId="20" xfId="0" applyFont="1" applyBorder="1"/>
    <xf numFmtId="9" fontId="0" fillId="4" borderId="2" xfId="1" applyFont="1" applyFill="1" applyBorder="1"/>
    <xf numFmtId="9" fontId="0" fillId="3" borderId="0" xfId="1" applyFont="1" applyFill="1"/>
    <xf numFmtId="9" fontId="0" fillId="4" borderId="0" xfId="1" applyFont="1" applyFill="1"/>
    <xf numFmtId="9" fontId="0" fillId="8" borderId="0" xfId="1" applyFont="1" applyFill="1"/>
    <xf numFmtId="9" fontId="0" fillId="5" borderId="2" xfId="1" applyFont="1" applyFill="1" applyBorder="1"/>
    <xf numFmtId="9" fontId="0" fillId="5" borderId="0" xfId="1" applyFont="1" applyFill="1"/>
    <xf numFmtId="9" fontId="0" fillId="10" borderId="0" xfId="1" applyFont="1" applyFill="1"/>
    <xf numFmtId="9" fontId="0" fillId="6" borderId="0" xfId="1" applyFont="1" applyFill="1"/>
    <xf numFmtId="9" fontId="0" fillId="10" borderId="2" xfId="1" applyFont="1" applyFill="1" applyBorder="1"/>
    <xf numFmtId="9" fontId="0" fillId="9" borderId="0" xfId="1" applyFont="1" applyFill="1"/>
    <xf numFmtId="9" fontId="0" fillId="7" borderId="0" xfId="1" applyFont="1" applyFill="1"/>
    <xf numFmtId="9" fontId="0" fillId="7" borderId="2" xfId="1" applyFont="1" applyFill="1" applyBorder="1"/>
    <xf numFmtId="0" fontId="0" fillId="4" borderId="2" xfId="1" applyNumberFormat="1" applyFont="1" applyFill="1" applyBorder="1"/>
    <xf numFmtId="0" fontId="0" fillId="3" borderId="0" xfId="1" applyNumberFormat="1" applyFont="1" applyFill="1"/>
    <xf numFmtId="0" fontId="0" fillId="4" borderId="0" xfId="1" applyNumberFormat="1" applyFont="1" applyFill="1"/>
    <xf numFmtId="0" fontId="0" fillId="8" borderId="0" xfId="1" applyNumberFormat="1" applyFont="1" applyFill="1"/>
    <xf numFmtId="0" fontId="0" fillId="5" borderId="2" xfId="1" applyNumberFormat="1" applyFont="1" applyFill="1" applyBorder="1"/>
    <xf numFmtId="0" fontId="0" fillId="5" borderId="0" xfId="1" applyNumberFormat="1" applyFont="1" applyFill="1"/>
    <xf numFmtId="0" fontId="0" fillId="10" borderId="0" xfId="1" applyNumberFormat="1" applyFont="1" applyFill="1"/>
    <xf numFmtId="0" fontId="0" fillId="6" borderId="0" xfId="1" applyNumberFormat="1" applyFont="1" applyFill="1"/>
    <xf numFmtId="0" fontId="0" fillId="10" borderId="2" xfId="1" applyNumberFormat="1" applyFont="1" applyFill="1" applyBorder="1"/>
    <xf numFmtId="0" fontId="0" fillId="9" borderId="0" xfId="1" applyNumberFormat="1" applyFont="1" applyFill="1"/>
    <xf numFmtId="0" fontId="0" fillId="7" borderId="0" xfId="1" applyNumberFormat="1" applyFont="1" applyFill="1"/>
    <xf numFmtId="0" fontId="0" fillId="7" borderId="2" xfId="1" applyNumberFormat="1" applyFont="1" applyFill="1" applyBorder="1"/>
  </cellXfs>
  <cellStyles count="3">
    <cellStyle name="Neutral" xfId="2" builtinId="28"/>
    <cellStyle name="Normal" xfId="0" builtinId="0"/>
    <cellStyle name="Percent" xfId="1" builtinId="5"/>
  </cellStyles>
  <dxfs count="43">
    <dxf>
      <numFmt numFmtId="0" formatCode="General"/>
    </dxf>
    <dxf>
      <numFmt numFmtId="0" formatCode="General"/>
    </dxf>
    <dxf>
      <numFmt numFmtId="13" formatCode="0%"/>
    </dxf>
    <dxf>
      <numFmt numFmtId="0" formatCode="General"/>
    </dxf>
    <dxf>
      <font>
        <b val="0"/>
        <i val="0"/>
        <strike/>
        <outline val="0"/>
        <shadow val="0"/>
        <u val="none"/>
        <vertAlign val="baseline"/>
        <sz val="11"/>
        <color theme="1"/>
        <name val="Calibri"/>
        <family val="2"/>
        <scheme val="minor"/>
      </font>
      <numFmt numFmtId="13" formatCode="0%"/>
    </dxf>
    <dxf>
      <numFmt numFmtId="0" formatCode="Genera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font>
        <b val="0"/>
        <i val="0"/>
        <strike/>
        <outline val="0"/>
        <shadow val="0"/>
        <u val="none"/>
        <vertAlign val="baseline"/>
        <sz val="11"/>
        <color theme="1"/>
        <name val="Calibri"/>
        <family val="2"/>
        <scheme val="minor"/>
      </font>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0" formatCode="General"/>
    </dxf>
    <dxf>
      <font>
        <b val="0"/>
        <i val="0"/>
        <strike/>
        <outline val="0"/>
        <shadow val="0"/>
        <u val="none"/>
        <vertAlign val="baseline"/>
        <sz val="11"/>
        <color theme="1"/>
        <name val="Calibri"/>
        <family val="2"/>
        <scheme val="minor"/>
      </font>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14" formatCode="0.00%"/>
    </dxf>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speed'!$G$3:$Y$3</c:f>
              <c:numCache>
                <c:formatCode>General</c:formatCode>
                <c:ptCount val="19"/>
                <c:pt idx="0">
                  <c:v>0</c:v>
                </c:pt>
                <c:pt idx="1">
                  <c:v>0.59</c:v>
                </c:pt>
                <c:pt idx="2">
                  <c:v>0.94</c:v>
                </c:pt>
                <c:pt idx="3">
                  <c:v>1.23</c:v>
                </c:pt>
                <c:pt idx="4">
                  <c:v>1.5</c:v>
                </c:pt>
                <c:pt idx="5">
                  <c:v>1.75</c:v>
                </c:pt>
                <c:pt idx="6">
                  <c:v>1.99</c:v>
                </c:pt>
                <c:pt idx="7">
                  <c:v>2.2200000000000002</c:v>
                </c:pt>
                <c:pt idx="8">
                  <c:v>2.4500000000000002</c:v>
                </c:pt>
                <c:pt idx="9">
                  <c:v>2.66</c:v>
                </c:pt>
                <c:pt idx="10">
                  <c:v>2.88</c:v>
                </c:pt>
                <c:pt idx="11">
                  <c:v>3.09</c:v>
                </c:pt>
                <c:pt idx="12">
                  <c:v>3.3</c:v>
                </c:pt>
                <c:pt idx="13">
                  <c:v>3.51</c:v>
                </c:pt>
                <c:pt idx="14">
                  <c:v>3.72</c:v>
                </c:pt>
                <c:pt idx="15">
                  <c:v>3.94</c:v>
                </c:pt>
                <c:pt idx="16">
                  <c:v>4.16</c:v>
                </c:pt>
                <c:pt idx="17">
                  <c:v>4.38</c:v>
                </c:pt>
                <c:pt idx="18">
                  <c:v>4.62</c:v>
                </c:pt>
              </c:numCache>
            </c:numRef>
          </c:yVal>
          <c:smooth val="1"/>
          <c:extLst>
            <c:ext xmlns:c16="http://schemas.microsoft.com/office/drawing/2014/chart" uri="{C3380CC4-5D6E-409C-BE32-E72D297353CC}">
              <c16:uniqueId val="{00000000-523C-4E00-8692-DA6581FD0E20}"/>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speed'!$G$4:$Y$4</c:f>
              <c:numCache>
                <c:formatCode>General</c:formatCode>
                <c:ptCount val="19"/>
                <c:pt idx="0">
                  <c:v>0</c:v>
                </c:pt>
                <c:pt idx="1">
                  <c:v>0.57999999999999996</c:v>
                </c:pt>
                <c:pt idx="2">
                  <c:v>0.93</c:v>
                </c:pt>
                <c:pt idx="3">
                  <c:v>1.22</c:v>
                </c:pt>
                <c:pt idx="4">
                  <c:v>1.48</c:v>
                </c:pt>
                <c:pt idx="5">
                  <c:v>1.73</c:v>
                </c:pt>
                <c:pt idx="6">
                  <c:v>1.96</c:v>
                </c:pt>
                <c:pt idx="7">
                  <c:v>2.19</c:v>
                </c:pt>
                <c:pt idx="8">
                  <c:v>2.4</c:v>
                </c:pt>
                <c:pt idx="9">
                  <c:v>2.61</c:v>
                </c:pt>
                <c:pt idx="10">
                  <c:v>2.82</c:v>
                </c:pt>
                <c:pt idx="11">
                  <c:v>3.02</c:v>
                </c:pt>
                <c:pt idx="12">
                  <c:v>3.23</c:v>
                </c:pt>
                <c:pt idx="13">
                  <c:v>3.42</c:v>
                </c:pt>
                <c:pt idx="14">
                  <c:v>3.62</c:v>
                </c:pt>
                <c:pt idx="15">
                  <c:v>3.82</c:v>
                </c:pt>
                <c:pt idx="16">
                  <c:v>4.0199999999999996</c:v>
                </c:pt>
                <c:pt idx="17">
                  <c:v>4.22</c:v>
                </c:pt>
                <c:pt idx="18">
                  <c:v>4.43</c:v>
                </c:pt>
              </c:numCache>
            </c:numRef>
          </c:yVal>
          <c:smooth val="1"/>
          <c:extLst>
            <c:ext xmlns:c16="http://schemas.microsoft.com/office/drawing/2014/chart" uri="{C3380CC4-5D6E-409C-BE32-E72D297353CC}">
              <c16:uniqueId val="{00000001-523C-4E00-8692-DA6581FD0E20}"/>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speed'!$G$5:$Y$5</c:f>
              <c:numCache>
                <c:formatCode>General</c:formatCode>
                <c:ptCount val="19"/>
                <c:pt idx="0">
                  <c:v>0</c:v>
                </c:pt>
                <c:pt idx="1">
                  <c:v>0.6</c:v>
                </c:pt>
                <c:pt idx="2">
                  <c:v>0.93</c:v>
                </c:pt>
                <c:pt idx="3">
                  <c:v>1.2</c:v>
                </c:pt>
                <c:pt idx="4">
                  <c:v>1.45</c:v>
                </c:pt>
                <c:pt idx="5">
                  <c:v>1.69</c:v>
                </c:pt>
                <c:pt idx="6">
                  <c:v>1.92</c:v>
                </c:pt>
                <c:pt idx="7">
                  <c:v>2.14</c:v>
                </c:pt>
                <c:pt idx="8">
                  <c:v>2.36</c:v>
                </c:pt>
                <c:pt idx="9">
                  <c:v>2.56</c:v>
                </c:pt>
                <c:pt idx="10">
                  <c:v>2.76</c:v>
                </c:pt>
                <c:pt idx="11">
                  <c:v>2.95</c:v>
                </c:pt>
                <c:pt idx="12">
                  <c:v>3.14</c:v>
                </c:pt>
                <c:pt idx="13">
                  <c:v>3.33</c:v>
                </c:pt>
                <c:pt idx="14">
                  <c:v>3.52</c:v>
                </c:pt>
                <c:pt idx="15">
                  <c:v>3.71</c:v>
                </c:pt>
                <c:pt idx="16">
                  <c:v>3.89</c:v>
                </c:pt>
                <c:pt idx="17">
                  <c:v>4.09</c:v>
                </c:pt>
                <c:pt idx="18">
                  <c:v>4.29</c:v>
                </c:pt>
              </c:numCache>
            </c:numRef>
          </c:yVal>
          <c:smooth val="1"/>
          <c:extLst>
            <c:ext xmlns:c16="http://schemas.microsoft.com/office/drawing/2014/chart" uri="{C3380CC4-5D6E-409C-BE32-E72D297353CC}">
              <c16:uniqueId val="{00000002-523C-4E00-8692-DA6581FD0E20}"/>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speed'!$G$6:$Y$6</c:f>
              <c:numCache>
                <c:formatCode>General</c:formatCode>
                <c:ptCount val="19"/>
                <c:pt idx="0">
                  <c:v>0</c:v>
                </c:pt>
                <c:pt idx="1">
                  <c:v>0.56000000000000005</c:v>
                </c:pt>
                <c:pt idx="2">
                  <c:v>0.9</c:v>
                </c:pt>
                <c:pt idx="3">
                  <c:v>1.18</c:v>
                </c:pt>
                <c:pt idx="4">
                  <c:v>1.43</c:v>
                </c:pt>
                <c:pt idx="5">
                  <c:v>1.67</c:v>
                </c:pt>
                <c:pt idx="6">
                  <c:v>1.89</c:v>
                </c:pt>
                <c:pt idx="7">
                  <c:v>2.1</c:v>
                </c:pt>
                <c:pt idx="8">
                  <c:v>2.31</c:v>
                </c:pt>
                <c:pt idx="9">
                  <c:v>2.5099999999999998</c:v>
                </c:pt>
                <c:pt idx="10">
                  <c:v>2.71</c:v>
                </c:pt>
                <c:pt idx="11">
                  <c:v>2.9</c:v>
                </c:pt>
                <c:pt idx="12">
                  <c:v>3.09</c:v>
                </c:pt>
                <c:pt idx="13">
                  <c:v>3.28</c:v>
                </c:pt>
                <c:pt idx="14">
                  <c:v>3.46</c:v>
                </c:pt>
                <c:pt idx="15">
                  <c:v>3.65</c:v>
                </c:pt>
                <c:pt idx="16">
                  <c:v>3.84</c:v>
                </c:pt>
                <c:pt idx="17">
                  <c:v>4.0199999999999996</c:v>
                </c:pt>
                <c:pt idx="18">
                  <c:v>4.21</c:v>
                </c:pt>
              </c:numCache>
            </c:numRef>
          </c:yVal>
          <c:smooth val="1"/>
          <c:extLst>
            <c:ext xmlns:c16="http://schemas.microsoft.com/office/drawing/2014/chart" uri="{C3380CC4-5D6E-409C-BE32-E72D297353CC}">
              <c16:uniqueId val="{00000003-523C-4E00-8692-DA6581FD0E20}"/>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speed'!$G$7:$Y$7</c:f>
              <c:numCache>
                <c:formatCode>General</c:formatCode>
                <c:ptCount val="19"/>
                <c:pt idx="0">
                  <c:v>0</c:v>
                </c:pt>
                <c:pt idx="1">
                  <c:v>0.56000000000000005</c:v>
                </c:pt>
                <c:pt idx="2">
                  <c:v>0.89</c:v>
                </c:pt>
                <c:pt idx="3">
                  <c:v>1.17</c:v>
                </c:pt>
                <c:pt idx="4">
                  <c:v>1.42</c:v>
                </c:pt>
                <c:pt idx="5">
                  <c:v>1.65</c:v>
                </c:pt>
                <c:pt idx="6">
                  <c:v>1.86</c:v>
                </c:pt>
                <c:pt idx="7">
                  <c:v>2.0699999999999998</c:v>
                </c:pt>
                <c:pt idx="8">
                  <c:v>2.27</c:v>
                </c:pt>
                <c:pt idx="9">
                  <c:v>2.4700000000000002</c:v>
                </c:pt>
                <c:pt idx="10">
                  <c:v>2.66</c:v>
                </c:pt>
                <c:pt idx="11">
                  <c:v>2.85</c:v>
                </c:pt>
                <c:pt idx="12">
                  <c:v>3.03</c:v>
                </c:pt>
                <c:pt idx="13">
                  <c:v>3.22</c:v>
                </c:pt>
                <c:pt idx="14">
                  <c:v>3.4</c:v>
                </c:pt>
                <c:pt idx="15">
                  <c:v>3.58</c:v>
                </c:pt>
                <c:pt idx="16">
                  <c:v>3.76</c:v>
                </c:pt>
                <c:pt idx="17">
                  <c:v>3.95</c:v>
                </c:pt>
                <c:pt idx="18">
                  <c:v>4.1500000000000004</c:v>
                </c:pt>
              </c:numCache>
            </c:numRef>
          </c:yVal>
          <c:smooth val="1"/>
          <c:extLst>
            <c:ext xmlns:c16="http://schemas.microsoft.com/office/drawing/2014/chart" uri="{C3380CC4-5D6E-409C-BE32-E72D297353CC}">
              <c16:uniqueId val="{00000004-523C-4E00-8692-DA6581FD0E20}"/>
            </c:ext>
          </c:extLst>
        </c:ser>
        <c:ser>
          <c:idx val="5"/>
          <c:order val="5"/>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speed'!$G$8:$Y$8</c:f>
              <c:numCache>
                <c:formatCode>General</c:formatCode>
                <c:ptCount val="19"/>
                <c:pt idx="0">
                  <c:v>0</c:v>
                </c:pt>
                <c:pt idx="1">
                  <c:v>0.54</c:v>
                </c:pt>
                <c:pt idx="2">
                  <c:v>0.86</c:v>
                </c:pt>
                <c:pt idx="3">
                  <c:v>1.1299999999999999</c:v>
                </c:pt>
                <c:pt idx="4">
                  <c:v>1.36</c:v>
                </c:pt>
                <c:pt idx="5">
                  <c:v>1.59</c:v>
                </c:pt>
                <c:pt idx="6">
                  <c:v>1.79</c:v>
                </c:pt>
                <c:pt idx="7">
                  <c:v>1.99</c:v>
                </c:pt>
                <c:pt idx="8">
                  <c:v>2.1800000000000002</c:v>
                </c:pt>
                <c:pt idx="9">
                  <c:v>2.37</c:v>
                </c:pt>
                <c:pt idx="10">
                  <c:v>2.56</c:v>
                </c:pt>
                <c:pt idx="11">
                  <c:v>2.74</c:v>
                </c:pt>
                <c:pt idx="12">
                  <c:v>2.92</c:v>
                </c:pt>
                <c:pt idx="13">
                  <c:v>3.1</c:v>
                </c:pt>
                <c:pt idx="14">
                  <c:v>3.27</c:v>
                </c:pt>
                <c:pt idx="15">
                  <c:v>3.44</c:v>
                </c:pt>
                <c:pt idx="16">
                  <c:v>3.62</c:v>
                </c:pt>
                <c:pt idx="17">
                  <c:v>3.79</c:v>
                </c:pt>
                <c:pt idx="18">
                  <c:v>3.98</c:v>
                </c:pt>
              </c:numCache>
            </c:numRef>
          </c:yVal>
          <c:smooth val="1"/>
          <c:extLst>
            <c:ext xmlns:c16="http://schemas.microsoft.com/office/drawing/2014/chart" uri="{C3380CC4-5D6E-409C-BE32-E72D297353CC}">
              <c16:uniqueId val="{00000005-523C-4E00-8692-DA6581FD0E20}"/>
            </c:ext>
          </c:extLst>
        </c:ser>
        <c:ser>
          <c:idx val="6"/>
          <c:order val="6"/>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speed'!$G$9:$Y$9</c:f>
              <c:numCache>
                <c:formatCode>General</c:formatCode>
                <c:ptCount val="19"/>
                <c:pt idx="0">
                  <c:v>0</c:v>
                </c:pt>
                <c:pt idx="1">
                  <c:v>0.56999999999999995</c:v>
                </c:pt>
                <c:pt idx="2">
                  <c:v>0.88</c:v>
                </c:pt>
                <c:pt idx="3">
                  <c:v>1.1299999999999999</c:v>
                </c:pt>
                <c:pt idx="4">
                  <c:v>1.37</c:v>
                </c:pt>
                <c:pt idx="5">
                  <c:v>1.58</c:v>
                </c:pt>
                <c:pt idx="6">
                  <c:v>1.78</c:v>
                </c:pt>
                <c:pt idx="7">
                  <c:v>1.97</c:v>
                </c:pt>
                <c:pt idx="8">
                  <c:v>2.16</c:v>
                </c:pt>
                <c:pt idx="9">
                  <c:v>2.35</c:v>
                </c:pt>
                <c:pt idx="10">
                  <c:v>2.52</c:v>
                </c:pt>
                <c:pt idx="11">
                  <c:v>2.7</c:v>
                </c:pt>
                <c:pt idx="12">
                  <c:v>2.88</c:v>
                </c:pt>
                <c:pt idx="13">
                  <c:v>3.06</c:v>
                </c:pt>
                <c:pt idx="14">
                  <c:v>3.23</c:v>
                </c:pt>
                <c:pt idx="15">
                  <c:v>3.39</c:v>
                </c:pt>
                <c:pt idx="16">
                  <c:v>3.56</c:v>
                </c:pt>
                <c:pt idx="17">
                  <c:v>3.73</c:v>
                </c:pt>
                <c:pt idx="18">
                  <c:v>3.91</c:v>
                </c:pt>
              </c:numCache>
            </c:numRef>
          </c:yVal>
          <c:smooth val="1"/>
          <c:extLst>
            <c:ext xmlns:c16="http://schemas.microsoft.com/office/drawing/2014/chart" uri="{C3380CC4-5D6E-409C-BE32-E72D297353CC}">
              <c16:uniqueId val="{00000006-523C-4E00-8692-DA6581FD0E20}"/>
            </c:ext>
          </c:extLst>
        </c:ser>
        <c:ser>
          <c:idx val="7"/>
          <c:order val="7"/>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speed'!$G$10:$Y$10</c:f>
              <c:numCache>
                <c:formatCode>General</c:formatCode>
                <c:ptCount val="19"/>
                <c:pt idx="0">
                  <c:v>0</c:v>
                </c:pt>
                <c:pt idx="1">
                  <c:v>0.53</c:v>
                </c:pt>
                <c:pt idx="2">
                  <c:v>0.83</c:v>
                </c:pt>
                <c:pt idx="3">
                  <c:v>1.0900000000000001</c:v>
                </c:pt>
                <c:pt idx="4">
                  <c:v>1.31</c:v>
                </c:pt>
                <c:pt idx="5">
                  <c:v>1.53</c:v>
                </c:pt>
                <c:pt idx="6">
                  <c:v>1.73</c:v>
                </c:pt>
                <c:pt idx="7">
                  <c:v>1.93</c:v>
                </c:pt>
                <c:pt idx="8">
                  <c:v>2.12</c:v>
                </c:pt>
                <c:pt idx="9">
                  <c:v>2.2999999999999998</c:v>
                </c:pt>
                <c:pt idx="10">
                  <c:v>2.48</c:v>
                </c:pt>
                <c:pt idx="11">
                  <c:v>2.66</c:v>
                </c:pt>
                <c:pt idx="12">
                  <c:v>2.84</c:v>
                </c:pt>
                <c:pt idx="13">
                  <c:v>3.01</c:v>
                </c:pt>
                <c:pt idx="14">
                  <c:v>3.18</c:v>
                </c:pt>
                <c:pt idx="15">
                  <c:v>3.35</c:v>
                </c:pt>
                <c:pt idx="16">
                  <c:v>3.52</c:v>
                </c:pt>
                <c:pt idx="17">
                  <c:v>3.7</c:v>
                </c:pt>
                <c:pt idx="18">
                  <c:v>3.9</c:v>
                </c:pt>
              </c:numCache>
            </c:numRef>
          </c:yVal>
          <c:smooth val="1"/>
          <c:extLst>
            <c:ext xmlns:c16="http://schemas.microsoft.com/office/drawing/2014/chart" uri="{C3380CC4-5D6E-409C-BE32-E72D297353CC}">
              <c16:uniqueId val="{00000007-523C-4E00-8692-DA6581FD0E20}"/>
            </c:ext>
          </c:extLst>
        </c:ser>
        <c:ser>
          <c:idx val="8"/>
          <c:order val="8"/>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speed'!$G$11:$Y$11</c:f>
              <c:numCache>
                <c:formatCode>General</c:formatCode>
                <c:ptCount val="19"/>
                <c:pt idx="0">
                  <c:v>0</c:v>
                </c:pt>
                <c:pt idx="1">
                  <c:v>0.53</c:v>
                </c:pt>
                <c:pt idx="2">
                  <c:v>0.81</c:v>
                </c:pt>
                <c:pt idx="3">
                  <c:v>1.06</c:v>
                </c:pt>
                <c:pt idx="4">
                  <c:v>1.28</c:v>
                </c:pt>
                <c:pt idx="5">
                  <c:v>1.48</c:v>
                </c:pt>
                <c:pt idx="6">
                  <c:v>1.67</c:v>
                </c:pt>
                <c:pt idx="7">
                  <c:v>1.86</c:v>
                </c:pt>
                <c:pt idx="8">
                  <c:v>2.04</c:v>
                </c:pt>
                <c:pt idx="9">
                  <c:v>2.23</c:v>
                </c:pt>
                <c:pt idx="10">
                  <c:v>2.4</c:v>
                </c:pt>
                <c:pt idx="11">
                  <c:v>2.58</c:v>
                </c:pt>
                <c:pt idx="12">
                  <c:v>2.75</c:v>
                </c:pt>
                <c:pt idx="13">
                  <c:v>2.93</c:v>
                </c:pt>
                <c:pt idx="14">
                  <c:v>3.1</c:v>
                </c:pt>
                <c:pt idx="15">
                  <c:v>3.28</c:v>
                </c:pt>
                <c:pt idx="16">
                  <c:v>3.45</c:v>
                </c:pt>
                <c:pt idx="17">
                  <c:v>3.65</c:v>
                </c:pt>
                <c:pt idx="18">
                  <c:v>3.82</c:v>
                </c:pt>
              </c:numCache>
            </c:numRef>
          </c:yVal>
          <c:smooth val="1"/>
          <c:extLst>
            <c:ext xmlns:c16="http://schemas.microsoft.com/office/drawing/2014/chart" uri="{C3380CC4-5D6E-409C-BE32-E72D297353CC}">
              <c16:uniqueId val="{00000008-523C-4E00-8692-DA6581FD0E20}"/>
            </c:ext>
          </c:extLst>
        </c:ser>
        <c:ser>
          <c:idx val="9"/>
          <c:order val="9"/>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speed'!$G$12:$Y$12</c:f>
              <c:numCache>
                <c:formatCode>General</c:formatCode>
                <c:ptCount val="19"/>
                <c:pt idx="0">
                  <c:v>0</c:v>
                </c:pt>
                <c:pt idx="1">
                  <c:v>0.54</c:v>
                </c:pt>
                <c:pt idx="2">
                  <c:v>0.84</c:v>
                </c:pt>
                <c:pt idx="3">
                  <c:v>1.0900000000000001</c:v>
                </c:pt>
                <c:pt idx="4">
                  <c:v>1.32</c:v>
                </c:pt>
                <c:pt idx="5">
                  <c:v>1.53</c:v>
                </c:pt>
                <c:pt idx="6">
                  <c:v>1.74</c:v>
                </c:pt>
                <c:pt idx="7">
                  <c:v>1.93</c:v>
                </c:pt>
                <c:pt idx="8">
                  <c:v>2.12</c:v>
                </c:pt>
                <c:pt idx="9">
                  <c:v>2.2999999999999998</c:v>
                </c:pt>
                <c:pt idx="10">
                  <c:v>2.48</c:v>
                </c:pt>
                <c:pt idx="11">
                  <c:v>2.65</c:v>
                </c:pt>
                <c:pt idx="12">
                  <c:v>2.83</c:v>
                </c:pt>
                <c:pt idx="13">
                  <c:v>3</c:v>
                </c:pt>
                <c:pt idx="14">
                  <c:v>3.17</c:v>
                </c:pt>
                <c:pt idx="15">
                  <c:v>3.33</c:v>
                </c:pt>
                <c:pt idx="16">
                  <c:v>3.5</c:v>
                </c:pt>
                <c:pt idx="17">
                  <c:v>3.67</c:v>
                </c:pt>
                <c:pt idx="18">
                  <c:v>3.86</c:v>
                </c:pt>
              </c:numCache>
            </c:numRef>
          </c:yVal>
          <c:smooth val="1"/>
          <c:extLst>
            <c:ext xmlns:c16="http://schemas.microsoft.com/office/drawing/2014/chart" uri="{C3380CC4-5D6E-409C-BE32-E72D297353CC}">
              <c16:uniqueId val="{00000009-523C-4E00-8692-DA6581FD0E20}"/>
            </c:ext>
          </c:extLst>
        </c:ser>
        <c:ser>
          <c:idx val="10"/>
          <c:order val="10"/>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speed'!$G$13:$Y$13</c:f>
              <c:numCache>
                <c:formatCode>General</c:formatCode>
                <c:ptCount val="19"/>
                <c:pt idx="0">
                  <c:v>0</c:v>
                </c:pt>
                <c:pt idx="1">
                  <c:v>0.56999999999999995</c:v>
                </c:pt>
                <c:pt idx="2">
                  <c:v>0.9</c:v>
                </c:pt>
                <c:pt idx="3">
                  <c:v>1.17</c:v>
                </c:pt>
                <c:pt idx="4">
                  <c:v>1.41</c:v>
                </c:pt>
                <c:pt idx="5">
                  <c:v>1.63</c:v>
                </c:pt>
                <c:pt idx="6">
                  <c:v>1.85</c:v>
                </c:pt>
                <c:pt idx="7">
                  <c:v>2.0499999999999998</c:v>
                </c:pt>
                <c:pt idx="8">
                  <c:v>2.25</c:v>
                </c:pt>
                <c:pt idx="9">
                  <c:v>2.44</c:v>
                </c:pt>
                <c:pt idx="10">
                  <c:v>2.62</c:v>
                </c:pt>
                <c:pt idx="11">
                  <c:v>2.8</c:v>
                </c:pt>
                <c:pt idx="12">
                  <c:v>2.97</c:v>
                </c:pt>
                <c:pt idx="13">
                  <c:v>3.15</c:v>
                </c:pt>
                <c:pt idx="14">
                  <c:v>3.32</c:v>
                </c:pt>
                <c:pt idx="15">
                  <c:v>3.5</c:v>
                </c:pt>
                <c:pt idx="16">
                  <c:v>3.67</c:v>
                </c:pt>
                <c:pt idx="17">
                  <c:v>3.85</c:v>
                </c:pt>
                <c:pt idx="18">
                  <c:v>4.03</c:v>
                </c:pt>
              </c:numCache>
            </c:numRef>
          </c:yVal>
          <c:smooth val="1"/>
          <c:extLst>
            <c:ext xmlns:c16="http://schemas.microsoft.com/office/drawing/2014/chart" uri="{C3380CC4-5D6E-409C-BE32-E72D297353CC}">
              <c16:uniqueId val="{0000000A-523C-4E00-8692-DA6581FD0E20}"/>
            </c:ext>
          </c:extLst>
        </c:ser>
        <c:ser>
          <c:idx val="11"/>
          <c:order val="11"/>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speed'!$G$14:$Y$14</c:f>
              <c:numCache>
                <c:formatCode>General</c:formatCode>
                <c:ptCount val="19"/>
                <c:pt idx="0">
                  <c:v>0</c:v>
                </c:pt>
                <c:pt idx="1">
                  <c:v>0.56999999999999995</c:v>
                </c:pt>
                <c:pt idx="2">
                  <c:v>0.9</c:v>
                </c:pt>
                <c:pt idx="3">
                  <c:v>1.17</c:v>
                </c:pt>
                <c:pt idx="4">
                  <c:v>1.41</c:v>
                </c:pt>
                <c:pt idx="5">
                  <c:v>1.63</c:v>
                </c:pt>
                <c:pt idx="6">
                  <c:v>1.84</c:v>
                </c:pt>
                <c:pt idx="7">
                  <c:v>2.04</c:v>
                </c:pt>
                <c:pt idx="8">
                  <c:v>2.23</c:v>
                </c:pt>
                <c:pt idx="9">
                  <c:v>2.42</c:v>
                </c:pt>
                <c:pt idx="10">
                  <c:v>2.61</c:v>
                </c:pt>
                <c:pt idx="11">
                  <c:v>2.79</c:v>
                </c:pt>
                <c:pt idx="12">
                  <c:v>2.96</c:v>
                </c:pt>
                <c:pt idx="13">
                  <c:v>3.14</c:v>
                </c:pt>
                <c:pt idx="14">
                  <c:v>3.31</c:v>
                </c:pt>
                <c:pt idx="15">
                  <c:v>3.48</c:v>
                </c:pt>
                <c:pt idx="16">
                  <c:v>3.65</c:v>
                </c:pt>
                <c:pt idx="17">
                  <c:v>3.82</c:v>
                </c:pt>
                <c:pt idx="18">
                  <c:v>4</c:v>
                </c:pt>
              </c:numCache>
            </c:numRef>
          </c:yVal>
          <c:smooth val="1"/>
          <c:extLst>
            <c:ext xmlns:c16="http://schemas.microsoft.com/office/drawing/2014/chart" uri="{C3380CC4-5D6E-409C-BE32-E72D297353CC}">
              <c16:uniqueId val="{0000000B-523C-4E00-8692-DA6581FD0E20}"/>
            </c:ext>
          </c:extLst>
        </c:ser>
        <c:ser>
          <c:idx val="12"/>
          <c:order val="12"/>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speed'!$G$15:$Y$15</c:f>
              <c:numCache>
                <c:formatCode>General</c:formatCode>
                <c:ptCount val="19"/>
                <c:pt idx="0">
                  <c:v>0</c:v>
                </c:pt>
                <c:pt idx="1">
                  <c:v>0.56000000000000005</c:v>
                </c:pt>
                <c:pt idx="2">
                  <c:v>0.87</c:v>
                </c:pt>
                <c:pt idx="3">
                  <c:v>1.1399999999999999</c:v>
                </c:pt>
                <c:pt idx="4">
                  <c:v>1.37</c:v>
                </c:pt>
                <c:pt idx="5">
                  <c:v>1.59</c:v>
                </c:pt>
                <c:pt idx="6">
                  <c:v>1.8</c:v>
                </c:pt>
                <c:pt idx="7">
                  <c:v>2</c:v>
                </c:pt>
                <c:pt idx="8">
                  <c:v>2.2000000000000002</c:v>
                </c:pt>
                <c:pt idx="9">
                  <c:v>2.39</c:v>
                </c:pt>
                <c:pt idx="10">
                  <c:v>2.57</c:v>
                </c:pt>
                <c:pt idx="11">
                  <c:v>2.76</c:v>
                </c:pt>
                <c:pt idx="12">
                  <c:v>2.94</c:v>
                </c:pt>
                <c:pt idx="13">
                  <c:v>3.12</c:v>
                </c:pt>
                <c:pt idx="14">
                  <c:v>3.29</c:v>
                </c:pt>
                <c:pt idx="15">
                  <c:v>3.47</c:v>
                </c:pt>
                <c:pt idx="16">
                  <c:v>3.65</c:v>
                </c:pt>
                <c:pt idx="17">
                  <c:v>3.82</c:v>
                </c:pt>
                <c:pt idx="18">
                  <c:v>4.01</c:v>
                </c:pt>
              </c:numCache>
            </c:numRef>
          </c:yVal>
          <c:smooth val="1"/>
          <c:extLst>
            <c:ext xmlns:c16="http://schemas.microsoft.com/office/drawing/2014/chart" uri="{C3380CC4-5D6E-409C-BE32-E72D297353CC}">
              <c16:uniqueId val="{0000000C-523C-4E00-8692-DA6581FD0E20}"/>
            </c:ext>
          </c:extLst>
        </c:ser>
        <c:dLbls>
          <c:showLegendKey val="0"/>
          <c:showVal val="0"/>
          <c:showCatName val="0"/>
          <c:showSerName val="0"/>
          <c:showPercent val="0"/>
          <c:showBubbleSize val="0"/>
        </c:dLbls>
        <c:axId val="514732648"/>
        <c:axId val="514733632"/>
      </c:scatterChart>
      <c:valAx>
        <c:axId val="514732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3632"/>
        <c:crosses val="autoZero"/>
        <c:crossBetween val="midCat"/>
      </c:valAx>
      <c:valAx>
        <c:axId val="514733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26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'pitch outcomes'!$B$1</c:f>
              <c:strCache>
                <c:ptCount val="1"/>
                <c:pt idx="0">
                  <c:v>Ball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outcomes'!$B$2:$B$13</c:f>
              <c:numCache>
                <c:formatCode>General</c:formatCode>
                <c:ptCount val="12"/>
                <c:pt idx="0">
                  <c:v>0.4269</c:v>
                </c:pt>
                <c:pt idx="1">
                  <c:v>0.39779999999999999</c:v>
                </c:pt>
                <c:pt idx="2">
                  <c:v>0.38600000000000001</c:v>
                </c:pt>
                <c:pt idx="3">
                  <c:v>0.3528</c:v>
                </c:pt>
                <c:pt idx="4">
                  <c:v>0.31290000000000001</c:v>
                </c:pt>
                <c:pt idx="5">
                  <c:v>0.26369999999999999</c:v>
                </c:pt>
                <c:pt idx="6">
                  <c:v>0.2505</c:v>
                </c:pt>
                <c:pt idx="7">
                  <c:v>0.23499999999999999</c:v>
                </c:pt>
                <c:pt idx="8">
                  <c:v>0.22650000000000001</c:v>
                </c:pt>
                <c:pt idx="9">
                  <c:v>0.21079999999999999</c:v>
                </c:pt>
                <c:pt idx="10">
                  <c:v>0.21149999999999999</c:v>
                </c:pt>
                <c:pt idx="11">
                  <c:v>0.20449999999999999</c:v>
                </c:pt>
              </c:numCache>
            </c:numRef>
          </c:val>
          <c:smooth val="0"/>
          <c:extLst>
            <c:ext xmlns:c16="http://schemas.microsoft.com/office/drawing/2014/chart" uri="{C3380CC4-5D6E-409C-BE32-E72D297353CC}">
              <c16:uniqueId val="{00000000-3918-4B34-9165-7963C2BF81FF}"/>
            </c:ext>
          </c:extLst>
        </c:ser>
        <c:ser>
          <c:idx val="1"/>
          <c:order val="1"/>
          <c:tx>
            <c:strRef>
              <c:f>'pitch outcomes'!$C$1</c:f>
              <c:strCache>
                <c:ptCount val="1"/>
                <c:pt idx="0">
                  <c:v>Strike, Looking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outcomes'!$C$2:$C$13</c:f>
              <c:numCache>
                <c:formatCode>General</c:formatCode>
                <c:ptCount val="12"/>
                <c:pt idx="0">
                  <c:v>0.28660000000000002</c:v>
                </c:pt>
                <c:pt idx="1">
                  <c:v>0.1666</c:v>
                </c:pt>
                <c:pt idx="2">
                  <c:v>0.1285</c:v>
                </c:pt>
                <c:pt idx="3">
                  <c:v>0.11700000000000001</c:v>
                </c:pt>
                <c:pt idx="4">
                  <c:v>7.6700000000000004E-2</c:v>
                </c:pt>
                <c:pt idx="5">
                  <c:v>4.3999999999999997E-2</c:v>
                </c:pt>
                <c:pt idx="6">
                  <c:v>4.0500000000000001E-2</c:v>
                </c:pt>
                <c:pt idx="7">
                  <c:v>3.8199999999999998E-2</c:v>
                </c:pt>
                <c:pt idx="8">
                  <c:v>3.5999999999999997E-2</c:v>
                </c:pt>
                <c:pt idx="9">
                  <c:v>3.2000000000000001E-2</c:v>
                </c:pt>
                <c:pt idx="10">
                  <c:v>3.2500000000000001E-2</c:v>
                </c:pt>
                <c:pt idx="11">
                  <c:v>3.56E-2</c:v>
                </c:pt>
              </c:numCache>
            </c:numRef>
          </c:val>
          <c:smooth val="0"/>
          <c:extLst>
            <c:ext xmlns:c16="http://schemas.microsoft.com/office/drawing/2014/chart" uri="{C3380CC4-5D6E-409C-BE32-E72D297353CC}">
              <c16:uniqueId val="{00000001-3918-4B34-9165-7963C2BF81FF}"/>
            </c:ext>
          </c:extLst>
        </c:ser>
        <c:ser>
          <c:idx val="2"/>
          <c:order val="2"/>
          <c:tx>
            <c:strRef>
              <c:f>'pitch outcomes'!$D$1</c:f>
              <c:strCache>
                <c:ptCount val="1"/>
                <c:pt idx="0">
                  <c:v>Foul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outcomes'!$D$2:$D$13</c:f>
              <c:numCache>
                <c:formatCode>General</c:formatCode>
                <c:ptCount val="12"/>
                <c:pt idx="0">
                  <c:v>0.1007</c:v>
                </c:pt>
                <c:pt idx="1">
                  <c:v>0.1575</c:v>
                </c:pt>
                <c:pt idx="2">
                  <c:v>0.1787</c:v>
                </c:pt>
                <c:pt idx="3">
                  <c:v>0.19789999999999999</c:v>
                </c:pt>
                <c:pt idx="4">
                  <c:v>0.23</c:v>
                </c:pt>
                <c:pt idx="5">
                  <c:v>0.26490000000000002</c:v>
                </c:pt>
                <c:pt idx="6">
                  <c:v>0.27650000000000002</c:v>
                </c:pt>
                <c:pt idx="7">
                  <c:v>0.28849999999999998</c:v>
                </c:pt>
                <c:pt idx="8">
                  <c:v>0.29699999999999999</c:v>
                </c:pt>
                <c:pt idx="9">
                  <c:v>0.314</c:v>
                </c:pt>
                <c:pt idx="10">
                  <c:v>0.31419999999999998</c:v>
                </c:pt>
                <c:pt idx="11">
                  <c:v>0.31430000000000002</c:v>
                </c:pt>
              </c:numCache>
            </c:numRef>
          </c:val>
          <c:smooth val="0"/>
          <c:extLst>
            <c:ext xmlns:c16="http://schemas.microsoft.com/office/drawing/2014/chart" uri="{C3380CC4-5D6E-409C-BE32-E72D297353CC}">
              <c16:uniqueId val="{00000002-3918-4B34-9165-7963C2BF81FF}"/>
            </c:ext>
          </c:extLst>
        </c:ser>
        <c:ser>
          <c:idx val="3"/>
          <c:order val="3"/>
          <c:tx>
            <c:strRef>
              <c:f>'pitch outcomes'!$E$1</c:f>
              <c:strCache>
                <c:ptCount val="1"/>
                <c:pt idx="0">
                  <c:v>Strike, Swinging</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outcomes'!$E$2:$E$13</c:f>
              <c:numCache>
                <c:formatCode>General</c:formatCode>
                <c:ptCount val="12"/>
                <c:pt idx="0">
                  <c:v>5.8200000000000002E-2</c:v>
                </c:pt>
                <c:pt idx="1">
                  <c:v>9.0399999999999994E-2</c:v>
                </c:pt>
                <c:pt idx="2">
                  <c:v>9.9400000000000002E-2</c:v>
                </c:pt>
                <c:pt idx="3">
                  <c:v>0.1057</c:v>
                </c:pt>
                <c:pt idx="4">
                  <c:v>0.112</c:v>
                </c:pt>
                <c:pt idx="5">
                  <c:v>0.1154</c:v>
                </c:pt>
                <c:pt idx="6">
                  <c:v>0.1104</c:v>
                </c:pt>
                <c:pt idx="7">
                  <c:v>0.1062</c:v>
                </c:pt>
                <c:pt idx="8">
                  <c:v>0.1031</c:v>
                </c:pt>
                <c:pt idx="9">
                  <c:v>0.1033</c:v>
                </c:pt>
                <c:pt idx="10">
                  <c:v>0.10489999999999999</c:v>
                </c:pt>
                <c:pt idx="11">
                  <c:v>0.10580000000000001</c:v>
                </c:pt>
              </c:numCache>
            </c:numRef>
          </c:val>
          <c:smooth val="0"/>
          <c:extLst>
            <c:ext xmlns:c16="http://schemas.microsoft.com/office/drawing/2014/chart" uri="{C3380CC4-5D6E-409C-BE32-E72D297353CC}">
              <c16:uniqueId val="{00000003-3918-4B34-9165-7963C2BF81FF}"/>
            </c:ext>
          </c:extLst>
        </c:ser>
        <c:ser>
          <c:idx val="4"/>
          <c:order val="4"/>
          <c:tx>
            <c:strRef>
              <c:f>'pitch outcomes'!$F$1</c:f>
              <c:strCache>
                <c:ptCount val="1"/>
                <c:pt idx="0">
                  <c:v>Ball In Play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outcomes'!$F$2:$F$13</c:f>
              <c:numCache>
                <c:formatCode>General</c:formatCode>
                <c:ptCount val="12"/>
                <c:pt idx="0">
                  <c:v>0.12759999999999999</c:v>
                </c:pt>
                <c:pt idx="1">
                  <c:v>0.18770000000000001</c:v>
                </c:pt>
                <c:pt idx="2">
                  <c:v>0.20730000000000001</c:v>
                </c:pt>
                <c:pt idx="3">
                  <c:v>0.2266</c:v>
                </c:pt>
                <c:pt idx="4">
                  <c:v>0.26850000000000002</c:v>
                </c:pt>
                <c:pt idx="5">
                  <c:v>0.31190000000000001</c:v>
                </c:pt>
                <c:pt idx="6">
                  <c:v>0.32200000000000001</c:v>
                </c:pt>
                <c:pt idx="7">
                  <c:v>0.3322</c:v>
                </c:pt>
                <c:pt idx="8">
                  <c:v>0.33739999999999998</c:v>
                </c:pt>
                <c:pt idx="9">
                  <c:v>0.34</c:v>
                </c:pt>
                <c:pt idx="10">
                  <c:v>0.33689999999999998</c:v>
                </c:pt>
                <c:pt idx="11">
                  <c:v>0.33979999999999999</c:v>
                </c:pt>
              </c:numCache>
            </c:numRef>
          </c:val>
          <c:smooth val="0"/>
          <c:extLst>
            <c:ext xmlns:c16="http://schemas.microsoft.com/office/drawing/2014/chart" uri="{C3380CC4-5D6E-409C-BE32-E72D297353CC}">
              <c16:uniqueId val="{00000004-3918-4B34-9165-7963C2BF81FF}"/>
            </c:ext>
          </c:extLst>
        </c:ser>
        <c:dLbls>
          <c:showLegendKey val="0"/>
          <c:showVal val="0"/>
          <c:showCatName val="0"/>
          <c:showSerName val="0"/>
          <c:showPercent val="0"/>
          <c:showBubbleSize val="0"/>
        </c:dLbls>
        <c:marker val="1"/>
        <c:smooth val="0"/>
        <c:axId val="271374992"/>
        <c:axId val="271375320"/>
      </c:lineChart>
      <c:catAx>
        <c:axId val="2713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5320"/>
        <c:crosses val="autoZero"/>
        <c:auto val="1"/>
        <c:lblAlgn val="ctr"/>
        <c:lblOffset val="100"/>
        <c:noMultiLvlLbl val="0"/>
      </c:catAx>
      <c:valAx>
        <c:axId val="271375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4F-4A35-B5E6-B71F36E171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4F-4A35-B5E6-B71F36E1716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A4F-4A35-B5E6-B71F36E1716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A4F-4A35-B5E6-B71F36E1716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A4F-4A35-B5E6-B71F36E1716A}"/>
              </c:ext>
            </c:extLst>
          </c:dPt>
          <c:cat>
            <c:strRef>
              <c:f>'pitch outcomes'!$B$1:$F$1</c:f>
              <c:strCache>
                <c:ptCount val="5"/>
                <c:pt idx="0">
                  <c:v>Ball</c:v>
                </c:pt>
                <c:pt idx="1">
                  <c:v>Strike, Looking</c:v>
                </c:pt>
                <c:pt idx="2">
                  <c:v>Foul</c:v>
                </c:pt>
                <c:pt idx="3">
                  <c:v>Strike, Swinging</c:v>
                </c:pt>
                <c:pt idx="4">
                  <c:v>Ball In Play</c:v>
                </c:pt>
              </c:strCache>
            </c:strRef>
          </c:cat>
          <c:val>
            <c:numRef>
              <c:f>'pitch outcomes'!$B$17:$F$17</c:f>
              <c:numCache>
                <c:formatCode>General</c:formatCode>
                <c:ptCount val="5"/>
                <c:pt idx="0">
                  <c:v>0.28990833333333332</c:v>
                </c:pt>
                <c:pt idx="1">
                  <c:v>8.6183333333333348E-2</c:v>
                </c:pt>
                <c:pt idx="2">
                  <c:v>0.24451666666666663</c:v>
                </c:pt>
                <c:pt idx="3">
                  <c:v>0.10123333333333333</c:v>
                </c:pt>
                <c:pt idx="4">
                  <c:v>0.27815833333333334</c:v>
                </c:pt>
              </c:numCache>
            </c:numRef>
          </c:val>
          <c:extLst>
            <c:ext xmlns:c16="http://schemas.microsoft.com/office/drawing/2014/chart" uri="{C3380CC4-5D6E-409C-BE32-E72D297353CC}">
              <c16:uniqueId val="{00000000-A7F3-4FBF-9343-F144DCC8B97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47624</xdr:colOff>
      <xdr:row>18</xdr:row>
      <xdr:rowOff>38100</xdr:rowOff>
    </xdr:from>
    <xdr:to>
      <xdr:col>22</xdr:col>
      <xdr:colOff>219075</xdr:colOff>
      <xdr:row>59</xdr:row>
      <xdr:rowOff>152400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200024</xdr:colOff>
      <xdr:row>1</xdr:row>
      <xdr:rowOff>38100</xdr:rowOff>
    </xdr:from>
    <xdr:to>
      <xdr:col>19</xdr:col>
      <xdr:colOff>228599</xdr:colOff>
      <xdr:row>25</xdr:row>
      <xdr:rowOff>85725</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514350</xdr:colOff>
      <xdr:row>2</xdr:row>
      <xdr:rowOff>47625</xdr:rowOff>
    </xdr:from>
    <xdr:to>
      <xdr:col>26</xdr:col>
      <xdr:colOff>361950</xdr:colOff>
      <xdr:row>25</xdr:row>
      <xdr:rowOff>9525</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6:BE22" totalsRowShown="0" headerRowDxfId="42">
  <autoFilter ref="A6:BE22" xr:uid="{00000000-0009-0000-0100-000003000000}"/>
  <tableColumns count="57">
    <tableColumn id="1" xr3:uid="{00000000-0010-0000-0000-000001000000}" name="Rep #">
      <calculatedColumnFormula>ROW()-ROW(home)</calculatedColumnFormula>
    </tableColumn>
    <tableColumn id="2" xr3:uid="{00000000-0010-0000-0000-000002000000}" name="offense" dataDxfId="41">
      <calculatedColumnFormula>INDEX(oratings, 1, 1+MOD(Table3[[#This Row],[Rep '#]]-1, COUNT(oratings)))</calculatedColumnFormula>
    </tableColumn>
    <tableColumn id="3" xr3:uid="{00000000-0010-0000-0000-000003000000}" name="defense" dataDxfId="40">
      <calculatedColumnFormula>INDEX(dratings, 1, MOD(FLOOR( (Table3[[#This Row],[Rep '#]]-1) / COUNT(oratings), 1), COUNT(dratings))+1)</calculatedColumnFormula>
    </tableColumn>
    <tableColumn id="4" xr3:uid="{00000000-0010-0000-0000-000004000000}" name="base leadoff" dataDxfId="39">
      <calculatedColumnFormula>Table3[[#This Row],[offense]]*$D$26+0.05</calculatedColumnFormula>
    </tableColumn>
    <tableColumn id="5" xr3:uid="{00000000-0010-0000-0000-000005000000}" name="leadoff modifier" dataDxfId="38">
      <calculatedColumnFormula>((2*Table3[[#This Row],[defense]]+1*Table3[[#This Row],[defense]])-1.5)*Table3[[#This Row],[offense]]*$E$26</calculatedColumnFormula>
    </tableColumn>
    <tableColumn id="6" xr3:uid="{00000000-0010-0000-0000-000006000000}" name="total leadoff (ft)" dataDxfId="37">
      <calculatedColumnFormula>MAX(Table3[[#This Row],[base leadoff]]*(1-Table3[[#This Row],[leadoff modifier]]) * 90, 0)</calculatedColumnFormula>
    </tableColumn>
    <tableColumn id="7" xr3:uid="{00000000-0010-0000-0000-000007000000}" name="pickoff manuver (s)" dataDxfId="36">
      <calculatedColumnFormula>1.1 - Table3[[#This Row],[defense]]*0.1</calculatedColumnFormula>
    </tableColumn>
    <tableColumn id="8" xr3:uid="{00000000-0010-0000-0000-000008000000}" name="throw speed (s/ft)" dataDxfId="35">
      <calculatedColumnFormula xml:space="preserve"> 0.01 - 0.0025 *  Table3[[#This Row],[defense]]</calculatedColumnFormula>
    </tableColumn>
    <tableColumn id="32" xr3:uid="{00000000-0010-0000-0000-000020000000}" name="throw speed (mph)" dataDxfId="34">
      <calculatedColumnFormula>1 / Table3[[#This Row],[throw speed (s/ft)]] * ((60 * 60)/5280)</calculatedColumnFormula>
    </tableColumn>
    <tableColumn id="9" xr3:uid="{00000000-0010-0000-0000-000009000000}" name="pickoff time" dataDxfId="33">
      <calculatedColumnFormula>Table3[[#This Row],[pickoff manuver (s)]]+60*Table3[[#This Row],[throw speed (s/ft)]]</calculatedColumnFormula>
    </tableColumn>
    <tableColumn id="10" xr3:uid="{00000000-0010-0000-0000-00000A000000}" name="runner reaction" dataDxfId="32">
      <calculatedColumnFormula>$K$28-$K$26*Table3[[#This Row],[offense]]</calculatedColumnFormula>
    </tableColumn>
    <tableColumn id="11" xr3:uid="{00000000-0010-0000-0000-00000B000000}" name="runner speed (s/ft)" dataDxfId="31">
      <calculatedColumnFormula>0.05 - Table3[[#This Row],[offense]]*$L$26</calculatedColumnFormula>
    </tableColumn>
    <tableColumn id="12" xr3:uid="{00000000-0010-0000-0000-00000C000000}" name="runner speed (mph)" dataDxfId="30">
      <calculatedColumnFormula>1 / Table3[[#This Row],[runner speed (s/ft)]] * ((60 * 60)/5280)</calculatedColumnFormula>
    </tableColumn>
    <tableColumn id="13" xr3:uid="{00000000-0010-0000-0000-00000D000000}" name="pickoff evade time" dataDxfId="29">
      <calculatedColumnFormula>Table3[[#This Row],[runner reaction]]+Table3[[#This Row],[runner speed (s/ft)]]*Table3[[#This Row],[total leadoff (ft)]]</calculatedColumnFormula>
    </tableColumn>
    <tableColumn id="14" xr3:uid="{00000000-0010-0000-0000-00000E000000}" name="pickoff probability" dataDxfId="28" dataCellStyle="Percent">
      <calculatedColumnFormula>1 - _xlfn.NORM.DIST(Table3[[#This Row],[pickoff time]], Table3[[#This Row],[pickoff evade time]], $O$4, TRUE)</calculatedColumnFormula>
    </tableColumn>
    <tableColumn id="17" xr3:uid="{00000000-0010-0000-0000-000011000000}" name="Fielding Odds" dataDxfId="27" dataCellStyle="Percent">
      <calculatedColumnFormula>_xlfn.NORM.DIST(Table3[[#This Row],[defense]], $P$26, $P$27, TRUE)</calculatedColumnFormula>
    </tableColumn>
    <tableColumn id="18" xr3:uid="{00000000-0010-0000-0000-000012000000}" name="pickoff worth it?" dataDxfId="26">
      <calculatedColumnFormula>Table3[[#This Row],[pickoff probability]] &gt; 1-Table3[[#This Row],[Fielding Odds]]</calculatedColumnFormula>
    </tableColumn>
    <tableColumn id="19" xr3:uid="{00000000-0010-0000-0000-000013000000}" name="Error %" dataDxfId="25" dataCellStyle="Percent">
      <calculatedColumnFormula>1-Table3[[#This Row],[Fielding Odds]]</calculatedColumnFormula>
    </tableColumn>
    <tableColumn id="20" xr3:uid="{00000000-0010-0000-0000-000014000000}" name="Blatant steal time" dataDxfId="24">
      <calculatedColumnFormula>(90-Table3[[#This Row],[total leadoff (ft)]])*Table3[[#This Row],[runner speed (s/ft)]]</calculatedColumnFormula>
    </tableColumn>
    <tableColumn id="21" xr3:uid="{00000000-0010-0000-0000-000015000000}" name="Response speed" dataDxfId="23">
      <calculatedColumnFormula>$T$26*(2-Table3[[#This Row],[defense]]) + Table3[[#This Row],[pickoff time]]</calculatedColumnFormula>
    </tableColumn>
    <tableColumn id="22" xr3:uid="{00000000-0010-0000-0000-000016000000}" name="blatant steal probability" dataDxfId="22" dataCellStyle="Percent">
      <calculatedColumnFormula>_xlfn.NORM.DIST(Table3[[#This Row],[Response speed]], Table3[[#This Row],[Blatant steal time]], $U$4, TRUE)</calculatedColumnFormula>
    </tableColumn>
    <tableColumn id="23" xr3:uid="{00000000-0010-0000-0000-000017000000}" name="defense fear" dataDxfId="21">
      <calculatedColumnFormula>Table3[[#This Row],[defense]]+Table3[[#This Row],[defense]]*Table3[[#This Row],[offense]]*$E$26</calculatedColumnFormula>
    </tableColumn>
    <tableColumn id="24" xr3:uid="{00000000-0010-0000-0000-000018000000}" name="ball factor" dataDxfId="20">
      <calculatedColumnFormula>(1-$W$32)</calculatedColumnFormula>
    </tableColumn>
    <tableColumn id="25" xr3:uid="{00000000-0010-0000-0000-000019000000}" name="desperation" dataDxfId="19" dataCellStyle="Percent">
      <calculatedColumnFormula>Table3[[#This Row],[ball factor]]/$X$32*(1-$X$34)+$X$34</calculatedColumnFormula>
    </tableColumn>
    <tableColumn id="26" xr3:uid="{00000000-0010-0000-0000-00001A000000}" name="player control" dataDxfId="18">
      <calculatedColumnFormula>Table3[[#This Row],[offense]]</calculatedColumnFormula>
    </tableColumn>
    <tableColumn id="27" xr3:uid="{00000000-0010-0000-0000-00001B000000}" name="ideal steer" dataDxfId="17">
      <calculatedColumnFormula>$AA$33</calculatedColumnFormula>
    </tableColumn>
    <tableColumn id="28" xr3:uid="{00000000-0010-0000-0000-00001C000000}" name="scaled control" dataDxfId="16">
      <calculatedColumnFormula>IF(Table3[[#This Row],[player control]]&gt;1,Table3[[#This Row],[player control]]*$AA$41+$AA$40,Table3[[#This Row],[player control]]*$AA$39+$AA$38)</calculatedColumnFormula>
    </tableColumn>
    <tableColumn id="29" xr3:uid="{00000000-0010-0000-0000-00001D000000}" name="unmod foul percent 3rd" dataDxfId="15" dataCellStyle="Percent">
      <calculatedColumnFormula>_xlfn.NORM.DIST(-1,Table3[[#This Row],[ideal steer]],($AB$25-Table3[[#This Row],[scaled control]])*$AB$27,TRUE)</calculatedColumnFormula>
    </tableColumn>
    <tableColumn id="30" xr3:uid="{00000000-0010-0000-0000-00001E000000}" name="unmod foul percent 1st" dataDxfId="14" dataCellStyle="Percent">
      <calculatedColumnFormula>1-_xlfn.NORM.DIST(1,Table3[[#This Row],[ideal steer]],($AB$25-Table3[[#This Row],[scaled control]])*$AB$27,TRUE)</calculatedColumnFormula>
    </tableColumn>
    <tableColumn id="31" xr3:uid="{00000000-0010-0000-0000-00001F000000}" name="total unmod foul percent" dataDxfId="13" dataCellStyle="Percent">
      <calculatedColumnFormula>1-(1-Table3[[#This Row],[unmod foul percent 3rd]])*(1-Table3[[#This Row],[unmod foul percent 1st]])</calculatedColumnFormula>
    </tableColumn>
    <tableColumn id="15" xr3:uid="{00000000-0010-0000-0000-00000F000000}" name="unmod dead center foul%" dataDxfId="12" dataCellStyle="Percent">
      <calculatedColumnFormula>1-((1-_xlfn.NORM.DIST(-1,0,($AB$25-Table3[[#This Row],[scaled control]])*$AB$27,TRUE))*_xlfn.NORM.DIST(1,0,($AB$25-Table3[[#This Row],[scaled control]])*$AB$27,TRUE))</calculatedColumnFormula>
    </tableColumn>
    <tableColumn id="16" xr3:uid="{00000000-0010-0000-0000-000010000000}" name="count" dataDxfId="11">
      <calculatedColumnFormula>$AF$34*$AF$25</calculatedColumnFormula>
    </tableColumn>
    <tableColumn id="33" xr3:uid="{00000000-0010-0000-0000-000021000000}" name="hitter discipline bias" dataDxfId="10">
      <calculatedColumnFormula>$AG$25*($AG$34*Table3[[#This Row],[offense]])</calculatedColumnFormula>
    </tableColumn>
    <tableColumn id="34" xr3:uid="{00000000-0010-0000-0000-000022000000}" name="bases loaded" dataDxfId="9">
      <calculatedColumnFormula>$AH$25*$AH$34</calculatedColumnFormula>
    </tableColumn>
    <tableColumn id="35" xr3:uid="{00000000-0010-0000-0000-000023000000}" name="number of outs" dataDxfId="8">
      <calculatedColumnFormula>$AI$34*$AI$25</calculatedColumnFormula>
    </tableColumn>
    <tableColumn id="36" xr3:uid="{00000000-0010-0000-0000-000024000000}" name="current hitter vs next hitter" dataDxfId="7">
      <calculatedColumnFormula>$AJ$25*(Table3[[#This Row],[offense]]-$AJ$27)</calculatedColumnFormula>
    </tableColumn>
    <tableColumn id="37" xr3:uid="{00000000-0010-0000-0000-000025000000}" name="calling modifier" dataDxfId="5">
      <calculatedColumnFormula array="1">SUM(Table3[[#This Row],[count]:[current hitter vs next hitter]]*MIN(1, Table3[[#This Row],[defense]]))</calculatedColumnFormula>
    </tableColumn>
    <tableColumn id="38" xr3:uid="{00000000-0010-0000-0000-000026000000}" name="sigmoid strike percent" dataDxfId="4" dataCellStyle="Percent">
      <calculatedColumnFormula>$AL$25-(Table3[[#This Row],[calling modifier]]/(ABS(Table3[[#This Row],[calling modifier]])+$AL$29)*$AL$27)</calculatedColumnFormula>
    </tableColumn>
    <tableColumn id="39" xr3:uid="{00000000-0010-0000-0000-000027000000}" name="tanh strike percent" dataDxfId="2" dataCellStyle="Percent">
      <calculatedColumnFormula>$AL$25-$AL$27*TANH(Table3[[#This Row],[calling modifier]]/$AM$29)</calculatedColumnFormula>
    </tableColumn>
    <tableColumn id="40" xr3:uid="{00000000-0010-0000-0000-000028000000}" name="XYZZY - called position" dataDxfId="0" dataCellStyle="Percent">
      <calculatedColumnFormula>1-_xlfn.NORM.S.INV(Table3[[#This Row],[tanh strike percent]])*(0.4*(3-Table3[[#This Row],[defense]]))</calculatedColumnFormula>
    </tableColumn>
    <tableColumn id="41" xr3:uid="{00000000-0010-0000-0000-000029000000}" name="Column1" dataDxfId="1"/>
    <tableColumn id="42" xr3:uid="{00000000-0010-0000-0000-00002A000000}" name="Column2" dataDxfId="3"/>
    <tableColumn id="43" xr3:uid="{00000000-0010-0000-0000-00002B000000}" name="Column44"/>
    <tableColumn id="44" xr3:uid="{00000000-0010-0000-0000-00002C000000}" name="Column45"/>
    <tableColumn id="45" xr3:uid="{00000000-0010-0000-0000-00002D000000}" name="Column46"/>
    <tableColumn id="46" xr3:uid="{00000000-0010-0000-0000-00002E000000}" name="Column47"/>
    <tableColumn id="47" xr3:uid="{00000000-0010-0000-0000-00002F000000}" name="Column48"/>
    <tableColumn id="48" xr3:uid="{00000000-0010-0000-0000-000030000000}" name="Column49"/>
    <tableColumn id="49" xr3:uid="{00000000-0010-0000-0000-000031000000}" name="Column50"/>
    <tableColumn id="50" xr3:uid="{00000000-0010-0000-0000-000032000000}" name="Column51"/>
    <tableColumn id="51" xr3:uid="{00000000-0010-0000-0000-000033000000}" name="Column52"/>
    <tableColumn id="52" xr3:uid="{00000000-0010-0000-0000-000034000000}" name="Column53"/>
    <tableColumn id="53" xr3:uid="{00000000-0010-0000-0000-000035000000}" name="Column54"/>
    <tableColumn id="54" xr3:uid="{00000000-0010-0000-0000-000036000000}" name="Column55"/>
    <tableColumn id="55" xr3:uid="{00000000-0010-0000-0000-000037000000}" name="Column56"/>
    <tableColumn id="56" xr3:uid="{00000000-0010-0000-0000-000038000000}" name="Column57"/>
    <tableColumn id="57" xr3:uid="{00000000-0010-0000-0000-000039000000}" name="Column58"/>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41"/>
  <sheetViews>
    <sheetView tabSelected="1" topLeftCell="AD4" workbookViewId="0">
      <selection activeCell="AJ34" sqref="AJ34"/>
    </sheetView>
  </sheetViews>
  <sheetFormatPr defaultColWidth="14.28515625" defaultRowHeight="15" x14ac:dyDescent="0.25"/>
  <sheetData>
    <row r="1" spans="1:57" x14ac:dyDescent="0.25">
      <c r="A1" t="s">
        <v>5</v>
      </c>
      <c r="B1">
        <v>0.1</v>
      </c>
      <c r="C1">
        <v>0.5</v>
      </c>
      <c r="D1">
        <v>1</v>
      </c>
      <c r="E1">
        <v>2</v>
      </c>
    </row>
    <row r="2" spans="1:57" x14ac:dyDescent="0.25">
      <c r="A2" t="s">
        <v>6</v>
      </c>
      <c r="B2">
        <v>0.1</v>
      </c>
      <c r="C2">
        <v>0.5</v>
      </c>
      <c r="D2">
        <v>1</v>
      </c>
      <c r="E2">
        <v>2</v>
      </c>
    </row>
    <row r="3" spans="1:57" x14ac:dyDescent="0.25">
      <c r="A3" t="s">
        <v>7</v>
      </c>
      <c r="B3">
        <f>COUNT(oratings)*COUNT(dratings)</f>
        <v>16</v>
      </c>
      <c r="O3" t="s">
        <v>81</v>
      </c>
      <c r="U3" t="s">
        <v>86</v>
      </c>
    </row>
    <row r="4" spans="1:57" x14ac:dyDescent="0.25">
      <c r="O4">
        <v>0.2</v>
      </c>
      <c r="U4">
        <v>0.6</v>
      </c>
    </row>
    <row r="5" spans="1:57" x14ac:dyDescent="0.25">
      <c r="A5" s="73" t="s">
        <v>142</v>
      </c>
      <c r="B5" s="74"/>
      <c r="C5" s="75"/>
      <c r="D5" s="73" t="s">
        <v>141</v>
      </c>
      <c r="E5" s="74"/>
      <c r="F5" s="74"/>
      <c r="G5" s="74"/>
      <c r="H5" s="74"/>
      <c r="I5" s="74"/>
      <c r="J5" s="74"/>
      <c r="K5" s="74"/>
      <c r="L5" s="74"/>
      <c r="M5" s="74"/>
      <c r="N5" s="74"/>
      <c r="O5" s="74"/>
      <c r="P5" s="74"/>
      <c r="Q5" s="74"/>
      <c r="R5" s="75"/>
      <c r="S5" s="73" t="s">
        <v>143</v>
      </c>
      <c r="T5" s="74"/>
      <c r="U5" s="74"/>
      <c r="V5" s="75"/>
      <c r="W5" s="73" t="s">
        <v>144</v>
      </c>
      <c r="X5" s="75"/>
      <c r="Y5" s="73" t="s">
        <v>181</v>
      </c>
      <c r="Z5" s="74"/>
      <c r="AA5" s="74"/>
      <c r="AB5" s="74"/>
      <c r="AC5" s="74"/>
      <c r="AD5" s="74"/>
      <c r="AE5" s="75"/>
      <c r="AF5" t="s">
        <v>182</v>
      </c>
    </row>
    <row r="6" spans="1:57" s="2" customFormat="1" ht="30" x14ac:dyDescent="0.25">
      <c r="A6" s="2" t="s">
        <v>8</v>
      </c>
      <c r="B6" s="2" t="s">
        <v>9</v>
      </c>
      <c r="C6" s="2" t="s">
        <v>10</v>
      </c>
      <c r="D6" s="2" t="s">
        <v>11</v>
      </c>
      <c r="E6" s="2" t="s">
        <v>12</v>
      </c>
      <c r="F6" s="2" t="s">
        <v>13</v>
      </c>
      <c r="G6" s="2" t="s">
        <v>78</v>
      </c>
      <c r="H6" s="2" t="s">
        <v>77</v>
      </c>
      <c r="I6" s="2" t="s">
        <v>75</v>
      </c>
      <c r="J6" s="2" t="s">
        <v>73</v>
      </c>
      <c r="K6" s="2" t="s">
        <v>74</v>
      </c>
      <c r="L6" s="2" t="s">
        <v>76</v>
      </c>
      <c r="M6" s="2" t="s">
        <v>79</v>
      </c>
      <c r="N6" s="2" t="s">
        <v>80</v>
      </c>
      <c r="O6" s="2" t="s">
        <v>88</v>
      </c>
      <c r="P6" s="2" t="s">
        <v>104</v>
      </c>
      <c r="Q6" s="2" t="s">
        <v>105</v>
      </c>
      <c r="R6" s="2" t="s">
        <v>106</v>
      </c>
      <c r="S6" s="2" t="s">
        <v>107</v>
      </c>
      <c r="T6" s="2" t="s">
        <v>108</v>
      </c>
      <c r="U6" s="2" t="s">
        <v>110</v>
      </c>
      <c r="V6" s="2" t="s">
        <v>111</v>
      </c>
      <c r="W6" s="2" t="s">
        <v>149</v>
      </c>
      <c r="X6" s="2" t="s">
        <v>151</v>
      </c>
      <c r="Y6" s="2" t="s">
        <v>152</v>
      </c>
      <c r="Z6" s="78" t="s">
        <v>165</v>
      </c>
      <c r="AA6" s="78" t="s">
        <v>170</v>
      </c>
      <c r="AB6" s="78" t="s">
        <v>177</v>
      </c>
      <c r="AC6" s="78" t="s">
        <v>178</v>
      </c>
      <c r="AD6" s="78" t="s">
        <v>179</v>
      </c>
      <c r="AE6" s="78" t="s">
        <v>180</v>
      </c>
      <c r="AF6" s="2" t="s">
        <v>140</v>
      </c>
      <c r="AG6" s="2" t="s">
        <v>183</v>
      </c>
      <c r="AH6" s="2" t="s">
        <v>188</v>
      </c>
      <c r="AI6" s="2" t="s">
        <v>189</v>
      </c>
      <c r="AJ6" s="2" t="s">
        <v>190</v>
      </c>
      <c r="AK6" s="2" t="s">
        <v>202</v>
      </c>
      <c r="AL6" s="78" t="s">
        <v>204</v>
      </c>
      <c r="AM6" s="2" t="s">
        <v>209</v>
      </c>
      <c r="AN6" s="2" t="s">
        <v>210</v>
      </c>
      <c r="AO6" s="2" t="s">
        <v>200</v>
      </c>
      <c r="AP6" s="2" t="s">
        <v>201</v>
      </c>
      <c r="AQ6" s="2" t="s">
        <v>125</v>
      </c>
      <c r="AR6" s="2" t="s">
        <v>126</v>
      </c>
      <c r="AS6" s="2" t="s">
        <v>127</v>
      </c>
      <c r="AT6" s="2" t="s">
        <v>128</v>
      </c>
      <c r="AU6" s="2" t="s">
        <v>129</v>
      </c>
      <c r="AV6" s="2" t="s">
        <v>130</v>
      </c>
      <c r="AW6" s="2" t="s">
        <v>131</v>
      </c>
      <c r="AX6" s="2" t="s">
        <v>132</v>
      </c>
      <c r="AY6" s="2" t="s">
        <v>133</v>
      </c>
      <c r="AZ6" s="2" t="s">
        <v>134</v>
      </c>
      <c r="BA6" s="2" t="s">
        <v>135</v>
      </c>
      <c r="BB6" s="2" t="s">
        <v>136</v>
      </c>
      <c r="BC6" s="2" t="s">
        <v>137</v>
      </c>
      <c r="BD6" s="2" t="s">
        <v>138</v>
      </c>
      <c r="BE6" s="2" t="s">
        <v>139</v>
      </c>
    </row>
    <row r="7" spans="1:57" s="29" customFormat="1" x14ac:dyDescent="0.25">
      <c r="A7" s="28">
        <f t="shared" ref="A7:A22" si="0">ROW()-ROW(home)</f>
        <v>1</v>
      </c>
      <c r="B7" s="29">
        <f>INDEX(oratings, 1, 1+MOD(Table3[[#This Row],[Rep '#]]-1, COUNT(oratings)))</f>
        <v>0.1</v>
      </c>
      <c r="C7" s="29">
        <f>INDEX(dratings, 1, MOD(FLOOR( (Table3[[#This Row],[Rep '#]]-1) / COUNT(oratings), 1), COUNT(dratings))+1)</f>
        <v>0.1</v>
      </c>
      <c r="D7" s="29">
        <f>Table3[[#This Row],[offense]]*$D$26+0.05</f>
        <v>6.0000000000000005E-2</v>
      </c>
      <c r="E7" s="29">
        <f>((2*Table3[[#This Row],[defense]]+1*Table3[[#This Row],[defense]])-1.5)*Table3[[#This Row],[offense]]*$E$26</f>
        <v>-1.2E-2</v>
      </c>
      <c r="F7" s="29">
        <f>MAX(Table3[[#This Row],[base leadoff]]*(1-Table3[[#This Row],[leadoff modifier]]) * 90, 0)</f>
        <v>5.4648000000000003</v>
      </c>
      <c r="G7" s="29">
        <f>1.1 - Table3[[#This Row],[defense]]*0.1</f>
        <v>1.0900000000000001</v>
      </c>
      <c r="H7" s="29">
        <f xml:space="preserve"> 0.01 - 0.0025 *  Table3[[#This Row],[defense]]</f>
        <v>9.75E-3</v>
      </c>
      <c r="I7" s="29">
        <f>1 / Table3[[#This Row],[throw speed (s/ft)]] * ((60 * 60)/5280)</f>
        <v>69.930069930069934</v>
      </c>
      <c r="J7" s="29">
        <f>Table3[[#This Row],[pickoff manuver (s)]]+60*Table3[[#This Row],[throw speed (s/ft)]]</f>
        <v>1.675</v>
      </c>
      <c r="K7" s="29">
        <f>$K$28-$K$26*Table3[[#This Row],[offense]]</f>
        <v>0.88</v>
      </c>
      <c r="L7" s="29">
        <f>0.05 - Table3[[#This Row],[offense]]*$L$26</f>
        <v>4.9000000000000002E-2</v>
      </c>
      <c r="M7" s="29">
        <f>1 / Table3[[#This Row],[runner speed (s/ft)]] * ((60 * 60)/5280)</f>
        <v>13.914656771799628</v>
      </c>
      <c r="N7" s="29">
        <f>Table3[[#This Row],[runner reaction]]+Table3[[#This Row],[runner speed (s/ft)]]*Table3[[#This Row],[total leadoff (ft)]]</f>
        <v>1.1477752000000001</v>
      </c>
      <c r="O7" s="30">
        <f>1 - _xlfn.NORM.DIST(Table3[[#This Row],[pickoff time]], Table3[[#This Row],[pickoff evade time]], $O$4, TRUE)</f>
        <v>4.1929540286620437E-3</v>
      </c>
      <c r="P7" s="48">
        <f>_xlfn.NORM.DIST(Table3[[#This Row],[defense]], $P$26, $P$27, TRUE)</f>
        <v>0.96588837667724492</v>
      </c>
      <c r="Q7" s="29" t="b">
        <f>Table3[[#This Row],[pickoff probability]] &gt; 1-Table3[[#This Row],[Fielding Odds]]</f>
        <v>0</v>
      </c>
      <c r="R7" s="48">
        <f>1-Table3[[#This Row],[Fielding Odds]]</f>
        <v>3.411162332275508E-2</v>
      </c>
      <c r="S7" s="29">
        <f>(90-Table3[[#This Row],[total leadoff (ft)]])*Table3[[#This Row],[runner speed (s/ft)]]</f>
        <v>4.1422248000000002</v>
      </c>
      <c r="T7" s="29">
        <f>$T$26*(2-Table3[[#This Row],[defense]]) + Table3[[#This Row],[pickoff time]]</f>
        <v>2.0550000000000002</v>
      </c>
      <c r="U7" s="48">
        <f>_xlfn.NORM.DIST(Table3[[#This Row],[Response speed]], Table3[[#This Row],[Blatant steal time]], $U$4, TRUE)</f>
        <v>2.5191863061619241E-4</v>
      </c>
      <c r="V7" s="29">
        <f>Table3[[#This Row],[defense]]+Table3[[#This Row],[defense]]*Table3[[#This Row],[offense]]*$E$26</f>
        <v>0.10100000000000001</v>
      </c>
      <c r="W7" s="29">
        <f>(1-$W$32)</f>
        <v>0.5714285714285714</v>
      </c>
      <c r="X7" s="48">
        <f>Table3[[#This Row],[ball factor]]/$X$32*(1-$X$34)+$X$34</f>
        <v>0.73781512605042021</v>
      </c>
      <c r="Y7" s="29">
        <f>Table3[[#This Row],[offense]]</f>
        <v>0.1</v>
      </c>
      <c r="Z7" s="79">
        <f t="shared" ref="Z7:Z22" si="1">$AA$33</f>
        <v>-0.90000000000000013</v>
      </c>
      <c r="AA7" s="79">
        <f>IF(Table3[[#This Row],[player control]]&gt;1,Table3[[#This Row],[player control]]*$AA$41+$AA$40,Table3[[#This Row],[player control]]*$AA$39+$AA$38)</f>
        <v>-0.14000000000000001</v>
      </c>
      <c r="AB7" s="80">
        <f>_xlfn.NORM.DIST(-1,Table3[[#This Row],[ideal steer]],($AB$25-Table3[[#This Row],[scaled control]])*$AB$27,TRUE)</f>
        <v>0.40456602559459909</v>
      </c>
      <c r="AC7" s="80">
        <f>1-_xlfn.NORM.DIST(1,Table3[[#This Row],[ideal steer]],($AB$25-Table3[[#This Row],[scaled control]])*$AB$27,TRUE)</f>
        <v>2.2229077858426649E-6</v>
      </c>
      <c r="AD7" s="80">
        <f>1-(1-Table3[[#This Row],[unmod foul percent 3rd]])*(1-Table3[[#This Row],[unmod foul percent 1st]])</f>
        <v>0.40456734918941673</v>
      </c>
      <c r="AE7" s="80">
        <f>1-((1-_xlfn.NORM.DIST(-1,0,($AB$25-Table3[[#This Row],[scaled control]])*$AB$27,TRUE))*_xlfn.NORM.DIST(1,0,($AB$25-Table3[[#This Row],[scaled control]])*$AB$27,TRUE))</f>
        <v>1.5653650964326582E-2</v>
      </c>
      <c r="AF7" s="29">
        <f>$AF$34*$AF$25</f>
        <v>-13.333333333333332</v>
      </c>
      <c r="AG7" s="29">
        <f>$AG$25*($AG$34*Table3[[#This Row],[offense]])</f>
        <v>0</v>
      </c>
      <c r="AH7" s="29">
        <f t="shared" ref="AH7:AH22" si="2">$AH$25*$AH$34</f>
        <v>0</v>
      </c>
      <c r="AI7" s="29">
        <f>$AI$34*$AI$25</f>
        <v>0</v>
      </c>
      <c r="AJ7" s="29">
        <f>$AJ$25*(Table3[[#This Row],[offense]]-$AJ$27)</f>
        <v>-0.9</v>
      </c>
      <c r="AK7" s="29" cm="1">
        <f t="array" ref="AK7">SUM(Table3[[#This Row],[count]:[current hitter vs next hitter]]*MIN(1, Table3[[#This Row],[defense]]))</f>
        <v>-1.4233333333333333</v>
      </c>
      <c r="AL7" s="80">
        <f>$AL$25-(Table3[[#This Row],[calling modifier]]/(ABS(Table3[[#This Row],[calling modifier]])+$AL$29)*$AL$27)</f>
        <v>0.62657538509413413</v>
      </c>
      <c r="AM7" s="104">
        <f>$AL$25-$AL$27*TANH(Table3[[#This Row],[calling modifier]]/$AM$29)</f>
        <v>0.62841870550493606</v>
      </c>
      <c r="AN7" s="116">
        <f>1-_xlfn.NORM.S.INV(Table3[[#This Row],[tanh strike percent]])*(0.4*(3-Table3[[#This Row],[defense]]))</f>
        <v>0.61990494808770902</v>
      </c>
    </row>
    <row r="8" spans="1:57" s="3" customFormat="1" x14ac:dyDescent="0.25">
      <c r="A8" s="3">
        <f t="shared" si="0"/>
        <v>2</v>
      </c>
      <c r="B8" s="3">
        <f>INDEX(oratings, 1, 1+MOD(Table3[[#This Row],[Rep '#]]-1, COUNT(oratings)))</f>
        <v>0.5</v>
      </c>
      <c r="C8" s="3">
        <f>INDEX(dratings, 1, MOD(FLOOR( (Table3[[#This Row],[Rep '#]]-1) / COUNT(oratings), 1), COUNT(dratings))+1)</f>
        <v>0.1</v>
      </c>
      <c r="D8" s="3">
        <f>Table3[[#This Row],[offense]]*$D$26+0.05</f>
        <v>0.1</v>
      </c>
      <c r="E8" s="3">
        <f>((2*Table3[[#This Row],[defense]]+1*Table3[[#This Row],[defense]])-1.5)*Table3[[#This Row],[offense]]*$E$26</f>
        <v>-0.06</v>
      </c>
      <c r="F8" s="3">
        <f>MAX(Table3[[#This Row],[base leadoff]]*(1-Table3[[#This Row],[leadoff modifier]]) * 90, 0)</f>
        <v>9.5400000000000009</v>
      </c>
      <c r="G8" s="3">
        <f>1.1 - Table3[[#This Row],[defense]]*0.1</f>
        <v>1.0900000000000001</v>
      </c>
      <c r="H8" s="3">
        <f xml:space="preserve"> 0.01 - 0.0025 *  Table3[[#This Row],[defense]]</f>
        <v>9.75E-3</v>
      </c>
      <c r="I8" s="3">
        <f>1 / Table3[[#This Row],[throw speed (s/ft)]] * ((60 * 60)/5280)</f>
        <v>69.930069930069934</v>
      </c>
      <c r="J8" s="3">
        <f>Table3[[#This Row],[pickoff manuver (s)]]+60*Table3[[#This Row],[throw speed (s/ft)]]</f>
        <v>1.675</v>
      </c>
      <c r="K8" s="3">
        <f>$K$28-$K$26*Table3[[#This Row],[offense]]</f>
        <v>0.8</v>
      </c>
      <c r="L8" s="3">
        <f>0.05 - Table3[[#This Row],[offense]]*$L$26</f>
        <v>4.5000000000000005E-2</v>
      </c>
      <c r="M8" s="3">
        <f>1 / Table3[[#This Row],[runner speed (s/ft)]] * ((60 * 60)/5280)</f>
        <v>15.151515151515147</v>
      </c>
      <c r="N8" s="3">
        <f>Table3[[#This Row],[runner reaction]]+Table3[[#This Row],[runner speed (s/ft)]]*Table3[[#This Row],[total leadoff (ft)]]</f>
        <v>1.2293000000000001</v>
      </c>
      <c r="O8" s="7">
        <f>1 - _xlfn.NORM.DIST(Table3[[#This Row],[pickoff time]], Table3[[#This Row],[pickoff evade time]], $O$4, TRUE)</f>
        <v>1.2923595669015353E-2</v>
      </c>
      <c r="P8" s="49">
        <f>_xlfn.NORM.DIST(Table3[[#This Row],[defense]], $P$26, $P$27, TRUE)</f>
        <v>0.96588837667724492</v>
      </c>
      <c r="Q8" s="3" t="b">
        <f>Table3[[#This Row],[pickoff probability]] &gt; 1-Table3[[#This Row],[Fielding Odds]]</f>
        <v>0</v>
      </c>
      <c r="R8" s="49">
        <f>1-Table3[[#This Row],[Fielding Odds]]</f>
        <v>3.411162332275508E-2</v>
      </c>
      <c r="S8" s="3">
        <f>(90-Table3[[#This Row],[total leadoff (ft)]])*Table3[[#This Row],[runner speed (s/ft)]]</f>
        <v>3.6207000000000003</v>
      </c>
      <c r="T8" s="3">
        <f>$T$26*(2-Table3[[#This Row],[defense]]) + Table3[[#This Row],[pickoff time]]</f>
        <v>2.0550000000000002</v>
      </c>
      <c r="U8" s="49">
        <f>_xlfn.NORM.DIST(Table3[[#This Row],[Response speed]], Table3[[#This Row],[Blatant steal time]], $U$4, TRUE)</f>
        <v>4.5337323029872069E-3</v>
      </c>
      <c r="V8" s="3">
        <f>Table3[[#This Row],[defense]]+Table3[[#This Row],[defense]]*Table3[[#This Row],[offense]]*$E$26</f>
        <v>0.10500000000000001</v>
      </c>
      <c r="W8" s="3">
        <f t="shared" ref="W8:W22" si="3">(1-$W$32)</f>
        <v>0.5714285714285714</v>
      </c>
      <c r="X8" s="49">
        <f>Table3[[#This Row],[ball factor]]/$X$32*(1-$X$34)+$X$34</f>
        <v>0.73781512605042021</v>
      </c>
      <c r="Y8" s="3">
        <f>Table3[[#This Row],[offense]]</f>
        <v>0.5</v>
      </c>
      <c r="Z8" s="81">
        <f t="shared" si="1"/>
        <v>-0.90000000000000013</v>
      </c>
      <c r="AA8" s="81">
        <f>IF(Table3[[#This Row],[player control]]&gt;1,Table3[[#This Row],[player control]]*$AA$41+$AA$40,Table3[[#This Row],[player control]]*$AA$39+$AA$38)</f>
        <v>0.10000000000000003</v>
      </c>
      <c r="AB8" s="82">
        <f>_xlfn.NORM.DIST(-1,Table3[[#This Row],[ideal steer]],($AB$25-Table3[[#This Row],[scaled control]])*$AB$27,TRUE)</f>
        <v>0.39881703452798722</v>
      </c>
      <c r="AC8" s="82">
        <f>1-_xlfn.NORM.DIST(1,Table3[[#This Row],[ideal steer]],($AB$25-Table3[[#This Row],[scaled control]])*$AB$27,TRUE)</f>
        <v>5.5294477940837083E-7</v>
      </c>
      <c r="AD8" s="82">
        <f>1-(1-Table3[[#This Row],[unmod foul percent 3rd]])*(1-Table3[[#This Row],[unmod foul percent 1st]])</f>
        <v>0.39881736694896941</v>
      </c>
      <c r="AE8" s="82">
        <f>1-((1-_xlfn.NORM.DIST(-1,0,($AB$25-Table3[[#This Row],[scaled control]])*$AB$27,TRUE))*_xlfn.NORM.DIST(1,0,($AB$25-Table3[[#This Row],[scaled control]])*$AB$27,TRUE))</f>
        <v>1.0317546081842099E-2</v>
      </c>
      <c r="AF8" s="3">
        <f>$AF$34*$AF$25</f>
        <v>-13.333333333333332</v>
      </c>
      <c r="AG8" s="3">
        <f>$AG$25*($AG$34*Table3[[#This Row],[offense]])</f>
        <v>0</v>
      </c>
      <c r="AH8" s="3">
        <f t="shared" si="2"/>
        <v>0</v>
      </c>
      <c r="AI8" s="3">
        <f>$AI$34*$AI$25</f>
        <v>0</v>
      </c>
      <c r="AJ8" s="3">
        <f>$AJ$25*(Table3[[#This Row],[offense]]-$AJ$27)</f>
        <v>-0.5</v>
      </c>
      <c r="AK8" s="3" cm="1">
        <f t="array" ref="AK8">SUM(Table3[[#This Row],[count]:[current hitter vs next hitter]]*MIN(1, Table3[[#This Row],[defense]]))</f>
        <v>-1.3833333333333333</v>
      </c>
      <c r="AL8" s="82">
        <f>$AL$25-(Table3[[#This Row],[calling modifier]]/(ABS(Table3[[#This Row],[calling modifier]])+$AL$29)*$AL$27)</f>
        <v>0.62587685113016367</v>
      </c>
      <c r="AM8" s="105">
        <f>$AL$25-$AL$27*TANH(Table3[[#This Row],[calling modifier]]/$AM$29)</f>
        <v>0.62762263156352605</v>
      </c>
      <c r="AN8" s="117">
        <f>1-_xlfn.NORM.S.INV(Table3[[#This Row],[tanh strike percent]])*(0.4*(3-Table3[[#This Row],[defense]]))</f>
        <v>0.62234650135700387</v>
      </c>
    </row>
    <row r="9" spans="1:57" s="4" customFormat="1" x14ac:dyDescent="0.25">
      <c r="A9" s="4">
        <f t="shared" si="0"/>
        <v>3</v>
      </c>
      <c r="B9" s="4">
        <f>INDEX(oratings, 1, 1+MOD(Table3[[#This Row],[Rep '#]]-1, COUNT(oratings)))</f>
        <v>1</v>
      </c>
      <c r="C9" s="4">
        <f>INDEX(dratings, 1, MOD(FLOOR( (Table3[[#This Row],[Rep '#]]-1) / COUNT(oratings), 1), COUNT(dratings))+1)</f>
        <v>0.1</v>
      </c>
      <c r="D9" s="4">
        <f>Table3[[#This Row],[offense]]*$D$26+0.05</f>
        <v>0.15000000000000002</v>
      </c>
      <c r="E9" s="4">
        <f>((2*Table3[[#This Row],[defense]]+1*Table3[[#This Row],[defense]])-1.5)*Table3[[#This Row],[offense]]*$E$26</f>
        <v>-0.12</v>
      </c>
      <c r="F9" s="4">
        <f>MAX(Table3[[#This Row],[base leadoff]]*(1-Table3[[#This Row],[leadoff modifier]]) * 90, 0)</f>
        <v>15.120000000000003</v>
      </c>
      <c r="G9" s="4">
        <f>1.1 - Table3[[#This Row],[defense]]*0.1</f>
        <v>1.0900000000000001</v>
      </c>
      <c r="H9" s="4">
        <f xml:space="preserve"> 0.01 - 0.0025 *  Table3[[#This Row],[defense]]</f>
        <v>9.75E-3</v>
      </c>
      <c r="I9" s="4">
        <f>1 / Table3[[#This Row],[throw speed (s/ft)]] * ((60 * 60)/5280)</f>
        <v>69.930069930069934</v>
      </c>
      <c r="J9" s="4">
        <f>Table3[[#This Row],[pickoff manuver (s)]]+60*Table3[[#This Row],[throw speed (s/ft)]]</f>
        <v>1.675</v>
      </c>
      <c r="K9" s="4">
        <f>$K$28-$K$26*Table3[[#This Row],[offense]]</f>
        <v>0.7</v>
      </c>
      <c r="L9" s="4">
        <f>0.05 - Table3[[#This Row],[offense]]*$L$26</f>
        <v>0.04</v>
      </c>
      <c r="M9" s="4">
        <f>1 / Table3[[#This Row],[runner speed (s/ft)]] * ((60 * 60)/5280)</f>
        <v>17.045454545454543</v>
      </c>
      <c r="N9" s="4">
        <f>Table3[[#This Row],[runner reaction]]+Table3[[#This Row],[runner speed (s/ft)]]*Table3[[#This Row],[total leadoff (ft)]]</f>
        <v>1.3048000000000002</v>
      </c>
      <c r="O9" s="10">
        <f>1 - _xlfn.NORM.DIST(Table3[[#This Row],[pickoff time]], Table3[[#This Row],[pickoff evade time]], $O$4, TRUE)</f>
        <v>3.208477655219244E-2</v>
      </c>
      <c r="P9" s="50">
        <f>_xlfn.NORM.DIST(Table3[[#This Row],[defense]], $P$26, $P$27, TRUE)</f>
        <v>0.96588837667724492</v>
      </c>
      <c r="Q9" s="4" t="b">
        <f>Table3[[#This Row],[pickoff probability]] &gt; 1-Table3[[#This Row],[Fielding Odds]]</f>
        <v>0</v>
      </c>
      <c r="R9" s="50">
        <f>1-Table3[[#This Row],[Fielding Odds]]</f>
        <v>3.411162332275508E-2</v>
      </c>
      <c r="S9" s="4">
        <f>(90-Table3[[#This Row],[total leadoff (ft)]])*Table3[[#This Row],[runner speed (s/ft)]]</f>
        <v>2.9952000000000001</v>
      </c>
      <c r="T9" s="4">
        <f>$T$26*(2-Table3[[#This Row],[defense]]) + Table3[[#This Row],[pickoff time]]</f>
        <v>2.0550000000000002</v>
      </c>
      <c r="U9" s="50">
        <f>_xlfn.NORM.DIST(Table3[[#This Row],[Response speed]], Table3[[#This Row],[Blatant steal time]], $U$4, TRUE)</f>
        <v>5.8557345807363756E-2</v>
      </c>
      <c r="V9" s="4">
        <f>Table3[[#This Row],[defense]]+Table3[[#This Row],[defense]]*Table3[[#This Row],[offense]]*$E$26</f>
        <v>0.11000000000000001</v>
      </c>
      <c r="W9" s="4">
        <f t="shared" si="3"/>
        <v>0.5714285714285714</v>
      </c>
      <c r="X9" s="50">
        <f>Table3[[#This Row],[ball factor]]/$X$32*(1-$X$34)+$X$34</f>
        <v>0.73781512605042021</v>
      </c>
      <c r="Y9" s="4">
        <f>Table3[[#This Row],[offense]]</f>
        <v>1</v>
      </c>
      <c r="Z9" s="83">
        <f t="shared" si="1"/>
        <v>-0.90000000000000013</v>
      </c>
      <c r="AA9" s="83">
        <f>IF(Table3[[#This Row],[player control]]&gt;1,Table3[[#This Row],[player control]]*$AA$41+$AA$40,Table3[[#This Row],[player control]]*$AA$39+$AA$38)</f>
        <v>0.40000000000000008</v>
      </c>
      <c r="AB9" s="84">
        <f>_xlfn.NORM.DIST(-1,Table3[[#This Row],[ideal steer]],($AB$25-Table3[[#This Row],[scaled control]])*$AB$27,TRUE)</f>
        <v>0.39059147543357509</v>
      </c>
      <c r="AC9" s="84">
        <f>1-_xlfn.NORM.DIST(1,Table3[[#This Row],[ideal steer]],($AB$25-Table3[[#This Row],[scaled control]])*$AB$27,TRUE)</f>
        <v>6.5379949898414225E-8</v>
      </c>
      <c r="AD9" s="84">
        <f>1-(1-Table3[[#This Row],[unmod foul percent 3rd]])*(1-Table3[[#This Row],[unmod foul percent 1st]])</f>
        <v>0.39059151527667391</v>
      </c>
      <c r="AE9" s="84">
        <f>1-((1-_xlfn.NORM.DIST(-1,0,($AB$25-Table3[[#This Row],[scaled control]])*$AB$27,TRUE))*_xlfn.NORM.DIST(1,0,($AB$25-Table3[[#This Row],[scaled control]])*$AB$27,TRUE))</f>
        <v>5.465714583151815E-3</v>
      </c>
      <c r="AF9" s="4">
        <f>$AF$34*$AF$25</f>
        <v>-13.333333333333332</v>
      </c>
      <c r="AG9" s="4">
        <f>$AG$25*($AG$34*Table3[[#This Row],[offense]])</f>
        <v>0</v>
      </c>
      <c r="AH9" s="4">
        <f t="shared" si="2"/>
        <v>0</v>
      </c>
      <c r="AI9" s="4">
        <f>$AI$34*$AI$25</f>
        <v>0</v>
      </c>
      <c r="AJ9" s="4">
        <f>$AJ$25*(Table3[[#This Row],[offense]]-$AJ$27)</f>
        <v>0</v>
      </c>
      <c r="AK9" s="4" cm="1">
        <f t="array" ref="AK9">SUM(Table3[[#This Row],[count]:[current hitter vs next hitter]]*MIN(1, Table3[[#This Row],[defense]]))</f>
        <v>-1.3333333333333333</v>
      </c>
      <c r="AL9" s="84">
        <f>$AL$25-(Table3[[#This Row],[calling modifier]]/(ABS(Table3[[#This Row],[calling modifier]])+$AL$29)*$AL$27)</f>
        <v>0.625</v>
      </c>
      <c r="AM9" s="106">
        <f>$AL$25-$AL$27*TANH(Table3[[#This Row],[calling modifier]]/$AM$29)</f>
        <v>0.62662723060090497</v>
      </c>
      <c r="AN9" s="118">
        <f>1-_xlfn.NORM.S.INV(Table3[[#This Row],[tanh strike percent]])*(0.4*(3-Table3[[#This Row],[defense]]))</f>
        <v>0.62539703849887918</v>
      </c>
    </row>
    <row r="10" spans="1:57" s="3" customFormat="1" x14ac:dyDescent="0.25">
      <c r="A10" s="3">
        <f t="shared" si="0"/>
        <v>4</v>
      </c>
      <c r="B10" s="3">
        <f>INDEX(oratings, 1, 1+MOD(Table3[[#This Row],[Rep '#]]-1, COUNT(oratings)))</f>
        <v>2</v>
      </c>
      <c r="C10" s="3">
        <f>INDEX(dratings, 1, MOD(FLOOR( (Table3[[#This Row],[Rep '#]]-1) / COUNT(oratings), 1), COUNT(dratings))+1)</f>
        <v>0.1</v>
      </c>
      <c r="D10" s="3">
        <f>Table3[[#This Row],[offense]]*$D$26+0.05</f>
        <v>0.25</v>
      </c>
      <c r="E10" s="3">
        <f>((2*Table3[[#This Row],[defense]]+1*Table3[[#This Row],[defense]])-1.5)*Table3[[#This Row],[offense]]*$E$26</f>
        <v>-0.24</v>
      </c>
      <c r="F10" s="3">
        <f>MAX(Table3[[#This Row],[base leadoff]]*(1-Table3[[#This Row],[leadoff modifier]]) * 90, 0)</f>
        <v>27.9</v>
      </c>
      <c r="G10" s="3">
        <f>1.1 - Table3[[#This Row],[defense]]*0.1</f>
        <v>1.0900000000000001</v>
      </c>
      <c r="H10" s="3">
        <f xml:space="preserve"> 0.01 - 0.0025 *  Table3[[#This Row],[defense]]</f>
        <v>9.75E-3</v>
      </c>
      <c r="I10" s="3">
        <f>1 / Table3[[#This Row],[throw speed (s/ft)]] * ((60 * 60)/5280)</f>
        <v>69.930069930069934</v>
      </c>
      <c r="J10" s="3">
        <f>Table3[[#This Row],[pickoff manuver (s)]]+60*Table3[[#This Row],[throw speed (s/ft)]]</f>
        <v>1.675</v>
      </c>
      <c r="K10" s="3">
        <f>$K$28-$K$26*Table3[[#This Row],[offense]]</f>
        <v>0.5</v>
      </c>
      <c r="L10" s="3">
        <f>0.05 - Table3[[#This Row],[offense]]*$L$26</f>
        <v>3.0000000000000002E-2</v>
      </c>
      <c r="M10" s="3">
        <f>1 / Table3[[#This Row],[runner speed (s/ft)]] * ((60 * 60)/5280)</f>
        <v>22.727272727272723</v>
      </c>
      <c r="N10" s="3">
        <f>Table3[[#This Row],[runner reaction]]+Table3[[#This Row],[runner speed (s/ft)]]*Table3[[#This Row],[total leadoff (ft)]]</f>
        <v>1.3370000000000002</v>
      </c>
      <c r="O10" s="7">
        <f>1 - _xlfn.NORM.DIST(Table3[[#This Row],[pickoff time]], Table3[[#This Row],[pickoff evade time]], $O$4, TRUE)</f>
        <v>4.5513977321549826E-2</v>
      </c>
      <c r="P10" s="49">
        <f>_xlfn.NORM.DIST(Table3[[#This Row],[defense]], $P$26, $P$27, TRUE)</f>
        <v>0.96588837667724492</v>
      </c>
      <c r="Q10" s="3" t="b">
        <f>Table3[[#This Row],[pickoff probability]] &gt; 1-Table3[[#This Row],[Fielding Odds]]</f>
        <v>1</v>
      </c>
      <c r="R10" s="49">
        <f>1-Table3[[#This Row],[Fielding Odds]]</f>
        <v>3.411162332275508E-2</v>
      </c>
      <c r="S10" s="3">
        <f>(90-Table3[[#This Row],[total leadoff (ft)]])*Table3[[#This Row],[runner speed (s/ft)]]</f>
        <v>1.8630000000000002</v>
      </c>
      <c r="T10" s="3">
        <f>$T$26*(2-Table3[[#This Row],[defense]]) + Table3[[#This Row],[pickoff time]]</f>
        <v>2.0550000000000002</v>
      </c>
      <c r="U10" s="49">
        <f>_xlfn.NORM.DIST(Table3[[#This Row],[Response speed]], Table3[[#This Row],[Blatant steal time]], $U$4, TRUE)</f>
        <v>0.62551583472332006</v>
      </c>
      <c r="V10" s="3">
        <f>Table3[[#This Row],[defense]]+Table3[[#This Row],[defense]]*Table3[[#This Row],[offense]]*$E$26</f>
        <v>0.12000000000000001</v>
      </c>
      <c r="W10" s="3">
        <f t="shared" si="3"/>
        <v>0.5714285714285714</v>
      </c>
      <c r="X10" s="49">
        <f>Table3[[#This Row],[ball factor]]/$X$32*(1-$X$34)+$X$34</f>
        <v>0.73781512605042021</v>
      </c>
      <c r="Y10" s="3">
        <f>Table3[[#This Row],[offense]]</f>
        <v>2</v>
      </c>
      <c r="Z10" s="81">
        <f t="shared" si="1"/>
        <v>-0.90000000000000013</v>
      </c>
      <c r="AA10" s="81">
        <f>IF(Table3[[#This Row],[player control]]&gt;1,Table3[[#This Row],[player control]]*$AA$41+$AA$40,Table3[[#This Row],[player control]]*$AA$39+$AA$38)</f>
        <v>2</v>
      </c>
      <c r="AB10" s="82">
        <f>_xlfn.NORM.DIST(-1,Table3[[#This Row],[ideal steer]],($AB$25-Table3[[#This Row],[scaled control]])*$AB$27,TRUE)</f>
        <v>0.3085375387259871</v>
      </c>
      <c r="AC10" s="82">
        <f>1-_xlfn.NORM.DIST(1,Table3[[#This Row],[ideal steer]],($AB$25-Table3[[#This Row],[scaled control]])*$AB$27,TRUE)</f>
        <v>0</v>
      </c>
      <c r="AD10" s="82">
        <f>1-(1-Table3[[#This Row],[unmod foul percent 3rd]])*(1-Table3[[#This Row],[unmod foul percent 1st]])</f>
        <v>0.3085375387259871</v>
      </c>
      <c r="AE10" s="82">
        <f>1-((1-_xlfn.NORM.DIST(-1,0,($AB$25-Table3[[#This Row],[scaled control]])*$AB$27,TRUE))*_xlfn.NORM.DIST(1,0,($AB$25-Table3[[#This Row],[scaled control]])*$AB$27,TRUE))</f>
        <v>5.7330306169056655E-7</v>
      </c>
      <c r="AF10" s="3">
        <f>$AF$34*$AF$25</f>
        <v>-13.333333333333332</v>
      </c>
      <c r="AG10" s="3">
        <f>$AG$25*($AG$34*Table3[[#This Row],[offense]])</f>
        <v>0</v>
      </c>
      <c r="AH10" s="3">
        <f t="shared" si="2"/>
        <v>0</v>
      </c>
      <c r="AI10" s="3">
        <f>$AI$34*$AI$25</f>
        <v>0</v>
      </c>
      <c r="AJ10" s="3">
        <f>$AJ$25*(Table3[[#This Row],[offense]]-$AJ$27)</f>
        <v>1</v>
      </c>
      <c r="AK10" s="3" cm="1">
        <f t="array" ref="AK10">SUM(Table3[[#This Row],[count]:[current hitter vs next hitter]]*MIN(1, Table3[[#This Row],[defense]]))</f>
        <v>-1.2333333333333332</v>
      </c>
      <c r="AL10" s="82">
        <f>$AL$25-(Table3[[#This Row],[calling modifier]]/(ABS(Table3[[#This Row],[calling modifier]])+$AL$29)*$AL$27)</f>
        <v>0.62323390894819464</v>
      </c>
      <c r="AM10" s="105">
        <f>$AL$25-$AL$27*TANH(Table3[[#This Row],[calling modifier]]/$AM$29)</f>
        <v>0.62463544687063488</v>
      </c>
      <c r="AN10" s="117">
        <f>1-_xlfn.NORM.S.INV(Table3[[#This Row],[tanh strike percent]])*(0.4*(3-Table3[[#This Row],[defense]]))</f>
        <v>0.63149337535819994</v>
      </c>
    </row>
    <row r="11" spans="1:57" s="13" customFormat="1" x14ac:dyDescent="0.25">
      <c r="A11" s="13">
        <f t="shared" si="0"/>
        <v>5</v>
      </c>
      <c r="B11" s="13">
        <f>INDEX(oratings, 1, 1+MOD(Table3[[#This Row],[Rep '#]]-1, COUNT(oratings)))</f>
        <v>0.1</v>
      </c>
      <c r="C11" s="13">
        <f>INDEX(dratings, 1, MOD(FLOOR( (Table3[[#This Row],[Rep '#]]-1) / COUNT(oratings), 1), COUNT(dratings))+1)</f>
        <v>0.5</v>
      </c>
      <c r="D11" s="13">
        <f>Table3[[#This Row],[offense]]*$D$26+0.05</f>
        <v>6.0000000000000005E-2</v>
      </c>
      <c r="E11" s="13">
        <f>((2*Table3[[#This Row],[defense]]+1*Table3[[#This Row],[defense]])-1.5)*Table3[[#This Row],[offense]]*$E$26</f>
        <v>0</v>
      </c>
      <c r="F11" s="13">
        <f>MAX(Table3[[#This Row],[base leadoff]]*(1-Table3[[#This Row],[leadoff modifier]]) * 90, 0)</f>
        <v>5.4</v>
      </c>
      <c r="G11" s="13">
        <f>1.1 - Table3[[#This Row],[defense]]*0.1</f>
        <v>1.05</v>
      </c>
      <c r="H11" s="13">
        <f xml:space="preserve"> 0.01 - 0.0025 *  Table3[[#This Row],[defense]]</f>
        <v>8.7500000000000008E-3</v>
      </c>
      <c r="I11" s="13">
        <f>1 / Table3[[#This Row],[throw speed (s/ft)]] * ((60 * 60)/5280)</f>
        <v>77.922077922077918</v>
      </c>
      <c r="J11" s="13">
        <f>Table3[[#This Row],[pickoff manuver (s)]]+60*Table3[[#This Row],[throw speed (s/ft)]]</f>
        <v>1.5750000000000002</v>
      </c>
      <c r="K11" s="13">
        <f>$K$28-$K$26*Table3[[#This Row],[offense]]</f>
        <v>0.88</v>
      </c>
      <c r="L11" s="13">
        <f>0.05 - Table3[[#This Row],[offense]]*$L$26</f>
        <v>4.9000000000000002E-2</v>
      </c>
      <c r="M11" s="13">
        <f>1 / Table3[[#This Row],[runner speed (s/ft)]] * ((60 * 60)/5280)</f>
        <v>13.914656771799628</v>
      </c>
      <c r="N11" s="13">
        <f>Table3[[#This Row],[runner reaction]]+Table3[[#This Row],[runner speed (s/ft)]]*Table3[[#This Row],[total leadoff (ft)]]</f>
        <v>1.1446000000000001</v>
      </c>
      <c r="O11" s="14">
        <f>1 - _xlfn.NORM.DIST(Table3[[#This Row],[pickoff time]], Table3[[#This Row],[pickoff evade time]], $O$4, TRUE)</f>
        <v>1.5698677182155896E-2</v>
      </c>
      <c r="P11" s="51">
        <f>_xlfn.NORM.DIST(Table3[[#This Row],[defense]], $P$26, $P$27, TRUE)</f>
        <v>0.98024442661121902</v>
      </c>
      <c r="Q11" s="13" t="b">
        <f>Table3[[#This Row],[pickoff probability]] &gt; 1-Table3[[#This Row],[Fielding Odds]]</f>
        <v>0</v>
      </c>
      <c r="R11" s="51">
        <f>1-Table3[[#This Row],[Fielding Odds]]</f>
        <v>1.9755573388780978E-2</v>
      </c>
      <c r="S11" s="13">
        <f>(90-Table3[[#This Row],[total leadoff (ft)]])*Table3[[#This Row],[runner speed (s/ft)]]</f>
        <v>4.1453999999999995</v>
      </c>
      <c r="T11" s="13">
        <f>$T$26*(2-Table3[[#This Row],[defense]]) + Table3[[#This Row],[pickoff time]]</f>
        <v>1.8750000000000002</v>
      </c>
      <c r="U11" s="51">
        <f>_xlfn.NORM.DIST(Table3[[#This Row],[Response speed]], Table3[[#This Row],[Blatant steal time]], $U$4, TRUE)</f>
        <v>7.7163911324126927E-5</v>
      </c>
      <c r="V11" s="13">
        <f>Table3[[#This Row],[defense]]+Table3[[#This Row],[defense]]*Table3[[#This Row],[offense]]*$E$26</f>
        <v>0.505</v>
      </c>
      <c r="W11" s="13">
        <f t="shared" si="3"/>
        <v>0.5714285714285714</v>
      </c>
      <c r="X11" s="51">
        <f>Table3[[#This Row],[ball factor]]/$X$32*(1-$X$34)+$X$34</f>
        <v>0.73781512605042021</v>
      </c>
      <c r="Y11" s="13">
        <f>Table3[[#This Row],[offense]]</f>
        <v>0.1</v>
      </c>
      <c r="Z11" s="85">
        <f t="shared" si="1"/>
        <v>-0.90000000000000013</v>
      </c>
      <c r="AA11" s="85">
        <f>IF(Table3[[#This Row],[player control]]&gt;1,Table3[[#This Row],[player control]]*$AA$41+$AA$40,Table3[[#This Row],[player control]]*$AA$39+$AA$38)</f>
        <v>-0.14000000000000001</v>
      </c>
      <c r="AB11" s="86">
        <f>_xlfn.NORM.DIST(-1,Table3[[#This Row],[ideal steer]],($AB$25-Table3[[#This Row],[scaled control]])*$AB$27,TRUE)</f>
        <v>0.40456602559459909</v>
      </c>
      <c r="AC11" s="86">
        <f>1-_xlfn.NORM.DIST(1,Table3[[#This Row],[ideal steer]],($AB$25-Table3[[#This Row],[scaled control]])*$AB$27,TRUE)</f>
        <v>2.2229077858426649E-6</v>
      </c>
      <c r="AD11" s="86">
        <f>1-(1-Table3[[#This Row],[unmod foul percent 3rd]])*(1-Table3[[#This Row],[unmod foul percent 1st]])</f>
        <v>0.40456734918941673</v>
      </c>
      <c r="AE11" s="86">
        <f>1-((1-_xlfn.NORM.DIST(-1,0,($AB$25-Table3[[#This Row],[scaled control]])*$AB$27,TRUE))*_xlfn.NORM.DIST(1,0,($AB$25-Table3[[#This Row],[scaled control]])*$AB$27,TRUE))</f>
        <v>1.5653650964326582E-2</v>
      </c>
      <c r="AF11" s="13">
        <f>$AF$34*$AF$25</f>
        <v>-13.333333333333332</v>
      </c>
      <c r="AG11" s="13">
        <f>$AG$25*($AG$34*Table3[[#This Row],[offense]])</f>
        <v>0</v>
      </c>
      <c r="AH11" s="13">
        <f t="shared" si="2"/>
        <v>0</v>
      </c>
      <c r="AI11" s="13">
        <f>$AI$34*$AI$25</f>
        <v>0</v>
      </c>
      <c r="AJ11" s="13">
        <f>$AJ$25*(Table3[[#This Row],[offense]]-$AJ$27)</f>
        <v>-0.9</v>
      </c>
      <c r="AK11" s="13" cm="1">
        <f t="array" ref="AK11">SUM(Table3[[#This Row],[count]:[current hitter vs next hitter]]*MIN(1, Table3[[#This Row],[defense]]))</f>
        <v>-7.1166666666666663</v>
      </c>
      <c r="AL11" s="86">
        <f>$AL$25-(Table3[[#This Row],[calling modifier]]/(ABS(Table3[[#This Row],[calling modifier]])+$AL$29)*$AL$27)</f>
        <v>0.70497848801475105</v>
      </c>
      <c r="AM11" s="107">
        <f>$AL$25-$AL$27*TANH(Table3[[#This Row],[calling modifier]]/$AM$29)</f>
        <v>0.73661546205694517</v>
      </c>
      <c r="AN11" s="119">
        <f>1-_xlfn.NORM.S.INV(Table3[[#This Row],[tanh strike percent]])*(0.4*(3-Table3[[#This Row],[defense]]))</f>
        <v>0.36705425848964723</v>
      </c>
    </row>
    <row r="12" spans="1:57" s="26" customFormat="1" x14ac:dyDescent="0.25">
      <c r="A12" s="25">
        <f t="shared" si="0"/>
        <v>6</v>
      </c>
      <c r="B12" s="26">
        <f>INDEX(oratings, 1, 1+MOD(Table3[[#This Row],[Rep '#]]-1, COUNT(oratings)))</f>
        <v>0.5</v>
      </c>
      <c r="C12" s="26">
        <f>INDEX(dratings, 1, MOD(FLOOR( (Table3[[#This Row],[Rep '#]]-1) / COUNT(oratings), 1), COUNT(dratings))+1)</f>
        <v>0.5</v>
      </c>
      <c r="D12" s="26">
        <f>Table3[[#This Row],[offense]]*$D$26+0.05</f>
        <v>0.1</v>
      </c>
      <c r="E12" s="26">
        <f>((2*Table3[[#This Row],[defense]]+1*Table3[[#This Row],[defense]])-1.5)*Table3[[#This Row],[offense]]*$E$26</f>
        <v>0</v>
      </c>
      <c r="F12" s="26">
        <f>MAX(Table3[[#This Row],[base leadoff]]*(1-Table3[[#This Row],[leadoff modifier]]) * 90, 0)</f>
        <v>9</v>
      </c>
      <c r="G12" s="26">
        <f>1.1 - Table3[[#This Row],[defense]]*0.1</f>
        <v>1.05</v>
      </c>
      <c r="H12" s="26">
        <f xml:space="preserve"> 0.01 - 0.0025 *  Table3[[#This Row],[defense]]</f>
        <v>8.7500000000000008E-3</v>
      </c>
      <c r="I12" s="26">
        <f>1 / Table3[[#This Row],[throw speed (s/ft)]] * ((60 * 60)/5280)</f>
        <v>77.922077922077918</v>
      </c>
      <c r="J12" s="26">
        <f>Table3[[#This Row],[pickoff manuver (s)]]+60*Table3[[#This Row],[throw speed (s/ft)]]</f>
        <v>1.5750000000000002</v>
      </c>
      <c r="K12" s="26">
        <f>$K$28-$K$26*Table3[[#This Row],[offense]]</f>
        <v>0.8</v>
      </c>
      <c r="L12" s="26">
        <f>0.05 - Table3[[#This Row],[offense]]*$L$26</f>
        <v>4.5000000000000005E-2</v>
      </c>
      <c r="M12" s="26">
        <f>1 / Table3[[#This Row],[runner speed (s/ft)]] * ((60 * 60)/5280)</f>
        <v>15.151515151515147</v>
      </c>
      <c r="N12" s="26">
        <f>Table3[[#This Row],[runner reaction]]+Table3[[#This Row],[runner speed (s/ft)]]*Table3[[#This Row],[total leadoff (ft)]]</f>
        <v>1.2050000000000001</v>
      </c>
      <c r="O12" s="27">
        <f>1 - _xlfn.NORM.DIST(Table3[[#This Row],[pickoff time]], Table3[[#This Row],[pickoff evade time]], $O$4, TRUE)</f>
        <v>3.215677479561363E-2</v>
      </c>
      <c r="P12" s="52">
        <f>_xlfn.NORM.DIST(Table3[[#This Row],[defense]], $P$26, $P$27, TRUE)</f>
        <v>0.98024442661121902</v>
      </c>
      <c r="Q12" s="26" t="b">
        <f>Table3[[#This Row],[pickoff probability]] &gt; 1-Table3[[#This Row],[Fielding Odds]]</f>
        <v>1</v>
      </c>
      <c r="R12" s="52">
        <f>1-Table3[[#This Row],[Fielding Odds]]</f>
        <v>1.9755573388780978E-2</v>
      </c>
      <c r="S12" s="26">
        <f>(90-Table3[[#This Row],[total leadoff (ft)]])*Table3[[#This Row],[runner speed (s/ft)]]</f>
        <v>3.6450000000000005</v>
      </c>
      <c r="T12" s="26">
        <f>$T$26*(2-Table3[[#This Row],[defense]]) + Table3[[#This Row],[pickoff time]]</f>
        <v>1.8750000000000002</v>
      </c>
      <c r="U12" s="52">
        <f>_xlfn.NORM.DIST(Table3[[#This Row],[Response speed]], Table3[[#This Row],[Blatant steal time]], $U$4, TRUE)</f>
        <v>1.5888696473648632E-3</v>
      </c>
      <c r="V12" s="26">
        <f>Table3[[#This Row],[defense]]+Table3[[#This Row],[defense]]*Table3[[#This Row],[offense]]*$E$26</f>
        <v>0.52500000000000002</v>
      </c>
      <c r="W12" s="26">
        <f t="shared" si="3"/>
        <v>0.5714285714285714</v>
      </c>
      <c r="X12" s="52">
        <f>Table3[[#This Row],[ball factor]]/$X$32*(1-$X$34)+$X$34</f>
        <v>0.73781512605042021</v>
      </c>
      <c r="Y12" s="26">
        <f>Table3[[#This Row],[offense]]</f>
        <v>0.5</v>
      </c>
      <c r="Z12" s="87">
        <f t="shared" si="1"/>
        <v>-0.90000000000000013</v>
      </c>
      <c r="AA12" s="87">
        <f>IF(Table3[[#This Row],[player control]]&gt;1,Table3[[#This Row],[player control]]*$AA$41+$AA$40,Table3[[#This Row],[player control]]*$AA$39+$AA$38)</f>
        <v>0.10000000000000003</v>
      </c>
      <c r="AB12" s="88">
        <f>_xlfn.NORM.DIST(-1,Table3[[#This Row],[ideal steer]],($AB$25-Table3[[#This Row],[scaled control]])*$AB$27,TRUE)</f>
        <v>0.39881703452798722</v>
      </c>
      <c r="AC12" s="88">
        <f>1-_xlfn.NORM.DIST(1,Table3[[#This Row],[ideal steer]],($AB$25-Table3[[#This Row],[scaled control]])*$AB$27,TRUE)</f>
        <v>5.5294477940837083E-7</v>
      </c>
      <c r="AD12" s="88">
        <f>1-(1-Table3[[#This Row],[unmod foul percent 3rd]])*(1-Table3[[#This Row],[unmod foul percent 1st]])</f>
        <v>0.39881736694896941</v>
      </c>
      <c r="AE12" s="88">
        <f>1-((1-_xlfn.NORM.DIST(-1,0,($AB$25-Table3[[#This Row],[scaled control]])*$AB$27,TRUE))*_xlfn.NORM.DIST(1,0,($AB$25-Table3[[#This Row],[scaled control]])*$AB$27,TRUE))</f>
        <v>1.0317546081842099E-2</v>
      </c>
      <c r="AF12" s="26">
        <f>$AF$34*$AF$25</f>
        <v>-13.333333333333332</v>
      </c>
      <c r="AG12" s="26">
        <f>$AG$25*($AG$34*Table3[[#This Row],[offense]])</f>
        <v>0</v>
      </c>
      <c r="AH12" s="26">
        <f t="shared" si="2"/>
        <v>0</v>
      </c>
      <c r="AI12" s="26">
        <f>$AI$34*$AI$25</f>
        <v>0</v>
      </c>
      <c r="AJ12" s="26">
        <f>$AJ$25*(Table3[[#This Row],[offense]]-$AJ$27)</f>
        <v>-0.5</v>
      </c>
      <c r="AK12" s="26" cm="1">
        <f t="array" ref="AK12">SUM(Table3[[#This Row],[count]:[current hitter vs next hitter]]*MIN(1, Table3[[#This Row],[defense]]))</f>
        <v>-6.9166666666666661</v>
      </c>
      <c r="AL12" s="88">
        <f>$AL$25-(Table3[[#This Row],[calling modifier]]/(ABS(Table3[[#This Row],[calling modifier]])+$AL$29)*$AL$27)</f>
        <v>0.70278637770897834</v>
      </c>
      <c r="AM12" s="108">
        <f>$AL$25-$AL$27*TANH(Table3[[#This Row],[calling modifier]]/$AM$29)</f>
        <v>0.73307006594966906</v>
      </c>
      <c r="AN12" s="120">
        <f>1-_xlfn.NORM.S.INV(Table3[[#This Row],[tanh strike percent]])*(0.4*(3-Table3[[#This Row],[defense]]))</f>
        <v>0.37787529009365672</v>
      </c>
    </row>
    <row r="13" spans="1:57" s="13" customFormat="1" x14ac:dyDescent="0.25">
      <c r="A13" s="13">
        <f t="shared" si="0"/>
        <v>7</v>
      </c>
      <c r="B13" s="13">
        <f>INDEX(oratings, 1, 1+MOD(Table3[[#This Row],[Rep '#]]-1, COUNT(oratings)))</f>
        <v>1</v>
      </c>
      <c r="C13" s="13">
        <f>INDEX(dratings, 1, MOD(FLOOR( (Table3[[#This Row],[Rep '#]]-1) / COUNT(oratings), 1), COUNT(dratings))+1)</f>
        <v>0.5</v>
      </c>
      <c r="D13" s="13">
        <f>Table3[[#This Row],[offense]]*$D$26+0.05</f>
        <v>0.15000000000000002</v>
      </c>
      <c r="E13" s="13">
        <f>((2*Table3[[#This Row],[defense]]+1*Table3[[#This Row],[defense]])-1.5)*Table3[[#This Row],[offense]]*$E$26</f>
        <v>0</v>
      </c>
      <c r="F13" s="13">
        <f>MAX(Table3[[#This Row],[base leadoff]]*(1-Table3[[#This Row],[leadoff modifier]]) * 90, 0)</f>
        <v>13.500000000000002</v>
      </c>
      <c r="G13" s="13">
        <f>1.1 - Table3[[#This Row],[defense]]*0.1</f>
        <v>1.05</v>
      </c>
      <c r="H13" s="13">
        <f xml:space="preserve"> 0.01 - 0.0025 *  Table3[[#This Row],[defense]]</f>
        <v>8.7500000000000008E-3</v>
      </c>
      <c r="I13" s="13">
        <f>1 / Table3[[#This Row],[throw speed (s/ft)]] * ((60 * 60)/5280)</f>
        <v>77.922077922077918</v>
      </c>
      <c r="J13" s="13">
        <f>Table3[[#This Row],[pickoff manuver (s)]]+60*Table3[[#This Row],[throw speed (s/ft)]]</f>
        <v>1.5750000000000002</v>
      </c>
      <c r="K13" s="13">
        <f>$K$28-$K$26*Table3[[#This Row],[offense]]</f>
        <v>0.7</v>
      </c>
      <c r="L13" s="13">
        <f>0.05 - Table3[[#This Row],[offense]]*$L$26</f>
        <v>0.04</v>
      </c>
      <c r="M13" s="13">
        <f>1 / Table3[[#This Row],[runner speed (s/ft)]] * ((60 * 60)/5280)</f>
        <v>17.045454545454543</v>
      </c>
      <c r="N13" s="13">
        <f>Table3[[#This Row],[runner reaction]]+Table3[[#This Row],[runner speed (s/ft)]]*Table3[[#This Row],[total leadoff (ft)]]</f>
        <v>1.24</v>
      </c>
      <c r="O13" s="14">
        <f>1 - _xlfn.NORM.DIST(Table3[[#This Row],[pickoff time]], Table3[[#This Row],[pickoff evade time]], $O$4, TRUE)</f>
        <v>4.6967115830745643E-2</v>
      </c>
      <c r="P13" s="51">
        <f>_xlfn.NORM.DIST(Table3[[#This Row],[defense]], $P$26, $P$27, TRUE)</f>
        <v>0.98024442661121902</v>
      </c>
      <c r="Q13" s="13" t="b">
        <f>Table3[[#This Row],[pickoff probability]] &gt; 1-Table3[[#This Row],[Fielding Odds]]</f>
        <v>1</v>
      </c>
      <c r="R13" s="51">
        <f>1-Table3[[#This Row],[Fielding Odds]]</f>
        <v>1.9755573388780978E-2</v>
      </c>
      <c r="S13" s="13">
        <f>(90-Table3[[#This Row],[total leadoff (ft)]])*Table3[[#This Row],[runner speed (s/ft)]]</f>
        <v>3.06</v>
      </c>
      <c r="T13" s="13">
        <f>$T$26*(2-Table3[[#This Row],[defense]]) + Table3[[#This Row],[pickoff time]]</f>
        <v>1.8750000000000002</v>
      </c>
      <c r="U13" s="51">
        <f>_xlfn.NORM.DIST(Table3[[#This Row],[Response speed]], Table3[[#This Row],[Blatant steal time]], $U$4, TRUE)</f>
        <v>2.4134074004724768E-2</v>
      </c>
      <c r="V13" s="13">
        <f>Table3[[#This Row],[defense]]+Table3[[#This Row],[defense]]*Table3[[#This Row],[offense]]*$E$26</f>
        <v>0.55000000000000004</v>
      </c>
      <c r="W13" s="13">
        <f t="shared" si="3"/>
        <v>0.5714285714285714</v>
      </c>
      <c r="X13" s="51">
        <f>Table3[[#This Row],[ball factor]]/$X$32*(1-$X$34)+$X$34</f>
        <v>0.73781512605042021</v>
      </c>
      <c r="Y13" s="13">
        <f>Table3[[#This Row],[offense]]</f>
        <v>1</v>
      </c>
      <c r="Z13" s="85">
        <f t="shared" si="1"/>
        <v>-0.90000000000000013</v>
      </c>
      <c r="AA13" s="85">
        <f>IF(Table3[[#This Row],[player control]]&gt;1,Table3[[#This Row],[player control]]*$AA$41+$AA$40,Table3[[#This Row],[player control]]*$AA$39+$AA$38)</f>
        <v>0.40000000000000008</v>
      </c>
      <c r="AB13" s="86">
        <f>_xlfn.NORM.DIST(-1,Table3[[#This Row],[ideal steer]],($AB$25-Table3[[#This Row],[scaled control]])*$AB$27,TRUE)</f>
        <v>0.39059147543357509</v>
      </c>
      <c r="AC13" s="86">
        <f>1-_xlfn.NORM.DIST(1,Table3[[#This Row],[ideal steer]],($AB$25-Table3[[#This Row],[scaled control]])*$AB$27,TRUE)</f>
        <v>6.5379949898414225E-8</v>
      </c>
      <c r="AD13" s="86">
        <f>1-(1-Table3[[#This Row],[unmod foul percent 3rd]])*(1-Table3[[#This Row],[unmod foul percent 1st]])</f>
        <v>0.39059151527667391</v>
      </c>
      <c r="AE13" s="86">
        <f>1-((1-_xlfn.NORM.DIST(-1,0,($AB$25-Table3[[#This Row],[scaled control]])*$AB$27,TRUE))*_xlfn.NORM.DIST(1,0,($AB$25-Table3[[#This Row],[scaled control]])*$AB$27,TRUE))</f>
        <v>5.465714583151815E-3</v>
      </c>
      <c r="AF13" s="13">
        <f>$AF$34*$AF$25</f>
        <v>-13.333333333333332</v>
      </c>
      <c r="AG13" s="13">
        <f>$AG$25*($AG$34*Table3[[#This Row],[offense]])</f>
        <v>0</v>
      </c>
      <c r="AH13" s="13">
        <f t="shared" si="2"/>
        <v>0</v>
      </c>
      <c r="AI13" s="13">
        <f>$AI$34*$AI$25</f>
        <v>0</v>
      </c>
      <c r="AJ13" s="13">
        <f>$AJ$25*(Table3[[#This Row],[offense]]-$AJ$27)</f>
        <v>0</v>
      </c>
      <c r="AK13" s="13" cm="1">
        <f t="array" ref="AK13">SUM(Table3[[#This Row],[count]:[current hitter vs next hitter]]*MIN(1, Table3[[#This Row],[defense]]))</f>
        <v>-6.6666666666666661</v>
      </c>
      <c r="AL13" s="86">
        <f>$AL$25-(Table3[[#This Row],[calling modifier]]/(ABS(Table3[[#This Row],[calling modifier]])+$AL$29)*$AL$27)</f>
        <v>0.7</v>
      </c>
      <c r="AM13" s="107">
        <f>$AL$25-$AL$27*TANH(Table3[[#This Row],[calling modifier]]/$AM$29)</f>
        <v>0.72860509501265369</v>
      </c>
      <c r="AN13" s="119">
        <f>1-_xlfn.NORM.S.INV(Table3[[#This Row],[tanh strike percent]])*(0.4*(3-Table3[[#This Row],[defense]]))</f>
        <v>0.39140030994856834</v>
      </c>
    </row>
    <row r="14" spans="1:57" s="5" customFormat="1" x14ac:dyDescent="0.25">
      <c r="A14" s="5">
        <f t="shared" si="0"/>
        <v>8</v>
      </c>
      <c r="B14" s="5">
        <f>INDEX(oratings, 1, 1+MOD(Table3[[#This Row],[Rep '#]]-1, COUNT(oratings)))</f>
        <v>2</v>
      </c>
      <c r="C14" s="5">
        <f>INDEX(dratings, 1, MOD(FLOOR( (Table3[[#This Row],[Rep '#]]-1) / COUNT(oratings), 1), COUNT(dratings))+1)</f>
        <v>0.5</v>
      </c>
      <c r="D14" s="5">
        <f>Table3[[#This Row],[offense]]*$D$26+0.05</f>
        <v>0.25</v>
      </c>
      <c r="E14" s="5">
        <f>((2*Table3[[#This Row],[defense]]+1*Table3[[#This Row],[defense]])-1.5)*Table3[[#This Row],[offense]]*$E$26</f>
        <v>0</v>
      </c>
      <c r="F14" s="5">
        <f>MAX(Table3[[#This Row],[base leadoff]]*(1-Table3[[#This Row],[leadoff modifier]]) * 90, 0)</f>
        <v>22.5</v>
      </c>
      <c r="G14" s="5">
        <f>1.1 - Table3[[#This Row],[defense]]*0.1</f>
        <v>1.05</v>
      </c>
      <c r="H14" s="5">
        <f xml:space="preserve"> 0.01 - 0.0025 *  Table3[[#This Row],[defense]]</f>
        <v>8.7500000000000008E-3</v>
      </c>
      <c r="I14" s="5">
        <f>1 / Table3[[#This Row],[throw speed (s/ft)]] * ((60 * 60)/5280)</f>
        <v>77.922077922077918</v>
      </c>
      <c r="J14" s="5">
        <f>Table3[[#This Row],[pickoff manuver (s)]]+60*Table3[[#This Row],[throw speed (s/ft)]]</f>
        <v>1.5750000000000002</v>
      </c>
      <c r="K14" s="5">
        <f>$K$28-$K$26*Table3[[#This Row],[offense]]</f>
        <v>0.5</v>
      </c>
      <c r="L14" s="5">
        <f>0.05 - Table3[[#This Row],[offense]]*$L$26</f>
        <v>3.0000000000000002E-2</v>
      </c>
      <c r="M14" s="5">
        <f>1 / Table3[[#This Row],[runner speed (s/ft)]] * ((60 * 60)/5280)</f>
        <v>22.727272727272723</v>
      </c>
      <c r="N14" s="5">
        <f>Table3[[#This Row],[runner reaction]]+Table3[[#This Row],[runner speed (s/ft)]]*Table3[[#This Row],[total leadoff (ft)]]</f>
        <v>1.175</v>
      </c>
      <c r="O14" s="8">
        <f>1 - _xlfn.NORM.DIST(Table3[[#This Row],[pickoff time]], Table3[[#This Row],[pickoff evade time]], $O$4, TRUE)</f>
        <v>2.2750131948179209E-2</v>
      </c>
      <c r="P14" s="53">
        <f>_xlfn.NORM.DIST(Table3[[#This Row],[defense]], $P$26, $P$27, TRUE)</f>
        <v>0.98024442661121902</v>
      </c>
      <c r="Q14" s="5" t="b">
        <f>Table3[[#This Row],[pickoff probability]] &gt; 1-Table3[[#This Row],[Fielding Odds]]</f>
        <v>1</v>
      </c>
      <c r="R14" s="53">
        <f>1-Table3[[#This Row],[Fielding Odds]]</f>
        <v>1.9755573388780978E-2</v>
      </c>
      <c r="S14" s="5">
        <f>(90-Table3[[#This Row],[total leadoff (ft)]])*Table3[[#This Row],[runner speed (s/ft)]]</f>
        <v>2.0250000000000004</v>
      </c>
      <c r="T14" s="5">
        <f>$T$26*(2-Table3[[#This Row],[defense]]) + Table3[[#This Row],[pickoff time]]</f>
        <v>1.8750000000000002</v>
      </c>
      <c r="U14" s="53">
        <f>_xlfn.NORM.DIST(Table3[[#This Row],[Response speed]], Table3[[#This Row],[Blatant steal time]], $U$4, TRUE)</f>
        <v>0.40129367431707619</v>
      </c>
      <c r="V14" s="5">
        <f>Table3[[#This Row],[defense]]+Table3[[#This Row],[defense]]*Table3[[#This Row],[offense]]*$E$26</f>
        <v>0.6</v>
      </c>
      <c r="W14" s="5">
        <f t="shared" si="3"/>
        <v>0.5714285714285714</v>
      </c>
      <c r="X14" s="53">
        <f>Table3[[#This Row],[ball factor]]/$X$32*(1-$X$34)+$X$34</f>
        <v>0.73781512605042021</v>
      </c>
      <c r="Y14" s="5">
        <f>Table3[[#This Row],[offense]]</f>
        <v>2</v>
      </c>
      <c r="Z14" s="89">
        <f t="shared" si="1"/>
        <v>-0.90000000000000013</v>
      </c>
      <c r="AA14" s="89">
        <f>IF(Table3[[#This Row],[player control]]&gt;1,Table3[[#This Row],[player control]]*$AA$41+$AA$40,Table3[[#This Row],[player control]]*$AA$39+$AA$38)</f>
        <v>2</v>
      </c>
      <c r="AB14" s="90">
        <f>_xlfn.NORM.DIST(-1,Table3[[#This Row],[ideal steer]],($AB$25-Table3[[#This Row],[scaled control]])*$AB$27,TRUE)</f>
        <v>0.3085375387259871</v>
      </c>
      <c r="AC14" s="90">
        <f>1-_xlfn.NORM.DIST(1,Table3[[#This Row],[ideal steer]],($AB$25-Table3[[#This Row],[scaled control]])*$AB$27,TRUE)</f>
        <v>0</v>
      </c>
      <c r="AD14" s="90">
        <f>1-(1-Table3[[#This Row],[unmod foul percent 3rd]])*(1-Table3[[#This Row],[unmod foul percent 1st]])</f>
        <v>0.3085375387259871</v>
      </c>
      <c r="AE14" s="90">
        <f>1-((1-_xlfn.NORM.DIST(-1,0,($AB$25-Table3[[#This Row],[scaled control]])*$AB$27,TRUE))*_xlfn.NORM.DIST(1,0,($AB$25-Table3[[#This Row],[scaled control]])*$AB$27,TRUE))</f>
        <v>5.7330306169056655E-7</v>
      </c>
      <c r="AF14" s="5">
        <f>$AF$34*$AF$25</f>
        <v>-13.333333333333332</v>
      </c>
      <c r="AG14" s="5">
        <f>$AG$25*($AG$34*Table3[[#This Row],[offense]])</f>
        <v>0</v>
      </c>
      <c r="AH14" s="5">
        <f t="shared" si="2"/>
        <v>0</v>
      </c>
      <c r="AI14" s="5">
        <f>$AI$34*$AI$25</f>
        <v>0</v>
      </c>
      <c r="AJ14" s="5">
        <f>$AJ$25*(Table3[[#This Row],[offense]]-$AJ$27)</f>
        <v>1</v>
      </c>
      <c r="AK14" s="5" cm="1">
        <f t="array" ref="AK14">SUM(Table3[[#This Row],[count]:[current hitter vs next hitter]]*MIN(1, Table3[[#This Row],[defense]]))</f>
        <v>-6.1666666666666661</v>
      </c>
      <c r="AL14" s="90">
        <f>$AL$25-(Table3[[#This Row],[calling modifier]]/(ABS(Table3[[#This Row],[calling modifier]])+$AL$29)*$AL$27)</f>
        <v>0.69426751592356684</v>
      </c>
      <c r="AM14" s="109">
        <f>$AL$25-$AL$27*TANH(Table3[[#This Row],[calling modifier]]/$AM$29)</f>
        <v>0.71956804388093409</v>
      </c>
      <c r="AN14" s="121">
        <f>1-_xlfn.NORM.S.INV(Table3[[#This Row],[tanh strike percent]])*(0.4*(3-Table3[[#This Row],[defense]]))</f>
        <v>0.41844121656117683</v>
      </c>
    </row>
    <row r="15" spans="1:57" s="17" customFormat="1" x14ac:dyDescent="0.25">
      <c r="A15" s="17">
        <f t="shared" si="0"/>
        <v>9</v>
      </c>
      <c r="B15" s="17">
        <f>INDEX(oratings, 1, 1+MOD(Table3[[#This Row],[Rep '#]]-1, COUNT(oratings)))</f>
        <v>0.1</v>
      </c>
      <c r="C15" s="17">
        <f>INDEX(dratings, 1, MOD(FLOOR( (Table3[[#This Row],[Rep '#]]-1) / COUNT(oratings), 1), COUNT(dratings))+1)</f>
        <v>1</v>
      </c>
      <c r="D15" s="17">
        <f>Table3[[#This Row],[offense]]*$D$26+0.05</f>
        <v>6.0000000000000005E-2</v>
      </c>
      <c r="E15" s="17">
        <f>((2*Table3[[#This Row],[defense]]+1*Table3[[#This Row],[defense]])-1.5)*Table3[[#This Row],[offense]]*$E$26</f>
        <v>1.5000000000000003E-2</v>
      </c>
      <c r="F15" s="17">
        <f>MAX(Table3[[#This Row],[base leadoff]]*(1-Table3[[#This Row],[leadoff modifier]]) * 90, 0)</f>
        <v>5.3190000000000008</v>
      </c>
      <c r="G15" s="17">
        <f>1.1 - Table3[[#This Row],[defense]]*0.1</f>
        <v>1</v>
      </c>
      <c r="H15" s="17">
        <f xml:space="preserve"> 0.01 - 0.0025 *  Table3[[#This Row],[defense]]</f>
        <v>7.4999999999999997E-3</v>
      </c>
      <c r="I15" s="17">
        <f>1 / Table3[[#This Row],[throw speed (s/ft)]] * ((60 * 60)/5280)</f>
        <v>90.909090909090907</v>
      </c>
      <c r="J15" s="17">
        <f>Table3[[#This Row],[pickoff manuver (s)]]+60*Table3[[#This Row],[throw speed (s/ft)]]</f>
        <v>1.45</v>
      </c>
      <c r="K15" s="17">
        <f>$K$28-$K$26*Table3[[#This Row],[offense]]</f>
        <v>0.88</v>
      </c>
      <c r="L15" s="17">
        <f>0.05 - Table3[[#This Row],[offense]]*$L$26</f>
        <v>4.9000000000000002E-2</v>
      </c>
      <c r="M15" s="17">
        <f>1 / Table3[[#This Row],[runner speed (s/ft)]] * ((60 * 60)/5280)</f>
        <v>13.914656771799628</v>
      </c>
      <c r="N15" s="17">
        <f>Table3[[#This Row],[runner reaction]]+Table3[[#This Row],[runner speed (s/ft)]]*Table3[[#This Row],[total leadoff (ft)]]</f>
        <v>1.140631</v>
      </c>
      <c r="O15" s="18">
        <f>1 - _xlfn.NORM.DIST(Table3[[#This Row],[pickoff time]], Table3[[#This Row],[pickoff evade time]], $O$4, TRUE)</f>
        <v>6.0950313073531937E-2</v>
      </c>
      <c r="P15" s="54">
        <f>_xlfn.NORM.DIST(Table3[[#This Row],[defense]], $P$26, $P$27, TRUE)</f>
        <v>0.99068720985629855</v>
      </c>
      <c r="Q15" s="17" t="b">
        <f>Table3[[#This Row],[pickoff probability]] &gt; 1-Table3[[#This Row],[Fielding Odds]]</f>
        <v>1</v>
      </c>
      <c r="R15" s="54">
        <f>1-Table3[[#This Row],[Fielding Odds]]</f>
        <v>9.3127901437014549E-3</v>
      </c>
      <c r="S15" s="17">
        <f>(90-Table3[[#This Row],[total leadoff (ft)]])*Table3[[#This Row],[runner speed (s/ft)]]</f>
        <v>4.1493690000000001</v>
      </c>
      <c r="T15" s="17">
        <f>$T$26*(2-Table3[[#This Row],[defense]]) + Table3[[#This Row],[pickoff time]]</f>
        <v>1.65</v>
      </c>
      <c r="U15" s="54">
        <f>_xlfn.NORM.DIST(Table3[[#This Row],[Response speed]], Table3[[#This Row],[Blatant steal time]], $U$4, TRUE)</f>
        <v>1.5525717333822399E-5</v>
      </c>
      <c r="V15" s="17">
        <f>Table3[[#This Row],[defense]]+Table3[[#This Row],[defense]]*Table3[[#This Row],[offense]]*$E$26</f>
        <v>1.01</v>
      </c>
      <c r="W15" s="17">
        <f t="shared" si="3"/>
        <v>0.5714285714285714</v>
      </c>
      <c r="X15" s="54">
        <f>Table3[[#This Row],[ball factor]]/$X$32*(1-$X$34)+$X$34</f>
        <v>0.73781512605042021</v>
      </c>
      <c r="Y15" s="17">
        <f>Table3[[#This Row],[offense]]</f>
        <v>0.1</v>
      </c>
      <c r="Z15" s="91">
        <f t="shared" si="1"/>
        <v>-0.90000000000000013</v>
      </c>
      <c r="AA15" s="91">
        <f>IF(Table3[[#This Row],[player control]]&gt;1,Table3[[#This Row],[player control]]*$AA$41+$AA$40,Table3[[#This Row],[player control]]*$AA$39+$AA$38)</f>
        <v>-0.14000000000000001</v>
      </c>
      <c r="AB15" s="92">
        <f>_xlfn.NORM.DIST(-1,Table3[[#This Row],[ideal steer]],($AB$25-Table3[[#This Row],[scaled control]])*$AB$27,TRUE)</f>
        <v>0.40456602559459909</v>
      </c>
      <c r="AC15" s="92">
        <f>1-_xlfn.NORM.DIST(1,Table3[[#This Row],[ideal steer]],($AB$25-Table3[[#This Row],[scaled control]])*$AB$27,TRUE)</f>
        <v>2.2229077858426649E-6</v>
      </c>
      <c r="AD15" s="92">
        <f>1-(1-Table3[[#This Row],[unmod foul percent 3rd]])*(1-Table3[[#This Row],[unmod foul percent 1st]])</f>
        <v>0.40456734918941673</v>
      </c>
      <c r="AE15" s="92">
        <f>1-((1-_xlfn.NORM.DIST(-1,0,($AB$25-Table3[[#This Row],[scaled control]])*$AB$27,TRUE))*_xlfn.NORM.DIST(1,0,($AB$25-Table3[[#This Row],[scaled control]])*$AB$27,TRUE))</f>
        <v>1.5653650964326582E-2</v>
      </c>
      <c r="AF15" s="17">
        <f>$AF$34*$AF$25</f>
        <v>-13.333333333333332</v>
      </c>
      <c r="AG15" s="17">
        <f>$AG$25*($AG$34*Table3[[#This Row],[offense]])</f>
        <v>0</v>
      </c>
      <c r="AH15" s="17">
        <f t="shared" si="2"/>
        <v>0</v>
      </c>
      <c r="AI15" s="17">
        <f>$AI$34*$AI$25</f>
        <v>0</v>
      </c>
      <c r="AJ15" s="17">
        <f>$AJ$25*(Table3[[#This Row],[offense]]-$AJ$27)</f>
        <v>-0.9</v>
      </c>
      <c r="AK15" s="17" cm="1">
        <f t="array" ref="AK15">SUM(Table3[[#This Row],[count]:[current hitter vs next hitter]]*MIN(1, Table3[[#This Row],[defense]]))</f>
        <v>-14.233333333333333</v>
      </c>
      <c r="AL15" s="92">
        <f>$AL$25-(Table3[[#This Row],[calling modifier]]/(ABS(Table3[[#This Row],[calling modifier]])+$AL$29)*$AL$27)</f>
        <v>0.76630963972736121</v>
      </c>
      <c r="AM15" s="110">
        <f>$AL$25-$AL$27*TANH(Table3[[#This Row],[calling modifier]]/$AM$29)</f>
        <v>0.84468835688869581</v>
      </c>
      <c r="AN15" s="122">
        <f>1-_xlfn.NORM.S.INV(Table3[[#This Row],[tanh strike percent]])*(0.4*(3-Table3[[#This Row],[defense]]))</f>
        <v>0.18886795475493934</v>
      </c>
    </row>
    <row r="16" spans="1:57" s="6" customFormat="1" x14ac:dyDescent="0.25">
      <c r="A16" s="6">
        <f t="shared" si="0"/>
        <v>10</v>
      </c>
      <c r="B16" s="6">
        <f>INDEX(oratings, 1, 1+MOD(Table3[[#This Row],[Rep '#]]-1, COUNT(oratings)))</f>
        <v>0.5</v>
      </c>
      <c r="C16" s="6">
        <f>INDEX(dratings, 1, MOD(FLOOR( (Table3[[#This Row],[Rep '#]]-1) / COUNT(oratings), 1), COUNT(dratings))+1)</f>
        <v>1</v>
      </c>
      <c r="D16" s="6">
        <f>Table3[[#This Row],[offense]]*$D$26+0.05</f>
        <v>0.1</v>
      </c>
      <c r="E16" s="6">
        <f>((2*Table3[[#This Row],[defense]]+1*Table3[[#This Row],[defense]])-1.5)*Table3[[#This Row],[offense]]*$E$26</f>
        <v>7.5000000000000011E-2</v>
      </c>
      <c r="F16" s="6">
        <f>MAX(Table3[[#This Row],[base leadoff]]*(1-Table3[[#This Row],[leadoff modifier]]) * 90, 0)</f>
        <v>8.3250000000000011</v>
      </c>
      <c r="G16" s="6">
        <f>1.1 - Table3[[#This Row],[defense]]*0.1</f>
        <v>1</v>
      </c>
      <c r="H16" s="6">
        <f xml:space="preserve"> 0.01 - 0.0025 *  Table3[[#This Row],[defense]]</f>
        <v>7.4999999999999997E-3</v>
      </c>
      <c r="I16" s="6">
        <f>1 / Table3[[#This Row],[throw speed (s/ft)]] * ((60 * 60)/5280)</f>
        <v>90.909090909090907</v>
      </c>
      <c r="J16" s="6">
        <f>Table3[[#This Row],[pickoff manuver (s)]]+60*Table3[[#This Row],[throw speed (s/ft)]]</f>
        <v>1.45</v>
      </c>
      <c r="K16" s="6">
        <f>$K$28-$K$26*Table3[[#This Row],[offense]]</f>
        <v>0.8</v>
      </c>
      <c r="L16" s="6">
        <f>0.05 - Table3[[#This Row],[offense]]*$L$26</f>
        <v>4.5000000000000005E-2</v>
      </c>
      <c r="M16" s="6">
        <f>1 / Table3[[#This Row],[runner speed (s/ft)]] * ((60 * 60)/5280)</f>
        <v>15.151515151515147</v>
      </c>
      <c r="N16" s="6">
        <f>Table3[[#This Row],[runner reaction]]+Table3[[#This Row],[runner speed (s/ft)]]*Table3[[#This Row],[total leadoff (ft)]]</f>
        <v>1.1746250000000003</v>
      </c>
      <c r="O16" s="9">
        <f>1 - _xlfn.NORM.DIST(Table3[[#This Row],[pickoff time]], Table3[[#This Row],[pickoff evade time]], $O$4, TRUE)</f>
        <v>8.4275448865239744E-2</v>
      </c>
      <c r="P16" s="55">
        <f>_xlfn.NORM.DIST(Table3[[#This Row],[defense]], $P$26, $P$27, TRUE)</f>
        <v>0.99068720985629855</v>
      </c>
      <c r="Q16" s="6" t="b">
        <f>Table3[[#This Row],[pickoff probability]] &gt; 1-Table3[[#This Row],[Fielding Odds]]</f>
        <v>1</v>
      </c>
      <c r="R16" s="55">
        <f>1-Table3[[#This Row],[Fielding Odds]]</f>
        <v>9.3127901437014549E-3</v>
      </c>
      <c r="S16" s="6">
        <f>(90-Table3[[#This Row],[total leadoff (ft)]])*Table3[[#This Row],[runner speed (s/ft)]]</f>
        <v>3.6753750000000003</v>
      </c>
      <c r="T16" s="6">
        <f>$T$26*(2-Table3[[#This Row],[defense]]) + Table3[[#This Row],[pickoff time]]</f>
        <v>1.65</v>
      </c>
      <c r="U16" s="55">
        <f>_xlfn.NORM.DIST(Table3[[#This Row],[Response speed]], Table3[[#This Row],[Blatant steal time]], $U$4, TRUE)</f>
        <v>3.682411384506767E-4</v>
      </c>
      <c r="V16" s="6">
        <f>Table3[[#This Row],[defense]]+Table3[[#This Row],[defense]]*Table3[[#This Row],[offense]]*$E$26</f>
        <v>1.05</v>
      </c>
      <c r="W16" s="6">
        <f t="shared" si="3"/>
        <v>0.5714285714285714</v>
      </c>
      <c r="X16" s="55">
        <f>Table3[[#This Row],[ball factor]]/$X$32*(1-$X$34)+$X$34</f>
        <v>0.73781512605042021</v>
      </c>
      <c r="Y16" s="6">
        <f>Table3[[#This Row],[offense]]</f>
        <v>0.5</v>
      </c>
      <c r="Z16" s="93">
        <f t="shared" si="1"/>
        <v>-0.90000000000000013</v>
      </c>
      <c r="AA16" s="93">
        <f>IF(Table3[[#This Row],[player control]]&gt;1,Table3[[#This Row],[player control]]*$AA$41+$AA$40,Table3[[#This Row],[player control]]*$AA$39+$AA$38)</f>
        <v>0.10000000000000003</v>
      </c>
      <c r="AB16" s="94">
        <f>_xlfn.NORM.DIST(-1,Table3[[#This Row],[ideal steer]],($AB$25-Table3[[#This Row],[scaled control]])*$AB$27,TRUE)</f>
        <v>0.39881703452798722</v>
      </c>
      <c r="AC16" s="94">
        <f>1-_xlfn.NORM.DIST(1,Table3[[#This Row],[ideal steer]],($AB$25-Table3[[#This Row],[scaled control]])*$AB$27,TRUE)</f>
        <v>5.5294477940837083E-7</v>
      </c>
      <c r="AD16" s="94">
        <f>1-(1-Table3[[#This Row],[unmod foul percent 3rd]])*(1-Table3[[#This Row],[unmod foul percent 1st]])</f>
        <v>0.39881736694896941</v>
      </c>
      <c r="AE16" s="94">
        <f>1-((1-_xlfn.NORM.DIST(-1,0,($AB$25-Table3[[#This Row],[scaled control]])*$AB$27,TRUE))*_xlfn.NORM.DIST(1,0,($AB$25-Table3[[#This Row],[scaled control]])*$AB$27,TRUE))</f>
        <v>1.0317546081842099E-2</v>
      </c>
      <c r="AF16" s="6">
        <f>$AF$34*$AF$25</f>
        <v>-13.333333333333332</v>
      </c>
      <c r="AG16" s="6">
        <f>$AG$25*($AG$34*Table3[[#This Row],[offense]])</f>
        <v>0</v>
      </c>
      <c r="AH16" s="6">
        <f t="shared" si="2"/>
        <v>0</v>
      </c>
      <c r="AI16" s="6">
        <f>$AI$34*$AI$25</f>
        <v>0</v>
      </c>
      <c r="AJ16" s="6">
        <f>$AJ$25*(Table3[[#This Row],[offense]]-$AJ$27)</f>
        <v>-0.5</v>
      </c>
      <c r="AK16" s="6" cm="1">
        <f t="array" ref="AK16">SUM(Table3[[#This Row],[count]:[current hitter vs next hitter]]*MIN(1, Table3[[#This Row],[defense]]))</f>
        <v>-13.833333333333332</v>
      </c>
      <c r="AL16" s="94">
        <f>$AL$25-(Table3[[#This Row],[calling modifier]]/(ABS(Table3[[#This Row],[calling modifier]])+$AL$29)*$AL$27)</f>
        <v>0.76354679802955661</v>
      </c>
      <c r="AM16" s="111">
        <f>$AL$25-$AL$27*TANH(Table3[[#This Row],[calling modifier]]/$AM$29)</f>
        <v>0.83962065174226819</v>
      </c>
      <c r="AN16" s="123">
        <f>1-_xlfn.NORM.S.INV(Table3[[#This Row],[tanh strike percent]])*(0.4*(3-Table3[[#This Row],[defense]]))</f>
        <v>0.20568001103503175</v>
      </c>
    </row>
    <row r="17" spans="1:40" s="23" customFormat="1" x14ac:dyDescent="0.25">
      <c r="A17" s="22">
        <f t="shared" si="0"/>
        <v>11</v>
      </c>
      <c r="B17" s="23">
        <f>INDEX(oratings, 1, 1+MOD(Table3[[#This Row],[Rep '#]]-1, COUNT(oratings)))</f>
        <v>1</v>
      </c>
      <c r="C17" s="23">
        <f>INDEX(dratings, 1, MOD(FLOOR( (Table3[[#This Row],[Rep '#]]-1) / COUNT(oratings), 1), COUNT(dratings))+1)</f>
        <v>1</v>
      </c>
      <c r="D17" s="23">
        <f>Table3[[#This Row],[offense]]*$D$26+0.05</f>
        <v>0.15000000000000002</v>
      </c>
      <c r="E17" s="23">
        <f>((2*Table3[[#This Row],[defense]]+1*Table3[[#This Row],[defense]])-1.5)*Table3[[#This Row],[offense]]*$E$26</f>
        <v>0.15000000000000002</v>
      </c>
      <c r="F17" s="23">
        <f>MAX(Table3[[#This Row],[base leadoff]]*(1-Table3[[#This Row],[leadoff modifier]]) * 90, 0)</f>
        <v>11.475</v>
      </c>
      <c r="G17" s="23">
        <f>1.1 - Table3[[#This Row],[defense]]*0.1</f>
        <v>1</v>
      </c>
      <c r="H17" s="23">
        <f xml:space="preserve"> 0.01 - 0.0025 *  Table3[[#This Row],[defense]]</f>
        <v>7.4999999999999997E-3</v>
      </c>
      <c r="I17" s="23">
        <f>1 / Table3[[#This Row],[throw speed (s/ft)]] * ((60 * 60)/5280)</f>
        <v>90.909090909090907</v>
      </c>
      <c r="J17" s="23">
        <f>Table3[[#This Row],[pickoff manuver (s)]]+60*Table3[[#This Row],[throw speed (s/ft)]]</f>
        <v>1.45</v>
      </c>
      <c r="K17" s="23">
        <f>$K$28-$K$26*Table3[[#This Row],[offense]]</f>
        <v>0.7</v>
      </c>
      <c r="L17" s="23">
        <f>0.05 - Table3[[#This Row],[offense]]*$L$26</f>
        <v>0.04</v>
      </c>
      <c r="M17" s="23">
        <f>1 / Table3[[#This Row],[runner speed (s/ft)]] * ((60 * 60)/5280)</f>
        <v>17.045454545454543</v>
      </c>
      <c r="N17" s="23">
        <f>Table3[[#This Row],[runner reaction]]+Table3[[#This Row],[runner speed (s/ft)]]*Table3[[#This Row],[total leadoff (ft)]]</f>
        <v>1.159</v>
      </c>
      <c r="O17" s="24">
        <f>1 - _xlfn.NORM.DIST(Table3[[#This Row],[pickoff time]], Table3[[#This Row],[pickoff evade time]], $O$4, TRUE)</f>
        <v>7.2834630749186058E-2</v>
      </c>
      <c r="P17" s="56">
        <f>_xlfn.NORM.DIST(Table3[[#This Row],[defense]], $P$26, $P$27, TRUE)</f>
        <v>0.99068720985629855</v>
      </c>
      <c r="Q17" s="23" t="b">
        <f>Table3[[#This Row],[pickoff probability]] &gt; 1-Table3[[#This Row],[Fielding Odds]]</f>
        <v>1</v>
      </c>
      <c r="R17" s="56">
        <f>1-Table3[[#This Row],[Fielding Odds]]</f>
        <v>9.3127901437014549E-3</v>
      </c>
      <c r="S17" s="23">
        <f>(90-Table3[[#This Row],[total leadoff (ft)]])*Table3[[#This Row],[runner speed (s/ft)]]</f>
        <v>3.1410000000000005</v>
      </c>
      <c r="T17" s="23">
        <f>$T$26*(2-Table3[[#This Row],[defense]]) + Table3[[#This Row],[pickoff time]]</f>
        <v>1.65</v>
      </c>
      <c r="U17" s="56">
        <f>_xlfn.NORM.DIST(Table3[[#This Row],[Response speed]], Table3[[#This Row],[Blatant steal time]], $U$4, TRUE)</f>
        <v>6.4775717318678221E-3</v>
      </c>
      <c r="V17" s="23">
        <f>Table3[[#This Row],[defense]]+Table3[[#This Row],[defense]]*Table3[[#This Row],[offense]]*$E$26</f>
        <v>1.1000000000000001</v>
      </c>
      <c r="W17" s="23">
        <f t="shared" si="3"/>
        <v>0.5714285714285714</v>
      </c>
      <c r="X17" s="56">
        <f>Table3[[#This Row],[ball factor]]/$X$32*(1-$X$34)+$X$34</f>
        <v>0.73781512605042021</v>
      </c>
      <c r="Y17" s="23">
        <f>Table3[[#This Row],[offense]]</f>
        <v>1</v>
      </c>
      <c r="Z17" s="95">
        <f t="shared" si="1"/>
        <v>-0.90000000000000013</v>
      </c>
      <c r="AA17" s="95">
        <f>IF(Table3[[#This Row],[player control]]&gt;1,Table3[[#This Row],[player control]]*$AA$41+$AA$40,Table3[[#This Row],[player control]]*$AA$39+$AA$38)</f>
        <v>0.40000000000000008</v>
      </c>
      <c r="AB17" s="96">
        <f>_xlfn.NORM.DIST(-1,Table3[[#This Row],[ideal steer]],($AB$25-Table3[[#This Row],[scaled control]])*$AB$27,TRUE)</f>
        <v>0.39059147543357509</v>
      </c>
      <c r="AC17" s="96">
        <f>1-_xlfn.NORM.DIST(1,Table3[[#This Row],[ideal steer]],($AB$25-Table3[[#This Row],[scaled control]])*$AB$27,TRUE)</f>
        <v>6.5379949898414225E-8</v>
      </c>
      <c r="AD17" s="96">
        <f>1-(1-Table3[[#This Row],[unmod foul percent 3rd]])*(1-Table3[[#This Row],[unmod foul percent 1st]])</f>
        <v>0.39059151527667391</v>
      </c>
      <c r="AE17" s="96">
        <f>1-((1-_xlfn.NORM.DIST(-1,0,($AB$25-Table3[[#This Row],[scaled control]])*$AB$27,TRUE))*_xlfn.NORM.DIST(1,0,($AB$25-Table3[[#This Row],[scaled control]])*$AB$27,TRUE))</f>
        <v>5.465714583151815E-3</v>
      </c>
      <c r="AF17" s="23">
        <f>$AF$34*$AF$25</f>
        <v>-13.333333333333332</v>
      </c>
      <c r="AG17" s="23">
        <f>$AG$25*($AG$34*Table3[[#This Row],[offense]])</f>
        <v>0</v>
      </c>
      <c r="AH17" s="23">
        <f t="shared" si="2"/>
        <v>0</v>
      </c>
      <c r="AI17" s="23">
        <f>$AI$34*$AI$25</f>
        <v>0</v>
      </c>
      <c r="AJ17" s="23">
        <f>$AJ$25*(Table3[[#This Row],[offense]]-$AJ$27)</f>
        <v>0</v>
      </c>
      <c r="AK17" s="23" cm="1">
        <f t="array" ref="AK17">SUM(Table3[[#This Row],[count]:[current hitter vs next hitter]]*MIN(1, Table3[[#This Row],[defense]]))</f>
        <v>-13.333333333333332</v>
      </c>
      <c r="AL17" s="96">
        <f>$AL$25-(Table3[[#This Row],[calling modifier]]/(ABS(Table3[[#This Row],[calling modifier]])+$AL$29)*$AL$27)</f>
        <v>0.76</v>
      </c>
      <c r="AM17" s="112">
        <f>$AL$25-$AL$27*TANH(Table3[[#This Row],[calling modifier]]/$AM$29)</f>
        <v>0.83311317813916408</v>
      </c>
      <c r="AN17" s="124">
        <f>1-_xlfn.NORM.S.INV(Table3[[#This Row],[tanh strike percent]])*(0.4*(3-Table3[[#This Row],[defense]]))</f>
        <v>0.22676736385001672</v>
      </c>
    </row>
    <row r="18" spans="1:40" s="6" customFormat="1" x14ac:dyDescent="0.25">
      <c r="A18" s="6">
        <f t="shared" si="0"/>
        <v>12</v>
      </c>
      <c r="B18" s="6">
        <f>INDEX(oratings, 1, 1+MOD(Table3[[#This Row],[Rep '#]]-1, COUNT(oratings)))</f>
        <v>2</v>
      </c>
      <c r="C18" s="6">
        <f>INDEX(dratings, 1, MOD(FLOOR( (Table3[[#This Row],[Rep '#]]-1) / COUNT(oratings), 1), COUNT(dratings))+1)</f>
        <v>1</v>
      </c>
      <c r="D18" s="6">
        <f>Table3[[#This Row],[offense]]*$D$26+0.05</f>
        <v>0.25</v>
      </c>
      <c r="E18" s="6">
        <f>((2*Table3[[#This Row],[defense]]+1*Table3[[#This Row],[defense]])-1.5)*Table3[[#This Row],[offense]]*$E$26</f>
        <v>0.30000000000000004</v>
      </c>
      <c r="F18" s="6">
        <f>MAX(Table3[[#This Row],[base leadoff]]*(1-Table3[[#This Row],[leadoff modifier]]) * 90, 0)</f>
        <v>15.749999999999998</v>
      </c>
      <c r="G18" s="6">
        <f>1.1 - Table3[[#This Row],[defense]]*0.1</f>
        <v>1</v>
      </c>
      <c r="H18" s="6">
        <f xml:space="preserve"> 0.01 - 0.0025 *  Table3[[#This Row],[defense]]</f>
        <v>7.4999999999999997E-3</v>
      </c>
      <c r="I18" s="6">
        <f>1 / Table3[[#This Row],[throw speed (s/ft)]] * ((60 * 60)/5280)</f>
        <v>90.909090909090907</v>
      </c>
      <c r="J18" s="6">
        <f>Table3[[#This Row],[pickoff manuver (s)]]+60*Table3[[#This Row],[throw speed (s/ft)]]</f>
        <v>1.45</v>
      </c>
      <c r="K18" s="6">
        <f>$K$28-$K$26*Table3[[#This Row],[offense]]</f>
        <v>0.5</v>
      </c>
      <c r="L18" s="6">
        <f>0.05 - Table3[[#This Row],[offense]]*$L$26</f>
        <v>3.0000000000000002E-2</v>
      </c>
      <c r="M18" s="6">
        <f>1 / Table3[[#This Row],[runner speed (s/ft)]] * ((60 * 60)/5280)</f>
        <v>22.727272727272723</v>
      </c>
      <c r="N18" s="6">
        <f>Table3[[#This Row],[runner reaction]]+Table3[[#This Row],[runner speed (s/ft)]]*Table3[[#This Row],[total leadoff (ft)]]</f>
        <v>0.97249999999999992</v>
      </c>
      <c r="O18" s="9">
        <f>1 - _xlfn.NORM.DIST(Table3[[#This Row],[pickoff time]], Table3[[#This Row],[pickoff evade time]], $O$4, TRUE)</f>
        <v>8.4817013785601914E-3</v>
      </c>
      <c r="P18" s="55">
        <f>_xlfn.NORM.DIST(Table3[[#This Row],[defense]], $P$26, $P$27, TRUE)</f>
        <v>0.99068720985629855</v>
      </c>
      <c r="Q18" s="6" t="b">
        <f>Table3[[#This Row],[pickoff probability]] &gt; 1-Table3[[#This Row],[Fielding Odds]]</f>
        <v>0</v>
      </c>
      <c r="R18" s="55">
        <f>1-Table3[[#This Row],[Fielding Odds]]</f>
        <v>9.3127901437014549E-3</v>
      </c>
      <c r="S18" s="6">
        <f>(90-Table3[[#This Row],[total leadoff (ft)]])*Table3[[#This Row],[runner speed (s/ft)]]</f>
        <v>2.2275</v>
      </c>
      <c r="T18" s="6">
        <f>$T$26*(2-Table3[[#This Row],[defense]]) + Table3[[#This Row],[pickoff time]]</f>
        <v>1.65</v>
      </c>
      <c r="U18" s="55">
        <f>_xlfn.NORM.DIST(Table3[[#This Row],[Response speed]], Table3[[#This Row],[Blatant steal time]], $U$4, TRUE)</f>
        <v>0.16789925159767624</v>
      </c>
      <c r="V18" s="6">
        <f>Table3[[#This Row],[defense]]+Table3[[#This Row],[defense]]*Table3[[#This Row],[offense]]*$E$26</f>
        <v>1.2</v>
      </c>
      <c r="W18" s="6">
        <f t="shared" si="3"/>
        <v>0.5714285714285714</v>
      </c>
      <c r="X18" s="55">
        <f>Table3[[#This Row],[ball factor]]/$X$32*(1-$X$34)+$X$34</f>
        <v>0.73781512605042021</v>
      </c>
      <c r="Y18" s="6">
        <f>Table3[[#This Row],[offense]]</f>
        <v>2</v>
      </c>
      <c r="Z18" s="93">
        <f t="shared" si="1"/>
        <v>-0.90000000000000013</v>
      </c>
      <c r="AA18" s="93">
        <f>IF(Table3[[#This Row],[player control]]&gt;1,Table3[[#This Row],[player control]]*$AA$41+$AA$40,Table3[[#This Row],[player control]]*$AA$39+$AA$38)</f>
        <v>2</v>
      </c>
      <c r="AB18" s="94">
        <f>_xlfn.NORM.DIST(-1,Table3[[#This Row],[ideal steer]],($AB$25-Table3[[#This Row],[scaled control]])*$AB$27,TRUE)</f>
        <v>0.3085375387259871</v>
      </c>
      <c r="AC18" s="94">
        <f>1-_xlfn.NORM.DIST(1,Table3[[#This Row],[ideal steer]],($AB$25-Table3[[#This Row],[scaled control]])*$AB$27,TRUE)</f>
        <v>0</v>
      </c>
      <c r="AD18" s="94">
        <f>1-(1-Table3[[#This Row],[unmod foul percent 3rd]])*(1-Table3[[#This Row],[unmod foul percent 1st]])</f>
        <v>0.3085375387259871</v>
      </c>
      <c r="AE18" s="94">
        <f>1-((1-_xlfn.NORM.DIST(-1,0,($AB$25-Table3[[#This Row],[scaled control]])*$AB$27,TRUE))*_xlfn.NORM.DIST(1,0,($AB$25-Table3[[#This Row],[scaled control]])*$AB$27,TRUE))</f>
        <v>5.7330306169056655E-7</v>
      </c>
      <c r="AF18" s="6">
        <f>$AF$34*$AF$25</f>
        <v>-13.333333333333332</v>
      </c>
      <c r="AG18" s="6">
        <f>$AG$25*($AG$34*Table3[[#This Row],[offense]])</f>
        <v>0</v>
      </c>
      <c r="AH18" s="6">
        <f t="shared" si="2"/>
        <v>0</v>
      </c>
      <c r="AI18" s="6">
        <f>$AI$34*$AI$25</f>
        <v>0</v>
      </c>
      <c r="AJ18" s="6">
        <f>$AJ$25*(Table3[[#This Row],[offense]]-$AJ$27)</f>
        <v>1</v>
      </c>
      <c r="AK18" s="6" cm="1">
        <f t="array" ref="AK18">SUM(Table3[[#This Row],[count]:[current hitter vs next hitter]]*MIN(1, Table3[[#This Row],[defense]]))</f>
        <v>-12.333333333333332</v>
      </c>
      <c r="AL18" s="94">
        <f>$AL$25-(Table3[[#This Row],[calling modifier]]/(ABS(Table3[[#This Row],[calling modifier]])+$AL$29)*$AL$27)</f>
        <v>0.75257731958762886</v>
      </c>
      <c r="AM18" s="111">
        <f>$AL$25-$AL$27*TANH(Table3[[#This Row],[calling modifier]]/$AM$29)</f>
        <v>0.81952116241142281</v>
      </c>
      <c r="AN18" s="123">
        <f>1-_xlfn.NORM.S.INV(Table3[[#This Row],[tanh strike percent]])*(0.4*(3-Table3[[#This Row],[defense]]))</f>
        <v>0.26916658321025666</v>
      </c>
    </row>
    <row r="19" spans="1:40" s="15" customFormat="1" x14ac:dyDescent="0.25">
      <c r="A19" s="15">
        <f t="shared" si="0"/>
        <v>13</v>
      </c>
      <c r="B19" s="15">
        <f>INDEX(oratings, 1, 1+MOD(Table3[[#This Row],[Rep '#]]-1, COUNT(oratings)))</f>
        <v>0.1</v>
      </c>
      <c r="C19" s="15">
        <f>INDEX(dratings, 1, MOD(FLOOR( (Table3[[#This Row],[Rep '#]]-1) / COUNT(oratings), 1), COUNT(dratings))+1)</f>
        <v>2</v>
      </c>
      <c r="D19" s="15">
        <f>Table3[[#This Row],[offense]]*$D$26+0.05</f>
        <v>6.0000000000000005E-2</v>
      </c>
      <c r="E19" s="15">
        <f>((2*Table3[[#This Row],[defense]]+1*Table3[[#This Row],[defense]])-1.5)*Table3[[#This Row],[offense]]*$E$26</f>
        <v>4.5000000000000005E-2</v>
      </c>
      <c r="F19" s="15">
        <f>MAX(Table3[[#This Row],[base leadoff]]*(1-Table3[[#This Row],[leadoff modifier]]) * 90, 0)</f>
        <v>5.157</v>
      </c>
      <c r="G19" s="15">
        <f>1.1 - Table3[[#This Row],[defense]]*0.1</f>
        <v>0.90000000000000013</v>
      </c>
      <c r="H19" s="15">
        <f xml:space="preserve"> 0.01 - 0.0025 *  Table3[[#This Row],[defense]]</f>
        <v>5.0000000000000001E-3</v>
      </c>
      <c r="I19" s="15">
        <f>1 / Table3[[#This Row],[throw speed (s/ft)]] * ((60 * 60)/5280)</f>
        <v>136.36363636363635</v>
      </c>
      <c r="J19" s="15">
        <f>Table3[[#This Row],[pickoff manuver (s)]]+60*Table3[[#This Row],[throw speed (s/ft)]]</f>
        <v>1.2000000000000002</v>
      </c>
      <c r="K19" s="15">
        <f>$K$28-$K$26*Table3[[#This Row],[offense]]</f>
        <v>0.88</v>
      </c>
      <c r="L19" s="15">
        <f>0.05 - Table3[[#This Row],[offense]]*$L$26</f>
        <v>4.9000000000000002E-2</v>
      </c>
      <c r="M19" s="15">
        <f>1 / Table3[[#This Row],[runner speed (s/ft)]] * ((60 * 60)/5280)</f>
        <v>13.914656771799628</v>
      </c>
      <c r="N19" s="15">
        <f>Table3[[#This Row],[runner reaction]]+Table3[[#This Row],[runner speed (s/ft)]]*Table3[[#This Row],[total leadoff (ft)]]</f>
        <v>1.1326929999999999</v>
      </c>
      <c r="O19" s="16">
        <f>1 - _xlfn.NORM.DIST(Table3[[#This Row],[pickoff time]], Table3[[#This Row],[pickoff evade time]], $O$4, TRUE)</f>
        <v>0.36823373145283722</v>
      </c>
      <c r="P19" s="57">
        <f>_xlfn.NORM.DIST(Table3[[#This Row],[defense]], $P$26, $P$27, TRUE)</f>
        <v>0.99836515899365319</v>
      </c>
      <c r="Q19" s="15" t="b">
        <f>Table3[[#This Row],[pickoff probability]] &gt; 1-Table3[[#This Row],[Fielding Odds]]</f>
        <v>1</v>
      </c>
      <c r="R19" s="57">
        <f>1-Table3[[#This Row],[Fielding Odds]]</f>
        <v>1.63484100634681E-3</v>
      </c>
      <c r="S19" s="15">
        <f>(90-Table3[[#This Row],[total leadoff (ft)]])*Table3[[#This Row],[runner speed (s/ft)]]</f>
        <v>4.1573070000000003</v>
      </c>
      <c r="T19" s="15">
        <f>$T$26*(2-Table3[[#This Row],[defense]]) + Table3[[#This Row],[pickoff time]]</f>
        <v>1.2000000000000002</v>
      </c>
      <c r="U19" s="57">
        <f>_xlfn.NORM.DIST(Table3[[#This Row],[Response speed]], Table3[[#This Row],[Blatant steal time]], $U$4, TRUE)</f>
        <v>4.1358582187294249E-7</v>
      </c>
      <c r="V19" s="15">
        <f>Table3[[#This Row],[defense]]+Table3[[#This Row],[defense]]*Table3[[#This Row],[offense]]*$E$26</f>
        <v>2.02</v>
      </c>
      <c r="W19" s="15">
        <f t="shared" si="3"/>
        <v>0.5714285714285714</v>
      </c>
      <c r="X19" s="57">
        <f>Table3[[#This Row],[ball factor]]/$X$32*(1-$X$34)+$X$34</f>
        <v>0.73781512605042021</v>
      </c>
      <c r="Y19" s="15">
        <f>Table3[[#This Row],[offense]]</f>
        <v>0.1</v>
      </c>
      <c r="Z19" s="97">
        <f t="shared" si="1"/>
        <v>-0.90000000000000013</v>
      </c>
      <c r="AA19" s="97">
        <f>IF(Table3[[#This Row],[player control]]&gt;1,Table3[[#This Row],[player control]]*$AA$41+$AA$40,Table3[[#This Row],[player control]]*$AA$39+$AA$38)</f>
        <v>-0.14000000000000001</v>
      </c>
      <c r="AB19" s="98">
        <f>_xlfn.NORM.DIST(-1,Table3[[#This Row],[ideal steer]],($AB$25-Table3[[#This Row],[scaled control]])*$AB$27,TRUE)</f>
        <v>0.40456602559459909</v>
      </c>
      <c r="AC19" s="98">
        <f>1-_xlfn.NORM.DIST(1,Table3[[#This Row],[ideal steer]],($AB$25-Table3[[#This Row],[scaled control]])*$AB$27,TRUE)</f>
        <v>2.2229077858426649E-6</v>
      </c>
      <c r="AD19" s="98">
        <f>1-(1-Table3[[#This Row],[unmod foul percent 3rd]])*(1-Table3[[#This Row],[unmod foul percent 1st]])</f>
        <v>0.40456734918941673</v>
      </c>
      <c r="AE19" s="98">
        <f>1-((1-_xlfn.NORM.DIST(-1,0,($AB$25-Table3[[#This Row],[scaled control]])*$AB$27,TRUE))*_xlfn.NORM.DIST(1,0,($AB$25-Table3[[#This Row],[scaled control]])*$AB$27,TRUE))</f>
        <v>1.5653650964326582E-2</v>
      </c>
      <c r="AF19" s="15">
        <f>$AF$34*$AF$25</f>
        <v>-13.333333333333332</v>
      </c>
      <c r="AG19" s="15">
        <f>$AG$25*($AG$34*Table3[[#This Row],[offense]])</f>
        <v>0</v>
      </c>
      <c r="AH19" s="15">
        <f t="shared" si="2"/>
        <v>0</v>
      </c>
      <c r="AI19" s="15">
        <f>$AI$34*$AI$25</f>
        <v>0</v>
      </c>
      <c r="AJ19" s="15">
        <f>$AJ$25*(Table3[[#This Row],[offense]]-$AJ$27)</f>
        <v>-0.9</v>
      </c>
      <c r="AK19" s="15" cm="1">
        <f t="array" ref="AK19">SUM(Table3[[#This Row],[count]:[current hitter vs next hitter]]*MIN(1, Table3[[#This Row],[defense]]))</f>
        <v>-14.233333333333333</v>
      </c>
      <c r="AL19" s="98">
        <f>$AL$25-(Table3[[#This Row],[calling modifier]]/(ABS(Table3[[#This Row],[calling modifier]])+$AL$29)*$AL$27)</f>
        <v>0.76630963972736121</v>
      </c>
      <c r="AM19" s="113">
        <f>$AL$25-$AL$27*TANH(Table3[[#This Row],[calling modifier]]/$AM$29)</f>
        <v>0.84468835688869581</v>
      </c>
      <c r="AN19" s="125">
        <f>1-_xlfn.NORM.S.INV(Table3[[#This Row],[tanh strike percent]])*(0.4*(3-Table3[[#This Row],[defense]]))</f>
        <v>0.59443397737746961</v>
      </c>
    </row>
    <row r="20" spans="1:40" s="11" customFormat="1" x14ac:dyDescent="0.25">
      <c r="A20" s="11">
        <f t="shared" si="0"/>
        <v>14</v>
      </c>
      <c r="B20" s="11">
        <f>INDEX(oratings, 1, 1+MOD(Table3[[#This Row],[Rep '#]]-1, COUNT(oratings)))</f>
        <v>0.5</v>
      </c>
      <c r="C20" s="11">
        <f>INDEX(dratings, 1, MOD(FLOOR( (Table3[[#This Row],[Rep '#]]-1) / COUNT(oratings), 1), COUNT(dratings))+1)</f>
        <v>2</v>
      </c>
      <c r="D20" s="11">
        <f>Table3[[#This Row],[offense]]*$D$26+0.05</f>
        <v>0.1</v>
      </c>
      <c r="E20" s="11">
        <f>((2*Table3[[#This Row],[defense]]+1*Table3[[#This Row],[defense]])-1.5)*Table3[[#This Row],[offense]]*$E$26</f>
        <v>0.22500000000000001</v>
      </c>
      <c r="F20" s="11">
        <f>MAX(Table3[[#This Row],[base leadoff]]*(1-Table3[[#This Row],[leadoff modifier]]) * 90, 0)</f>
        <v>6.9750000000000014</v>
      </c>
      <c r="G20" s="11">
        <f>1.1 - Table3[[#This Row],[defense]]*0.1</f>
        <v>0.90000000000000013</v>
      </c>
      <c r="H20" s="11">
        <f xml:space="preserve"> 0.01 - 0.0025 *  Table3[[#This Row],[defense]]</f>
        <v>5.0000000000000001E-3</v>
      </c>
      <c r="I20" s="11">
        <f>1 / Table3[[#This Row],[throw speed (s/ft)]] * ((60 * 60)/5280)</f>
        <v>136.36363636363635</v>
      </c>
      <c r="J20" s="11">
        <f>Table3[[#This Row],[pickoff manuver (s)]]+60*Table3[[#This Row],[throw speed (s/ft)]]</f>
        <v>1.2000000000000002</v>
      </c>
      <c r="K20" s="11">
        <f>$K$28-$K$26*Table3[[#This Row],[offense]]</f>
        <v>0.8</v>
      </c>
      <c r="L20" s="11">
        <f>0.05 - Table3[[#This Row],[offense]]*$L$26</f>
        <v>4.5000000000000005E-2</v>
      </c>
      <c r="M20" s="11">
        <f>1 / Table3[[#This Row],[runner speed (s/ft)]] * ((60 * 60)/5280)</f>
        <v>15.151515151515147</v>
      </c>
      <c r="N20" s="11">
        <f>Table3[[#This Row],[runner reaction]]+Table3[[#This Row],[runner speed (s/ft)]]*Table3[[#This Row],[total leadoff (ft)]]</f>
        <v>1.1138750000000002</v>
      </c>
      <c r="O20" s="12">
        <f>1 - _xlfn.NORM.DIST(Table3[[#This Row],[pickoff time]], Table3[[#This Row],[pickoff evade time]], $O$4, TRUE)</f>
        <v>0.33337053015354379</v>
      </c>
      <c r="P20" s="58">
        <f>_xlfn.NORM.DIST(Table3[[#This Row],[defense]], $P$26, $P$27, TRUE)</f>
        <v>0.99836515899365319</v>
      </c>
      <c r="Q20" s="11" t="b">
        <f>Table3[[#This Row],[pickoff probability]] &gt; 1-Table3[[#This Row],[Fielding Odds]]</f>
        <v>1</v>
      </c>
      <c r="R20" s="58">
        <f>1-Table3[[#This Row],[Fielding Odds]]</f>
        <v>1.63484100634681E-3</v>
      </c>
      <c r="S20" s="11">
        <f>(90-Table3[[#This Row],[total leadoff (ft)]])*Table3[[#This Row],[runner speed (s/ft)]]</f>
        <v>3.7361250000000008</v>
      </c>
      <c r="T20" s="11">
        <f>$T$26*(2-Table3[[#This Row],[defense]]) + Table3[[#This Row],[pickoff time]]</f>
        <v>1.2000000000000002</v>
      </c>
      <c r="U20" s="58">
        <f>_xlfn.NORM.DIST(Table3[[#This Row],[Response speed]], Table3[[#This Row],[Blatant steal time]], $U$4, TRUE)</f>
        <v>1.1847960716990601E-5</v>
      </c>
      <c r="V20" s="11">
        <f>Table3[[#This Row],[defense]]+Table3[[#This Row],[defense]]*Table3[[#This Row],[offense]]*$E$26</f>
        <v>2.1</v>
      </c>
      <c r="W20" s="11">
        <f t="shared" si="3"/>
        <v>0.5714285714285714</v>
      </c>
      <c r="X20" s="58">
        <f>Table3[[#This Row],[ball factor]]/$X$32*(1-$X$34)+$X$34</f>
        <v>0.73781512605042021</v>
      </c>
      <c r="Y20" s="11">
        <f>Table3[[#This Row],[offense]]</f>
        <v>0.5</v>
      </c>
      <c r="Z20" s="99">
        <f t="shared" si="1"/>
        <v>-0.90000000000000013</v>
      </c>
      <c r="AA20" s="99">
        <f>IF(Table3[[#This Row],[player control]]&gt;1,Table3[[#This Row],[player control]]*$AA$41+$AA$40,Table3[[#This Row],[player control]]*$AA$39+$AA$38)</f>
        <v>0.10000000000000003</v>
      </c>
      <c r="AB20" s="100">
        <f>_xlfn.NORM.DIST(-1,Table3[[#This Row],[ideal steer]],($AB$25-Table3[[#This Row],[scaled control]])*$AB$27,TRUE)</f>
        <v>0.39881703452798722</v>
      </c>
      <c r="AC20" s="100">
        <f>1-_xlfn.NORM.DIST(1,Table3[[#This Row],[ideal steer]],($AB$25-Table3[[#This Row],[scaled control]])*$AB$27,TRUE)</f>
        <v>5.5294477940837083E-7</v>
      </c>
      <c r="AD20" s="100">
        <f>1-(1-Table3[[#This Row],[unmod foul percent 3rd]])*(1-Table3[[#This Row],[unmod foul percent 1st]])</f>
        <v>0.39881736694896941</v>
      </c>
      <c r="AE20" s="100">
        <f>1-((1-_xlfn.NORM.DIST(-1,0,($AB$25-Table3[[#This Row],[scaled control]])*$AB$27,TRUE))*_xlfn.NORM.DIST(1,0,($AB$25-Table3[[#This Row],[scaled control]])*$AB$27,TRUE))</f>
        <v>1.0317546081842099E-2</v>
      </c>
      <c r="AF20" s="11">
        <f>$AF$34*$AF$25</f>
        <v>-13.333333333333332</v>
      </c>
      <c r="AG20" s="11">
        <f>$AG$25*($AG$34*Table3[[#This Row],[offense]])</f>
        <v>0</v>
      </c>
      <c r="AH20" s="11">
        <f t="shared" si="2"/>
        <v>0</v>
      </c>
      <c r="AI20" s="11">
        <f>$AI$34*$AI$25</f>
        <v>0</v>
      </c>
      <c r="AJ20" s="11">
        <f>$AJ$25*(Table3[[#This Row],[offense]]-$AJ$27)</f>
        <v>-0.5</v>
      </c>
      <c r="AK20" s="11" cm="1">
        <f t="array" ref="AK20">SUM(Table3[[#This Row],[count]:[current hitter vs next hitter]]*MIN(1, Table3[[#This Row],[defense]]))</f>
        <v>-13.833333333333332</v>
      </c>
      <c r="AL20" s="100">
        <f>$AL$25-(Table3[[#This Row],[calling modifier]]/(ABS(Table3[[#This Row],[calling modifier]])+$AL$29)*$AL$27)</f>
        <v>0.76354679802955661</v>
      </c>
      <c r="AM20" s="114">
        <f>$AL$25-$AL$27*TANH(Table3[[#This Row],[calling modifier]]/$AM$29)</f>
        <v>0.83962065174226819</v>
      </c>
      <c r="AN20" s="126">
        <f>1-_xlfn.NORM.S.INV(Table3[[#This Row],[tanh strike percent]])*(0.4*(3-Table3[[#This Row],[defense]]))</f>
        <v>0.60284000551751582</v>
      </c>
    </row>
    <row r="21" spans="1:40" s="15" customFormat="1" x14ac:dyDescent="0.25">
      <c r="A21" s="15">
        <f t="shared" si="0"/>
        <v>15</v>
      </c>
      <c r="B21" s="15">
        <f>INDEX(oratings, 1, 1+MOD(Table3[[#This Row],[Rep '#]]-1, COUNT(oratings)))</f>
        <v>1</v>
      </c>
      <c r="C21" s="15">
        <f>INDEX(dratings, 1, MOD(FLOOR( (Table3[[#This Row],[Rep '#]]-1) / COUNT(oratings), 1), COUNT(dratings))+1)</f>
        <v>2</v>
      </c>
      <c r="D21" s="15">
        <f>Table3[[#This Row],[offense]]*$D$26+0.05</f>
        <v>0.15000000000000002</v>
      </c>
      <c r="E21" s="15">
        <f>((2*Table3[[#This Row],[defense]]+1*Table3[[#This Row],[defense]])-1.5)*Table3[[#This Row],[offense]]*$E$26</f>
        <v>0.45</v>
      </c>
      <c r="F21" s="15">
        <f>MAX(Table3[[#This Row],[base leadoff]]*(1-Table3[[#This Row],[leadoff modifier]]) * 90, 0)</f>
        <v>7.4250000000000016</v>
      </c>
      <c r="G21" s="15">
        <f>1.1 - Table3[[#This Row],[defense]]*0.1</f>
        <v>0.90000000000000013</v>
      </c>
      <c r="H21" s="15">
        <f xml:space="preserve"> 0.01 - 0.0025 *  Table3[[#This Row],[defense]]</f>
        <v>5.0000000000000001E-3</v>
      </c>
      <c r="I21" s="15">
        <f>1 / Table3[[#This Row],[throw speed (s/ft)]] * ((60 * 60)/5280)</f>
        <v>136.36363636363635</v>
      </c>
      <c r="J21" s="15">
        <f>Table3[[#This Row],[pickoff manuver (s)]]+60*Table3[[#This Row],[throw speed (s/ft)]]</f>
        <v>1.2000000000000002</v>
      </c>
      <c r="K21" s="15">
        <f>$K$28-$K$26*Table3[[#This Row],[offense]]</f>
        <v>0.7</v>
      </c>
      <c r="L21" s="15">
        <f>0.05 - Table3[[#This Row],[offense]]*$L$26</f>
        <v>0.04</v>
      </c>
      <c r="M21" s="15">
        <f>1 / Table3[[#This Row],[runner speed (s/ft)]] * ((60 * 60)/5280)</f>
        <v>17.045454545454543</v>
      </c>
      <c r="N21" s="15">
        <f>Table3[[#This Row],[runner reaction]]+Table3[[#This Row],[runner speed (s/ft)]]*Table3[[#This Row],[total leadoff (ft)]]</f>
        <v>0.99700000000000011</v>
      </c>
      <c r="O21" s="16">
        <f>1 - _xlfn.NORM.DIST(Table3[[#This Row],[pickoff time]], Table3[[#This Row],[pickoff evade time]], $O$4, TRUE)</f>
        <v>0.15505291375244945</v>
      </c>
      <c r="P21" s="57">
        <f>_xlfn.NORM.DIST(Table3[[#This Row],[defense]], $P$26, $P$27, TRUE)</f>
        <v>0.99836515899365319</v>
      </c>
      <c r="Q21" s="15" t="b">
        <f>Table3[[#This Row],[pickoff probability]] &gt; 1-Table3[[#This Row],[Fielding Odds]]</f>
        <v>1</v>
      </c>
      <c r="R21" s="57">
        <f>1-Table3[[#This Row],[Fielding Odds]]</f>
        <v>1.63484100634681E-3</v>
      </c>
      <c r="S21" s="15">
        <f>(90-Table3[[#This Row],[total leadoff (ft)]])*Table3[[#This Row],[runner speed (s/ft)]]</f>
        <v>3.3030000000000004</v>
      </c>
      <c r="T21" s="15">
        <f>$T$26*(2-Table3[[#This Row],[defense]]) + Table3[[#This Row],[pickoff time]]</f>
        <v>1.2000000000000002</v>
      </c>
      <c r="U21" s="57">
        <f>_xlfn.NORM.DIST(Table3[[#This Row],[Response speed]], Table3[[#This Row],[Blatant steal time]], $U$4, TRUE)</f>
        <v>2.2830364162715008E-4</v>
      </c>
      <c r="V21" s="15">
        <f>Table3[[#This Row],[defense]]+Table3[[#This Row],[defense]]*Table3[[#This Row],[offense]]*$E$26</f>
        <v>2.2000000000000002</v>
      </c>
      <c r="W21" s="15">
        <f t="shared" si="3"/>
        <v>0.5714285714285714</v>
      </c>
      <c r="X21" s="57">
        <f>Table3[[#This Row],[ball factor]]/$X$32*(1-$X$34)+$X$34</f>
        <v>0.73781512605042021</v>
      </c>
      <c r="Y21" s="15">
        <f>Table3[[#This Row],[offense]]</f>
        <v>1</v>
      </c>
      <c r="Z21" s="97">
        <f t="shared" si="1"/>
        <v>-0.90000000000000013</v>
      </c>
      <c r="AA21" s="97">
        <f>IF(Table3[[#This Row],[player control]]&gt;1,Table3[[#This Row],[player control]]*$AA$41+$AA$40,Table3[[#This Row],[player control]]*$AA$39+$AA$38)</f>
        <v>0.40000000000000008</v>
      </c>
      <c r="AB21" s="98">
        <f>_xlfn.NORM.DIST(-1,Table3[[#This Row],[ideal steer]],($AB$25-Table3[[#This Row],[scaled control]])*$AB$27,TRUE)</f>
        <v>0.39059147543357509</v>
      </c>
      <c r="AC21" s="98">
        <f>1-_xlfn.NORM.DIST(1,Table3[[#This Row],[ideal steer]],($AB$25-Table3[[#This Row],[scaled control]])*$AB$27,TRUE)</f>
        <v>6.5379949898414225E-8</v>
      </c>
      <c r="AD21" s="98">
        <f>1-(1-Table3[[#This Row],[unmod foul percent 3rd]])*(1-Table3[[#This Row],[unmod foul percent 1st]])</f>
        <v>0.39059151527667391</v>
      </c>
      <c r="AE21" s="98">
        <f>1-((1-_xlfn.NORM.DIST(-1,0,($AB$25-Table3[[#This Row],[scaled control]])*$AB$27,TRUE))*_xlfn.NORM.DIST(1,0,($AB$25-Table3[[#This Row],[scaled control]])*$AB$27,TRUE))</f>
        <v>5.465714583151815E-3</v>
      </c>
      <c r="AF21" s="15">
        <f>$AF$34*$AF$25</f>
        <v>-13.333333333333332</v>
      </c>
      <c r="AG21" s="15">
        <f>$AG$25*($AG$34*Table3[[#This Row],[offense]])</f>
        <v>0</v>
      </c>
      <c r="AH21" s="15">
        <f t="shared" si="2"/>
        <v>0</v>
      </c>
      <c r="AI21" s="15">
        <f>$AI$34*$AI$25</f>
        <v>0</v>
      </c>
      <c r="AJ21" s="15">
        <f>$AJ$25*(Table3[[#This Row],[offense]]-$AJ$27)</f>
        <v>0</v>
      </c>
      <c r="AK21" s="15" cm="1">
        <f t="array" ref="AK21">SUM(Table3[[#This Row],[count]:[current hitter vs next hitter]]*MIN(1, Table3[[#This Row],[defense]]))</f>
        <v>-13.333333333333332</v>
      </c>
      <c r="AL21" s="98">
        <f>$AL$25-(Table3[[#This Row],[calling modifier]]/(ABS(Table3[[#This Row],[calling modifier]])+$AL$29)*$AL$27)</f>
        <v>0.76</v>
      </c>
      <c r="AM21" s="113">
        <f>$AL$25-$AL$27*TANH(Table3[[#This Row],[calling modifier]]/$AM$29)</f>
        <v>0.83311317813916408</v>
      </c>
      <c r="AN21" s="125">
        <f>1-_xlfn.NORM.S.INV(Table3[[#This Row],[tanh strike percent]])*(0.4*(3-Table3[[#This Row],[defense]]))</f>
        <v>0.61338368192500836</v>
      </c>
    </row>
    <row r="22" spans="1:40" s="20" customFormat="1" x14ac:dyDescent="0.25">
      <c r="A22" s="19">
        <f t="shared" si="0"/>
        <v>16</v>
      </c>
      <c r="B22" s="20">
        <f>INDEX(oratings, 1, 1+MOD(Table3[[#This Row],[Rep '#]]-1, COUNT(oratings)))</f>
        <v>2</v>
      </c>
      <c r="C22" s="20">
        <f>INDEX(dratings, 1, MOD(FLOOR( (Table3[[#This Row],[Rep '#]]-1) / COUNT(oratings), 1), COUNT(dratings))+1)</f>
        <v>2</v>
      </c>
      <c r="D22" s="20">
        <f>Table3[[#This Row],[offense]]*$D$26+0.05</f>
        <v>0.25</v>
      </c>
      <c r="E22" s="20">
        <f>((2*Table3[[#This Row],[defense]]+1*Table3[[#This Row],[defense]])-1.5)*Table3[[#This Row],[offense]]*$E$26</f>
        <v>0.9</v>
      </c>
      <c r="F22" s="20">
        <f>MAX(Table3[[#This Row],[base leadoff]]*(1-Table3[[#This Row],[leadoff modifier]]) * 90, 0)</f>
        <v>2.2499999999999996</v>
      </c>
      <c r="G22" s="20">
        <f>1.1 - Table3[[#This Row],[defense]]*0.1</f>
        <v>0.90000000000000013</v>
      </c>
      <c r="H22" s="20">
        <f xml:space="preserve"> 0.01 - 0.0025 *  Table3[[#This Row],[defense]]</f>
        <v>5.0000000000000001E-3</v>
      </c>
      <c r="I22" s="20">
        <f>1 / Table3[[#This Row],[throw speed (s/ft)]] * ((60 * 60)/5280)</f>
        <v>136.36363636363635</v>
      </c>
      <c r="J22" s="20">
        <f>Table3[[#This Row],[pickoff manuver (s)]]+60*Table3[[#This Row],[throw speed (s/ft)]]</f>
        <v>1.2000000000000002</v>
      </c>
      <c r="K22" s="20">
        <f>$K$28-$K$26*Table3[[#This Row],[offense]]</f>
        <v>0.5</v>
      </c>
      <c r="L22" s="20">
        <f>0.05 - Table3[[#This Row],[offense]]*$L$26</f>
        <v>3.0000000000000002E-2</v>
      </c>
      <c r="M22" s="20">
        <f>1 / Table3[[#This Row],[runner speed (s/ft)]] * ((60 * 60)/5280)</f>
        <v>22.727272727272723</v>
      </c>
      <c r="N22" s="20">
        <f>Table3[[#This Row],[runner reaction]]+Table3[[#This Row],[runner speed (s/ft)]]*Table3[[#This Row],[total leadoff (ft)]]</f>
        <v>0.5675</v>
      </c>
      <c r="O22" s="21">
        <f>1 - _xlfn.NORM.DIST(Table3[[#This Row],[pickoff time]], Table3[[#This Row],[pickoff evade time]], $O$4, TRUE)</f>
        <v>7.8210367804876224E-4</v>
      </c>
      <c r="P22" s="59">
        <f>_xlfn.NORM.DIST(Table3[[#This Row],[defense]], $P$26, $P$27, TRUE)</f>
        <v>0.99836515899365319</v>
      </c>
      <c r="Q22" s="20" t="b">
        <f>Table3[[#This Row],[pickoff probability]] &gt; 1-Table3[[#This Row],[Fielding Odds]]</f>
        <v>0</v>
      </c>
      <c r="R22" s="59">
        <f>1-Table3[[#This Row],[Fielding Odds]]</f>
        <v>1.63484100634681E-3</v>
      </c>
      <c r="S22" s="20">
        <f>(90-Table3[[#This Row],[total leadoff (ft)]])*Table3[[#This Row],[runner speed (s/ft)]]</f>
        <v>2.6325000000000003</v>
      </c>
      <c r="T22" s="20">
        <f>$T$26*(2-Table3[[#This Row],[defense]]) + Table3[[#This Row],[pickoff time]]</f>
        <v>1.2000000000000002</v>
      </c>
      <c r="U22" s="59">
        <f>_xlfn.NORM.DIST(Table3[[#This Row],[Response speed]], Table3[[#This Row],[Blatant steal time]], $U$4, TRUE)</f>
        <v>8.4817013785601532E-3</v>
      </c>
      <c r="V22" s="20">
        <f>Table3[[#This Row],[defense]]+Table3[[#This Row],[defense]]*Table3[[#This Row],[offense]]*$E$26</f>
        <v>2.4</v>
      </c>
      <c r="W22" s="20">
        <f t="shared" si="3"/>
        <v>0.5714285714285714</v>
      </c>
      <c r="X22" s="59">
        <f>Table3[[#This Row],[ball factor]]/$X$32*(1-$X$34)+$X$34</f>
        <v>0.73781512605042021</v>
      </c>
      <c r="Y22" s="20">
        <f>Table3[[#This Row],[offense]]</f>
        <v>2</v>
      </c>
      <c r="Z22" s="101">
        <f t="shared" si="1"/>
        <v>-0.90000000000000013</v>
      </c>
      <c r="AA22" s="101">
        <f>IF(Table3[[#This Row],[player control]]&gt;1,Table3[[#This Row],[player control]]*$AA$41+$AA$40,Table3[[#This Row],[player control]]*$AA$39+$AA$38)</f>
        <v>2</v>
      </c>
      <c r="AB22" s="102">
        <f>_xlfn.NORM.DIST(-1,Table3[[#This Row],[ideal steer]],($AB$25-Table3[[#This Row],[scaled control]])*$AB$27,TRUE)</f>
        <v>0.3085375387259871</v>
      </c>
      <c r="AC22" s="102">
        <f>1-_xlfn.NORM.DIST(1,Table3[[#This Row],[ideal steer]],($AB$25-Table3[[#This Row],[scaled control]])*$AB$27,TRUE)</f>
        <v>0</v>
      </c>
      <c r="AD22" s="102">
        <f>1-(1-Table3[[#This Row],[unmod foul percent 3rd]])*(1-Table3[[#This Row],[unmod foul percent 1st]])</f>
        <v>0.3085375387259871</v>
      </c>
      <c r="AE22" s="102">
        <f>1-((1-_xlfn.NORM.DIST(-1,0,($AB$25-Table3[[#This Row],[scaled control]])*$AB$27,TRUE))*_xlfn.NORM.DIST(1,0,($AB$25-Table3[[#This Row],[scaled control]])*$AB$27,TRUE))</f>
        <v>5.7330306169056655E-7</v>
      </c>
      <c r="AF22" s="20">
        <f>$AF$34*$AF$25</f>
        <v>-13.333333333333332</v>
      </c>
      <c r="AG22" s="20">
        <f>$AG$25*($AG$34*Table3[[#This Row],[offense]])</f>
        <v>0</v>
      </c>
      <c r="AH22" s="20">
        <f t="shared" si="2"/>
        <v>0</v>
      </c>
      <c r="AI22" s="20">
        <f>$AI$34*$AI$25</f>
        <v>0</v>
      </c>
      <c r="AJ22" s="20">
        <f>$AJ$25*(Table3[[#This Row],[offense]]-$AJ$27)</f>
        <v>1</v>
      </c>
      <c r="AK22" s="20" cm="1">
        <f t="array" ref="AK22">SUM(Table3[[#This Row],[count]:[current hitter vs next hitter]]*MIN(1, Table3[[#This Row],[defense]]))</f>
        <v>-12.333333333333332</v>
      </c>
      <c r="AL22" s="102">
        <f>$AL$25-(Table3[[#This Row],[calling modifier]]/(ABS(Table3[[#This Row],[calling modifier]])+$AL$29)*$AL$27)</f>
        <v>0.75257731958762886</v>
      </c>
      <c r="AM22" s="115">
        <f>$AL$25-$AL$27*TANH(Table3[[#This Row],[calling modifier]]/$AM$29)</f>
        <v>0.81952116241142281</v>
      </c>
      <c r="AN22" s="127">
        <f>1-_xlfn.NORM.S.INV(Table3[[#This Row],[tanh strike percent]])*(0.4*(3-Table3[[#This Row],[defense]]))</f>
        <v>0.63458329160512839</v>
      </c>
    </row>
    <row r="24" spans="1:40" x14ac:dyDescent="0.25">
      <c r="Y24" s="63" t="s">
        <v>156</v>
      </c>
      <c r="Z24" s="64"/>
      <c r="AA24" s="65"/>
      <c r="AB24" t="s">
        <v>175</v>
      </c>
      <c r="AF24" s="63" t="s">
        <v>184</v>
      </c>
      <c r="AG24" s="103" t="s">
        <v>193</v>
      </c>
      <c r="AH24" s="64"/>
      <c r="AI24" s="64"/>
      <c r="AJ24" s="65"/>
      <c r="AL24" t="s">
        <v>203</v>
      </c>
    </row>
    <row r="25" spans="1:40" x14ac:dyDescent="0.25">
      <c r="D25" t="s">
        <v>89</v>
      </c>
      <c r="E25" t="s">
        <v>90</v>
      </c>
      <c r="G25" t="s">
        <v>82</v>
      </c>
      <c r="H25" t="s">
        <v>83</v>
      </c>
      <c r="K25" t="s">
        <v>84</v>
      </c>
      <c r="L25" t="s">
        <v>85</v>
      </c>
      <c r="P25" t="s">
        <v>103</v>
      </c>
      <c r="T25" t="s">
        <v>109</v>
      </c>
      <c r="W25" t="s">
        <v>146</v>
      </c>
      <c r="X25" t="s">
        <v>150</v>
      </c>
      <c r="Y25" s="66" t="s">
        <v>153</v>
      </c>
      <c r="Z25" s="72" t="s">
        <v>99</v>
      </c>
      <c r="AA25" s="67" t="s">
        <v>155</v>
      </c>
      <c r="AB25" s="72">
        <v>4</v>
      </c>
      <c r="AF25" s="68">
        <v>20</v>
      </c>
      <c r="AG25" s="69">
        <v>5</v>
      </c>
      <c r="AH25" s="69">
        <v>3</v>
      </c>
      <c r="AI25" s="69">
        <v>3</v>
      </c>
      <c r="AJ25" s="70">
        <v>1</v>
      </c>
      <c r="AL25">
        <v>0.6</v>
      </c>
    </row>
    <row r="26" spans="1:40" x14ac:dyDescent="0.25">
      <c r="D26">
        <v>0.1</v>
      </c>
      <c r="E26">
        <v>0.1</v>
      </c>
      <c r="G26">
        <v>0.1</v>
      </c>
      <c r="H26">
        <v>2.5000000000000001E-3</v>
      </c>
      <c r="K26">
        <v>0.2</v>
      </c>
      <c r="L26">
        <v>0.01</v>
      </c>
      <c r="O26" t="s">
        <v>87</v>
      </c>
      <c r="P26">
        <v>-3</v>
      </c>
      <c r="T26">
        <v>0.2</v>
      </c>
      <c r="W26">
        <v>1</v>
      </c>
      <c r="X26">
        <v>0.5</v>
      </c>
      <c r="Y26" s="68"/>
      <c r="Z26" s="69" t="s">
        <v>154</v>
      </c>
      <c r="AA26" s="70" t="s">
        <v>99</v>
      </c>
      <c r="AB26" t="s">
        <v>176</v>
      </c>
      <c r="AF26" s="60" t="s">
        <v>146</v>
      </c>
      <c r="AG26" s="60" t="s">
        <v>187</v>
      </c>
      <c r="AH26" s="60" t="s">
        <v>191</v>
      </c>
      <c r="AI26" s="60" t="s">
        <v>196</v>
      </c>
      <c r="AJ26" s="60" t="s">
        <v>198</v>
      </c>
      <c r="AL26" t="s">
        <v>206</v>
      </c>
    </row>
    <row r="27" spans="1:40" x14ac:dyDescent="0.25">
      <c r="K27" t="s">
        <v>91</v>
      </c>
      <c r="O27" t="s">
        <v>95</v>
      </c>
      <c r="P27">
        <v>1.7</v>
      </c>
      <c r="W27" t="s">
        <v>147</v>
      </c>
      <c r="Y27" s="76" t="s">
        <v>159</v>
      </c>
      <c r="Z27" s="64"/>
      <c r="AA27" s="65" t="s">
        <v>164</v>
      </c>
      <c r="AB27">
        <v>0.1</v>
      </c>
      <c r="AF27" s="61">
        <v>2</v>
      </c>
      <c r="AG27" s="61">
        <v>1</v>
      </c>
      <c r="AH27" s="61">
        <v>0</v>
      </c>
      <c r="AI27" s="61">
        <v>1</v>
      </c>
      <c r="AJ27" s="61">
        <v>1</v>
      </c>
      <c r="AL27">
        <v>0.4</v>
      </c>
    </row>
    <row r="28" spans="1:40" x14ac:dyDescent="0.25">
      <c r="K28">
        <v>0.9</v>
      </c>
      <c r="W28">
        <v>0</v>
      </c>
      <c r="Y28" s="71" t="s">
        <v>163</v>
      </c>
      <c r="Z28" s="32">
        <v>-0.2</v>
      </c>
      <c r="AA28" s="67">
        <f>Z28</f>
        <v>-0.2</v>
      </c>
      <c r="AF28" s="61" t="s">
        <v>147</v>
      </c>
      <c r="AG28" s="61" t="s">
        <v>186</v>
      </c>
      <c r="AH28" s="61" t="s">
        <v>192</v>
      </c>
      <c r="AI28" s="61"/>
      <c r="AJ28" s="61"/>
      <c r="AL28" t="s">
        <v>205</v>
      </c>
      <c r="AM28" t="s">
        <v>205</v>
      </c>
    </row>
    <row r="29" spans="1:40" x14ac:dyDescent="0.25">
      <c r="W29" t="s">
        <v>145</v>
      </c>
      <c r="Y29" s="71" t="s">
        <v>160</v>
      </c>
      <c r="Z29" s="32">
        <v>-0.4</v>
      </c>
      <c r="AA29" s="67">
        <f>IF(ISBLANK(AA26),0,Z29)</f>
        <v>-0.4</v>
      </c>
      <c r="AF29" s="61">
        <v>0</v>
      </c>
      <c r="AG29" s="61">
        <v>1</v>
      </c>
      <c r="AH29" s="61">
        <f>-POWER(AH27,1.5)/2</f>
        <v>0</v>
      </c>
      <c r="AI29" s="61"/>
      <c r="AJ29" s="61"/>
      <c r="AL29">
        <v>20</v>
      </c>
      <c r="AM29">
        <v>20</v>
      </c>
    </row>
    <row r="30" spans="1:40" x14ac:dyDescent="0.25">
      <c r="W30">
        <f xml:space="preserve"> W28/2 - W26/3</f>
        <v>-0.33333333333333331</v>
      </c>
      <c r="Y30" s="71" t="s">
        <v>161</v>
      </c>
      <c r="Z30" s="32">
        <v>0</v>
      </c>
      <c r="AA30" s="67">
        <f>IF(ISBLANK(Z25),0, Z30)</f>
        <v>0</v>
      </c>
      <c r="AF30" s="61" t="s">
        <v>199</v>
      </c>
      <c r="AG30" s="61"/>
      <c r="AH30" s="61" t="s">
        <v>194</v>
      </c>
      <c r="AI30" s="61"/>
      <c r="AJ30" s="61"/>
    </row>
    <row r="31" spans="1:40" x14ac:dyDescent="0.25">
      <c r="W31" t="s">
        <v>148</v>
      </c>
      <c r="X31" t="s">
        <v>157</v>
      </c>
      <c r="Y31" s="71" t="s">
        <v>162</v>
      </c>
      <c r="Z31" s="32">
        <v>0.8</v>
      </c>
      <c r="AA31" s="67">
        <f>IF(ISBLANK(Y26),0,Z31)</f>
        <v>0</v>
      </c>
      <c r="AF31" s="61">
        <v>-0.2</v>
      </c>
      <c r="AG31" s="61"/>
      <c r="AH31" s="61" t="b">
        <v>0</v>
      </c>
      <c r="AI31" s="61"/>
      <c r="AJ31" s="61"/>
      <c r="AL31" t="s">
        <v>207</v>
      </c>
    </row>
    <row r="32" spans="1:40" x14ac:dyDescent="0.25">
      <c r="W32">
        <f>MAX(0, ((W26+X26)/(3+X26))-(W28/2))</f>
        <v>0.42857142857142855</v>
      </c>
      <c r="X32">
        <v>0.85</v>
      </c>
      <c r="Y32" s="66"/>
      <c r="Z32" s="32"/>
      <c r="AA32" s="67">
        <f>SUM(AA28:AA31)</f>
        <v>-0.60000000000000009</v>
      </c>
      <c r="AF32" s="61"/>
      <c r="AG32" s="61"/>
      <c r="AH32" s="61">
        <f>IF(AND(AH31, AH272&lt;3), 0.5, 0)</f>
        <v>0</v>
      </c>
      <c r="AI32" s="61"/>
      <c r="AJ32" s="61"/>
      <c r="AL32">
        <f>AL25-AL27</f>
        <v>0.19999999999999996</v>
      </c>
    </row>
    <row r="33" spans="24:38" x14ac:dyDescent="0.25">
      <c r="X33" t="s">
        <v>158</v>
      </c>
      <c r="Y33" s="68" t="s">
        <v>166</v>
      </c>
      <c r="Z33" s="69">
        <v>0.5</v>
      </c>
      <c r="AA33" s="77">
        <f>IF(ISBLANK(Z25), AA32,AA32*(1+Z33))</f>
        <v>-0.90000000000000013</v>
      </c>
      <c r="AF33" s="61" t="s">
        <v>145</v>
      </c>
      <c r="AG33" s="61" t="s">
        <v>185</v>
      </c>
      <c r="AH33" s="61" t="s">
        <v>195</v>
      </c>
      <c r="AI33" s="61" t="s">
        <v>197</v>
      </c>
      <c r="AJ33" s="61"/>
      <c r="AL33" t="s">
        <v>208</v>
      </c>
    </row>
    <row r="34" spans="24:38" x14ac:dyDescent="0.25">
      <c r="X34">
        <v>0.2</v>
      </c>
      <c r="AF34" s="62">
        <f xml:space="preserve"> IF(SUM(AF27,AF29)=0, AF31,  AF29/2-AF27/3)</f>
        <v>-0.66666666666666663</v>
      </c>
      <c r="AG34" s="62">
        <f>AG27-AG29</f>
        <v>0</v>
      </c>
      <c r="AH34" s="62">
        <f>AH29+AH32</f>
        <v>0</v>
      </c>
      <c r="AI34" s="62">
        <f>AI27-1</f>
        <v>0</v>
      </c>
      <c r="AJ34" s="62"/>
      <c r="AL34">
        <f>AL25+AL27</f>
        <v>1</v>
      </c>
    </row>
    <row r="35" spans="24:38" x14ac:dyDescent="0.25">
      <c r="Z35" t="s">
        <v>167</v>
      </c>
      <c r="AA35">
        <v>-0.2</v>
      </c>
    </row>
    <row r="36" spans="24:38" x14ac:dyDescent="0.25">
      <c r="Z36" t="s">
        <v>168</v>
      </c>
      <c r="AA36">
        <v>0.4</v>
      </c>
    </row>
    <row r="37" spans="24:38" x14ac:dyDescent="0.25">
      <c r="Z37" t="s">
        <v>169</v>
      </c>
      <c r="AA37">
        <v>2</v>
      </c>
    </row>
    <row r="38" spans="24:38" x14ac:dyDescent="0.25">
      <c r="Z38" t="s">
        <v>171</v>
      </c>
      <c r="AA38">
        <f>AA35</f>
        <v>-0.2</v>
      </c>
    </row>
    <row r="39" spans="24:38" x14ac:dyDescent="0.25">
      <c r="Z39" t="s">
        <v>172</v>
      </c>
      <c r="AA39">
        <f>AA36-AA35</f>
        <v>0.60000000000000009</v>
      </c>
    </row>
    <row r="40" spans="24:38" x14ac:dyDescent="0.25">
      <c r="Z40" t="s">
        <v>173</v>
      </c>
      <c r="AA40">
        <f>AA36-AA41</f>
        <v>-1.2000000000000002</v>
      </c>
    </row>
    <row r="41" spans="24:38" x14ac:dyDescent="0.25">
      <c r="Z41" t="s">
        <v>174</v>
      </c>
      <c r="AA41">
        <f>(AA37-AA36)</f>
        <v>1.6</v>
      </c>
    </row>
  </sheetData>
  <conditionalFormatting sqref="O7:O22">
    <cfRule type="cellIs" dxfId="6" priority="1" operator="equal">
      <formula>TRUE</formula>
    </cfRule>
  </conditionalFormatting>
  <pageMargins left="0.7" right="0.7" top="0.75" bottom="0.75" header="0.3" footer="0.3"/>
  <pageSetup orientation="portrait" horizontalDpi="90" verticalDpi="9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S9"/>
  <sheetViews>
    <sheetView workbookViewId="0">
      <selection activeCell="G7" sqref="G7"/>
    </sheetView>
  </sheetViews>
  <sheetFormatPr defaultRowHeight="15" x14ac:dyDescent="0.25"/>
  <cols>
    <col min="2" max="2" width="9.140625" customWidth="1"/>
  </cols>
  <sheetData>
    <row r="2" spans="3:19" ht="15.75" thickBot="1" x14ac:dyDescent="0.3"/>
    <row r="3" spans="3:19" ht="16.5" thickTop="1" thickBot="1" x14ac:dyDescent="0.3">
      <c r="C3" s="36" t="s">
        <v>97</v>
      </c>
      <c r="D3" s="37"/>
      <c r="E3" s="37"/>
      <c r="F3" s="37"/>
      <c r="G3" s="38"/>
      <c r="K3" s="36"/>
      <c r="L3" s="37" t="s">
        <v>98</v>
      </c>
      <c r="M3" s="37"/>
      <c r="N3" s="37"/>
      <c r="O3" s="37"/>
      <c r="P3" s="37"/>
      <c r="Q3" s="37"/>
      <c r="R3" s="37"/>
      <c r="S3" s="38"/>
    </row>
    <row r="4" spans="3:19" x14ac:dyDescent="0.25">
      <c r="C4" s="31"/>
      <c r="D4" s="32" t="s">
        <v>93</v>
      </c>
      <c r="E4" s="32" t="s">
        <v>94</v>
      </c>
      <c r="F4" s="32"/>
      <c r="G4" s="33"/>
      <c r="K4" s="31"/>
      <c r="L4" s="32" t="s">
        <v>87</v>
      </c>
      <c r="M4" s="39">
        <v>-3</v>
      </c>
      <c r="N4" s="32" t="s">
        <v>81</v>
      </c>
      <c r="O4" s="39">
        <v>1.7</v>
      </c>
      <c r="P4" s="32"/>
      <c r="Q4" s="32"/>
      <c r="R4" s="32"/>
      <c r="S4" s="33"/>
    </row>
    <row r="5" spans="3:19" x14ac:dyDescent="0.25">
      <c r="C5" s="31" t="s">
        <v>92</v>
      </c>
      <c r="D5" s="39">
        <v>0.65</v>
      </c>
      <c r="E5" s="32">
        <f>_xlfn.NORM.S.INV(D5)</f>
        <v>0.38532046640756784</v>
      </c>
      <c r="F5" s="32"/>
      <c r="G5" s="33"/>
      <c r="K5" s="31" t="s">
        <v>99</v>
      </c>
      <c r="L5" s="32">
        <v>0</v>
      </c>
      <c r="M5" s="32">
        <v>0.1</v>
      </c>
      <c r="N5" s="32">
        <v>0.25</v>
      </c>
      <c r="O5" s="32">
        <v>0.5</v>
      </c>
      <c r="P5" s="32">
        <v>0.8</v>
      </c>
      <c r="Q5" s="32">
        <v>1</v>
      </c>
      <c r="R5" s="32">
        <v>1.5</v>
      </c>
      <c r="S5" s="33">
        <v>2</v>
      </c>
    </row>
    <row r="6" spans="3:19" ht="15.75" thickBot="1" x14ac:dyDescent="0.3">
      <c r="C6" s="31"/>
      <c r="D6" s="32" t="s">
        <v>96</v>
      </c>
      <c r="E6" s="39">
        <v>1</v>
      </c>
      <c r="F6" s="32"/>
      <c r="G6" s="33"/>
      <c r="K6" s="43" t="s">
        <v>100</v>
      </c>
      <c r="L6" s="44">
        <f t="shared" ref="L6:S6" si="0">_xlfn.NORM.DIST(L5, $M$4, $O$4, TRUE)</f>
        <v>0.96119339527114878</v>
      </c>
      <c r="M6" s="44">
        <f t="shared" si="0"/>
        <v>0.96588837667724492</v>
      </c>
      <c r="N6" s="44">
        <f t="shared" si="0"/>
        <v>0.97204680967698576</v>
      </c>
      <c r="O6" s="44">
        <f t="shared" si="0"/>
        <v>0.98024442661121902</v>
      </c>
      <c r="P6" s="44">
        <f t="shared" si="0"/>
        <v>0.98730097700023178</v>
      </c>
      <c r="Q6" s="44">
        <f t="shared" si="0"/>
        <v>0.99068720985629855</v>
      </c>
      <c r="R6" s="44">
        <f t="shared" si="0"/>
        <v>0.99594023860462444</v>
      </c>
      <c r="S6" s="45">
        <f t="shared" si="0"/>
        <v>0.99836515899365319</v>
      </c>
    </row>
    <row r="7" spans="3:19" ht="15.75" thickBot="1" x14ac:dyDescent="0.3">
      <c r="C7" s="31"/>
      <c r="D7" s="32" t="s">
        <v>87</v>
      </c>
      <c r="E7" s="39">
        <v>0.7</v>
      </c>
      <c r="F7" s="32" t="s">
        <v>95</v>
      </c>
      <c r="G7" s="40">
        <v>0.2</v>
      </c>
      <c r="K7" s="31" t="s">
        <v>101</v>
      </c>
      <c r="L7" s="39"/>
      <c r="M7" s="39">
        <v>0.95</v>
      </c>
      <c r="N7" s="39"/>
      <c r="O7" s="39">
        <v>0.97</v>
      </c>
      <c r="P7" s="39"/>
      <c r="Q7" s="39">
        <v>0.98499999999999999</v>
      </c>
      <c r="R7" s="39"/>
      <c r="S7" s="40">
        <v>1</v>
      </c>
    </row>
    <row r="8" spans="3:19" ht="15.75" thickBot="1" x14ac:dyDescent="0.3">
      <c r="C8" s="34"/>
      <c r="D8" s="35" t="s">
        <v>95</v>
      </c>
      <c r="E8" s="41">
        <f>(E6-E7)/E5</f>
        <v>0.77857271065035727</v>
      </c>
      <c r="F8" s="35" t="s">
        <v>87</v>
      </c>
      <c r="G8" s="42">
        <f>-E5*G7 + E6</f>
        <v>0.92293590671848647</v>
      </c>
      <c r="K8" s="34" t="s">
        <v>102</v>
      </c>
      <c r="L8" s="46" t="str">
        <f>IF(ISBLANK(L7), "", L6-L7)</f>
        <v/>
      </c>
      <c r="M8" s="46">
        <f>IF(ISBLANK(M7), "", M6-M7)</f>
        <v>1.5888376677244964E-2</v>
      </c>
      <c r="N8" s="46" t="str">
        <f t="shared" ref="N8:S8" si="1">IF(ISBLANK(N7), "", N6-N7)</f>
        <v/>
      </c>
      <c r="O8" s="46">
        <f t="shared" si="1"/>
        <v>1.0244426611219049E-2</v>
      </c>
      <c r="P8" s="46" t="str">
        <f t="shared" si="1"/>
        <v/>
      </c>
      <c r="Q8" s="46">
        <f t="shared" si="1"/>
        <v>5.6872098562985585E-3</v>
      </c>
      <c r="R8" s="46" t="str">
        <f t="shared" si="1"/>
        <v/>
      </c>
      <c r="S8" s="47">
        <f t="shared" si="1"/>
        <v>-1.63484100634681E-3</v>
      </c>
    </row>
    <row r="9" spans="3:19" ht="15.75" thickTop="1" x14ac:dyDescent="0.25"/>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8"/>
  <sheetViews>
    <sheetView topLeftCell="D1" workbookViewId="0">
      <selection activeCell="Z25" sqref="Z25"/>
    </sheetView>
  </sheetViews>
  <sheetFormatPr defaultRowHeight="15" x14ac:dyDescent="0.25"/>
  <sheetData>
    <row r="1" spans="1:28" x14ac:dyDescent="0.25">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c r="T1" t="s">
        <v>40</v>
      </c>
      <c r="U1" t="s">
        <v>41</v>
      </c>
      <c r="V1" t="s">
        <v>42</v>
      </c>
      <c r="W1" t="s">
        <v>43</v>
      </c>
      <c r="X1" t="s">
        <v>44</v>
      </c>
      <c r="Y1" t="s">
        <v>45</v>
      </c>
      <c r="Z1" t="s">
        <v>70</v>
      </c>
      <c r="AA1" t="s">
        <v>72</v>
      </c>
      <c r="AB1" t="s">
        <v>71</v>
      </c>
    </row>
    <row r="2" spans="1:28" x14ac:dyDescent="0.25">
      <c r="G2">
        <f>_xlfn.NUMBERVALUE(LEFT(G1, LEN(G1)-2))</f>
        <v>0</v>
      </c>
      <c r="H2">
        <f t="shared" ref="H2:Y2" si="0">_xlfn.NUMBERVALUE(LEFT(H1, LEN(H1)-2))</f>
        <v>5</v>
      </c>
      <c r="I2">
        <f t="shared" si="0"/>
        <v>10</v>
      </c>
      <c r="J2">
        <f t="shared" si="0"/>
        <v>15</v>
      </c>
      <c r="K2">
        <f t="shared" si="0"/>
        <v>20</v>
      </c>
      <c r="L2">
        <f t="shared" si="0"/>
        <v>25</v>
      </c>
      <c r="M2">
        <f t="shared" si="0"/>
        <v>30</v>
      </c>
      <c r="N2">
        <f t="shared" si="0"/>
        <v>35</v>
      </c>
      <c r="O2">
        <f t="shared" si="0"/>
        <v>40</v>
      </c>
      <c r="P2">
        <f t="shared" si="0"/>
        <v>45</v>
      </c>
      <c r="Q2">
        <f t="shared" si="0"/>
        <v>50</v>
      </c>
      <c r="R2">
        <f t="shared" si="0"/>
        <v>55</v>
      </c>
      <c r="S2">
        <f t="shared" si="0"/>
        <v>60</v>
      </c>
      <c r="T2">
        <f t="shared" si="0"/>
        <v>65</v>
      </c>
      <c r="U2">
        <f t="shared" si="0"/>
        <v>70</v>
      </c>
      <c r="V2">
        <f t="shared" si="0"/>
        <v>75</v>
      </c>
      <c r="W2">
        <f t="shared" si="0"/>
        <v>80</v>
      </c>
      <c r="X2">
        <f t="shared" si="0"/>
        <v>85</v>
      </c>
      <c r="Y2">
        <f t="shared" si="0"/>
        <v>90</v>
      </c>
      <c r="AB2">
        <v>10</v>
      </c>
    </row>
    <row r="3" spans="1:28" x14ac:dyDescent="0.25">
      <c r="A3">
        <v>1</v>
      </c>
      <c r="B3" t="s">
        <v>16</v>
      </c>
      <c r="C3" t="s">
        <v>14</v>
      </c>
      <c r="D3" t="s">
        <v>17</v>
      </c>
      <c r="E3" t="s">
        <v>15</v>
      </c>
      <c r="F3">
        <v>41</v>
      </c>
      <c r="G3">
        <v>0</v>
      </c>
      <c r="H3">
        <v>0.59</v>
      </c>
      <c r="I3">
        <v>0.94</v>
      </c>
      <c r="J3">
        <v>1.23</v>
      </c>
      <c r="K3">
        <v>1.5</v>
      </c>
      <c r="L3">
        <v>1.75</v>
      </c>
      <c r="M3">
        <v>1.99</v>
      </c>
      <c r="N3">
        <v>2.2200000000000002</v>
      </c>
      <c r="O3">
        <v>2.4500000000000002</v>
      </c>
      <c r="P3">
        <v>2.66</v>
      </c>
      <c r="Q3">
        <v>2.88</v>
      </c>
      <c r="R3">
        <v>3.09</v>
      </c>
      <c r="S3">
        <v>3.3</v>
      </c>
      <c r="T3">
        <v>3.51</v>
      </c>
      <c r="U3">
        <v>3.72</v>
      </c>
      <c r="V3">
        <v>3.94</v>
      </c>
      <c r="W3">
        <v>4.16</v>
      </c>
      <c r="X3">
        <v>4.38</v>
      </c>
      <c r="Y3">
        <v>4.62</v>
      </c>
      <c r="Z3">
        <f>I3</f>
        <v>0.94</v>
      </c>
      <c r="AA3">
        <f>(Y3-K3)/(Y$2-K$2)</f>
        <v>4.4571428571428574E-2</v>
      </c>
      <c r="AB3">
        <f>AA3*$AB$2+Z3</f>
        <v>1.3857142857142857</v>
      </c>
    </row>
    <row r="4" spans="1:28" x14ac:dyDescent="0.25">
      <c r="A4">
        <v>10</v>
      </c>
      <c r="B4" t="s">
        <v>18</v>
      </c>
      <c r="C4" t="s">
        <v>14</v>
      </c>
      <c r="D4" t="s">
        <v>19</v>
      </c>
      <c r="E4" t="s">
        <v>20</v>
      </c>
      <c r="F4">
        <v>34</v>
      </c>
      <c r="G4">
        <v>0</v>
      </c>
      <c r="H4">
        <v>0.57999999999999996</v>
      </c>
      <c r="I4">
        <v>0.93</v>
      </c>
      <c r="J4">
        <v>1.22</v>
      </c>
      <c r="K4">
        <v>1.48</v>
      </c>
      <c r="L4">
        <v>1.73</v>
      </c>
      <c r="M4">
        <v>1.96</v>
      </c>
      <c r="N4">
        <v>2.19</v>
      </c>
      <c r="O4">
        <v>2.4</v>
      </c>
      <c r="P4">
        <v>2.61</v>
      </c>
      <c r="Q4">
        <v>2.82</v>
      </c>
      <c r="R4">
        <v>3.02</v>
      </c>
      <c r="S4">
        <v>3.23</v>
      </c>
      <c r="T4">
        <v>3.42</v>
      </c>
      <c r="U4">
        <v>3.62</v>
      </c>
      <c r="V4">
        <v>3.82</v>
      </c>
      <c r="W4">
        <v>4.0199999999999996</v>
      </c>
      <c r="X4">
        <v>4.22</v>
      </c>
      <c r="Y4">
        <v>4.43</v>
      </c>
      <c r="Z4">
        <f t="shared" ref="Z4:Z15" si="1">I4</f>
        <v>0.93</v>
      </c>
      <c r="AA4">
        <f t="shared" ref="AA4:AA15" si="2">(Y4-K4)/(Y$2-K$2)</f>
        <v>4.2142857142857142E-2</v>
      </c>
      <c r="AB4">
        <f t="shared" ref="AB4:AB15" si="3">AA4*$AB$2+Z4</f>
        <v>1.3514285714285714</v>
      </c>
    </row>
    <row r="5" spans="1:28" x14ac:dyDescent="0.25">
      <c r="A5">
        <v>30</v>
      </c>
      <c r="B5" t="s">
        <v>46</v>
      </c>
      <c r="C5" t="s">
        <v>14</v>
      </c>
      <c r="D5" t="s">
        <v>47</v>
      </c>
      <c r="E5" t="s">
        <v>15</v>
      </c>
      <c r="F5">
        <v>27</v>
      </c>
      <c r="G5">
        <v>0</v>
      </c>
      <c r="H5">
        <v>0.6</v>
      </c>
      <c r="I5">
        <v>0.93</v>
      </c>
      <c r="J5">
        <v>1.2</v>
      </c>
      <c r="K5">
        <v>1.45</v>
      </c>
      <c r="L5">
        <v>1.69</v>
      </c>
      <c r="M5">
        <v>1.92</v>
      </c>
      <c r="N5">
        <v>2.14</v>
      </c>
      <c r="O5">
        <v>2.36</v>
      </c>
      <c r="P5">
        <v>2.56</v>
      </c>
      <c r="Q5">
        <v>2.76</v>
      </c>
      <c r="R5">
        <v>2.95</v>
      </c>
      <c r="S5">
        <v>3.14</v>
      </c>
      <c r="T5">
        <v>3.33</v>
      </c>
      <c r="U5">
        <v>3.52</v>
      </c>
      <c r="V5">
        <v>3.71</v>
      </c>
      <c r="W5">
        <v>3.89</v>
      </c>
      <c r="X5">
        <v>4.09</v>
      </c>
      <c r="Y5">
        <v>4.29</v>
      </c>
      <c r="Z5">
        <f t="shared" si="1"/>
        <v>0.93</v>
      </c>
      <c r="AA5">
        <f t="shared" si="2"/>
        <v>4.0571428571428571E-2</v>
      </c>
      <c r="AB5">
        <f t="shared" si="3"/>
        <v>1.3357142857142859</v>
      </c>
    </row>
    <row r="6" spans="1:28" x14ac:dyDescent="0.25">
      <c r="A6">
        <v>69</v>
      </c>
      <c r="B6" t="s">
        <v>48</v>
      </c>
      <c r="C6" t="s">
        <v>14</v>
      </c>
      <c r="D6" t="s">
        <v>49</v>
      </c>
      <c r="E6" t="s">
        <v>20</v>
      </c>
      <c r="F6">
        <v>30</v>
      </c>
      <c r="G6">
        <v>0</v>
      </c>
      <c r="H6">
        <v>0.56000000000000005</v>
      </c>
      <c r="I6">
        <v>0.9</v>
      </c>
      <c r="J6">
        <v>1.18</v>
      </c>
      <c r="K6">
        <v>1.43</v>
      </c>
      <c r="L6">
        <v>1.67</v>
      </c>
      <c r="M6">
        <v>1.89</v>
      </c>
      <c r="N6">
        <v>2.1</v>
      </c>
      <c r="O6">
        <v>2.31</v>
      </c>
      <c r="P6">
        <v>2.5099999999999998</v>
      </c>
      <c r="Q6">
        <v>2.71</v>
      </c>
      <c r="R6">
        <v>2.9</v>
      </c>
      <c r="S6">
        <v>3.09</v>
      </c>
      <c r="T6">
        <v>3.28</v>
      </c>
      <c r="U6">
        <v>3.46</v>
      </c>
      <c r="V6">
        <v>3.65</v>
      </c>
      <c r="W6">
        <v>3.84</v>
      </c>
      <c r="X6">
        <v>4.0199999999999996</v>
      </c>
      <c r="Y6">
        <v>4.21</v>
      </c>
      <c r="Z6">
        <f t="shared" si="1"/>
        <v>0.9</v>
      </c>
      <c r="AA6">
        <f t="shared" si="2"/>
        <v>3.9714285714285716E-2</v>
      </c>
      <c r="AB6">
        <f t="shared" si="3"/>
        <v>1.2971428571428572</v>
      </c>
    </row>
    <row r="7" spans="1:28" x14ac:dyDescent="0.25">
      <c r="A7">
        <v>124</v>
      </c>
      <c r="B7" t="s">
        <v>50</v>
      </c>
      <c r="C7" t="s">
        <v>14</v>
      </c>
      <c r="D7" t="s">
        <v>51</v>
      </c>
      <c r="E7" t="s">
        <v>20</v>
      </c>
      <c r="F7">
        <v>25</v>
      </c>
      <c r="G7">
        <v>0</v>
      </c>
      <c r="H7">
        <v>0.56000000000000005</v>
      </c>
      <c r="I7">
        <v>0.89</v>
      </c>
      <c r="J7">
        <v>1.17</v>
      </c>
      <c r="K7">
        <v>1.42</v>
      </c>
      <c r="L7">
        <v>1.65</v>
      </c>
      <c r="M7">
        <v>1.86</v>
      </c>
      <c r="N7">
        <v>2.0699999999999998</v>
      </c>
      <c r="O7">
        <v>2.27</v>
      </c>
      <c r="P7">
        <v>2.4700000000000002</v>
      </c>
      <c r="Q7">
        <v>2.66</v>
      </c>
      <c r="R7">
        <v>2.85</v>
      </c>
      <c r="S7">
        <v>3.03</v>
      </c>
      <c r="T7">
        <v>3.22</v>
      </c>
      <c r="U7">
        <v>3.4</v>
      </c>
      <c r="V7">
        <v>3.58</v>
      </c>
      <c r="W7">
        <v>3.76</v>
      </c>
      <c r="X7">
        <v>3.95</v>
      </c>
      <c r="Y7">
        <v>4.1500000000000004</v>
      </c>
      <c r="Z7">
        <f t="shared" si="1"/>
        <v>0.89</v>
      </c>
      <c r="AA7">
        <f t="shared" si="2"/>
        <v>3.9000000000000007E-2</v>
      </c>
      <c r="AB7">
        <f t="shared" si="3"/>
        <v>1.28</v>
      </c>
    </row>
    <row r="8" spans="1:28" x14ac:dyDescent="0.25">
      <c r="A8">
        <v>338</v>
      </c>
      <c r="B8" t="s">
        <v>52</v>
      </c>
      <c r="C8" t="s">
        <v>53</v>
      </c>
      <c r="D8" t="s">
        <v>54</v>
      </c>
      <c r="E8" t="s">
        <v>15</v>
      </c>
      <c r="F8">
        <v>26</v>
      </c>
      <c r="G8">
        <v>0</v>
      </c>
      <c r="H8">
        <v>0.54</v>
      </c>
      <c r="I8">
        <v>0.86</v>
      </c>
      <c r="J8">
        <v>1.1299999999999999</v>
      </c>
      <c r="K8">
        <v>1.36</v>
      </c>
      <c r="L8">
        <v>1.59</v>
      </c>
      <c r="M8">
        <v>1.79</v>
      </c>
      <c r="N8">
        <v>1.99</v>
      </c>
      <c r="O8">
        <v>2.1800000000000002</v>
      </c>
      <c r="P8">
        <v>2.37</v>
      </c>
      <c r="Q8">
        <v>2.56</v>
      </c>
      <c r="R8">
        <v>2.74</v>
      </c>
      <c r="S8">
        <v>2.92</v>
      </c>
      <c r="T8">
        <v>3.1</v>
      </c>
      <c r="U8">
        <v>3.27</v>
      </c>
      <c r="V8">
        <v>3.44</v>
      </c>
      <c r="W8">
        <v>3.62</v>
      </c>
      <c r="X8">
        <v>3.79</v>
      </c>
      <c r="Y8">
        <v>3.98</v>
      </c>
      <c r="Z8">
        <f t="shared" si="1"/>
        <v>0.86</v>
      </c>
      <c r="AA8">
        <f t="shared" si="2"/>
        <v>3.7428571428571429E-2</v>
      </c>
      <c r="AB8">
        <f t="shared" si="3"/>
        <v>1.2342857142857142</v>
      </c>
    </row>
    <row r="9" spans="1:28" x14ac:dyDescent="0.25">
      <c r="A9">
        <v>388</v>
      </c>
      <c r="B9" t="s">
        <v>55</v>
      </c>
      <c r="C9" t="s">
        <v>14</v>
      </c>
      <c r="D9" t="s">
        <v>56</v>
      </c>
      <c r="E9" t="s">
        <v>57</v>
      </c>
      <c r="F9">
        <v>29</v>
      </c>
      <c r="G9">
        <v>0</v>
      </c>
      <c r="H9">
        <v>0.56999999999999995</v>
      </c>
      <c r="I9">
        <v>0.88</v>
      </c>
      <c r="J9">
        <v>1.1299999999999999</v>
      </c>
      <c r="K9">
        <v>1.37</v>
      </c>
      <c r="L9">
        <v>1.58</v>
      </c>
      <c r="M9">
        <v>1.78</v>
      </c>
      <c r="N9">
        <v>1.97</v>
      </c>
      <c r="O9">
        <v>2.16</v>
      </c>
      <c r="P9">
        <v>2.35</v>
      </c>
      <c r="Q9">
        <v>2.52</v>
      </c>
      <c r="R9">
        <v>2.7</v>
      </c>
      <c r="S9">
        <v>2.88</v>
      </c>
      <c r="T9">
        <v>3.06</v>
      </c>
      <c r="U9">
        <v>3.23</v>
      </c>
      <c r="V9">
        <v>3.39</v>
      </c>
      <c r="W9">
        <v>3.56</v>
      </c>
      <c r="X9">
        <v>3.73</v>
      </c>
      <c r="Y9">
        <v>3.91</v>
      </c>
      <c r="Z9">
        <f t="shared" si="1"/>
        <v>0.88</v>
      </c>
      <c r="AA9">
        <f t="shared" si="2"/>
        <v>3.6285714285714289E-2</v>
      </c>
      <c r="AB9">
        <f t="shared" si="3"/>
        <v>1.2428571428571429</v>
      </c>
    </row>
    <row r="10" spans="1:28" x14ac:dyDescent="0.25">
      <c r="A10">
        <v>465</v>
      </c>
      <c r="B10" t="s">
        <v>58</v>
      </c>
      <c r="C10" t="s">
        <v>53</v>
      </c>
      <c r="D10" t="s">
        <v>47</v>
      </c>
      <c r="E10" t="s">
        <v>57</v>
      </c>
      <c r="F10">
        <v>26</v>
      </c>
      <c r="G10">
        <v>0</v>
      </c>
      <c r="H10">
        <v>0.53</v>
      </c>
      <c r="I10">
        <v>0.83</v>
      </c>
      <c r="J10">
        <v>1.0900000000000001</v>
      </c>
      <c r="K10">
        <v>1.31</v>
      </c>
      <c r="L10">
        <v>1.53</v>
      </c>
      <c r="M10">
        <v>1.73</v>
      </c>
      <c r="N10">
        <v>1.93</v>
      </c>
      <c r="O10">
        <v>2.12</v>
      </c>
      <c r="P10">
        <v>2.2999999999999998</v>
      </c>
      <c r="Q10">
        <v>2.48</v>
      </c>
      <c r="R10">
        <v>2.66</v>
      </c>
      <c r="S10">
        <v>2.84</v>
      </c>
      <c r="T10">
        <v>3.01</v>
      </c>
      <c r="U10">
        <v>3.18</v>
      </c>
      <c r="V10">
        <v>3.35</v>
      </c>
      <c r="W10">
        <v>3.52</v>
      </c>
      <c r="X10">
        <v>3.7</v>
      </c>
      <c r="Y10">
        <v>3.9</v>
      </c>
      <c r="Z10">
        <f t="shared" si="1"/>
        <v>0.83</v>
      </c>
      <c r="AA10">
        <f t="shared" si="2"/>
        <v>3.6999999999999998E-2</v>
      </c>
      <c r="AB10">
        <f t="shared" si="3"/>
        <v>1.2</v>
      </c>
    </row>
    <row r="11" spans="1:28" x14ac:dyDescent="0.25">
      <c r="A11">
        <v>510</v>
      </c>
      <c r="B11" t="s">
        <v>59</v>
      </c>
      <c r="C11" t="s">
        <v>53</v>
      </c>
      <c r="D11" t="s">
        <v>60</v>
      </c>
      <c r="E11" t="s">
        <v>57</v>
      </c>
      <c r="F11">
        <v>37</v>
      </c>
      <c r="G11">
        <v>0</v>
      </c>
      <c r="H11">
        <v>0.53</v>
      </c>
      <c r="I11">
        <v>0.81</v>
      </c>
      <c r="J11">
        <v>1.06</v>
      </c>
      <c r="K11">
        <v>1.28</v>
      </c>
      <c r="L11">
        <v>1.48</v>
      </c>
      <c r="M11">
        <v>1.67</v>
      </c>
      <c r="N11">
        <v>1.86</v>
      </c>
      <c r="O11">
        <v>2.04</v>
      </c>
      <c r="P11">
        <v>2.23</v>
      </c>
      <c r="Q11">
        <v>2.4</v>
      </c>
      <c r="R11">
        <v>2.58</v>
      </c>
      <c r="S11">
        <v>2.75</v>
      </c>
      <c r="T11">
        <v>2.93</v>
      </c>
      <c r="U11">
        <v>3.1</v>
      </c>
      <c r="V11">
        <v>3.28</v>
      </c>
      <c r="W11">
        <v>3.45</v>
      </c>
      <c r="X11">
        <v>3.65</v>
      </c>
      <c r="Y11">
        <v>3.82</v>
      </c>
      <c r="Z11">
        <f t="shared" si="1"/>
        <v>0.81</v>
      </c>
      <c r="AA11">
        <f t="shared" si="2"/>
        <v>3.6285714285714289E-2</v>
      </c>
      <c r="AB11">
        <f t="shared" si="3"/>
        <v>1.172857142857143</v>
      </c>
    </row>
    <row r="12" spans="1:28" x14ac:dyDescent="0.25">
      <c r="A12">
        <v>468</v>
      </c>
      <c r="B12" t="s">
        <v>61</v>
      </c>
      <c r="C12" t="s">
        <v>53</v>
      </c>
      <c r="D12" t="s">
        <v>62</v>
      </c>
      <c r="E12" t="s">
        <v>63</v>
      </c>
      <c r="F12">
        <v>27</v>
      </c>
      <c r="G12">
        <v>0</v>
      </c>
      <c r="H12">
        <v>0.54</v>
      </c>
      <c r="I12">
        <v>0.84</v>
      </c>
      <c r="J12">
        <v>1.0900000000000001</v>
      </c>
      <c r="K12">
        <v>1.32</v>
      </c>
      <c r="L12">
        <v>1.53</v>
      </c>
      <c r="M12">
        <v>1.74</v>
      </c>
      <c r="N12">
        <v>1.93</v>
      </c>
      <c r="O12">
        <v>2.12</v>
      </c>
      <c r="P12">
        <v>2.2999999999999998</v>
      </c>
      <c r="Q12">
        <v>2.48</v>
      </c>
      <c r="R12">
        <v>2.65</v>
      </c>
      <c r="S12">
        <v>2.83</v>
      </c>
      <c r="T12">
        <v>3</v>
      </c>
      <c r="U12">
        <v>3.17</v>
      </c>
      <c r="V12">
        <v>3.33</v>
      </c>
      <c r="W12">
        <v>3.5</v>
      </c>
      <c r="X12">
        <v>3.67</v>
      </c>
      <c r="Y12">
        <v>3.86</v>
      </c>
      <c r="Z12">
        <f t="shared" si="1"/>
        <v>0.84</v>
      </c>
      <c r="AA12">
        <f t="shared" si="2"/>
        <v>3.6285714285714289E-2</v>
      </c>
      <c r="AB12">
        <f t="shared" si="3"/>
        <v>1.2028571428571428</v>
      </c>
    </row>
    <row r="13" spans="1:28" x14ac:dyDescent="0.25">
      <c r="A13">
        <v>174</v>
      </c>
      <c r="B13" t="s">
        <v>65</v>
      </c>
      <c r="C13" t="s">
        <v>14</v>
      </c>
      <c r="D13" t="s">
        <v>66</v>
      </c>
      <c r="E13" t="s">
        <v>64</v>
      </c>
      <c r="F13">
        <v>25</v>
      </c>
      <c r="G13">
        <v>0</v>
      </c>
      <c r="H13">
        <v>0.56999999999999995</v>
      </c>
      <c r="I13">
        <v>0.9</v>
      </c>
      <c r="J13">
        <v>1.17</v>
      </c>
      <c r="K13">
        <v>1.41</v>
      </c>
      <c r="L13">
        <v>1.63</v>
      </c>
      <c r="M13">
        <v>1.85</v>
      </c>
      <c r="N13">
        <v>2.0499999999999998</v>
      </c>
      <c r="O13">
        <v>2.25</v>
      </c>
      <c r="P13">
        <v>2.44</v>
      </c>
      <c r="Q13">
        <v>2.62</v>
      </c>
      <c r="R13">
        <v>2.8</v>
      </c>
      <c r="S13">
        <v>2.97</v>
      </c>
      <c r="T13">
        <v>3.15</v>
      </c>
      <c r="U13">
        <v>3.32</v>
      </c>
      <c r="V13">
        <v>3.5</v>
      </c>
      <c r="W13">
        <v>3.67</v>
      </c>
      <c r="X13">
        <v>3.85</v>
      </c>
      <c r="Y13">
        <v>4.03</v>
      </c>
      <c r="Z13">
        <f t="shared" si="1"/>
        <v>0.9</v>
      </c>
      <c r="AA13">
        <f t="shared" si="2"/>
        <v>3.7428571428571429E-2</v>
      </c>
      <c r="AB13">
        <f t="shared" si="3"/>
        <v>1.2742857142857142</v>
      </c>
    </row>
    <row r="14" spans="1:28" x14ac:dyDescent="0.25">
      <c r="A14">
        <v>218</v>
      </c>
      <c r="B14" t="s">
        <v>67</v>
      </c>
      <c r="C14" t="s">
        <v>14</v>
      </c>
      <c r="D14" t="s">
        <v>51</v>
      </c>
      <c r="E14" t="s">
        <v>68</v>
      </c>
      <c r="F14">
        <v>25</v>
      </c>
      <c r="G14">
        <v>0</v>
      </c>
      <c r="H14">
        <v>0.56999999999999995</v>
      </c>
      <c r="I14">
        <v>0.9</v>
      </c>
      <c r="J14">
        <v>1.17</v>
      </c>
      <c r="K14">
        <v>1.41</v>
      </c>
      <c r="L14">
        <v>1.63</v>
      </c>
      <c r="M14">
        <v>1.84</v>
      </c>
      <c r="N14">
        <v>2.04</v>
      </c>
      <c r="O14">
        <v>2.23</v>
      </c>
      <c r="P14">
        <v>2.42</v>
      </c>
      <c r="Q14">
        <v>2.61</v>
      </c>
      <c r="R14">
        <v>2.79</v>
      </c>
      <c r="S14">
        <v>2.96</v>
      </c>
      <c r="T14">
        <v>3.14</v>
      </c>
      <c r="U14">
        <v>3.31</v>
      </c>
      <c r="V14">
        <v>3.48</v>
      </c>
      <c r="W14">
        <v>3.65</v>
      </c>
      <c r="X14">
        <v>3.82</v>
      </c>
      <c r="Y14">
        <v>4</v>
      </c>
      <c r="Z14">
        <f t="shared" si="1"/>
        <v>0.9</v>
      </c>
      <c r="AA14">
        <f t="shared" si="2"/>
        <v>3.6999999999999998E-2</v>
      </c>
      <c r="AB14">
        <f t="shared" si="3"/>
        <v>1.27</v>
      </c>
    </row>
    <row r="15" spans="1:28" x14ac:dyDescent="0.25">
      <c r="A15">
        <v>275</v>
      </c>
      <c r="B15" t="s">
        <v>69</v>
      </c>
      <c r="C15" t="s">
        <v>14</v>
      </c>
      <c r="D15" t="s">
        <v>62</v>
      </c>
      <c r="E15" t="s">
        <v>68</v>
      </c>
      <c r="F15">
        <v>27</v>
      </c>
      <c r="G15">
        <v>0</v>
      </c>
      <c r="H15">
        <v>0.56000000000000005</v>
      </c>
      <c r="I15">
        <v>0.87</v>
      </c>
      <c r="J15">
        <v>1.1399999999999999</v>
      </c>
      <c r="K15">
        <v>1.37</v>
      </c>
      <c r="L15">
        <v>1.59</v>
      </c>
      <c r="M15">
        <v>1.8</v>
      </c>
      <c r="N15">
        <v>2</v>
      </c>
      <c r="O15">
        <v>2.2000000000000002</v>
      </c>
      <c r="P15">
        <v>2.39</v>
      </c>
      <c r="Q15">
        <v>2.57</v>
      </c>
      <c r="R15">
        <v>2.76</v>
      </c>
      <c r="S15">
        <v>2.94</v>
      </c>
      <c r="T15">
        <v>3.12</v>
      </c>
      <c r="U15">
        <v>3.29</v>
      </c>
      <c r="V15">
        <v>3.47</v>
      </c>
      <c r="W15">
        <v>3.65</v>
      </c>
      <c r="X15">
        <v>3.82</v>
      </c>
      <c r="Y15">
        <v>4.01</v>
      </c>
      <c r="Z15">
        <f t="shared" si="1"/>
        <v>0.87</v>
      </c>
      <c r="AA15">
        <f t="shared" si="2"/>
        <v>3.7714285714285707E-2</v>
      </c>
      <c r="AB15">
        <f t="shared" si="3"/>
        <v>1.2471428571428571</v>
      </c>
    </row>
    <row r="16" spans="1:28" x14ac:dyDescent="0.25">
      <c r="G16">
        <f>AVERAGE(G3:G15)</f>
        <v>0</v>
      </c>
      <c r="H16">
        <f t="shared" ref="H16:AB16" si="4">AVERAGE(H3:H15)</f>
        <v>0.56153846153846154</v>
      </c>
      <c r="I16">
        <f t="shared" si="4"/>
        <v>0.88307692307692309</v>
      </c>
      <c r="J16">
        <f t="shared" si="4"/>
        <v>1.1523076923076923</v>
      </c>
      <c r="K16">
        <f t="shared" si="4"/>
        <v>1.3930769230769231</v>
      </c>
      <c r="L16">
        <f t="shared" si="4"/>
        <v>1.619230769230769</v>
      </c>
      <c r="M16">
        <f t="shared" si="4"/>
        <v>1.8323076923076924</v>
      </c>
      <c r="N16">
        <f t="shared" si="4"/>
        <v>2.0376923076923079</v>
      </c>
      <c r="O16">
        <f t="shared" si="4"/>
        <v>2.2376923076923076</v>
      </c>
      <c r="P16">
        <f t="shared" si="4"/>
        <v>2.4315384615384619</v>
      </c>
      <c r="Q16">
        <f t="shared" si="4"/>
        <v>2.6207692307692301</v>
      </c>
      <c r="R16">
        <f t="shared" si="4"/>
        <v>2.8069230769230766</v>
      </c>
      <c r="S16">
        <f t="shared" si="4"/>
        <v>2.9907692307692306</v>
      </c>
      <c r="T16">
        <f t="shared" si="4"/>
        <v>3.1746153846153842</v>
      </c>
      <c r="U16">
        <f t="shared" si="4"/>
        <v>3.3530769230769235</v>
      </c>
      <c r="V16">
        <f t="shared" si="4"/>
        <v>3.5338461538461536</v>
      </c>
      <c r="W16">
        <f t="shared" si="4"/>
        <v>3.7146153846153847</v>
      </c>
      <c r="X16">
        <f t="shared" si="4"/>
        <v>3.8992307692307695</v>
      </c>
      <c r="Y16">
        <f t="shared" si="4"/>
        <v>4.0930769230769233</v>
      </c>
      <c r="Z16">
        <f t="shared" si="4"/>
        <v>0.88307692307692309</v>
      </c>
      <c r="AA16">
        <f t="shared" si="4"/>
        <v>3.8571428571428576E-2</v>
      </c>
      <c r="AB16">
        <f t="shared" si="4"/>
        <v>1.2687912087912088</v>
      </c>
    </row>
    <row r="17" spans="26:27" x14ac:dyDescent="0.25">
      <c r="Z17">
        <f>MAX(Z3:Z15)</f>
        <v>0.94</v>
      </c>
      <c r="AA17">
        <f>MAX(AA3:AA15)</f>
        <v>4.4571428571428574E-2</v>
      </c>
    </row>
    <row r="18" spans="26:27" x14ac:dyDescent="0.25">
      <c r="Z18">
        <f>MIN(Z3:Z15)</f>
        <v>0.81</v>
      </c>
      <c r="AA18">
        <f>MIN(AA3:AA15)</f>
        <v>3.6285714285714289E-2</v>
      </c>
    </row>
  </sheetData>
  <pageMargins left="0.7" right="0.7" top="0.75" bottom="0.75" header="0.3" footer="0.3"/>
  <pageSetup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
  <sheetViews>
    <sheetView workbookViewId="0">
      <selection activeCell="E24" sqref="E24"/>
    </sheetView>
  </sheetViews>
  <sheetFormatPr defaultRowHeight="15" x14ac:dyDescent="0.25"/>
  <sheetData>
    <row r="1" spans="1:6" x14ac:dyDescent="0.25">
      <c r="B1" s="1" t="s">
        <v>0</v>
      </c>
      <c r="C1" t="s">
        <v>3</v>
      </c>
      <c r="D1" t="s">
        <v>1</v>
      </c>
      <c r="E1" t="s">
        <v>2</v>
      </c>
      <c r="F1" t="s">
        <v>4</v>
      </c>
    </row>
    <row r="2" spans="1:6" x14ac:dyDescent="0.25">
      <c r="A2" s="1">
        <v>1988</v>
      </c>
      <c r="B2">
        <v>0.4269</v>
      </c>
      <c r="C2">
        <v>0.28660000000000002</v>
      </c>
      <c r="D2">
        <v>0.1007</v>
      </c>
      <c r="E2">
        <v>5.8200000000000002E-2</v>
      </c>
      <c r="F2">
        <v>0.12759999999999999</v>
      </c>
    </row>
    <row r="3" spans="1:6" x14ac:dyDescent="0.25">
      <c r="A3" s="1">
        <v>1989</v>
      </c>
      <c r="B3">
        <v>0.39779999999999999</v>
      </c>
      <c r="C3">
        <v>0.1666</v>
      </c>
      <c r="D3">
        <v>0.1575</v>
      </c>
      <c r="E3">
        <v>9.0399999999999994E-2</v>
      </c>
      <c r="F3">
        <v>0.18770000000000001</v>
      </c>
    </row>
    <row r="4" spans="1:6" x14ac:dyDescent="0.25">
      <c r="A4" s="1">
        <v>1990</v>
      </c>
      <c r="B4">
        <v>0.38600000000000001</v>
      </c>
      <c r="C4">
        <v>0.1285</v>
      </c>
      <c r="D4">
        <v>0.1787</v>
      </c>
      <c r="E4">
        <v>9.9400000000000002E-2</v>
      </c>
      <c r="F4">
        <v>0.20730000000000001</v>
      </c>
    </row>
    <row r="5" spans="1:6" x14ac:dyDescent="0.25">
      <c r="A5" s="1">
        <v>1991</v>
      </c>
      <c r="B5">
        <v>0.3528</v>
      </c>
      <c r="C5">
        <v>0.11700000000000001</v>
      </c>
      <c r="D5">
        <v>0.19789999999999999</v>
      </c>
      <c r="E5">
        <v>0.1057</v>
      </c>
      <c r="F5">
        <v>0.2266</v>
      </c>
    </row>
    <row r="6" spans="1:6" x14ac:dyDescent="0.25">
      <c r="A6" s="1">
        <v>1992</v>
      </c>
      <c r="B6">
        <v>0.31290000000000001</v>
      </c>
      <c r="C6">
        <v>7.6700000000000004E-2</v>
      </c>
      <c r="D6">
        <v>0.23</v>
      </c>
      <c r="E6">
        <v>0.112</v>
      </c>
      <c r="F6">
        <v>0.26850000000000002</v>
      </c>
    </row>
    <row r="7" spans="1:6" x14ac:dyDescent="0.25">
      <c r="A7" s="1">
        <v>1993</v>
      </c>
      <c r="B7">
        <v>0.26369999999999999</v>
      </c>
      <c r="C7">
        <v>4.3999999999999997E-2</v>
      </c>
      <c r="D7">
        <v>0.26490000000000002</v>
      </c>
      <c r="E7">
        <v>0.1154</v>
      </c>
      <c r="F7">
        <v>0.31190000000000001</v>
      </c>
    </row>
    <row r="8" spans="1:6" x14ac:dyDescent="0.25">
      <c r="A8" s="1">
        <v>1994</v>
      </c>
      <c r="B8">
        <v>0.2505</v>
      </c>
      <c r="C8">
        <v>4.0500000000000001E-2</v>
      </c>
      <c r="D8">
        <v>0.27650000000000002</v>
      </c>
      <c r="E8">
        <v>0.1104</v>
      </c>
      <c r="F8">
        <v>0.32200000000000001</v>
      </c>
    </row>
    <row r="9" spans="1:6" x14ac:dyDescent="0.25">
      <c r="A9" s="1">
        <v>1995</v>
      </c>
      <c r="B9">
        <v>0.23499999999999999</v>
      </c>
      <c r="C9">
        <v>3.8199999999999998E-2</v>
      </c>
      <c r="D9">
        <v>0.28849999999999998</v>
      </c>
      <c r="E9">
        <v>0.1062</v>
      </c>
      <c r="F9">
        <v>0.3322</v>
      </c>
    </row>
    <row r="10" spans="1:6" x14ac:dyDescent="0.25">
      <c r="A10" s="1">
        <v>1996</v>
      </c>
      <c r="B10">
        <v>0.22650000000000001</v>
      </c>
      <c r="C10">
        <v>3.5999999999999997E-2</v>
      </c>
      <c r="D10">
        <v>0.29699999999999999</v>
      </c>
      <c r="E10">
        <v>0.1031</v>
      </c>
      <c r="F10">
        <v>0.33739999999999998</v>
      </c>
    </row>
    <row r="11" spans="1:6" x14ac:dyDescent="0.25">
      <c r="A11" s="1">
        <v>1997</v>
      </c>
      <c r="B11">
        <v>0.21079999999999999</v>
      </c>
      <c r="C11">
        <v>3.2000000000000001E-2</v>
      </c>
      <c r="D11">
        <v>0.314</v>
      </c>
      <c r="E11">
        <v>0.1033</v>
      </c>
      <c r="F11">
        <v>0.34</v>
      </c>
    </row>
    <row r="12" spans="1:6" x14ac:dyDescent="0.25">
      <c r="A12" s="1">
        <v>1998</v>
      </c>
      <c r="B12">
        <v>0.21149999999999999</v>
      </c>
      <c r="C12">
        <v>3.2500000000000001E-2</v>
      </c>
      <c r="D12">
        <v>0.31419999999999998</v>
      </c>
      <c r="E12">
        <v>0.10489999999999999</v>
      </c>
      <c r="F12">
        <v>0.33689999999999998</v>
      </c>
    </row>
    <row r="13" spans="1:6" x14ac:dyDescent="0.25">
      <c r="A13" s="1">
        <v>1999</v>
      </c>
      <c r="B13">
        <v>0.20449999999999999</v>
      </c>
      <c r="C13">
        <v>3.56E-2</v>
      </c>
      <c r="D13">
        <v>0.31430000000000002</v>
      </c>
      <c r="E13">
        <v>0.10580000000000001</v>
      </c>
      <c r="F13">
        <v>0.33979999999999999</v>
      </c>
    </row>
    <row r="17" spans="2:6" x14ac:dyDescent="0.25">
      <c r="B17">
        <f>AVERAGE(B2:B13)</f>
        <v>0.28990833333333332</v>
      </c>
      <c r="C17">
        <f>AVERAGE(C2:C13)</f>
        <v>8.6183333333333348E-2</v>
      </c>
      <c r="D17">
        <f>AVERAGE(D2:D13)</f>
        <v>0.24451666666666663</v>
      </c>
      <c r="E17">
        <f>AVERAGE(E2:E13)</f>
        <v>0.10123333333333333</v>
      </c>
      <c r="F17">
        <f>AVERAGE(F2:F13)</f>
        <v>0.27815833333333334</v>
      </c>
    </row>
  </sheetData>
  <pageMargins left="0.7" right="0.7" top="0.75" bottom="0.75" header="0.3" footer="0.3"/>
  <pageSetup orientation="portrait" horizontalDpi="90"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
  <sheetViews>
    <sheetView topLeftCell="A4" workbookViewId="0">
      <selection activeCell="E20" sqref="E20"/>
    </sheetView>
  </sheetViews>
  <sheetFormatPr defaultRowHeight="15" x14ac:dyDescent="0.25"/>
  <cols>
    <col min="5" max="5" width="23.7109375" customWidth="1"/>
  </cols>
  <sheetData>
    <row r="1" spans="1:5" x14ac:dyDescent="0.25">
      <c r="A1" t="s">
        <v>112</v>
      </c>
      <c r="B1" t="s">
        <v>113</v>
      </c>
      <c r="C1" t="s">
        <v>114</v>
      </c>
      <c r="D1" t="s">
        <v>115</v>
      </c>
      <c r="E1" t="s">
        <v>116</v>
      </c>
    </row>
    <row r="2" spans="1:5" x14ac:dyDescent="0.25">
      <c r="A2" t="s">
        <v>99</v>
      </c>
      <c r="B2" t="s">
        <v>117</v>
      </c>
      <c r="C2" t="s">
        <v>117</v>
      </c>
      <c r="D2" t="s">
        <v>117</v>
      </c>
      <c r="E2" t="s">
        <v>119</v>
      </c>
    </row>
    <row r="3" spans="1:5" x14ac:dyDescent="0.25">
      <c r="A3" t="s">
        <v>99</v>
      </c>
      <c r="B3" t="s">
        <v>117</v>
      </c>
      <c r="C3" t="s">
        <v>117</v>
      </c>
      <c r="D3" t="s">
        <v>118</v>
      </c>
      <c r="E3" t="s">
        <v>120</v>
      </c>
    </row>
    <row r="4" spans="1:5" x14ac:dyDescent="0.25">
      <c r="A4" t="s">
        <v>99</v>
      </c>
      <c r="B4" t="s">
        <v>117</v>
      </c>
      <c r="C4" t="s">
        <v>118</v>
      </c>
      <c r="D4" t="s">
        <v>117</v>
      </c>
      <c r="E4" t="s">
        <v>120</v>
      </c>
    </row>
    <row r="5" spans="1:5" x14ac:dyDescent="0.25">
      <c r="A5" t="s">
        <v>99</v>
      </c>
      <c r="B5" t="s">
        <v>117</v>
      </c>
      <c r="C5" t="s">
        <v>118</v>
      </c>
      <c r="D5" t="s">
        <v>118</v>
      </c>
      <c r="E5" t="s">
        <v>121</v>
      </c>
    </row>
    <row r="6" spans="1:5" x14ac:dyDescent="0.25">
      <c r="A6" t="s">
        <v>99</v>
      </c>
      <c r="B6" t="s">
        <v>118</v>
      </c>
      <c r="C6" t="s">
        <v>117</v>
      </c>
      <c r="D6" t="s">
        <v>117</v>
      </c>
      <c r="E6" t="s">
        <v>122</v>
      </c>
    </row>
    <row r="7" spans="1:5" x14ac:dyDescent="0.25">
      <c r="A7" t="s">
        <v>99</v>
      </c>
      <c r="B7" t="s">
        <v>118</v>
      </c>
      <c r="C7" t="s">
        <v>117</v>
      </c>
      <c r="D7" t="s">
        <v>118</v>
      </c>
      <c r="E7" t="s">
        <v>123</v>
      </c>
    </row>
    <row r="8" spans="1:5" x14ac:dyDescent="0.25">
      <c r="A8" t="s">
        <v>99</v>
      </c>
      <c r="B8" t="s">
        <v>118</v>
      </c>
      <c r="C8" t="s">
        <v>118</v>
      </c>
      <c r="D8" t="s">
        <v>117</v>
      </c>
      <c r="E8" t="s">
        <v>122</v>
      </c>
    </row>
    <row r="9" spans="1:5" x14ac:dyDescent="0.25">
      <c r="A9" t="s">
        <v>99</v>
      </c>
      <c r="B9" t="s">
        <v>118</v>
      </c>
      <c r="C9" t="s">
        <v>118</v>
      </c>
      <c r="D9" t="s">
        <v>118</v>
      </c>
      <c r="E9" t="s">
        <v>124</v>
      </c>
    </row>
    <row r="10" spans="1:5" x14ac:dyDescent="0.25">
      <c r="A10" t="s">
        <v>99</v>
      </c>
    </row>
    <row r="11" spans="1:5" x14ac:dyDescent="0.25">
      <c r="A11" t="s">
        <v>99</v>
      </c>
    </row>
    <row r="12" spans="1:5" x14ac:dyDescent="0.25">
      <c r="A12" t="s">
        <v>99</v>
      </c>
    </row>
    <row r="13" spans="1:5" x14ac:dyDescent="0.25">
      <c r="A13" t="s">
        <v>99</v>
      </c>
    </row>
    <row r="14" spans="1:5" x14ac:dyDescent="0.25">
      <c r="A14" t="s">
        <v>99</v>
      </c>
    </row>
    <row r="15" spans="1:5" x14ac:dyDescent="0.25">
      <c r="A15" t="s">
        <v>99</v>
      </c>
    </row>
    <row r="16" spans="1:5" x14ac:dyDescent="0.25">
      <c r="A16" t="s">
        <v>99</v>
      </c>
    </row>
    <row r="17" spans="1:1" x14ac:dyDescent="0.25">
      <c r="A17" t="s">
        <v>99</v>
      </c>
    </row>
    <row r="18" spans="1:1" x14ac:dyDescent="0.25">
      <c r="A18" t="s">
        <v>99</v>
      </c>
    </row>
    <row r="19" spans="1:1" x14ac:dyDescent="0.25">
      <c r="A19" t="s">
        <v>99</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iterative</vt:lpstr>
      <vt:lpstr>gauss cruncher</vt:lpstr>
      <vt:lpstr>run speed</vt:lpstr>
      <vt:lpstr>pitch outcomes</vt:lpstr>
      <vt:lpstr>hit quality truth table</vt:lpstr>
      <vt:lpstr>dratings</vt:lpstr>
      <vt:lpstr>home</vt:lpstr>
      <vt:lpstr>oratings</vt:lpstr>
      <vt:lpstr>stratfactor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McGiffen</dc:creator>
  <cp:lastModifiedBy>Kayla McGiffen</cp:lastModifiedBy>
  <dcterms:created xsi:type="dcterms:W3CDTF">2021-09-12T00:08:56Z</dcterms:created>
  <dcterms:modified xsi:type="dcterms:W3CDTF">2022-03-24T10:09:43Z</dcterms:modified>
</cp:coreProperties>
</file>