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7DA4BED4-D999-4427-BF9D-15FCFDCBB244}" xr6:coauthVersionLast="47" xr6:coauthVersionMax="47" xr10:uidLastSave="{00000000-0000-0000-0000-000000000000}"/>
  <bookViews>
    <workbookView xWindow="-120" yWindow="-120" windowWidth="29040" windowHeight="15990" xr2:uid="{00000000-000D-0000-FFFF-FFFF00000000}"/>
  </bookViews>
  <sheets>
    <sheet name="iterative" sheetId="2" r:id="rId1"/>
    <sheet name="Sheet1" sheetId="7" r:id="rId2"/>
    <sheet name="Sheet2" sheetId="8" r:id="rId3"/>
    <sheet name="Sheet3" sheetId="9" r:id="rId4"/>
    <sheet name="gauss cruncher" sheetId="5" r:id="rId5"/>
    <sheet name="run speed" sheetId="3" r:id="rId6"/>
    <sheet name="pitch outcomes" sheetId="1" r:id="rId7"/>
    <sheet name="hit quality truth table" sheetId="6" r:id="rId8"/>
  </sheets>
  <definedNames>
    <definedName name="basis">#REF!</definedName>
    <definedName name="bs">#REF!</definedName>
    <definedName name="counts">#REF!</definedName>
    <definedName name="dratings">iterative!$B$2:$L$2</definedName>
    <definedName name="factors">#REF!</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hrowingfactor">Sheet2!$F$1</definedName>
    <definedName name="throwingmean">Sheet2!$B$1</definedName>
    <definedName name="throwingstdv">Sheet2!$D$1</definedName>
    <definedName name="total">#REF!</definedName>
    <definedName name="values">#REF!</definedName>
    <definedName name="weightedvalues">#REF!</definedName>
    <definedName name="weights">#REF!</definedName>
    <definedName name="zero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8" l="1"/>
  <c r="C4" i="8"/>
  <c r="C5" i="8"/>
  <c r="C6" i="8"/>
  <c r="C7" i="8"/>
  <c r="C8" i="8"/>
  <c r="C9" i="8"/>
  <c r="C10" i="8"/>
  <c r="C11" i="8"/>
  <c r="C12" i="8"/>
  <c r="C13" i="8"/>
  <c r="C14" i="8"/>
  <c r="C15" i="8"/>
  <c r="C16" i="8"/>
  <c r="C17" i="8"/>
  <c r="C18" i="8"/>
  <c r="C19" i="8"/>
  <c r="C20" i="8"/>
  <c r="C21" i="8"/>
  <c r="C22" i="8"/>
  <c r="C23" i="8"/>
  <c r="D3" i="8"/>
  <c r="E3" i="8"/>
  <c r="F3" i="8"/>
  <c r="G3" i="8"/>
  <c r="H3" i="8"/>
  <c r="I3" i="8"/>
  <c r="J3" i="8"/>
  <c r="K3" i="8"/>
  <c r="L3" i="8"/>
  <c r="M3" i="8"/>
  <c r="N3" i="8"/>
  <c r="O3" i="8"/>
  <c r="P3" i="8"/>
  <c r="Q3" i="8"/>
  <c r="R3" i="8"/>
  <c r="S3" i="8"/>
  <c r="T3" i="8"/>
  <c r="U3" i="8"/>
  <c r="V3" i="8"/>
  <c r="W3" i="8"/>
  <c r="D4" i="8"/>
  <c r="E4" i="8"/>
  <c r="F4" i="8"/>
  <c r="G4" i="8"/>
  <c r="H4" i="8"/>
  <c r="I4" i="8"/>
  <c r="J4" i="8"/>
  <c r="K4" i="8"/>
  <c r="L4" i="8"/>
  <c r="M4" i="8"/>
  <c r="N4" i="8"/>
  <c r="O4" i="8"/>
  <c r="P4" i="8"/>
  <c r="Q4" i="8"/>
  <c r="R4" i="8"/>
  <c r="S4" i="8"/>
  <c r="T4" i="8"/>
  <c r="U4" i="8"/>
  <c r="V4" i="8"/>
  <c r="W4" i="8"/>
  <c r="D5" i="8"/>
  <c r="E5" i="8"/>
  <c r="F5" i="8"/>
  <c r="G5" i="8"/>
  <c r="H5" i="8"/>
  <c r="I5" i="8"/>
  <c r="J5" i="8"/>
  <c r="K5" i="8"/>
  <c r="L5" i="8"/>
  <c r="M5" i="8"/>
  <c r="N5" i="8"/>
  <c r="O5" i="8"/>
  <c r="P5" i="8"/>
  <c r="Q5" i="8"/>
  <c r="R5" i="8"/>
  <c r="S5" i="8"/>
  <c r="T5" i="8"/>
  <c r="U5" i="8"/>
  <c r="V5" i="8"/>
  <c r="W5" i="8"/>
  <c r="D6" i="8"/>
  <c r="E6" i="8"/>
  <c r="F6" i="8"/>
  <c r="G6" i="8"/>
  <c r="H6" i="8"/>
  <c r="I6" i="8"/>
  <c r="J6" i="8"/>
  <c r="K6" i="8"/>
  <c r="L6" i="8"/>
  <c r="M6" i="8"/>
  <c r="N6" i="8"/>
  <c r="O6" i="8"/>
  <c r="P6" i="8"/>
  <c r="Q6" i="8"/>
  <c r="R6" i="8"/>
  <c r="S6" i="8"/>
  <c r="T6" i="8"/>
  <c r="U6" i="8"/>
  <c r="V6" i="8"/>
  <c r="W6" i="8"/>
  <c r="D7" i="8"/>
  <c r="E7" i="8"/>
  <c r="F7" i="8"/>
  <c r="G7" i="8"/>
  <c r="H7" i="8"/>
  <c r="I7" i="8"/>
  <c r="J7" i="8"/>
  <c r="K7" i="8"/>
  <c r="L7" i="8"/>
  <c r="M7" i="8"/>
  <c r="N7" i="8"/>
  <c r="O7" i="8"/>
  <c r="P7" i="8"/>
  <c r="Q7" i="8"/>
  <c r="R7" i="8"/>
  <c r="S7" i="8"/>
  <c r="T7" i="8"/>
  <c r="U7" i="8"/>
  <c r="V7" i="8"/>
  <c r="W7" i="8"/>
  <c r="D8" i="8"/>
  <c r="E8" i="8"/>
  <c r="F8" i="8"/>
  <c r="G8" i="8"/>
  <c r="H8" i="8"/>
  <c r="I8" i="8"/>
  <c r="J8" i="8"/>
  <c r="K8" i="8"/>
  <c r="L8" i="8"/>
  <c r="M8" i="8"/>
  <c r="N8" i="8"/>
  <c r="O8" i="8"/>
  <c r="P8" i="8"/>
  <c r="Q8" i="8"/>
  <c r="R8" i="8"/>
  <c r="S8" i="8"/>
  <c r="T8" i="8"/>
  <c r="U8" i="8"/>
  <c r="V8" i="8"/>
  <c r="W8" i="8"/>
  <c r="D9" i="8"/>
  <c r="E9" i="8"/>
  <c r="F9" i="8"/>
  <c r="G9" i="8"/>
  <c r="H9" i="8"/>
  <c r="I9" i="8"/>
  <c r="J9" i="8"/>
  <c r="K9" i="8"/>
  <c r="L9" i="8"/>
  <c r="M9" i="8"/>
  <c r="N9" i="8"/>
  <c r="O9" i="8"/>
  <c r="P9" i="8"/>
  <c r="Q9" i="8"/>
  <c r="R9" i="8"/>
  <c r="S9" i="8"/>
  <c r="T9" i="8"/>
  <c r="U9" i="8"/>
  <c r="V9" i="8"/>
  <c r="W9" i="8"/>
  <c r="D10" i="8"/>
  <c r="E10" i="8"/>
  <c r="F10" i="8"/>
  <c r="G10" i="8"/>
  <c r="H10" i="8"/>
  <c r="I10" i="8"/>
  <c r="J10" i="8"/>
  <c r="K10" i="8"/>
  <c r="L10" i="8"/>
  <c r="M10" i="8"/>
  <c r="N10" i="8"/>
  <c r="O10" i="8"/>
  <c r="P10" i="8"/>
  <c r="Q10" i="8"/>
  <c r="R10" i="8"/>
  <c r="S10" i="8"/>
  <c r="T10" i="8"/>
  <c r="U10" i="8"/>
  <c r="V10" i="8"/>
  <c r="W10" i="8"/>
  <c r="D11" i="8"/>
  <c r="E11" i="8"/>
  <c r="F11" i="8"/>
  <c r="G11" i="8"/>
  <c r="H11" i="8"/>
  <c r="I11" i="8"/>
  <c r="J11" i="8"/>
  <c r="K11" i="8"/>
  <c r="L11" i="8"/>
  <c r="M11" i="8"/>
  <c r="N11" i="8"/>
  <c r="O11" i="8"/>
  <c r="P11" i="8"/>
  <c r="Q11" i="8"/>
  <c r="R11" i="8"/>
  <c r="S11" i="8"/>
  <c r="T11" i="8"/>
  <c r="U11" i="8"/>
  <c r="V11" i="8"/>
  <c r="W11" i="8"/>
  <c r="D12" i="8"/>
  <c r="E12" i="8"/>
  <c r="F12" i="8"/>
  <c r="G12" i="8"/>
  <c r="H12" i="8"/>
  <c r="I12" i="8"/>
  <c r="J12" i="8"/>
  <c r="K12" i="8"/>
  <c r="L12" i="8"/>
  <c r="M12" i="8"/>
  <c r="N12" i="8"/>
  <c r="O12" i="8"/>
  <c r="P12" i="8"/>
  <c r="Q12" i="8"/>
  <c r="R12" i="8"/>
  <c r="S12" i="8"/>
  <c r="T12" i="8"/>
  <c r="U12" i="8"/>
  <c r="V12" i="8"/>
  <c r="W12" i="8"/>
  <c r="D13" i="8"/>
  <c r="E13" i="8"/>
  <c r="F13" i="8"/>
  <c r="G13" i="8"/>
  <c r="H13" i="8"/>
  <c r="I13" i="8"/>
  <c r="J13" i="8"/>
  <c r="K13" i="8"/>
  <c r="L13" i="8"/>
  <c r="M13" i="8"/>
  <c r="N13" i="8"/>
  <c r="O13" i="8"/>
  <c r="P13" i="8"/>
  <c r="Q13" i="8"/>
  <c r="R13" i="8"/>
  <c r="S13" i="8"/>
  <c r="T13" i="8"/>
  <c r="U13" i="8"/>
  <c r="V13" i="8"/>
  <c r="W13" i="8"/>
  <c r="D14" i="8"/>
  <c r="E14" i="8"/>
  <c r="F14" i="8"/>
  <c r="G14" i="8"/>
  <c r="H14" i="8"/>
  <c r="I14" i="8"/>
  <c r="J14" i="8"/>
  <c r="K14" i="8"/>
  <c r="L14" i="8"/>
  <c r="M14" i="8"/>
  <c r="N14" i="8"/>
  <c r="O14" i="8"/>
  <c r="P14" i="8"/>
  <c r="Q14" i="8"/>
  <c r="R14" i="8"/>
  <c r="S14" i="8"/>
  <c r="T14" i="8"/>
  <c r="U14" i="8"/>
  <c r="V14" i="8"/>
  <c r="W14" i="8"/>
  <c r="D15" i="8"/>
  <c r="E15" i="8"/>
  <c r="F15" i="8"/>
  <c r="G15" i="8"/>
  <c r="H15" i="8"/>
  <c r="I15" i="8"/>
  <c r="J15" i="8"/>
  <c r="K15" i="8"/>
  <c r="L15" i="8"/>
  <c r="M15" i="8"/>
  <c r="N15" i="8"/>
  <c r="O15" i="8"/>
  <c r="P15" i="8"/>
  <c r="Q15" i="8"/>
  <c r="R15" i="8"/>
  <c r="S15" i="8"/>
  <c r="T15" i="8"/>
  <c r="U15" i="8"/>
  <c r="V15" i="8"/>
  <c r="W15" i="8"/>
  <c r="D16" i="8"/>
  <c r="E16" i="8"/>
  <c r="F16" i="8"/>
  <c r="G16" i="8"/>
  <c r="H16" i="8"/>
  <c r="I16" i="8"/>
  <c r="J16" i="8"/>
  <c r="K16" i="8"/>
  <c r="L16" i="8"/>
  <c r="M16" i="8"/>
  <c r="N16" i="8"/>
  <c r="O16" i="8"/>
  <c r="P16" i="8"/>
  <c r="Q16" i="8"/>
  <c r="R16" i="8"/>
  <c r="S16" i="8"/>
  <c r="T16" i="8"/>
  <c r="U16" i="8"/>
  <c r="V16" i="8"/>
  <c r="W16" i="8"/>
  <c r="D17" i="8"/>
  <c r="E17" i="8"/>
  <c r="F17" i="8"/>
  <c r="G17" i="8"/>
  <c r="H17" i="8"/>
  <c r="I17" i="8"/>
  <c r="J17" i="8"/>
  <c r="K17" i="8"/>
  <c r="L17" i="8"/>
  <c r="M17" i="8"/>
  <c r="N17" i="8"/>
  <c r="O17" i="8"/>
  <c r="P17" i="8"/>
  <c r="Q17" i="8"/>
  <c r="R17" i="8"/>
  <c r="S17" i="8"/>
  <c r="T17" i="8"/>
  <c r="U17" i="8"/>
  <c r="V17" i="8"/>
  <c r="W17" i="8"/>
  <c r="D18" i="8"/>
  <c r="E18" i="8"/>
  <c r="F18" i="8"/>
  <c r="G18" i="8"/>
  <c r="H18" i="8"/>
  <c r="I18" i="8"/>
  <c r="J18" i="8"/>
  <c r="K18" i="8"/>
  <c r="L18" i="8"/>
  <c r="M18" i="8"/>
  <c r="N18" i="8"/>
  <c r="O18" i="8"/>
  <c r="P18" i="8"/>
  <c r="Q18" i="8"/>
  <c r="R18" i="8"/>
  <c r="S18" i="8"/>
  <c r="T18" i="8"/>
  <c r="U18" i="8"/>
  <c r="V18" i="8"/>
  <c r="W18" i="8"/>
  <c r="D19" i="8"/>
  <c r="E19" i="8"/>
  <c r="F19" i="8"/>
  <c r="G19" i="8"/>
  <c r="H19" i="8"/>
  <c r="I19" i="8"/>
  <c r="J19" i="8"/>
  <c r="K19" i="8"/>
  <c r="L19" i="8"/>
  <c r="M19" i="8"/>
  <c r="N19" i="8"/>
  <c r="O19" i="8"/>
  <c r="P19" i="8"/>
  <c r="Q19" i="8"/>
  <c r="R19" i="8"/>
  <c r="S19" i="8"/>
  <c r="T19" i="8"/>
  <c r="U19" i="8"/>
  <c r="V19" i="8"/>
  <c r="W19" i="8"/>
  <c r="D20" i="8"/>
  <c r="E20" i="8"/>
  <c r="F20" i="8"/>
  <c r="G20" i="8"/>
  <c r="H20" i="8"/>
  <c r="I20" i="8"/>
  <c r="J20" i="8"/>
  <c r="K20" i="8"/>
  <c r="L20" i="8"/>
  <c r="M20" i="8"/>
  <c r="N20" i="8"/>
  <c r="O20" i="8"/>
  <c r="P20" i="8"/>
  <c r="Q20" i="8"/>
  <c r="R20" i="8"/>
  <c r="S20" i="8"/>
  <c r="T20" i="8"/>
  <c r="U20" i="8"/>
  <c r="V20" i="8"/>
  <c r="W20" i="8"/>
  <c r="D21" i="8"/>
  <c r="E21" i="8"/>
  <c r="F21" i="8"/>
  <c r="G21" i="8"/>
  <c r="H21" i="8"/>
  <c r="I21" i="8"/>
  <c r="J21" i="8"/>
  <c r="K21" i="8"/>
  <c r="L21" i="8"/>
  <c r="M21" i="8"/>
  <c r="N21" i="8"/>
  <c r="O21" i="8"/>
  <c r="P21" i="8"/>
  <c r="Q21" i="8"/>
  <c r="R21" i="8"/>
  <c r="S21" i="8"/>
  <c r="T21" i="8"/>
  <c r="U21" i="8"/>
  <c r="V21" i="8"/>
  <c r="W21" i="8"/>
  <c r="D22" i="8"/>
  <c r="E22" i="8"/>
  <c r="F22" i="8"/>
  <c r="G22" i="8"/>
  <c r="H22" i="8"/>
  <c r="I22" i="8"/>
  <c r="J22" i="8"/>
  <c r="K22" i="8"/>
  <c r="L22" i="8"/>
  <c r="M22" i="8"/>
  <c r="N22" i="8"/>
  <c r="O22" i="8"/>
  <c r="P22" i="8"/>
  <c r="Q22" i="8"/>
  <c r="R22" i="8"/>
  <c r="S22" i="8"/>
  <c r="T22" i="8"/>
  <c r="U22" i="8"/>
  <c r="V22" i="8"/>
  <c r="W22" i="8"/>
  <c r="D23" i="8"/>
  <c r="E23" i="8"/>
  <c r="F23" i="8"/>
  <c r="G23" i="8"/>
  <c r="H23" i="8"/>
  <c r="I23" i="8"/>
  <c r="J23" i="8"/>
  <c r="K23" i="8"/>
  <c r="L23" i="8"/>
  <c r="M23" i="8"/>
  <c r="N23" i="8"/>
  <c r="O23" i="8"/>
  <c r="P23" i="8"/>
  <c r="Q23" i="8"/>
  <c r="R23" i="8"/>
  <c r="S23" i="8"/>
  <c r="T23" i="8"/>
  <c r="U23" i="8"/>
  <c r="V23" i="8"/>
  <c r="W23" i="8"/>
  <c r="P7" i="2"/>
  <c r="L13" i="7"/>
  <c r="L14" i="7"/>
  <c r="L15" i="7"/>
  <c r="L16" i="7"/>
  <c r="L17" i="7"/>
  <c r="L18" i="7"/>
  <c r="CD9" i="2" l="1"/>
  <c r="BE17" i="2"/>
  <c r="BE7" i="2"/>
  <c r="BE8" i="2"/>
  <c r="BE9" i="2"/>
  <c r="BE10" i="2"/>
  <c r="BE11" i="2"/>
  <c r="BE12" i="2"/>
  <c r="BE13" i="2"/>
  <c r="BE14" i="2"/>
  <c r="BE15" i="2"/>
  <c r="BE16" i="2"/>
  <c r="BE18" i="2"/>
  <c r="BE19" i="2"/>
  <c r="BE20" i="2"/>
  <c r="BE21" i="2"/>
  <c r="BE22" i="2"/>
  <c r="BZ18" i="2"/>
  <c r="BZ22" i="2"/>
  <c r="BZ28" i="2"/>
  <c r="BZ7" i="2" s="1"/>
  <c r="Q7" i="5"/>
  <c r="BI7" i="2"/>
  <c r="BI8" i="2"/>
  <c r="BI9" i="2"/>
  <c r="BI10" i="2"/>
  <c r="BI11" i="2"/>
  <c r="BI12" i="2"/>
  <c r="BI13" i="2"/>
  <c r="BI14" i="2"/>
  <c r="BI15" i="2"/>
  <c r="BI16" i="2"/>
  <c r="BI17" i="2"/>
  <c r="BI18" i="2"/>
  <c r="BI19" i="2"/>
  <c r="BI20" i="2"/>
  <c r="BI21" i="2"/>
  <c r="BI22" i="2"/>
  <c r="BB7" i="2"/>
  <c r="BB8" i="2"/>
  <c r="BB9" i="2"/>
  <c r="BB10" i="2"/>
  <c r="BB11" i="2"/>
  <c r="BB12" i="2"/>
  <c r="BB13" i="2"/>
  <c r="BB14" i="2"/>
  <c r="BB15" i="2"/>
  <c r="BB16" i="2"/>
  <c r="BB17" i="2"/>
  <c r="BB18" i="2"/>
  <c r="BB19" i="2"/>
  <c r="BB20" i="2"/>
  <c r="BB21" i="2"/>
  <c r="BB22" i="2"/>
  <c r="AU30" i="2"/>
  <c r="AU27" i="2"/>
  <c r="BZ14" i="2" l="1"/>
  <c r="BZ10" i="2"/>
  <c r="BZ21" i="2"/>
  <c r="BZ17" i="2"/>
  <c r="BZ13" i="2"/>
  <c r="BZ9" i="2"/>
  <c r="BZ20" i="2"/>
  <c r="BZ16" i="2"/>
  <c r="BZ12" i="2"/>
  <c r="BZ8" i="2"/>
  <c r="BZ19" i="2"/>
  <c r="BZ15" i="2"/>
  <c r="BZ11" i="2"/>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N8" i="5" l="1"/>
  <c r="P8" i="5"/>
  <c r="R8" i="5"/>
  <c r="S6" i="5"/>
  <c r="S8" i="5" s="1"/>
  <c r="R6" i="5"/>
  <c r="Q6" i="5"/>
  <c r="Q8" i="5" s="1"/>
  <c r="P6" i="5"/>
  <c r="O6" i="5"/>
  <c r="O8" i="5" s="1"/>
  <c r="N6" i="5"/>
  <c r="M6" i="5"/>
  <c r="M8" i="5" s="1"/>
  <c r="L6" i="5"/>
  <c r="L8" i="5" s="1"/>
  <c r="E5" i="5"/>
  <c r="G8" i="5" s="1"/>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Z8" i="2" s="1"/>
  <c r="A9" i="2"/>
  <c r="C9" i="2" s="1"/>
  <c r="AZ9" i="2" s="1"/>
  <c r="A10" i="2"/>
  <c r="C10" i="2" s="1"/>
  <c r="AZ10" i="2" s="1"/>
  <c r="A11" i="2"/>
  <c r="C11" i="2" s="1"/>
  <c r="AZ11" i="2" s="1"/>
  <c r="A12" i="2"/>
  <c r="C12" i="2" s="1"/>
  <c r="AZ12" i="2" s="1"/>
  <c r="A13" i="2"/>
  <c r="C13" i="2" s="1"/>
  <c r="AZ13" i="2" s="1"/>
  <c r="A14" i="2"/>
  <c r="B14" i="2" s="1"/>
  <c r="A15" i="2"/>
  <c r="C15" i="2" s="1"/>
  <c r="AZ15" i="2" s="1"/>
  <c r="A16" i="2"/>
  <c r="C16" i="2" s="1"/>
  <c r="AZ16" i="2" s="1"/>
  <c r="A17" i="2"/>
  <c r="C17" i="2" s="1"/>
  <c r="AZ17" i="2" s="1"/>
  <c r="A18" i="2"/>
  <c r="C18" i="2" s="1"/>
  <c r="AZ18" i="2" s="1"/>
  <c r="A19" i="2"/>
  <c r="C19" i="2" s="1"/>
  <c r="AZ19" i="2" s="1"/>
  <c r="A20" i="2"/>
  <c r="C20" i="2" s="1"/>
  <c r="AZ20" i="2" s="1"/>
  <c r="A21" i="2"/>
  <c r="C21" i="2" s="1"/>
  <c r="AZ21" i="2" s="1"/>
  <c r="A22" i="2"/>
  <c r="B22" i="2" s="1"/>
  <c r="A7" i="2"/>
  <c r="C7" i="2" s="1"/>
  <c r="AZ7" i="2" s="1"/>
  <c r="B3" i="2"/>
  <c r="BV22" i="2" l="1"/>
  <c r="CA22" i="2"/>
  <c r="BV14" i="2"/>
  <c r="CA14" i="2"/>
  <c r="BM22" i="2"/>
  <c r="BM14" i="2"/>
  <c r="BA15" i="2"/>
  <c r="BC15" i="2"/>
  <c r="BD15" i="2"/>
  <c r="AJ22" i="2"/>
  <c r="BA18" i="2"/>
  <c r="BD18" i="2"/>
  <c r="BC18" i="2"/>
  <c r="AJ14" i="2"/>
  <c r="BA10" i="2"/>
  <c r="BC10" i="2"/>
  <c r="BD10" i="2"/>
  <c r="BA7" i="2"/>
  <c r="BD7" i="2"/>
  <c r="BC7" i="2"/>
  <c r="BA11" i="2"/>
  <c r="BC11" i="2"/>
  <c r="BD11" i="2"/>
  <c r="BA21" i="2"/>
  <c r="BD21" i="2"/>
  <c r="BC21" i="2"/>
  <c r="BA17" i="2"/>
  <c r="BD17" i="2"/>
  <c r="BC17" i="2"/>
  <c r="BA13" i="2"/>
  <c r="BC13" i="2"/>
  <c r="BD13" i="2"/>
  <c r="BA9" i="2"/>
  <c r="BC9" i="2"/>
  <c r="BD9" i="2"/>
  <c r="BA19" i="2"/>
  <c r="BC19" i="2"/>
  <c r="BD19" i="2"/>
  <c r="BA20" i="2"/>
  <c r="BD20" i="2"/>
  <c r="BC20" i="2"/>
  <c r="BA16" i="2"/>
  <c r="BC16" i="2"/>
  <c r="BD16" i="2"/>
  <c r="BA12" i="2"/>
  <c r="BC12" i="2"/>
  <c r="BD12" i="2"/>
  <c r="BA8" i="2"/>
  <c r="BD8" i="2"/>
  <c r="BC8" i="2"/>
  <c r="AV15" i="2"/>
  <c r="AW15" i="2"/>
  <c r="AV18" i="2"/>
  <c r="AW18" i="2"/>
  <c r="AV10" i="2"/>
  <c r="AW10" i="2"/>
  <c r="AW7" i="2"/>
  <c r="AV7" i="2"/>
  <c r="AV11" i="2"/>
  <c r="AW11" i="2"/>
  <c r="AV21" i="2"/>
  <c r="AW21" i="2"/>
  <c r="AV17" i="2"/>
  <c r="AW17" i="2"/>
  <c r="AV13" i="2"/>
  <c r="AW13" i="2"/>
  <c r="AV9" i="2"/>
  <c r="AW9" i="2"/>
  <c r="AV19" i="2"/>
  <c r="AW19" i="2"/>
  <c r="AV20" i="2"/>
  <c r="AW20" i="2"/>
  <c r="AV16" i="2"/>
  <c r="AW16" i="2"/>
  <c r="AW12" i="2"/>
  <c r="AV12" i="2"/>
  <c r="AV8" i="2"/>
  <c r="AW8" i="2"/>
  <c r="E7" i="2"/>
  <c r="Y22" i="2"/>
  <c r="AA22" i="2" s="1"/>
  <c r="AB22" i="2" s="1"/>
  <c r="AG22" i="2"/>
  <c r="Y14" i="2"/>
  <c r="AA14" i="2" s="1"/>
  <c r="AE14" i="2" s="1"/>
  <c r="AG14" i="2"/>
  <c r="P16" i="2"/>
  <c r="R16" i="2" s="1"/>
  <c r="R7" i="2"/>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B10" i="2"/>
  <c r="B21" i="2"/>
  <c r="B17" i="2"/>
  <c r="B13" i="2"/>
  <c r="B9" i="2"/>
  <c r="C22" i="2"/>
  <c r="AZ22" i="2" s="1"/>
  <c r="C14" i="2"/>
  <c r="AZ14" i="2" s="1"/>
  <c r="B20" i="2"/>
  <c r="B16" i="2"/>
  <c r="B12" i="2"/>
  <c r="B8" i="2"/>
  <c r="B19" i="2"/>
  <c r="B15" i="2"/>
  <c r="B11" i="2"/>
  <c r="B7" i="2"/>
  <c r="C17" i="1"/>
  <c r="D17" i="1"/>
  <c r="E17" i="1"/>
  <c r="F17" i="1"/>
  <c r="B17" i="1"/>
  <c r="CD14" i="2" l="1"/>
  <c r="CC14" i="2"/>
  <c r="CE14" i="2" s="1"/>
  <c r="BV15" i="2"/>
  <c r="CA15" i="2"/>
  <c r="BV16" i="2"/>
  <c r="CA16" i="2"/>
  <c r="BV9" i="2"/>
  <c r="CA9" i="2"/>
  <c r="BV10" i="2"/>
  <c r="CA10" i="2"/>
  <c r="BV12" i="2"/>
  <c r="CA12" i="2"/>
  <c r="BV13" i="2"/>
  <c r="CA13" i="2"/>
  <c r="BV18" i="2"/>
  <c r="CA18" i="2"/>
  <c r="CC22" i="2"/>
  <c r="CD22" i="2"/>
  <c r="BV11" i="2"/>
  <c r="CA11" i="2"/>
  <c r="BV21" i="2"/>
  <c r="CA21" i="2"/>
  <c r="BV19" i="2"/>
  <c r="CA19" i="2"/>
  <c r="BV20" i="2"/>
  <c r="CA20" i="2"/>
  <c r="BV7" i="2"/>
  <c r="CA7" i="2"/>
  <c r="BV8" i="2"/>
  <c r="CA8" i="2"/>
  <c r="BV17" i="2"/>
  <c r="CA17" i="2"/>
  <c r="BM19" i="2"/>
  <c r="BM18" i="2"/>
  <c r="BM7" i="2"/>
  <c r="BM8" i="2"/>
  <c r="BM17" i="2"/>
  <c r="BM20" i="2"/>
  <c r="BM12" i="2"/>
  <c r="BM21" i="2"/>
  <c r="BM13" i="2"/>
  <c r="BM11" i="2"/>
  <c r="BM15" i="2"/>
  <c r="BM16" i="2"/>
  <c r="BM9" i="2"/>
  <c r="BM10" i="2"/>
  <c r="AJ11" i="2"/>
  <c r="BF11" i="2"/>
  <c r="BA22" i="2"/>
  <c r="CB22" i="2" s="1"/>
  <c r="BC22" i="2"/>
  <c r="BF22" i="2" s="1"/>
  <c r="BG22" i="2" s="1"/>
  <c r="BD22" i="2"/>
  <c r="AJ21" i="2"/>
  <c r="BF21" i="2"/>
  <c r="AJ15" i="2"/>
  <c r="BF15" i="2"/>
  <c r="AJ9" i="2"/>
  <c r="BF9" i="2"/>
  <c r="AJ10" i="2"/>
  <c r="BF10" i="2"/>
  <c r="AJ16" i="2"/>
  <c r="BF16" i="2"/>
  <c r="AJ19" i="2"/>
  <c r="BF19" i="2"/>
  <c r="AJ20" i="2"/>
  <c r="BF20" i="2"/>
  <c r="AJ13" i="2"/>
  <c r="BF13" i="2"/>
  <c r="AJ18" i="2"/>
  <c r="BF18" i="2"/>
  <c r="AJ12" i="2"/>
  <c r="BF12" i="2"/>
  <c r="AJ7" i="2"/>
  <c r="BF7" i="2"/>
  <c r="AJ8" i="2"/>
  <c r="BF8" i="2"/>
  <c r="BA14" i="2"/>
  <c r="CB14" i="2" s="1"/>
  <c r="BC14" i="2"/>
  <c r="BF14" i="2" s="1"/>
  <c r="BG14" i="2" s="1"/>
  <c r="BD14" i="2"/>
  <c r="AJ17" i="2"/>
  <c r="BF17" i="2"/>
  <c r="AV14" i="2"/>
  <c r="AW14" i="2"/>
  <c r="AV22" i="2"/>
  <c r="AW22" i="2"/>
  <c r="AE22" i="2"/>
  <c r="AC22" i="2"/>
  <c r="AD22" i="2" s="1"/>
  <c r="AK14" i="2" a="1"/>
  <c r="AK14" i="2" s="1"/>
  <c r="AM14" i="2" s="1"/>
  <c r="E8" i="2"/>
  <c r="E16" i="2"/>
  <c r="E11" i="2"/>
  <c r="E9" i="2"/>
  <c r="E17" i="2"/>
  <c r="E15" i="2"/>
  <c r="E18" i="2"/>
  <c r="E14" i="2"/>
  <c r="F14" i="2" s="1"/>
  <c r="N14" i="2" s="1"/>
  <c r="E22" i="2"/>
  <c r="F22" i="2" s="1"/>
  <c r="N22" i="2" s="1"/>
  <c r="AK22" i="2" a="1"/>
  <c r="AK22" i="2" s="1"/>
  <c r="AM22" i="2" s="1"/>
  <c r="E12" i="2"/>
  <c r="E20" i="2"/>
  <c r="E19" i="2"/>
  <c r="E13" i="2"/>
  <c r="E21" i="2"/>
  <c r="E10" i="2"/>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AK16" i="2" s="1" a="1"/>
  <c r="AK16" i="2" s="1"/>
  <c r="Y9" i="2"/>
  <c r="AA9" i="2" s="1"/>
  <c r="AE9" i="2" s="1"/>
  <c r="AG9" i="2"/>
  <c r="Y20" i="2"/>
  <c r="AA20" i="2" s="1"/>
  <c r="AC20" i="2" s="1"/>
  <c r="AG20" i="2"/>
  <c r="AK20" i="2" s="1" a="1"/>
  <c r="AK20" i="2" s="1"/>
  <c r="Y18" i="2"/>
  <c r="AA18" i="2" s="1"/>
  <c r="AE18" i="2" s="1"/>
  <c r="AG18" i="2"/>
  <c r="AC14" i="2"/>
  <c r="Y11" i="2"/>
  <c r="AA11" i="2" s="1"/>
  <c r="AC11" i="2" s="1"/>
  <c r="AG11" i="2"/>
  <c r="Y12" i="2"/>
  <c r="AA12" i="2" s="1"/>
  <c r="AC12" i="2" s="1"/>
  <c r="AG12" i="2"/>
  <c r="Y21" i="2"/>
  <c r="AA21" i="2" s="1"/>
  <c r="AC21" i="2" s="1"/>
  <c r="AG21"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D16" i="2"/>
  <c r="K16" i="2"/>
  <c r="D7" i="2"/>
  <c r="K7" i="2"/>
  <c r="D8" i="2"/>
  <c r="K8" i="2"/>
  <c r="H14" i="2"/>
  <c r="I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CF22" i="2" l="1"/>
  <c r="CB7" i="2"/>
  <c r="CF7" i="2"/>
  <c r="CD7" i="2"/>
  <c r="CC7" i="2"/>
  <c r="CB19" i="2"/>
  <c r="CF19" i="2"/>
  <c r="CD19" i="2"/>
  <c r="CC19" i="2"/>
  <c r="CE19" i="2" s="1"/>
  <c r="CB16" i="2"/>
  <c r="CF16" i="2"/>
  <c r="CD16" i="2"/>
  <c r="CC16" i="2"/>
  <c r="CE16" i="2" s="1"/>
  <c r="CB8" i="2"/>
  <c r="CF8" i="2"/>
  <c r="CD8" i="2"/>
  <c r="CC8" i="2"/>
  <c r="CE8" i="2" s="1"/>
  <c r="CB20" i="2"/>
  <c r="CF20" i="2"/>
  <c r="CD20" i="2"/>
  <c r="CC20" i="2"/>
  <c r="CE20" i="2" s="1"/>
  <c r="CB21" i="2"/>
  <c r="CF21" i="2"/>
  <c r="CD21" i="2"/>
  <c r="CC21" i="2"/>
  <c r="CE21" i="2" s="1"/>
  <c r="CB18" i="2"/>
  <c r="CC18" i="2"/>
  <c r="CF18" i="2"/>
  <c r="CD18" i="2"/>
  <c r="CB12" i="2"/>
  <c r="CF12" i="2"/>
  <c r="CD12" i="2"/>
  <c r="CC12" i="2"/>
  <c r="CE12" i="2" s="1"/>
  <c r="CB9" i="2"/>
  <c r="CF9" i="2"/>
  <c r="CC9" i="2"/>
  <c r="CE9" i="2" s="1"/>
  <c r="CB15" i="2"/>
  <c r="CF15" i="2"/>
  <c r="CD15" i="2"/>
  <c r="CC15" i="2"/>
  <c r="CE15" i="2" s="1"/>
  <c r="CF14" i="2"/>
  <c r="CB17" i="2"/>
  <c r="CF17" i="2"/>
  <c r="CD17" i="2"/>
  <c r="CC17" i="2"/>
  <c r="CB11" i="2"/>
  <c r="CF11" i="2"/>
  <c r="CD11" i="2"/>
  <c r="CC11" i="2"/>
  <c r="CB13" i="2"/>
  <c r="CF13" i="2"/>
  <c r="CD13" i="2"/>
  <c r="CC13" i="2"/>
  <c r="CB10" i="2"/>
  <c r="CC10" i="2"/>
  <c r="CE10" i="2" s="1"/>
  <c r="CF10" i="2"/>
  <c r="CD10" i="2"/>
  <c r="CE22" i="2"/>
  <c r="AK19" i="2" a="1"/>
  <c r="AK19" i="2" s="1"/>
  <c r="AL19" i="2" s="1"/>
  <c r="AK10" i="2" a="1"/>
  <c r="AK10" i="2" s="1"/>
  <c r="AM10" i="2" s="1"/>
  <c r="AK9" i="2" a="1"/>
  <c r="AK9" i="2" s="1"/>
  <c r="AM9" i="2" s="1"/>
  <c r="AK21" i="2" a="1"/>
  <c r="AK21" i="2" s="1"/>
  <c r="AM21" i="2" s="1"/>
  <c r="AB19" i="2"/>
  <c r="AK18" i="2" a="1"/>
  <c r="AK18" i="2" s="1"/>
  <c r="AL18" i="2" s="1"/>
  <c r="AK11" i="2" a="1"/>
  <c r="AK11" i="2" s="1"/>
  <c r="AL11" i="2" s="1"/>
  <c r="AK17" i="2" a="1"/>
  <c r="AK17" i="2" s="1"/>
  <c r="AM17" i="2" s="1"/>
  <c r="AK7" i="2" a="1"/>
  <c r="AK7" i="2" s="1"/>
  <c r="AM7" i="2" s="1"/>
  <c r="AK15" i="2" a="1"/>
  <c r="AK15" i="2" s="1"/>
  <c r="AL15" i="2" s="1"/>
  <c r="BG8" i="2"/>
  <c r="BH8" i="2" s="1"/>
  <c r="BJ8" i="2" s="1"/>
  <c r="BG12" i="2"/>
  <c r="BH12" i="2" s="1"/>
  <c r="BJ12" i="2" s="1"/>
  <c r="BG13" i="2"/>
  <c r="BH13" i="2" s="1"/>
  <c r="BJ13" i="2" s="1"/>
  <c r="BG19" i="2"/>
  <c r="BH19" i="2" s="1"/>
  <c r="BJ19" i="2" s="1"/>
  <c r="BG15" i="2"/>
  <c r="BH15" i="2" s="1"/>
  <c r="BJ15" i="2" s="1"/>
  <c r="BG9" i="2"/>
  <c r="BH9" i="2" s="1"/>
  <c r="BJ9" i="2" s="1"/>
  <c r="BG21" i="2"/>
  <c r="BH21" i="2" s="1"/>
  <c r="BJ21" i="2" s="1"/>
  <c r="BG11" i="2"/>
  <c r="BH11" i="2" s="1"/>
  <c r="BJ11" i="2" s="1"/>
  <c r="BG17" i="2"/>
  <c r="BH17" i="2" s="1"/>
  <c r="BJ17" i="2" s="1"/>
  <c r="BG7" i="2"/>
  <c r="BH7" i="2" s="1"/>
  <c r="BJ7" i="2" s="1"/>
  <c r="BG18" i="2"/>
  <c r="BH18" i="2" s="1"/>
  <c r="BJ18" i="2" s="1"/>
  <c r="BG20" i="2"/>
  <c r="BH20" i="2" s="1"/>
  <c r="BJ20" i="2" s="1"/>
  <c r="BG16" i="2"/>
  <c r="BH16" i="2" s="1"/>
  <c r="BJ16" i="2" s="1"/>
  <c r="BG10" i="2"/>
  <c r="BH10" i="2" s="1"/>
  <c r="BJ10" i="2" s="1"/>
  <c r="AC17" i="2"/>
  <c r="AK12" i="2" a="1"/>
  <c r="AK12" i="2" s="1"/>
  <c r="AM12" i="2" s="1"/>
  <c r="AK8" i="2" a="1"/>
  <c r="AK8" i="2" s="1"/>
  <c r="AL8" i="2" s="1"/>
  <c r="AK13" i="2" a="1"/>
  <c r="AK13" i="2" s="1"/>
  <c r="AM13" i="2" s="1"/>
  <c r="BH14" i="2"/>
  <c r="BJ14" i="2" s="1"/>
  <c r="BH22" i="2"/>
  <c r="BJ22" i="2" s="1"/>
  <c r="AC19" i="2"/>
  <c r="AB15" i="2"/>
  <c r="AB7" i="2"/>
  <c r="AB21" i="2"/>
  <c r="AD21" i="2" s="1"/>
  <c r="AB17" i="2"/>
  <c r="AE21" i="2"/>
  <c r="AE11" i="2"/>
  <c r="AL22" i="2"/>
  <c r="AL14" i="2"/>
  <c r="AC16" i="2"/>
  <c r="AB20" i="2"/>
  <c r="AD20" i="2" s="1"/>
  <c r="AP14" i="2"/>
  <c r="AN14" i="2"/>
  <c r="AX14" i="2" s="1"/>
  <c r="AO14" i="2"/>
  <c r="AM20" i="2"/>
  <c r="AL20" i="2"/>
  <c r="AM16" i="2"/>
  <c r="AL16" i="2"/>
  <c r="AP22" i="2"/>
  <c r="AN22" i="2"/>
  <c r="AX22" i="2" s="1"/>
  <c r="AO22" i="2"/>
  <c r="AC15" i="2"/>
  <c r="AB11" i="2"/>
  <c r="AD11" i="2" s="1"/>
  <c r="AC7" i="2"/>
  <c r="AC9" i="2"/>
  <c r="AE13" i="2"/>
  <c r="AB9" i="2"/>
  <c r="AB8" i="2"/>
  <c r="AD8" i="2" s="1"/>
  <c r="AB12" i="2"/>
  <c r="AD12" i="2" s="1"/>
  <c r="AC18" i="2"/>
  <c r="AE8" i="2"/>
  <c r="AE12" i="2"/>
  <c r="AC13" i="2"/>
  <c r="AD13" i="2" s="1"/>
  <c r="AB10" i="2"/>
  <c r="AB18" i="2"/>
  <c r="AC10" i="2"/>
  <c r="AB16" i="2"/>
  <c r="AE20" i="2"/>
  <c r="AD14"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CE7" i="2" l="1"/>
  <c r="CE27" i="2"/>
  <c r="CE18" i="2"/>
  <c r="CE13" i="2"/>
  <c r="CE11" i="2"/>
  <c r="CE17" i="2"/>
  <c r="AM19" i="2"/>
  <c r="AP19" i="2" s="1"/>
  <c r="AM11" i="2"/>
  <c r="AP11" i="2" s="1"/>
  <c r="AM18" i="2"/>
  <c r="AP18" i="2" s="1"/>
  <c r="AL10" i="2"/>
  <c r="AL21" i="2"/>
  <c r="AL9" i="2"/>
  <c r="BN22" i="2"/>
  <c r="BO22" i="2" s="1"/>
  <c r="AL7" i="2"/>
  <c r="BN14" i="2"/>
  <c r="BO14" i="2" s="1"/>
  <c r="AM15" i="2"/>
  <c r="AN15" i="2" s="1"/>
  <c r="AX15" i="2" s="1"/>
  <c r="AD19" i="2"/>
  <c r="AL17" i="2"/>
  <c r="AD7" i="2"/>
  <c r="AD17" i="2"/>
  <c r="AM8" i="2"/>
  <c r="AO8" i="2" s="1"/>
  <c r="AL12" i="2"/>
  <c r="AD15" i="2"/>
  <c r="AL13" i="2"/>
  <c r="AU22" i="2"/>
  <c r="BL22" i="2" s="1"/>
  <c r="AU14" i="2"/>
  <c r="BL14" i="2" s="1"/>
  <c r="AD16" i="2"/>
  <c r="AQ22" i="2"/>
  <c r="AQ14" i="2"/>
  <c r="AR14" i="2"/>
  <c r="AY14" i="2" s="1"/>
  <c r="AR22" i="2"/>
  <c r="AY22" i="2" s="1"/>
  <c r="AP13" i="2"/>
  <c r="AN13" i="2"/>
  <c r="AX13" i="2" s="1"/>
  <c r="AO13" i="2"/>
  <c r="AP17" i="2"/>
  <c r="AN17" i="2"/>
  <c r="AX17" i="2" s="1"/>
  <c r="AO17" i="2"/>
  <c r="AP12" i="2"/>
  <c r="AN12" i="2"/>
  <c r="AX12" i="2" s="1"/>
  <c r="AO12" i="2"/>
  <c r="AP20" i="2"/>
  <c r="AN20" i="2"/>
  <c r="AX20" i="2" s="1"/>
  <c r="AO20" i="2"/>
  <c r="AP10" i="2"/>
  <c r="AN10" i="2"/>
  <c r="AX10" i="2" s="1"/>
  <c r="AO10" i="2"/>
  <c r="AP21" i="2"/>
  <c r="AN21" i="2"/>
  <c r="AX21" i="2" s="1"/>
  <c r="AO21" i="2"/>
  <c r="AP16" i="2"/>
  <c r="AN16" i="2"/>
  <c r="AX16" i="2" s="1"/>
  <c r="AO16" i="2"/>
  <c r="AP9" i="2"/>
  <c r="AN9" i="2"/>
  <c r="AX9" i="2" s="1"/>
  <c r="AO9" i="2"/>
  <c r="AP7" i="2"/>
  <c r="AN7" i="2"/>
  <c r="AX7" i="2" s="1"/>
  <c r="AO7" i="2"/>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O11" i="2" l="1"/>
  <c r="AN19" i="2"/>
  <c r="AX19" i="2" s="1"/>
  <c r="BN19" i="2" s="1"/>
  <c r="BO19" i="2" s="1"/>
  <c r="AO19" i="2"/>
  <c r="AN18" i="2"/>
  <c r="AX18" i="2" s="1"/>
  <c r="BN18" i="2" s="1"/>
  <c r="BO18" i="2" s="1"/>
  <c r="AO18" i="2"/>
  <c r="AN11" i="2"/>
  <c r="AX11" i="2" s="1"/>
  <c r="BN11" i="2" s="1"/>
  <c r="BO11" i="2" s="1"/>
  <c r="BS14" i="2"/>
  <c r="BT14" i="2"/>
  <c r="BU14" i="2" s="1"/>
  <c r="BW14" i="2" s="1"/>
  <c r="CG14" i="2" s="1"/>
  <c r="BS22" i="2"/>
  <c r="BT22" i="2"/>
  <c r="BU22" i="2" s="1"/>
  <c r="BW22" i="2" s="1"/>
  <c r="CG22" i="2" s="1"/>
  <c r="BQ22" i="2"/>
  <c r="BP22" i="2"/>
  <c r="BR22" i="2" s="1"/>
  <c r="BQ14" i="2"/>
  <c r="BP14" i="2"/>
  <c r="BR14" i="2" s="1"/>
  <c r="AP8" i="2"/>
  <c r="AO15" i="2"/>
  <c r="AP15" i="2"/>
  <c r="BN15" i="2"/>
  <c r="BO15" i="2" s="1"/>
  <c r="BN16" i="2"/>
  <c r="BO16" i="2" s="1"/>
  <c r="BN12" i="2"/>
  <c r="BO12" i="2" s="1"/>
  <c r="BN13" i="2"/>
  <c r="BO13" i="2" s="1"/>
  <c r="BN21" i="2"/>
  <c r="BO21" i="2" s="1"/>
  <c r="BN9" i="2"/>
  <c r="BO9" i="2" s="1"/>
  <c r="BN17" i="2"/>
  <c r="BO17" i="2" s="1"/>
  <c r="BN20" i="2"/>
  <c r="BO20" i="2" s="1"/>
  <c r="BN7" i="2"/>
  <c r="BN10" i="2"/>
  <c r="BO10" i="2" s="1"/>
  <c r="BK14" i="2"/>
  <c r="BK22" i="2"/>
  <c r="AN8" i="2"/>
  <c r="AX8" i="2" s="1"/>
  <c r="AU7" i="2"/>
  <c r="BL7" i="2" s="1"/>
  <c r="AU12" i="2"/>
  <c r="BL12" i="2" s="1"/>
  <c r="AU13" i="2"/>
  <c r="BL13" i="2" s="1"/>
  <c r="AU21" i="2"/>
  <c r="BL21" i="2" s="1"/>
  <c r="AU20" i="2"/>
  <c r="BL20" i="2" s="1"/>
  <c r="AU17" i="2"/>
  <c r="BL17" i="2" s="1"/>
  <c r="AU9" i="2"/>
  <c r="BL9" i="2" s="1"/>
  <c r="AU16" i="2"/>
  <c r="BL16" i="2" s="1"/>
  <c r="AU10" i="2"/>
  <c r="BL10" i="2" s="1"/>
  <c r="AU15" i="2"/>
  <c r="BL15" i="2" s="1"/>
  <c r="AS22" i="2"/>
  <c r="AQ21" i="2"/>
  <c r="AQ20" i="2"/>
  <c r="AQ17" i="2"/>
  <c r="AQ7" i="2"/>
  <c r="AQ12" i="2"/>
  <c r="AQ13" i="2"/>
  <c r="AQ16" i="2"/>
  <c r="AQ10" i="2"/>
  <c r="AQ15" i="2"/>
  <c r="AQ9" i="2"/>
  <c r="AQ11" i="2"/>
  <c r="AS14" i="2"/>
  <c r="AT14" i="2"/>
  <c r="AT22" i="2"/>
  <c r="AR16" i="2"/>
  <c r="AY16" i="2" s="1"/>
  <c r="AR15" i="2"/>
  <c r="AY15" i="2" s="1"/>
  <c r="AR9" i="2"/>
  <c r="AY9" i="2" s="1"/>
  <c r="AR10" i="2"/>
  <c r="AY10" i="2" s="1"/>
  <c r="AR7" i="2"/>
  <c r="AY7" i="2" s="1"/>
  <c r="AR12" i="2"/>
  <c r="AY12" i="2" s="1"/>
  <c r="AR13" i="2"/>
  <c r="AY13" i="2" s="1"/>
  <c r="AR21" i="2"/>
  <c r="AY21" i="2" s="1"/>
  <c r="AR20" i="2"/>
  <c r="AY20" i="2" s="1"/>
  <c r="AR17" i="2"/>
  <c r="AY17" i="2" s="1"/>
  <c r="AU19" i="2" l="1"/>
  <c r="BL19" i="2" s="1"/>
  <c r="AR19" i="2"/>
  <c r="AY19" i="2" s="1"/>
  <c r="AQ19" i="2"/>
  <c r="AU11" i="2"/>
  <c r="BL11" i="2" s="1"/>
  <c r="AR11" i="2"/>
  <c r="AY11" i="2" s="1"/>
  <c r="CH22" i="2"/>
  <c r="CI22" i="2" s="1"/>
  <c r="CJ22" i="2" s="1"/>
  <c r="CH14" i="2"/>
  <c r="CI14" i="2" s="1"/>
  <c r="CJ14" i="2" s="1"/>
  <c r="AU18" i="2"/>
  <c r="BL18" i="2" s="1"/>
  <c r="AR18" i="2"/>
  <c r="AY18" i="2" s="1"/>
  <c r="AQ18" i="2"/>
  <c r="BX14" i="2"/>
  <c r="BY14" i="2"/>
  <c r="BX22" i="2"/>
  <c r="BY22" i="2"/>
  <c r="BS20" i="2"/>
  <c r="BT20" i="2"/>
  <c r="BU20" i="2" s="1"/>
  <c r="BW20" i="2" s="1"/>
  <c r="CG20" i="2" s="1"/>
  <c r="BS15" i="2"/>
  <c r="BT15" i="2"/>
  <c r="BU15" i="2" s="1"/>
  <c r="BW15" i="2" s="1"/>
  <c r="CG15" i="2" s="1"/>
  <c r="BS19" i="2"/>
  <c r="BT19" i="2"/>
  <c r="BU19" i="2" s="1"/>
  <c r="BW19" i="2" s="1"/>
  <c r="CG19" i="2" s="1"/>
  <c r="BS17" i="2"/>
  <c r="BT17" i="2"/>
  <c r="BU17" i="2" s="1"/>
  <c r="BW17" i="2" s="1"/>
  <c r="CG17" i="2" s="1"/>
  <c r="BS13" i="2"/>
  <c r="BT13" i="2"/>
  <c r="BU13" i="2" s="1"/>
  <c r="BW13" i="2" s="1"/>
  <c r="CG13" i="2" s="1"/>
  <c r="BS21" i="2"/>
  <c r="BT21" i="2"/>
  <c r="BU21" i="2" s="1"/>
  <c r="BW21" i="2" s="1"/>
  <c r="CG21" i="2" s="1"/>
  <c r="BS9" i="2"/>
  <c r="BT9" i="2"/>
  <c r="BU9" i="2" s="1"/>
  <c r="BW9" i="2" s="1"/>
  <c r="CG9" i="2" s="1"/>
  <c r="BS12" i="2"/>
  <c r="BT12" i="2"/>
  <c r="BU12" i="2" s="1"/>
  <c r="BW12" i="2" s="1"/>
  <c r="CG12" i="2" s="1"/>
  <c r="BS10" i="2"/>
  <c r="BT10" i="2"/>
  <c r="BU10" i="2" s="1"/>
  <c r="BW10" i="2" s="1"/>
  <c r="CG10" i="2" s="1"/>
  <c r="BS18" i="2"/>
  <c r="BT18" i="2"/>
  <c r="BU18" i="2" s="1"/>
  <c r="BW18" i="2" s="1"/>
  <c r="CG18" i="2" s="1"/>
  <c r="BS11" i="2"/>
  <c r="BT11" i="2"/>
  <c r="BU11" i="2" s="1"/>
  <c r="BW11" i="2" s="1"/>
  <c r="CG11" i="2" s="1"/>
  <c r="BS16" i="2"/>
  <c r="BT16" i="2"/>
  <c r="BU16" i="2" s="1"/>
  <c r="BW16" i="2" s="1"/>
  <c r="CG16" i="2" s="1"/>
  <c r="BQ20" i="2"/>
  <c r="BP20" i="2"/>
  <c r="BR20" i="2" s="1"/>
  <c r="BQ19" i="2"/>
  <c r="BP19" i="2"/>
  <c r="BR19" i="2" s="1"/>
  <c r="BQ17" i="2"/>
  <c r="BP17" i="2"/>
  <c r="BR17" i="2" s="1"/>
  <c r="BQ13" i="2"/>
  <c r="BP13" i="2"/>
  <c r="BR13" i="2" s="1"/>
  <c r="BQ10" i="2"/>
  <c r="BP10" i="2"/>
  <c r="BR10" i="2" s="1"/>
  <c r="BQ21" i="2"/>
  <c r="BP21" i="2"/>
  <c r="BR21" i="2" s="1"/>
  <c r="BQ15" i="2"/>
  <c r="BP15" i="2"/>
  <c r="BR15" i="2" s="1"/>
  <c r="BQ9" i="2"/>
  <c r="BP9" i="2"/>
  <c r="BR9" i="2" s="1"/>
  <c r="BQ12" i="2"/>
  <c r="BP12" i="2"/>
  <c r="BR12" i="2" s="1"/>
  <c r="BQ18" i="2"/>
  <c r="BP18" i="2"/>
  <c r="BR18" i="2" s="1"/>
  <c r="BQ11" i="2"/>
  <c r="BP11" i="2"/>
  <c r="BR11" i="2" s="1"/>
  <c r="BQ16" i="2"/>
  <c r="BP16" i="2"/>
  <c r="BR16" i="2" s="1"/>
  <c r="BO7" i="2"/>
  <c r="BT7" i="2" s="1"/>
  <c r="BU7" i="2" s="1"/>
  <c r="BW7" i="2" s="1"/>
  <c r="CG7" i="2" s="1"/>
  <c r="BN8" i="2"/>
  <c r="BO8" i="2" s="1"/>
  <c r="AR8" i="2"/>
  <c r="AY8" i="2" s="1"/>
  <c r="AQ8" i="2"/>
  <c r="BK21" i="2"/>
  <c r="BK9" i="2"/>
  <c r="BK7" i="2"/>
  <c r="BK16" i="2"/>
  <c r="BK15" i="2"/>
  <c r="BK17" i="2"/>
  <c r="BK13" i="2"/>
  <c r="BK10" i="2"/>
  <c r="BK20" i="2"/>
  <c r="BK12" i="2"/>
  <c r="AU8" i="2"/>
  <c r="BL8" i="2" s="1"/>
  <c r="AS15" i="2"/>
  <c r="AS9" i="2"/>
  <c r="AT21" i="2"/>
  <c r="AS7" i="2"/>
  <c r="AS17" i="2"/>
  <c r="AS16" i="2"/>
  <c r="AS12" i="2"/>
  <c r="AS20" i="2"/>
  <c r="AS13" i="2"/>
  <c r="AS10" i="2"/>
  <c r="AT7" i="2"/>
  <c r="AT13" i="2"/>
  <c r="AS21" i="2"/>
  <c r="AT17" i="2"/>
  <c r="AT15" i="2"/>
  <c r="AT12" i="2"/>
  <c r="AT20" i="2"/>
  <c r="AT16" i="2"/>
  <c r="AT9" i="2"/>
  <c r="AT10" i="2"/>
  <c r="AT19" i="2" l="1"/>
  <c r="AS11" i="2"/>
  <c r="BK19" i="2"/>
  <c r="AS19" i="2"/>
  <c r="BK18" i="2"/>
  <c r="BK11" i="2"/>
  <c r="AT11" i="2"/>
  <c r="CH13" i="2"/>
  <c r="CI13" i="2" s="1"/>
  <c r="CJ13" i="2" s="1"/>
  <c r="AS18" i="2"/>
  <c r="CH7" i="2"/>
  <c r="CI7" i="2" s="1"/>
  <c r="CJ7" i="2" s="1"/>
  <c r="CH16" i="2"/>
  <c r="CI16" i="2" s="1"/>
  <c r="CJ16" i="2" s="1"/>
  <c r="CH18" i="2"/>
  <c r="CI18" i="2" s="1"/>
  <c r="CJ18" i="2" s="1"/>
  <c r="CH12" i="2"/>
  <c r="CI12" i="2" s="1"/>
  <c r="CJ12" i="2" s="1"/>
  <c r="CH21" i="2"/>
  <c r="CI21" i="2" s="1"/>
  <c r="CJ21" i="2" s="1"/>
  <c r="CH17" i="2"/>
  <c r="CI17" i="2" s="1"/>
  <c r="CJ17" i="2" s="1"/>
  <c r="CH15" i="2"/>
  <c r="CI15" i="2" s="1"/>
  <c r="CJ15" i="2" s="1"/>
  <c r="CH11" i="2"/>
  <c r="CI11" i="2" s="1"/>
  <c r="CJ11" i="2" s="1"/>
  <c r="CH10" i="2"/>
  <c r="CI10" i="2" s="1"/>
  <c r="CJ10" i="2" s="1"/>
  <c r="CH9" i="2"/>
  <c r="CI9" i="2" s="1"/>
  <c r="CJ9" i="2" s="1"/>
  <c r="CH19" i="2"/>
  <c r="CI19" i="2" s="1"/>
  <c r="CJ19" i="2" s="1"/>
  <c r="CH20" i="2"/>
  <c r="CI20" i="2" s="1"/>
  <c r="CJ20" i="2" s="1"/>
  <c r="AT18" i="2"/>
  <c r="BX16" i="2"/>
  <c r="BY16" i="2"/>
  <c r="BX21" i="2"/>
  <c r="BY21" i="2"/>
  <c r="BX15" i="2"/>
  <c r="BY15" i="2"/>
  <c r="BX11" i="2"/>
  <c r="BY11" i="2"/>
  <c r="BX10" i="2"/>
  <c r="BY10" i="2"/>
  <c r="BX9" i="2"/>
  <c r="BY9" i="2"/>
  <c r="BX13" i="2"/>
  <c r="BY13" i="2"/>
  <c r="BX19" i="2"/>
  <c r="BY19" i="2"/>
  <c r="BX20" i="2"/>
  <c r="BY20" i="2"/>
  <c r="BX18" i="2"/>
  <c r="BY18" i="2"/>
  <c r="BX12" i="2"/>
  <c r="BY12" i="2"/>
  <c r="BX17" i="2"/>
  <c r="BY17" i="2"/>
  <c r="BX7" i="2"/>
  <c r="BY7" i="2"/>
  <c r="BS8" i="2"/>
  <c r="BT8" i="2"/>
  <c r="BU8" i="2" s="1"/>
  <c r="BW8" i="2" s="1"/>
  <c r="CG8" i="2" s="1"/>
  <c r="BS7" i="2"/>
  <c r="BQ8" i="2"/>
  <c r="BP8" i="2"/>
  <c r="BR8" i="2" s="1"/>
  <c r="BQ7" i="2"/>
  <c r="BP7" i="2"/>
  <c r="BR7" i="2" s="1"/>
  <c r="AS8" i="2"/>
  <c r="AT8" i="2"/>
  <c r="BK8" i="2"/>
  <c r="CH8" i="2" l="1"/>
  <c r="CI8" i="2" s="1"/>
  <c r="CJ8" i="2" s="1"/>
  <c r="BX8" i="2"/>
  <c r="BY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BM5" authorId="0" shapeId="0" xr:uid="{C847DBFB-6CF1-4738-A6B4-7C99158DE573}">
      <text>
        <r>
          <rPr>
            <sz val="9"/>
            <color indexed="81"/>
            <rFont val="Tahoma"/>
            <family val="2"/>
          </rPr>
          <t>MLB swinging results:
20% swings miss entirely
45% hit / out
35% foul (80%)</t>
        </r>
      </text>
    </comment>
    <comment ref="BU5" authorId="0" shapeId="0" xr:uid="{9AECA63B-12CF-412D-974D-013FAEE5E40C}">
      <text>
        <r>
          <rPr>
            <sz val="9"/>
            <color indexed="81"/>
            <rFont val="Tahoma"/>
            <family val="2"/>
          </rPr>
          <t>MLB BABIP is about 0.33,
HR percent on all hits is about 0.12</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BL6" authorId="0" shapeId="0" xr:uid="{D5323934-9BB2-4745-A80F-4B798334BD80}">
      <text>
        <r>
          <rPr>
            <sz val="9"/>
            <color indexed="81"/>
            <rFont val="Tahoma"/>
            <family val="2"/>
          </rPr>
          <t>MLB odds are roughly 70% accurate for not swinging on balls</t>
        </r>
      </text>
    </comment>
    <comment ref="BO6" authorId="0" shapeId="0" xr:uid="{030483E2-7291-437D-9CB9-C1ED76C416CC}">
      <text>
        <r>
          <rPr>
            <sz val="9"/>
            <color indexed="81"/>
            <rFont val="Tahoma"/>
            <family val="2"/>
          </rPr>
          <t>higher is better</t>
        </r>
      </text>
    </comment>
    <comment ref="BS6" authorId="0" shapeId="0" xr:uid="{3C3DCC1F-579E-468F-A25A-5777BD4D0DAC}">
      <text>
        <r>
          <rPr>
            <b/>
            <sz val="9"/>
            <color indexed="81"/>
            <rFont val="Tahoma"/>
            <family val="2"/>
          </rPr>
          <t>this is scaled:</t>
        </r>
        <r>
          <rPr>
            <sz val="9"/>
            <color indexed="81"/>
            <rFont val="Tahoma"/>
            <family val="2"/>
          </rPr>
          <t xml:space="preserve">
0 is a hit,
1 is a clean hit</t>
        </r>
      </text>
    </comment>
    <comment ref="BV6" authorId="0" shapeId="0" xr:uid="{259376B0-816A-47FC-8F3F-92BC8B678A6F}">
      <text>
        <r>
          <rPr>
            <sz val="9"/>
            <color indexed="81"/>
            <rFont val="Tahoma"/>
            <family val="2"/>
          </rPr>
          <t>adjust based on power</t>
        </r>
      </text>
    </comment>
    <comment ref="BW6" authorId="0" shapeId="0" xr:uid="{52F96A88-13C3-4AB4-8C25-471D7B50E661}">
      <text>
        <r>
          <rPr>
            <sz val="9"/>
            <color indexed="81"/>
            <rFont val="Tahoma"/>
            <family val="2"/>
          </rPr>
          <t>25% mlb</t>
        </r>
      </text>
    </comment>
    <comment ref="BX6" authorId="0" shapeId="0" xr:uid="{F55B12B3-1631-44A2-8965-C3C748BF3FE0}">
      <text>
        <r>
          <rPr>
            <sz val="9"/>
            <color indexed="81"/>
            <rFont val="Tahoma"/>
            <family val="2"/>
          </rPr>
          <t>~45% for mlb</t>
        </r>
      </text>
    </comment>
    <comment ref="BY6" authorId="0" shapeId="0" xr:uid="{2C47AF57-CA61-4E9C-88D6-98F38269FEAF}">
      <text>
        <r>
          <rPr>
            <sz val="9"/>
            <color indexed="81"/>
            <rFont val="Tahoma"/>
            <family val="2"/>
          </rPr>
          <t>~7% mlb</t>
        </r>
      </text>
    </comment>
    <comment ref="CA6" authorId="0" shapeId="0" xr:uid="{324A6E89-AC6B-46CE-AC0E-9BAE4449F096}">
      <text>
        <r>
          <rPr>
            <sz val="9"/>
            <color indexed="81"/>
            <rFont val="Tahoma"/>
            <family val="2"/>
          </rPr>
          <t>mlb average is 89, 120 is star personal best</t>
        </r>
      </text>
    </comment>
    <comment ref="CL24" authorId="0" shapeId="0" xr:uid="{64760257-3A41-434E-A0A3-17AAC2BB181B}">
      <text>
        <r>
          <rPr>
            <sz val="9"/>
            <color indexed="81"/>
            <rFont val="Tahoma"/>
            <family val="2"/>
          </rPr>
          <t>worst case infielder distance is probably 45 feet; worst case outfielder distance is probably like 120 feet</t>
        </r>
      </text>
    </comment>
    <comment ref="AH26" authorId="0" shapeId="0" xr:uid="{246EB7CA-2F63-49E7-863F-0B68F2A116B9}">
      <text>
        <r>
          <rPr>
            <sz val="9"/>
            <color indexed="81"/>
            <rFont val="Tahoma"/>
            <family val="2"/>
          </rPr>
          <t>how many runners advance on a walk</t>
        </r>
      </text>
    </comment>
    <comment ref="BZ28" authorId="0" shapeId="0" xr:uid="{3E980C62-8107-4CD7-8C3D-2CEF45CAC06D}">
      <text>
        <r>
          <rPr>
            <sz val="9"/>
            <color indexed="81"/>
            <rFont val="Tahoma"/>
            <family val="2"/>
          </rPr>
          <t>0 is right down 1b,
90 is right down 3b</t>
        </r>
      </text>
    </comment>
    <comment ref="BB29" authorId="0" shapeId="0" xr:uid="{CD03F520-A732-42DB-A03A-1C5169DFA082}">
      <text>
        <r>
          <rPr>
            <sz val="9"/>
            <color indexed="81"/>
            <rFont val="Tahoma"/>
            <family val="2"/>
          </rPr>
          <t>33% (3-0) to 114 (0-2)</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<sst xmlns="http://schemas.openxmlformats.org/spreadsheetml/2006/main" count="392" uniqueCount="311">
  <si>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</si>
  <si>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</si>
  <si>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</si>
  <si>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</si>
  <si>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</si>
  <si>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</si>
  <si>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</si>
  <si>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</si>
  <si>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</si>
  <si>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</si>
  <si>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</si>
  <si>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</si>
  <si>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</si>
  <si>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</si>
  <si>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</si>
  <si>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</si>
  <si>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</si>
  <si>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</si>
  <si>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</si>
  <si>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</si>
  <si>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</si>
  <si>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</si>
  <si>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</si>
  <si>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</si>
  <si>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</si>
  <si>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</si>
  <si>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</si>
  <si>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</si>
  <si>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</si>
  <si>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</si>
  <si>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</si>
  <si>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</si>
  <si>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</si>
  <si>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</si>
  <si>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</si>
  <si>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</si>
  <si>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</si>
  <si>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</si>
  <si>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</si>
  <si>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</si>
  <si>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</si>
  <si>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</si>
  <si>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</si>
  <si>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</si>
  <si>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</si>
  <si>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</si>
  <si>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</si>
  <si>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</si>
  <si>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</si>
  <si>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</si>
  <si>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</si>
  <si>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</si>
  <si>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</si>
  <si>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</si>
  <si>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</si>
  <si>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</si>
  <si>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</si>
  <si>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</si>
  <si>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</si>
  <si>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</si>
  <si>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</si>
  <si>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</si>
  <si>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</si>
  <si>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</si>
  <si>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</si>
  <si>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</si>
  <si>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</si>
  <si>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</si>
  <si>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</si>
  <si>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</si>
  <si>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</si>
  <si>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</si>
  <si>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</si>
  <si>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</si>
  <si>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</si>
  <si>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</si>
  <si>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</si>
  <si>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</si>
  <si>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</si>
  <si>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</si>
  <si>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</si>
  <si>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</si>
  <si>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</si>
  <si>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</si>
  <si>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</si>
  <si>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</si>
  <si>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</si>
  <si>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</si>
  <si>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</si>
  <si>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</si>
  <si>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</si>
  <si>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</si>
  <si>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</si>
  <si>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</si>
  <si>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</si>
  <si>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</si>
  <si>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</si>
  <si>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</si>
  <si>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</si>
  <si>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</si>
  <si>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</si>
  <si>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</si>
  <si>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</si>
  <si>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</si>
  <si>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</si>
  <si>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</si>
  <si>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</si>
  <si>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</si>
  <si>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</si>
  <si>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</si>
  <si>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</si>
  <si>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</si>
  <si>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</si>
  <si>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</si>
  <si>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</si>
  <si>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</si>
  <si>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</si>
  <si>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</si>
  <si>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</si>
  <si>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</si>
  <si>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</si>
  <si>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</si>
  <si>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</si>
  <si>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</si>
  <si>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</si>
  <si>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</si>
  <si>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</si>
  <si>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</si>
  <si>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</si>
  <si>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</si>
  <si>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</si>
  <si>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</si>
  <si>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</si>
  <si>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</si>
  <si>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</si>
  <si>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</si>
  <si>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</si>
  <si>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</si>
  <si>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</si>
  <si>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</si>
  <si>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</si>
  <si>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</si>
  <si>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</si>
  <si>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</si>
  <si>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</si>
  <si>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</si>
  <si>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</si>
  <si>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</si>
  <si>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</si>
  <si>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</si>
  <si>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</si>
  <si>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</si>
  <si>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</si>
  <si>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</si>
  <si>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</si>
  <si>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</si>
  <si>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</si>
  <si>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</si>
  <si>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</si>
  <si>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</si>
  <si>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</si>
  <si>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</si>
  <si>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</si>
  <si>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</si>
  <si>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</si>
  <si>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</si>
  <si>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</si>
  <si>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</si>
  <si>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</si>
  <si>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</si>
  <si>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</si>
  <si>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</si>
  <si>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</si>
  <si>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</si>
  <si>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</si>
  <si>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</si>
  <si>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</si>
  <si>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</si>
  <si>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</si>
  <si>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</si>
  <si>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</si>
  <si>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</si>
  <si>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</si>
  <si>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</si>
  <si>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</si>
  <si>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</si>
  <si>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</si>
  <si>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</si>
  <si>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</si>
  <si>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</si>
  <si>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</si>
  <si>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</si>
  <si>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</si>
  <si>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</si>
  <si>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</si>
  <si>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</si>
  <si>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</si>
  <si>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</si>
  <si>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</si>
  <si>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t>
  </si>
  <si>
    <t>location +1 stdv</t>
  </si>
  <si>
    <t>obscurity</t>
  </si>
  <si>
    <t>min dist to sz 1stdv</t>
  </si>
  <si>
    <t>max dist to sz 1stdv</t>
  </si>
  <si>
    <t>max base obsc</t>
  </si>
  <si>
    <t>obsc den factor</t>
  </si>
  <si>
    <t>trickiness factor</t>
  </si>
  <si>
    <t>location -1  stdv</t>
  </si>
  <si>
    <t>ave obscurity</t>
  </si>
  <si>
    <t>Column95</t>
  </si>
  <si>
    <t>Column97</t>
  </si>
  <si>
    <t>Column98</t>
  </si>
  <si>
    <t>Column99</t>
  </si>
  <si>
    <t>Column100</t>
  </si>
  <si>
    <t>Column101</t>
  </si>
  <si>
    <t>Column102</t>
  </si>
  <si>
    <t>Column103</t>
  </si>
  <si>
    <t>obscurity at 
0.5</t>
  </si>
  <si>
    <t>obscurity at  0.9</t>
  </si>
  <si>
    <t>distance factor</t>
  </si>
  <si>
    <t>average difficulty</t>
  </si>
  <si>
    <t>dist scale</t>
  </si>
  <si>
    <t>+1stdv difficulty</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</si>
  <si>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</si>
  <si>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</si>
  <si>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</si>
  <si>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</si>
  <si>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</si>
  <si>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</si>
  <si>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</si>
  <si>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</si>
  <si>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</si>
  <si>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</si>
  <si>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</si>
  <si>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</si>
  <si>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</si>
  <si>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</si>
  <si>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</si>
  <si>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</si>
  <si>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</si>
  <si>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</si>
  <si>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</si>
  <si>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</si>
  <si>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</si>
  <si>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</si>
  <si>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power factor</t>
  </si>
  <si>
    <t>reduction</t>
  </si>
  <si>
    <t>reduction factor</t>
  </si>
  <si>
    <t>Swing decision</t>
  </si>
  <si>
    <t>desperation echo</t>
  </si>
  <si>
    <t>Location</t>
  </si>
  <si>
    <t>Strike?</t>
  </si>
  <si>
    <t>discipline modifier</t>
  </si>
  <si>
    <t>effective obscurity</t>
  </si>
  <si>
    <t>odds of read</t>
  </si>
  <si>
    <t>unadjusted swing %</t>
  </si>
  <si>
    <t>adjusted swing %</t>
  </si>
  <si>
    <t>hit quality</t>
  </si>
  <si>
    <t>contact echo</t>
  </si>
  <si>
    <t>pitch carry forward diff</t>
  </si>
  <si>
    <t>pitch carry forward obsc</t>
  </si>
  <si>
    <t>CF odds of read</t>
  </si>
  <si>
    <t>center</t>
  </si>
  <si>
    <t>difficulty at 1</t>
  </si>
  <si>
    <t>stdev</t>
  </si>
  <si>
    <t>strike swinging %</t>
  </si>
  <si>
    <t>foul threshold</t>
  </si>
  <si>
    <t>foul %</t>
  </si>
  <si>
    <t>clean %</t>
  </si>
  <si>
    <t>CF contact readiness</t>
  </si>
  <si>
    <t>clean threshold</t>
  </si>
  <si>
    <t>ave. hit quality</t>
  </si>
  <si>
    <t>hit direction</t>
  </si>
  <si>
    <t>pull</t>
  </si>
  <si>
    <t>hit quality remainder</t>
  </si>
  <si>
    <t>sample hit quality</t>
  </si>
  <si>
    <t>launch angle base stdv</t>
  </si>
  <si>
    <t>base launch angle</t>
  </si>
  <si>
    <t>adjusted launch angle</t>
  </si>
  <si>
    <t>grounder % (&lt;10 deg)</t>
  </si>
  <si>
    <t>hit quality factor</t>
  </si>
  <si>
    <t>angle stdev</t>
  </si>
  <si>
    <t>hit quality +1stdv</t>
  </si>
  <si>
    <t>pop up % (&gt;50 deg)</t>
  </si>
  <si>
    <t>pull stdv</t>
  </si>
  <si>
    <t>odds of 3B</t>
  </si>
  <si>
    <t>exit velocity mean</t>
  </si>
  <si>
    <t>max EV ave</t>
  </si>
  <si>
    <t>min ev ave</t>
  </si>
  <si>
    <t>after reduction</t>
  </si>
  <si>
    <t>power stdv</t>
  </si>
  <si>
    <t>theoretical distance</t>
  </si>
  <si>
    <t>gravity in mph</t>
  </si>
  <si>
    <t>flight time</t>
  </si>
  <si>
    <t>wind resistance</t>
  </si>
  <si>
    <t>actual distance</t>
  </si>
  <si>
    <t>+1stdv EV</t>
  </si>
  <si>
    <t>+1stdv LA</t>
  </si>
  <si>
    <t>+1stdv flight time</t>
  </si>
  <si>
    <t>+1stdev distance</t>
  </si>
  <si>
    <t>+1stdev delta</t>
  </si>
  <si>
    <t>net</t>
  </si>
  <si>
    <t>form</t>
  </si>
  <si>
    <t>grabbiness</t>
  </si>
  <si>
    <t>throwing</t>
  </si>
  <si>
    <t>factor:</t>
  </si>
  <si>
    <t>catching</t>
  </si>
  <si>
    <t>Column1</t>
  </si>
  <si>
    <t>ball speed:</t>
  </si>
  <si>
    <t>timing</t>
  </si>
  <si>
    <t>bravery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</si>
</sst>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
      <b/>
      <sz val="9"/>
      <color indexed="81"/>
      <name val="Tahoma"/>
      <family val="2"/>
    </font>
    <font>
      <sz val="8"/>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76">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0" xfId="0" applyNumberFormat="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165" fontId="0" fillId="4" borderId="2" xfId="0" applyNumberFormat="1" applyFill="1" applyBorder="1"/>
    <xf numFmtId="165" fontId="0" fillId="3" borderId="0" xfId="0" applyNumberFormat="1" applyFill="1"/>
    <xf numFmtId="165" fontId="0" fillId="4" borderId="0" xfId="0" applyNumberFormat="1" applyFill="1"/>
    <xf numFmtId="165" fontId="0" fillId="8" borderId="0" xfId="0" applyNumberFormat="1" applyFill="1"/>
    <xf numFmtId="165" fontId="0" fillId="5" borderId="2" xfId="0" applyNumberFormat="1" applyFill="1" applyBorder="1"/>
    <xf numFmtId="165" fontId="0" fillId="5" borderId="0" xfId="0" applyNumberFormat="1" applyFill="1"/>
    <xf numFmtId="165" fontId="0" fillId="10" borderId="0" xfId="0" applyNumberFormat="1" applyFill="1"/>
    <xf numFmtId="165" fontId="0" fillId="6" borderId="0" xfId="0" applyNumberFormat="1" applyFill="1"/>
    <xf numFmtId="165" fontId="0" fillId="10" borderId="2" xfId="0" applyNumberFormat="1" applyFill="1" applyBorder="1"/>
    <xf numFmtId="165" fontId="0" fillId="9" borderId="0" xfId="0" applyNumberFormat="1" applyFill="1"/>
    <xf numFmtId="165" fontId="0" fillId="7" borderId="0" xfId="0" applyNumberFormat="1" applyFill="1"/>
    <xf numFmtId="165" fontId="0" fillId="7" borderId="2" xfId="0" applyNumberForma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xf numFmtId="0" fontId="0" fillId="0" borderId="0" xfId="0" quotePrefix="1" applyAlignment="1">
      <alignment wrapText="1"/>
    </xf>
    <xf numFmtId="2" fontId="0" fillId="0" borderId="0" xfId="0" applyNumberFormat="1"/>
    <xf numFmtId="1" fontId="0" fillId="4" borderId="2" xfId="0" applyNumberFormat="1" applyFill="1" applyBorder="1"/>
    <xf numFmtId="1" fontId="0" fillId="3" borderId="0" xfId="0" applyNumberFormat="1" applyFill="1"/>
    <xf numFmtId="1" fontId="0" fillId="4" borderId="0" xfId="0" applyNumberFormat="1" applyFill="1"/>
    <xf numFmtId="1" fontId="0" fillId="8" borderId="0" xfId="0" applyNumberFormat="1" applyFill="1"/>
    <xf numFmtId="1" fontId="0" fillId="5" borderId="2" xfId="0" applyNumberFormat="1" applyFill="1" applyBorder="1"/>
    <xf numFmtId="1" fontId="0" fillId="5" borderId="0" xfId="0" applyNumberFormat="1" applyFill="1"/>
    <xf numFmtId="1" fontId="0" fillId="10" borderId="0" xfId="0" applyNumberFormat="1" applyFill="1"/>
    <xf numFmtId="1" fontId="0" fillId="6" borderId="0" xfId="0" applyNumberFormat="1" applyFill="1"/>
    <xf numFmtId="1" fontId="0" fillId="10" borderId="2" xfId="0" applyNumberFormat="1" applyFill="1" applyBorder="1"/>
    <xf numFmtId="1" fontId="0" fillId="9" borderId="0" xfId="0" applyNumberFormat="1" applyFill="1"/>
    <xf numFmtId="1" fontId="0" fillId="7" borderId="0" xfId="0" applyNumberFormat="1" applyFill="1"/>
    <xf numFmtId="1" fontId="0" fillId="7" borderId="2" xfId="0" applyNumberFormat="1" applyFill="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14" xfId="0" applyBorder="1"/>
    <xf numFmtId="0" fontId="0" fillId="0" borderId="35" xfId="0" applyBorder="1"/>
  </cellXfs>
  <cellStyles count="3">
    <cellStyle name="Neutral" xfId="2" builtinId="28"/>
    <cellStyle name="Normal" xfId="0" builtinId="0"/>
    <cellStyle name="Percent" xfId="1" builtinId="5"/>
  </cellStyles>
  <dxfs count="83">
    <dxf>
      <numFmt numFmtId="0" formatCode="General"/>
    </dxf>
    <dxf>
      <numFmt numFmtId="1" formatCode="0"/>
    </dxf>
    <dxf>
      <numFmt numFmtId="1" formatCode="0"/>
    </dxf>
    <dxf>
      <numFmt numFmtId="165" formatCode="0.000"/>
    </dxf>
    <dxf>
      <numFmt numFmtId="0" formatCode="General"/>
    </dxf>
    <dxf>
      <numFmt numFmtId="0" formatCode="General"/>
    </dxf>
    <dxf>
      <numFmt numFmtId="1" formatCode="0"/>
    </dxf>
    <dxf>
      <numFmt numFmtId="165" formatCode="0.000"/>
    </dxf>
    <dxf>
      <numFmt numFmtId="1" formatCode="0"/>
    </dxf>
    <dxf>
      <numFmt numFmtId="0" formatCode="General"/>
    </dxf>
    <dxf>
      <numFmt numFmtId="0" formatCode="General"/>
    </dxf>
    <dxf>
      <numFmt numFmtId="13" formatCode="0%"/>
    </dxf>
    <dxf>
      <numFmt numFmtId="0" formatCode="General"/>
    </dxf>
    <dxf>
      <numFmt numFmtId="0" formatCode="General"/>
    </dxf>
    <dxf>
      <numFmt numFmtId="0" formatCode="General"/>
    </dxf>
    <dxf>
      <numFmt numFmtId="2" formatCode="0.00"/>
    </dxf>
    <dxf>
      <numFmt numFmtId="2" formatCode="0.00"/>
    </dxf>
    <dxf>
      <numFmt numFmtId="13" formatCode="0%"/>
    </dxf>
    <dxf>
      <numFmt numFmtId="13" formatCode="0%"/>
    </dxf>
    <dxf>
      <numFmt numFmtId="13" formatCode="0%"/>
    </dxf>
    <dxf>
      <numFmt numFmtId="2" formatCode="0.00"/>
    </dxf>
    <dxf>
      <numFmt numFmtId="2" formatCode="0.00"/>
    </dxf>
    <dxf>
      <numFmt numFmtId="0" formatCode="General"/>
    </dxf>
    <dxf>
      <numFmt numFmtId="2" formatCode="0.00"/>
    </dxf>
    <dxf>
      <numFmt numFmtId="2" formatCode="0.00"/>
    </dxf>
    <dxf>
      <numFmt numFmtId="165" formatCode="0.000"/>
    </dxf>
    <dxf>
      <numFmt numFmtId="0" formatCode="General"/>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Sheet1!$K$12</c:f>
              <c:strCache>
                <c:ptCount val="1"/>
                <c:pt idx="0">
                  <c:v>net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Sheet1!$J$13:$J$18</c:f>
              <c:numCache>
                <c:formatCode>General</c:formatCode>
                <c:ptCount val="6"/>
                <c:pt idx="0">
                  <c:v>1</c:v>
                </c:pt>
                <c:pt idx="1">
                  <c:v>1.5</c:v>
                </c:pt>
                <c:pt idx="2">
                  <c:v>2</c:v>
                </c:pt>
                <c:pt idx="3">
                  <c:v>3</c:v>
                </c:pt>
                <c:pt idx="4">
                  <c:v>5</c:v>
                </c:pt>
                <c:pt idx="5">
                  <c:v>3.35</c:v>
                </c:pt>
              </c:numCache>
            </c:numRef>
          </c:xVal>
          <c:yVal>
            <c:numRef>
              <c:f>Sheet1!$K$13:$K$18</c:f>
              <c:numCache>
                <c:formatCode>General</c:formatCode>
                <c:ptCount val="6"/>
                <c:pt idx="0">
                  <c:v>0.5</c:v>
                </c:pt>
                <c:pt idx="1">
                  <c:v>0.75</c:v>
                </c:pt>
                <c:pt idx="2">
                  <c:v>1</c:v>
                </c:pt>
                <c:pt idx="3">
                  <c:v>1.4</c:v>
                </c:pt>
                <c:pt idx="4">
                  <c:v>2</c:v>
                </c:pt>
              </c:numCache>
            </c:numRef>
          </c:yVal>
          <c:smooth val="1"/>
          <c:extLst>
            <c:ext xmlns:c16="http://schemas.microsoft.com/office/drawing/2014/chart" uri="{C3380CC4-5D6E-409C-BE32-E72D297353CC}">
              <c16:uniqueId val="{00000000-75D4-4E4F-95C9-DA0E719BFEDE}"/>
            </c:ext>
          </c:extLst>
        </c:ser>
        <c:ser>
          <c:idx val="1"/>
          <c:order val="1"/>
          <c:tx>
            <c:strRef>
              <c:f>Sheet1!$L$12</c:f>
              <c:strCache>
                <c:ptCount val="1"/>
                <c:pt idx="0">
                  <c:v>form</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Sheet1!$J$13:$J$18</c:f>
              <c:numCache>
                <c:formatCode>General</c:formatCode>
                <c:ptCount val="6"/>
                <c:pt idx="0">
                  <c:v>1</c:v>
                </c:pt>
                <c:pt idx="1">
                  <c:v>1.5</c:v>
                </c:pt>
                <c:pt idx="2">
                  <c:v>2</c:v>
                </c:pt>
                <c:pt idx="3">
                  <c:v>3</c:v>
                </c:pt>
                <c:pt idx="4">
                  <c:v>5</c:v>
                </c:pt>
                <c:pt idx="5">
                  <c:v>3.35</c:v>
                </c:pt>
              </c:numCache>
            </c:numRef>
          </c:xVal>
          <c:yVal>
            <c:numRef>
              <c:f>Sheet1!$L$13:$L$18</c:f>
              <c:numCache>
                <c:formatCode>General</c:formatCode>
                <c:ptCount val="6"/>
                <c:pt idx="0">
                  <c:v>0.66874030497642201</c:v>
                </c:pt>
                <c:pt idx="1">
                  <c:v>0.91469121922869445</c:v>
                </c:pt>
                <c:pt idx="2">
                  <c:v>1.0466351393921056</c:v>
                </c:pt>
                <c:pt idx="3">
                  <c:v>1.2178832856309068</c:v>
                </c:pt>
                <c:pt idx="4">
                  <c:v>1.4315691227432645</c:v>
                </c:pt>
                <c:pt idx="5">
                  <c:v>1.2636739857523107</c:v>
                </c:pt>
              </c:numCache>
            </c:numRef>
          </c:yVal>
          <c:smooth val="1"/>
          <c:extLst>
            <c:ext xmlns:c16="http://schemas.microsoft.com/office/drawing/2014/chart" uri="{C3380CC4-5D6E-409C-BE32-E72D297353CC}">
              <c16:uniqueId val="{00000001-75D4-4E4F-95C9-DA0E719BFEDE}"/>
            </c:ext>
          </c:extLst>
        </c:ser>
        <c:dLbls>
          <c:showLegendKey val="0"/>
          <c:showVal val="0"/>
          <c:showCatName val="0"/>
          <c:showSerName val="0"/>
          <c:showPercent val="0"/>
          <c:showBubbleSize val="0"/>
        </c:dLbls>
        <c:axId val="447991871"/>
        <c:axId val="447989375"/>
      </c:scatterChart>
      <c:valAx>
        <c:axId val="4479918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89375"/>
        <c:crosses val="autoZero"/>
        <c:crossBetween val="midCat"/>
      </c:valAx>
      <c:valAx>
        <c:axId val="44798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918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13</xdr:col>
      <xdr:colOff>295275</xdr:colOff>
      <xdr:row>7</xdr:row>
      <xdr:rowOff>147637</xdr:rowOff>
    </xdr:from>
    <xdr:to>
      <xdr:col>20</xdr:col>
      <xdr:colOff>600075</xdr:colOff>
      <xdr:row>22</xdr:row>
      <xdr:rowOff>33337</xdr:rowOff>
    </xdr:to>
    <xdr:graphicFrame macro="">
      <xdr:nvGraphicFramePr>
        <xdr:cNvPr id="2" name="Chart 1">
          <a:extLst>
            <a:ext uri="{FF2B5EF4-FFF2-40B4-BE49-F238E27FC236}">
              <a16:creationId xmlns:a16="http://schemas.microsoft.com/office/drawing/2014/main" id="{8F29DAB7-FE10-4932-9272-279881F0B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DO22" totalsRowShown="0" headerRowDxfId="81">
  <autoFilter ref="A6:DO22" xr:uid="{00000000-0009-0000-0100-000003000000}"/>
  <tableColumns count="119">
    <tableColumn id="1" xr3:uid="{00000000-0010-0000-0000-000001000000}" name="Rep #">
      <calculatedColumnFormula>ROW()-ROW(home)</calculatedColumnFormula>
    </tableColumn>
    <tableColumn id="2" xr3:uid="{00000000-0010-0000-0000-000002000000}" name="offense" dataDxfId="80">
      <calculatedColumnFormula>INDEX(oratings, 1, 1+MOD(Table3[[#This Row],[Rep '#]]-1, COUNT(oratings)))</calculatedColumnFormula>
    </tableColumn>
    <tableColumn id="3" xr3:uid="{00000000-0010-0000-0000-000003000000}" name="defense" dataDxfId="79">
      <calculatedColumnFormula>INDEX(dratings, 1, MOD(FLOOR( (Table3[[#This Row],[Rep '#]]-1) / COUNT(oratings), 1), COUNT(dratings))+1)</calculatedColumnFormula>
    </tableColumn>
    <tableColumn id="4" xr3:uid="{00000000-0010-0000-0000-000004000000}" name="base leadoff" dataDxfId="78">
      <calculatedColumnFormula>Table3[[#This Row],[offense]]*$D$26+0.05</calculatedColumnFormula>
    </tableColumn>
    <tableColumn id="5" xr3:uid="{00000000-0010-0000-0000-000005000000}" name="leadoff modifier" dataDxfId="77">
      <calculatedColumnFormula>((2*Table3[[#This Row],[defense]]+1*Table3[[#This Row],[defense]])-1.5)*Table3[[#This Row],[offense]]*$E$26</calculatedColumnFormula>
    </tableColumn>
    <tableColumn id="6" xr3:uid="{00000000-0010-0000-0000-000006000000}" name="total leadoff (ft)" dataDxfId="76">
      <calculatedColumnFormula>MAX(Table3[[#This Row],[base leadoff]]*(1-Table3[[#This Row],[leadoff modifier]]) * 90, 0)</calculatedColumnFormula>
    </tableColumn>
    <tableColumn id="7" xr3:uid="{00000000-0010-0000-0000-000007000000}" name="pickoff manuver (s)" dataDxfId="75">
      <calculatedColumnFormula>1.1 - Table3[[#This Row],[defense]]*0.1</calculatedColumnFormula>
    </tableColumn>
    <tableColumn id="8" xr3:uid="{00000000-0010-0000-0000-000008000000}" name="throw speed (s/ft)" dataDxfId="74">
      <calculatedColumnFormula xml:space="preserve"> 0.01 - 0.0025 *  Table3[[#This Row],[defense]]</calculatedColumnFormula>
    </tableColumn>
    <tableColumn id="32" xr3:uid="{00000000-0010-0000-0000-000020000000}" name="throw speed (mph)" dataDxfId="73">
      <calculatedColumnFormula>1 / Table3[[#This Row],[throw speed (s/ft)]] * ((60 * 60)/5280)</calculatedColumnFormula>
    </tableColumn>
    <tableColumn id="9" xr3:uid="{00000000-0010-0000-0000-000009000000}" name="pickoff time" dataDxfId="72">
      <calculatedColumnFormula>Table3[[#This Row],[pickoff manuver (s)]]+60*Table3[[#This Row],[throw speed (s/ft)]]</calculatedColumnFormula>
    </tableColumn>
    <tableColumn id="10" xr3:uid="{00000000-0010-0000-0000-00000A000000}" name="runner reaction" dataDxfId="71">
      <calculatedColumnFormula>$K$28-$K$26*Table3[[#This Row],[offense]]</calculatedColumnFormula>
    </tableColumn>
    <tableColumn id="11" xr3:uid="{00000000-0010-0000-0000-00000B000000}" name="runner speed (s/ft)" dataDxfId="70">
      <calculatedColumnFormula>0.05 - Table3[[#This Row],[offense]]*$L$26</calculatedColumnFormula>
    </tableColumn>
    <tableColumn id="12" xr3:uid="{00000000-0010-0000-0000-00000C000000}" name="runner speed (mph)" dataDxfId="69">
      <calculatedColumnFormula>1 / Table3[[#This Row],[runner speed (s/ft)]] * ((60 * 60)/5280)</calculatedColumnFormula>
    </tableColumn>
    <tableColumn id="13" xr3:uid="{00000000-0010-0000-0000-00000D000000}" name="pickoff evade time" dataDxfId="68">
      <calculatedColumnFormula>Table3[[#This Row],[runner reaction]]+Table3[[#This Row],[runner speed (s/ft)]]*Table3[[#This Row],[total leadoff (ft)]]</calculatedColumnFormula>
    </tableColumn>
    <tableColumn id="14" xr3:uid="{00000000-0010-0000-0000-00000E000000}" name="pickoff probability" dataDxfId="67" dataCellStyle="Percent">
      <calculatedColumnFormula>1 - _xlfn.NORM.DIST(Table3[[#This Row],[pickoff time]], Table3[[#This Row],[pickoff evade time]], $O$4, TRUE)</calculatedColumnFormula>
    </tableColumn>
    <tableColumn id="17" xr3:uid="{00000000-0010-0000-0000-000011000000}" name="Fielding Odds" dataDxfId="66" dataCellStyle="Percent">
      <calculatedColumnFormula>_xlfn.NORM.DIST(Table3[[#This Row],[defense]], $P$26, $P$27, TRUE)</calculatedColumnFormula>
    </tableColumn>
    <tableColumn id="18" xr3:uid="{00000000-0010-0000-0000-000012000000}" name="pickoff worth it?" dataDxfId="65">
      <calculatedColumnFormula>Table3[[#This Row],[pickoff probability]] &gt; 1-Table3[[#This Row],[Fielding Odds]]</calculatedColumnFormula>
    </tableColumn>
    <tableColumn id="19" xr3:uid="{00000000-0010-0000-0000-000013000000}" name="Error %" dataDxfId="64" dataCellStyle="Percent">
      <calculatedColumnFormula>1-Table3[[#This Row],[Fielding Odds]]</calculatedColumnFormula>
    </tableColumn>
    <tableColumn id="20" xr3:uid="{00000000-0010-0000-0000-000014000000}" name="Blatant steal time" dataDxfId="63">
      <calculatedColumnFormula>(90-Table3[[#This Row],[total leadoff (ft)]])*Table3[[#This Row],[runner speed (s/ft)]]</calculatedColumnFormula>
    </tableColumn>
    <tableColumn id="21" xr3:uid="{00000000-0010-0000-0000-000015000000}" name="Response speed" dataDxfId="62">
      <calculatedColumnFormula>$T$26*(2-Table3[[#This Row],[defense]]) + Table3[[#This Row],[pickoff time]]</calculatedColumnFormula>
    </tableColumn>
    <tableColumn id="22" xr3:uid="{00000000-0010-0000-0000-000016000000}" name="blatant steal probability" dataDxfId="61" dataCellStyle="Percent">
      <calculatedColumnFormula>_xlfn.NORM.DIST(Table3[[#This Row],[Response speed]], Table3[[#This Row],[Blatant steal time]], $U$4, TRUE)</calculatedColumnFormula>
    </tableColumn>
    <tableColumn id="23" xr3:uid="{00000000-0010-0000-0000-000017000000}" name="defense fear" dataDxfId="60">
      <calculatedColumnFormula>Table3[[#This Row],[defense]]+Table3[[#This Row],[defense]]*Table3[[#This Row],[offense]]*$E$26</calculatedColumnFormula>
    </tableColumn>
    <tableColumn id="24" xr3:uid="{00000000-0010-0000-0000-000018000000}" name="ball factor" dataDxfId="59">
      <calculatedColumnFormula>(1-$W$32)</calculatedColumnFormula>
    </tableColumn>
    <tableColumn id="25" xr3:uid="{00000000-0010-0000-0000-000019000000}" name="desperation" dataDxfId="58" dataCellStyle="Percent">
      <calculatedColumnFormula>Table3[[#This Row],[ball factor]]/$X$32*(1-$X$34)+$X$34</calculatedColumnFormula>
    </tableColumn>
    <tableColumn id="26" xr3:uid="{00000000-0010-0000-0000-00001A000000}" name="player control" dataDxfId="57">
      <calculatedColumnFormula>Table3[[#This Row],[offense]]</calculatedColumnFormula>
    </tableColumn>
    <tableColumn id="27" xr3:uid="{00000000-0010-0000-0000-00001B000000}" name="ideal steer" dataDxfId="56">
      <calculatedColumnFormula>$AA$33</calculatedColumnFormula>
    </tableColumn>
    <tableColumn id="28" xr3:uid="{00000000-0010-0000-0000-00001C000000}" name="scaled control" dataDxfId="55">
      <calculatedColumnFormula>IF(Table3[[#This Row],[player control]]&gt;1,Table3[[#This Row],[player control]]*$AA$41+$AA$40,Table3[[#This Row],[player control]]*$AA$39+$AA$38)</calculatedColumnFormula>
    </tableColumn>
    <tableColumn id="29" xr3:uid="{00000000-0010-0000-0000-00001D000000}" name="unmod foul percent 3rd" dataDxfId="54" dataCellStyle="Percent">
      <calculatedColumnFormula>_xlfn.NORM.DIST(-1,Table3[[#This Row],[ideal steer]],($AB$25-Table3[[#This Row],[scaled control]])*$AB$27,TRUE)</calculatedColumnFormula>
    </tableColumn>
    <tableColumn id="30" xr3:uid="{00000000-0010-0000-0000-00001E000000}" name="unmod foul percent 1st" dataDxfId="53" dataCellStyle="Percent">
      <calculatedColumnFormula>1-_xlfn.NORM.DIST(1,Table3[[#This Row],[ideal steer]],($AB$25-Table3[[#This Row],[scaled control]])*$AB$27,TRUE)</calculatedColumnFormula>
    </tableColumn>
    <tableColumn id="31" xr3:uid="{00000000-0010-0000-0000-00001F000000}" name="total unmod foul percent" dataDxfId="52" dataCellStyle="Percent">
      <calculatedColumnFormula>1-(1-Table3[[#This Row],[unmod foul percent 3rd]])*(1-Table3[[#This Row],[unmod foul percent 1st]])</calculatedColumnFormula>
    </tableColumn>
    <tableColumn id="15" xr3:uid="{00000000-0010-0000-0000-00000F000000}" name="unmod dead center foul%" dataDxfId="51" dataCellStyle="Percent">
      <calculatedColumnFormula>1-((1-_xlfn.NORM.DIST(-1,0,($AB$25-Table3[[#This Row],[scaled control]])*$AB$27,TRUE))*_xlfn.NORM.DIST(1,0,($AB$25-Table3[[#This Row],[scaled control]])*$AB$27,TRUE))</calculatedColumnFormula>
    </tableColumn>
    <tableColumn id="16" xr3:uid="{00000000-0010-0000-0000-000010000000}" name="count" dataDxfId="50">
      <calculatedColumnFormula>$AF$34*$AF$25</calculatedColumnFormula>
    </tableColumn>
    <tableColumn id="33" xr3:uid="{00000000-0010-0000-0000-000021000000}" name="hitter discipline bias" dataDxfId="49">
      <calculatedColumnFormula>$AG$25*($AG$34*Table3[[#This Row],[offense]])</calculatedColumnFormula>
    </tableColumn>
    <tableColumn id="34" xr3:uid="{00000000-0010-0000-0000-000022000000}" name="bases loaded" dataDxfId="48">
      <calculatedColumnFormula>$AH$25*$AH$34</calculatedColumnFormula>
    </tableColumn>
    <tableColumn id="35" xr3:uid="{00000000-0010-0000-0000-000023000000}" name="number of outs" dataDxfId="47">
      <calculatedColumnFormula>$AI$34*$AI$25</calculatedColumnFormula>
    </tableColumn>
    <tableColumn id="36" xr3:uid="{00000000-0010-0000-0000-000024000000}" name="current hitter vs next hitter" dataDxfId="46">
      <calculatedColumnFormula>$AJ$25*(Table3[[#This Row],[offense]]-$AJ$27)</calculatedColumnFormula>
    </tableColumn>
    <tableColumn id="37" xr3:uid="{00000000-0010-0000-0000-000025000000}" name="calling modifier" dataDxfId="45">
      <calculatedColumnFormula array="1">SUM(Table3[[#This Row],[count]:[current hitter vs next hitter]]*MIN(1, Table3[[#This Row],[defense]]))</calculatedColumnFormula>
    </tableColumn>
    <tableColumn id="38" xr3:uid="{00000000-0010-0000-0000-000026000000}" name="sigmoid strike percent" dataDxfId="44" dataCellStyle="Percent">
      <calculatedColumnFormula>$AL$25-(Table3[[#This Row],[calling modifier]]/(ABS(Table3[[#This Row],[calling modifier]])+$AL$29)*$AL$27)</calculatedColumnFormula>
    </tableColumn>
    <tableColumn id="39" xr3:uid="{00000000-0010-0000-0000-000027000000}" name="tanh strike percent" dataDxfId="43" dataCellStyle="Percent">
      <calculatedColumnFormula>$AL$25-$AL$27*TANH(Table3[[#This Row],[calling modifier]]/$AM$29)</calculatedColumnFormula>
    </tableColumn>
    <tableColumn id="40" xr3:uid="{00000000-0010-0000-0000-000028000000}" name="called position" dataDxfId="42" dataCellStyle="Percent">
      <calculatedColumnFormula>MAX(0, 1-_xlfn.NORM.S.INV(Table3[[#This Row],[tanh strike percent]])*($AN$25*($AN$27-Table3[[#This Row],[defense]])))</calculatedColumnFormula>
    </tableColumn>
    <tableColumn id="41" xr3:uid="{00000000-0010-0000-0000-000029000000}" name="called pos 0.2 pitch" dataDxfId="41">
      <calculatedColumnFormula>MAX(0, 1-_xlfn.NORM.S.INV(Table3[[#This Row],[tanh strike percent]])*($AN$25*($AN$27-0.2)))</calculatedColumnFormula>
    </tableColumn>
    <tableColumn id="42" xr3:uid="{00000000-0010-0000-0000-00002A000000}" name="called pos 2 pitch" dataDxfId="40">
      <calculatedColumnFormula>MAX(0, 1-_xlfn.NORM.S.INV(Table3[[#This Row],[tanh strike percent]])*($AN$25*($AN$27-2)))</calculatedColumnFormula>
    </tableColumn>
    <tableColumn id="43" xr3:uid="{00000000-0010-0000-0000-00002B000000}" name="location -1  stdv" dataDxfId="39">
      <calculatedColumnFormula>Table3[[#This Row],[called position]]-pitchmod*(pitchstdv-Table3[[#This Row],[defense]])</calculatedColumnFormula>
    </tableColumn>
    <tableColumn id="44" xr3:uid="{00000000-0010-0000-0000-00002C000000}" name="location +1 stdv" dataDxfId="38">
      <calculatedColumnFormula>ABS(Table3[[#This Row],[called position]]+pitchmod*(pitchstdv-Table3[[#This Row],[defense]]))</calculatedColumnFormula>
    </tableColumn>
    <tableColumn id="46" xr3:uid="{00000000-0010-0000-0000-00002E000000}" name="min dist to sz 1stdv" dataDxfId="37">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36">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35">
      <calculatedColumnFormula>$AU$30/(ABS(Table3[[#This Row],[called position]]-1)+$AU$27)+$AU$32*Table3[[#This Row],[defense]]</calculatedColumnFormula>
    </tableColumn>
    <tableColumn id="51" xr3:uid="{00000000-0010-0000-0000-000033000000}" name="obscurity at _x000a_0.5" dataDxfId="34">
      <calculatedColumnFormula>$AU$30/(ABS(0.5-1)+$AU$27)+$AU$32*Table3[[#This Row],[defense]]</calculatedColumnFormula>
    </tableColumn>
    <tableColumn id="52" xr3:uid="{00000000-0010-0000-0000-000034000000}" name="obscurity at  0.9" dataDxfId="33">
      <calculatedColumnFormula>$AU$30/(ABS(0.9-1)+$AU$27)+$AU$32*Table3[[#This Row],[defense]]</calculatedColumnFormula>
    </tableColumn>
    <tableColumn id="53" xr3:uid="{00000000-0010-0000-0000-000035000000}" name="average difficulty" dataDxfId="32">
      <calculatedColumnFormula>Table3[[#This Row],[defense]]*$AX$30+MAX(0, Table3[[#This Row],[called position]]-$AX$27)^$AX$25</calculatedColumnFormula>
    </tableColumn>
    <tableColumn id="54" xr3:uid="{00000000-0010-0000-0000-000036000000}" name="+1stdv difficulty" dataDxfId="31">
      <calculatedColumnFormula>Table3[[#This Row],[defense]]*$AX$30 + MAX(0, Table3[[#This Row],[location +1 stdv]]-$AX$27)^$AX$25</calculatedColumnFormula>
    </tableColumn>
    <tableColumn id="55" xr3:uid="{00000000-0010-0000-0000-000037000000}" name="difficulty at 1" dataDxfId="30">
      <calculatedColumnFormula>Table3[[#This Row],[defense]]*$AX$30+MAX(0, 1-$AX$27)^$AX$25</calculatedColumnFormula>
    </tableColumn>
    <tableColumn id="62" xr3:uid="{6513900D-2CAC-4022-A6B3-8A00EE6C566B}" name="reduction" dataDxfId="29">
      <calculatedColumnFormula>MAX(0, 0.1*(1-Table3[[#This Row],[defense]]))</calculatedColumnFormula>
    </tableColumn>
    <tableColumn id="63" xr3:uid="{12464915-1D8C-4EB5-9BBD-0FF526658E5B}" name="Location" dataDxfId="28">
      <calculatedColumnFormula>$BB$25</calculatedColumnFormula>
    </tableColumn>
    <tableColumn id="64" xr3:uid="{5F0F19BE-6D04-4E9E-81B2-B324AB353F5C}" name="obscurity" dataDxfId="27">
      <calculatedColumnFormula>$AU$30/(ABS(Table3[[#This Row],[Location]]-1)+$AU$27)+$AU$32*Table3[[#This Row],[defense]]</calculatedColumnFormula>
    </tableColumn>
    <tableColumn id="65" xr3:uid="{EA3D32E7-A2E2-482C-B6E9-2E17651C5F77}" name="Strike?" dataDxfId="26">
      <calculatedColumnFormula>Table3[[#This Row],[Location]]&lt;= (1+MAX(0, (Table3[[#This Row],[defense]]-1)*0.1))</calculatedColumnFormula>
    </tableColumn>
    <tableColumn id="66" xr3:uid="{0C7E9B06-240B-481E-B495-54026E2F00AA}" name="discipline modifier" dataDxfId="25">
      <calculatedColumnFormula>1/(1+Table3[[#This Row],[offense]])</calculatedColumnFormula>
    </tableColumn>
    <tableColumn id="67" xr3:uid="{D3B0837D-02D4-4F62-A2E2-876739E497B0}" name="effective obscurity" dataDxfId="24">
      <calculatedColumnFormula>Table3[[#This Row],[obscurity]]*Table3[[#This Row],[discipline modifier]]</calculatedColumnFormula>
    </tableColumn>
    <tableColumn id="69" xr3:uid="{39822A5F-1791-48DC-BA9F-A066931C0292}" name="odds of read" dataCellStyle="Percent">
      <calculatedColumnFormula>1/(1+Table3[[#This Row],[effective obscurity]])</calculatedColumnFormula>
    </tableColumn>
    <tableColumn id="70" xr3:uid="{1CCD1432-14D3-4491-941D-9748ABEC7AE0}" name="unadjusted swing %" dataCellStyle="Percent">
      <calculatedColumnFormula>IF(Table3[[#This Row],[Strike?]],Table3[[#This Row],[odds of read]],1-Table3[[#This Row],[odds of read]])</calculatedColumnFormula>
    </tableColumn>
    <tableColumn id="71" xr3:uid="{F2B199DA-BBC9-49CD-B1D2-0193DC26B3AB}" name="desperation echo">
      <calculatedColumnFormula>$BB$29</calculatedColumnFormula>
    </tableColumn>
    <tableColumn id="72" xr3:uid="{3E21C76F-F55B-4E49-9BE2-FEE046008C15}" name="adjusted swing %" dataCellStyle="Percent">
      <calculatedColumnFormula>Table3[[#This Row],[desperation echo]]*Table3[[#This Row],[unadjusted swing %]]</calculatedColumnFormula>
    </tableColumn>
    <tableColumn id="130" xr3:uid="{827C9303-3867-43F7-A79B-BC2EAB3F896D}" name="pitch carry forward obsc" dataDxfId="23">
      <calculatedColumnFormula>Table3[[#This Row],[ave obscurity]]</calculatedColumnFormula>
    </tableColumn>
    <tableColumn id="131" xr3:uid="{F26B1E2C-89D5-4F6D-877A-1BEA7F7DF5A9}" name="CF odds of read" dataCellStyle="Percent">
      <calculatedColumnFormula>1/(1+Table3[[#This Row],[ave obscurity]]*Table3[[#This Row],[discipline modifier]])</calculatedColumnFormula>
    </tableColumn>
    <tableColumn id="73" xr3:uid="{77BBE784-030D-4E46-9A29-8783B89762BC}" name="contact echo" dataDxfId="22">
      <calculatedColumnFormula>Table3[[#This Row],[offense]]</calculatedColumnFormula>
    </tableColumn>
    <tableColumn id="75" xr3:uid="{074A9F48-3941-4E36-90C2-7710217D32C8}" name="pitch carry forward diff" dataDxfId="21">
      <calculatedColumnFormula>Table3[[#This Row],[average difficulty]]</calculatedColumnFormula>
    </tableColumn>
    <tableColumn id="76" xr3:uid="{628DDA60-D380-4EE8-AA7D-7EF6C4AAD8A5}" name="CF contact readiness" dataDxfId="20">
      <calculatedColumnFormula>Table3[[#This Row],[contact echo]]-Table3[[#This Row],[pitch carry forward diff]]</calculatedColumnFormula>
    </tableColumn>
    <tableColumn id="77" xr3:uid="{DBF18AD6-8593-42C7-9058-D19737088E6D}" name="foul %" dataDxfId="19" dataCellStyle="Percent">
      <calculatedColumnFormula>1-_xlfn.NORM.DIST($BP$27,Table3[[#This Row],[CF contact readiness]], $BP$30,TRUE)</calculatedColumnFormula>
    </tableColumn>
    <tableColumn id="78" xr3:uid="{6354951A-151E-4E04-9897-9CB39D6098C8}" name="clean %" dataDxfId="18" dataCellStyle="Percent">
      <calculatedColumnFormula>1-_xlfn.NORM.DIST($BP$25,Table3[[#This Row],[CF contact readiness]], $BP$30,TRUE)</calculatedColumnFormula>
    </tableColumn>
    <tableColumn id="79" xr3:uid="{0070F673-D13C-467D-95AC-FF8413A02F3F}" name="strike swinging %" dataDxfId="17" dataCellStyle="Percent">
      <calculatedColumnFormula>1-Table3[[#This Row],[foul %]]</calculatedColumnFormula>
    </tableColumn>
    <tableColumn id="80" xr3:uid="{9504D0CF-7CD0-472F-8289-44B30538D80C}" name="ave. hit quality" dataDxfId="16">
      <calculatedColumnFormula>(Table3[[#This Row],[CF contact readiness]]-$BP$27)/$BP$30</calculatedColumnFormula>
    </tableColumn>
    <tableColumn id="132" xr3:uid="{0BB169E4-F345-4B7D-A549-DE28DC5FB113}" name="hit quality +1stdv" dataDxfId="15">
      <calculatedColumnFormula>(Table3[[#This Row],[CF contact readiness]]+$BP$30-$BP$27)/$BP$30</calculatedColumnFormula>
    </tableColumn>
    <tableColumn id="81" xr3:uid="{37438EAA-344A-486C-A4C2-68EE17D67C60}" name="hit quality remainder" dataDxfId="14">
      <calculatedColumnFormula>MAX(0, IF(ISBLANK($BU$28), Table3[[#This Row],[hit quality +1stdv]], $BU$28)-1)</calculatedColumnFormula>
    </tableColumn>
    <tableColumn id="82" xr3:uid="{CBA11BEE-0412-44C3-979C-1888629B3C7A}" name="adjusted launch angle" dataDxfId="13">
      <calculatedColumnFormula>$BV$25+Table3[[#This Row],[offense]]*$BV$28</calculatedColumnFormula>
    </tableColumn>
    <tableColumn id="83" xr3:uid="{8DC0E209-2987-40FE-9521-B3339A7D8E1F}" name="angle stdev" dataDxfId="12">
      <calculatedColumnFormula>$BW$25*$BW$28/($BW$28+Table3[[#This Row],[hit quality remainder]])</calculatedColumnFormula>
    </tableColumn>
    <tableColumn id="84" xr3:uid="{F8EB7F4C-5D31-472E-A363-210E62A7E683}" name="grounder % (&lt;10 deg)" dataCellStyle="Percent">
      <calculatedColumnFormula>_xlfn.NORM.DIST(10,Table3[[#This Row],[adjusted launch angle]],Table3[[#This Row],[angle stdev]],TRUE)</calculatedColumnFormula>
    </tableColumn>
    <tableColumn id="85" xr3:uid="{56DD6E0A-39C0-4DF0-B1CB-47EB71B71306}" name="pop up % (&gt;50 deg)" dataCellStyle="Percent">
      <calculatedColumnFormula>1-_xlfn.NORM.DIST(50, Table3[[#This Row],[adjusted launch angle]],Table3[[#This Row],[angle stdev]],TRUE)</calculatedColumnFormula>
    </tableColumn>
    <tableColumn id="86" xr3:uid="{6ED971D4-0303-4AEB-B7CD-9516517F447E}" name="odds of 3B" dataDxfId="11" dataCellStyle="Percent">
      <calculatedColumnFormula>1-_xlfn.NORM.DIST(70, $BZ$28,$BZ$25,TRUE)</calculatedColumnFormula>
    </tableColumn>
    <tableColumn id="87" xr3:uid="{E9F9DFB6-4A26-4CA7-9318-6ECA478690D6}" name="exit velocity mean" dataDxfId="10">
      <calculatedColumnFormula>$CA$25+Table3[[#This Row],[offense]]*($CA$27-$CA$25)/2</calculatedColumnFormula>
    </tableColumn>
    <tableColumn id="88" xr3:uid="{EB865A5D-CC1D-49FA-9709-DC5F30F55DD8}" name="after reduction" dataDxfId="9">
      <calculatedColumnFormula>Table3[[#This Row],[exit velocity mean]]-Table3[[#This Row],[reduction]]*100</calculatedColumnFormula>
    </tableColumn>
    <tableColumn id="89" xr3:uid="{949E8C38-C424-4A4E-9A6F-FCA93496D192}" name="theoretical distance" dataDxfId="8">
      <calculatedColumnFormula>Table3[[#This Row],[exit velocity mean]]^2*2*SIN(RADIANS(Table3[[#This Row],[adjusted launch angle]]))/$CC$28*5280</calculatedColumnFormula>
    </tableColumn>
    <tableColumn id="90" xr3:uid="{9FD0A88A-D0D9-4369-8D70-6C7485CA1509}" name="flight time" dataDxfId="7">
      <calculatedColumnFormula>2*Table3[[#This Row],[exit velocity mean]]*SIN(RADIANS(Table3[[#This Row],[adjusted launch angle]]))/$CC$28*60*60</calculatedColumnFormula>
    </tableColumn>
    <tableColumn id="91" xr3:uid="{D9D5DFED-BD09-4CB6-A82E-D289D2DAB08D}" name="actual distance" dataDxfId="6">
      <calculatedColumnFormula>Table3[[#This Row],[theoretical distance]]-Table3[[#This Row],[flight time]]^2*$CE$25</calculatedColumnFormula>
    </tableColumn>
    <tableColumn id="92" xr3:uid="{3D80331E-564D-462D-81B5-E5CE730D1EE5}" name="+1stdv EV" dataDxfId="5">
      <calculatedColumnFormula>Table3[[#This Row],[exit velocity mean]]+$CC$25-Table3[[#This Row],[reduction]]*100</calculatedColumnFormula>
    </tableColumn>
    <tableColumn id="93" xr3:uid="{211123A1-65C0-4F59-AB86-C344CFF47F70}" name="+1stdv LA" dataDxfId="4">
      <calculatedColumnFormula>MIN(Table3[[#This Row],[adjusted launch angle]]+Table3[[#This Row],[angle stdev]], 30)</calculatedColumnFormula>
    </tableColumn>
    <tableColumn id="94" xr3:uid="{C8736D16-AF27-436D-BF61-CA3E58298CD3}" name="+1stdv flight time" dataDxfId="3">
      <calculatedColumnFormula>2*Table3[[#This Row],[+1stdv EV]]*SIN(RADIANS(Table3[[#This Row],[+1stdv LA]]))/$CC$28*60*60</calculatedColumnFormula>
    </tableColumn>
    <tableColumn id="95" xr3:uid="{C9967388-9755-4293-82E9-4E43A4770599}" name="+1stdev distance" dataDxfId="2">
      <calculatedColumnFormula>Table3[[#This Row],[+1stdv EV]]^2*2*SIN(RADIANS(Table3[[#This Row],[+1stdv LA]]))/$CC$28*5280-Table3[[#This Row],[+1stdv flight time]]^2*$CE$25</calculatedColumnFormula>
    </tableColumn>
    <tableColumn id="96" xr3:uid="{52B6BA3A-87F7-49FD-BFE7-811EA76B03FD}" name="+1stdev delta" dataDxfId="1">
      <calculatedColumnFormula>Table3[[#This Row],[+1stdev distance]]-Table3[[#This Row],[actual distance]]</calculatedColumnFormula>
    </tableColumn>
    <tableColumn id="97" xr3:uid="{50EEB2EF-C836-4BBC-A8B3-EAD31BF29B54}" name="Column95"/>
    <tableColumn id="98" xr3:uid="{823DCE3F-2A43-4BFF-AFF7-BC15E601D901}" name="Column1"/>
    <tableColumn id="99" xr3:uid="{28288627-7AF0-454A-B8A1-A3BC42ECE940}" name="Column97"/>
    <tableColumn id="100" xr3:uid="{575103B5-2CCC-44DD-BB88-FB18F1E23A08}" name="Column98"/>
    <tableColumn id="101" xr3:uid="{C55306D8-624E-4BCE-834B-AF49B8202CED}" name="Column99"/>
    <tableColumn id="102" xr3:uid="{D4B7A9EE-3E5D-4A60-A3A7-9AC9B0C85C8D}" name="Column100"/>
    <tableColumn id="103" xr3:uid="{14722E20-E84C-4080-B1F7-34CDEEB8D6D5}" name="Column101"/>
    <tableColumn id="104" xr3:uid="{546EB089-7CB2-42F5-A234-0BF4E6D3CA3F}" name="Column102"/>
    <tableColumn id="105" xr3:uid="{FCDE521F-FE20-4005-8883-74ACF18E3663}" name="Column103"/>
    <tableColumn id="106" xr3:uid="{D5E70DC2-6EAD-4645-A27D-33A983DFE6D3}" name="Column104"/>
    <tableColumn id="107" xr3:uid="{C1E5C749-C609-4DE9-A9D1-AD23F05A572A}" name="Column105"/>
    <tableColumn id="108" xr3:uid="{2EF4C913-BAE3-4FA8-ACFA-701315426FF4}" name="Column106"/>
    <tableColumn id="109" xr3:uid="{74253C35-D1D6-46FD-A6C6-740C5888F758}" name="Column107"/>
    <tableColumn id="110" xr3:uid="{DFDD0EA9-C398-4F30-9749-4F45A4A12120}" name="Column108"/>
    <tableColumn id="111" xr3:uid="{22BDF745-2AA8-449D-A75C-DC5410FF1EFD}" name="Column109"/>
    <tableColumn id="112" xr3:uid="{4B9A95F7-CA51-4C0F-89BD-32AF75C35AD8}" name="Column110"/>
    <tableColumn id="113" xr3:uid="{99F530A4-750E-4C4E-BB55-5745E48FBFD0}" name="Column111"/>
    <tableColumn id="114" xr3:uid="{88B2C7D2-FBF8-4937-AB6A-734A3C93BB6B}" name="Column112"/>
    <tableColumn id="115" xr3:uid="{27CEB9E3-F8CF-4F1B-9E7C-06936A156EA8}" name="Column113"/>
    <tableColumn id="116" xr3:uid="{701BA705-23F9-4382-BE13-C15CD875F2F4}" name="Column114"/>
    <tableColumn id="117" xr3:uid="{D8082764-2F18-48BE-92ED-C07F4FFF7FDA}" name="Column115"/>
    <tableColumn id="118" xr3:uid="{C54C08C2-EE30-4EE4-B0B9-792D1DB77397}" name="Column116"/>
    <tableColumn id="119" xr3:uid="{E6D689BB-DD0D-4D6A-881C-24DA40F4971B}" name="Column117"/>
    <tableColumn id="120" xr3:uid="{8FE0AEE0-77A6-4EA2-A68A-70EA44BA8F69}" name="Column118"/>
    <tableColumn id="121" xr3:uid="{CE1D1007-A159-43AA-A7B9-878132D9CB7C}" name="Column119"/>
    <tableColumn id="122" xr3:uid="{E97F281B-5F66-4894-BB19-1EEF9AFAE886}" name="Column120"/>
    <tableColumn id="123" xr3:uid="{FF6BCFE2-3C84-4E3A-BA0A-D96AB8B520B8}" name="Column121"/>
    <tableColumn id="124" xr3:uid="{4BD16D0C-AA84-40F8-844B-ADB543279ECA}" name="Column122"/>
    <tableColumn id="125" xr3:uid="{5EC4C442-B4E7-410B-8F1C-684A18D55779}" name="Column123"/>
    <tableColumn id="126" xr3:uid="{38BD33B3-15CD-47C0-8334-87CB7F96C30E}" name="Column124"/>
    <tableColumn id="127" xr3:uid="{69A8AE3A-0213-42AF-9FC7-17D03726B015}" name="Column12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DBF5C-F1E0-410B-9FAD-D2E7399866B7}" name="Table1" displayName="Table1" ref="J12:L18" totalsRowShown="0">
  <autoFilter ref="J12:L18" xr:uid="{727DBF5C-F1E0-410B-9FAD-D2E7399866B7}"/>
  <tableColumns count="3">
    <tableColumn id="1" xr3:uid="{23FB116D-6CB4-49F6-A874-F1C610DEF5E1}" name="quality"/>
    <tableColumn id="2" xr3:uid="{6204ECDD-C980-4BE0-AFC7-9F83BF472BE8}" name="net"/>
    <tableColumn id="3" xr3:uid="{E9208F79-490A-4A40-B3B7-0914BA16AC90}" name="form" dataDxfId="0">
      <calculatedColumnFormula>POWER(Table1[[#This Row],[quality]]-0.8, 1/4)</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
  <sheetViews>
    <sheetView tabSelected="1" topLeftCell="P1" zoomScaleNormal="100" workbookViewId="0">
      <selection activeCell="P1" sqref="P1"/>
    </sheetView>
  </sheetViews>
  <sheetFormatPr defaultColWidth="14.28515625" defaultRowHeight="15" x14ac:dyDescent="0.25"/>
  <sheetData>
    <row r="1" spans="1:119" x14ac:dyDescent="0.25">
      <c r="A1" t="s">
        <v>5</v>
      </c>
      <c r="B1">
        <v>0.1</v>
      </c>
      <c r="C1">
        <v>0.5</v>
      </c>
      <c r="D1">
        <v>1</v>
      </c>
      <c r="E1">
        <v>2</v>
      </c>
    </row>
    <row r="2" spans="1:119" x14ac:dyDescent="0.25">
      <c r="A2" t="s">
        <v>6</v>
      </c>
      <c r="B2">
        <v>0.1</v>
      </c>
      <c r="C2">
        <v>0.5</v>
      </c>
      <c r="D2">
        <v>1</v>
      </c>
      <c r="E2">
        <v>2</v>
      </c>
    </row>
    <row r="3" spans="1:119" x14ac:dyDescent="0.25">
      <c r="A3" t="s">
        <v>7</v>
      </c>
      <c r="B3">
        <f>COUNT(oratings)*COUNT(dratings)</f>
        <v>16</v>
      </c>
      <c r="O3" t="s">
        <v>81</v>
      </c>
      <c r="U3" t="s">
        <v>86</v>
      </c>
    </row>
    <row r="4" spans="1:119" x14ac:dyDescent="0.25">
      <c r="O4">
        <v>0.2</v>
      </c>
      <c r="U4">
        <v>0.6</v>
      </c>
    </row>
    <row r="5" spans="1:119" x14ac:dyDescent="0.25">
      <c r="A5" s="74" t="s">
        <v>127</v>
      </c>
      <c r="B5" s="75"/>
      <c r="C5" s="76"/>
      <c r="D5" s="74" t="s">
        <v>126</v>
      </c>
      <c r="E5" s="75"/>
      <c r="F5" s="75"/>
      <c r="G5" s="75"/>
      <c r="H5" s="75"/>
      <c r="I5" s="75"/>
      <c r="J5" s="75"/>
      <c r="K5" s="75"/>
      <c r="L5" s="75"/>
      <c r="M5" s="75"/>
      <c r="N5" s="75"/>
      <c r="O5" s="75"/>
      <c r="P5" s="75"/>
      <c r="Q5" s="75"/>
      <c r="R5" s="76"/>
      <c r="S5" s="74" t="s">
        <v>128</v>
      </c>
      <c r="T5" s="75"/>
      <c r="U5" s="75"/>
      <c r="V5" s="76"/>
      <c r="W5" s="74" t="s">
        <v>129</v>
      </c>
      <c r="X5" s="76"/>
      <c r="Y5" s="74" t="s">
        <v>166</v>
      </c>
      <c r="Z5" s="75"/>
      <c r="AA5" s="75"/>
      <c r="AB5" s="75"/>
      <c r="AC5" s="75"/>
      <c r="AD5" s="75"/>
      <c r="AE5" s="76"/>
      <c r="AF5" s="74" t="s">
        <v>167</v>
      </c>
      <c r="AG5" s="75"/>
      <c r="AH5" s="75"/>
      <c r="AI5" s="75"/>
      <c r="AJ5" s="75"/>
      <c r="AK5" s="75"/>
      <c r="AL5" s="75"/>
      <c r="AM5" s="75"/>
      <c r="AN5" s="76"/>
      <c r="AO5" s="74"/>
      <c r="AP5" s="76"/>
      <c r="AQ5" s="74" t="s">
        <v>198</v>
      </c>
      <c r="AR5" s="75"/>
      <c r="AS5" s="75"/>
      <c r="AT5" s="75"/>
      <c r="AU5" s="75"/>
      <c r="AV5" s="75"/>
      <c r="AW5" s="75"/>
      <c r="AX5" s="75"/>
      <c r="AY5" s="75"/>
      <c r="AZ5" s="75"/>
      <c r="BA5" s="76"/>
      <c r="BB5" s="74" t="s">
        <v>248</v>
      </c>
      <c r="BC5" s="75"/>
      <c r="BD5" s="75"/>
      <c r="BE5" s="75"/>
      <c r="BF5" s="75"/>
      <c r="BG5" s="75"/>
      <c r="BH5" s="75"/>
      <c r="BI5" s="75"/>
      <c r="BJ5" s="76"/>
      <c r="BK5" s="74"/>
      <c r="BL5" s="76"/>
      <c r="BM5" s="74" t="s">
        <v>257</v>
      </c>
      <c r="BN5" s="75"/>
      <c r="BO5" s="75"/>
      <c r="BP5" s="75"/>
      <c r="BQ5" s="75"/>
      <c r="BR5" s="75"/>
      <c r="BS5" s="76"/>
      <c r="BT5" s="167"/>
      <c r="BU5" s="74" t="s">
        <v>272</v>
      </c>
      <c r="BV5" s="75"/>
      <c r="BW5" s="75"/>
      <c r="BX5" s="75"/>
      <c r="BY5" s="75"/>
      <c r="BZ5" s="75"/>
      <c r="CA5" s="75"/>
      <c r="CB5" s="75"/>
      <c r="CC5" s="75"/>
      <c r="CD5" s="75"/>
      <c r="CE5" s="76"/>
      <c r="CL5" t="s">
        <v>306</v>
      </c>
    </row>
    <row r="6" spans="1:119"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134</v>
      </c>
      <c r="X6" s="2" t="s">
        <v>136</v>
      </c>
      <c r="Y6" s="2" t="s">
        <v>137</v>
      </c>
      <c r="Z6" s="79" t="s">
        <v>150</v>
      </c>
      <c r="AA6" s="79" t="s">
        <v>155</v>
      </c>
      <c r="AB6" s="79" t="s">
        <v>162</v>
      </c>
      <c r="AC6" s="79" t="s">
        <v>163</v>
      </c>
      <c r="AD6" s="79" t="s">
        <v>164</v>
      </c>
      <c r="AE6" s="79" t="s">
        <v>165</v>
      </c>
      <c r="AF6" s="2" t="s">
        <v>125</v>
      </c>
      <c r="AG6" s="2" t="s">
        <v>168</v>
      </c>
      <c r="AH6" s="2" t="s">
        <v>173</v>
      </c>
      <c r="AI6" s="2" t="s">
        <v>174</v>
      </c>
      <c r="AJ6" s="2" t="s">
        <v>175</v>
      </c>
      <c r="AK6" s="2" t="s">
        <v>186</v>
      </c>
      <c r="AL6" s="79" t="s">
        <v>188</v>
      </c>
      <c r="AM6" s="2" t="s">
        <v>193</v>
      </c>
      <c r="AN6" s="2" t="s">
        <v>185</v>
      </c>
      <c r="AO6" s="2" t="s">
        <v>194</v>
      </c>
      <c r="AP6" s="2" t="s">
        <v>195</v>
      </c>
      <c r="AQ6" s="2" t="s">
        <v>207</v>
      </c>
      <c r="AR6" s="2" t="s">
        <v>200</v>
      </c>
      <c r="AS6" s="2" t="s">
        <v>202</v>
      </c>
      <c r="AT6" s="2" t="s">
        <v>203</v>
      </c>
      <c r="AU6" s="2" t="s">
        <v>208</v>
      </c>
      <c r="AV6" s="2" t="s">
        <v>217</v>
      </c>
      <c r="AW6" s="2" t="s">
        <v>218</v>
      </c>
      <c r="AX6" s="2" t="s">
        <v>220</v>
      </c>
      <c r="AY6" s="153" t="s">
        <v>222</v>
      </c>
      <c r="AZ6" s="2" t="s">
        <v>263</v>
      </c>
      <c r="BA6" s="2" t="s">
        <v>246</v>
      </c>
      <c r="BB6" s="2" t="s">
        <v>250</v>
      </c>
      <c r="BC6" s="2" t="s">
        <v>201</v>
      </c>
      <c r="BD6" s="2" t="s">
        <v>251</v>
      </c>
      <c r="BE6" s="2" t="s">
        <v>252</v>
      </c>
      <c r="BF6" s="2" t="s">
        <v>253</v>
      </c>
      <c r="BG6" s="2" t="s">
        <v>254</v>
      </c>
      <c r="BH6" s="2" t="s">
        <v>255</v>
      </c>
      <c r="BI6" s="2" t="s">
        <v>249</v>
      </c>
      <c r="BJ6" s="2" t="s">
        <v>256</v>
      </c>
      <c r="BK6" s="2" t="s">
        <v>260</v>
      </c>
      <c r="BL6" s="2" t="s">
        <v>261</v>
      </c>
      <c r="BM6" s="2" t="s">
        <v>258</v>
      </c>
      <c r="BN6" s="2" t="s">
        <v>259</v>
      </c>
      <c r="BO6" s="2" t="s">
        <v>269</v>
      </c>
      <c r="BP6" s="2" t="s">
        <v>267</v>
      </c>
      <c r="BQ6" s="2" t="s">
        <v>268</v>
      </c>
      <c r="BR6" s="2" t="s">
        <v>265</v>
      </c>
      <c r="BS6" s="2" t="s">
        <v>271</v>
      </c>
      <c r="BT6" s="2" t="s">
        <v>282</v>
      </c>
      <c r="BU6" s="2" t="s">
        <v>274</v>
      </c>
      <c r="BV6" s="2" t="s">
        <v>278</v>
      </c>
      <c r="BW6" s="2" t="s">
        <v>281</v>
      </c>
      <c r="BX6" s="2" t="s">
        <v>279</v>
      </c>
      <c r="BY6" s="2" t="s">
        <v>283</v>
      </c>
      <c r="BZ6" s="2" t="s">
        <v>285</v>
      </c>
      <c r="CA6" s="2" t="s">
        <v>286</v>
      </c>
      <c r="CB6" s="2" t="s">
        <v>289</v>
      </c>
      <c r="CC6" s="2" t="s">
        <v>291</v>
      </c>
      <c r="CD6" s="2" t="s">
        <v>293</v>
      </c>
      <c r="CE6" s="2" t="s">
        <v>295</v>
      </c>
      <c r="CF6" s="153" t="s">
        <v>296</v>
      </c>
      <c r="CG6" s="153" t="s">
        <v>297</v>
      </c>
      <c r="CH6" s="153" t="s">
        <v>298</v>
      </c>
      <c r="CI6" s="153" t="s">
        <v>299</v>
      </c>
      <c r="CJ6" s="153" t="s">
        <v>300</v>
      </c>
      <c r="CK6" s="2" t="s">
        <v>209</v>
      </c>
      <c r="CL6" s="2" t="s">
        <v>307</v>
      </c>
      <c r="CM6" s="2" t="s">
        <v>210</v>
      </c>
      <c r="CN6" s="2" t="s">
        <v>211</v>
      </c>
      <c r="CO6" s="2" t="s">
        <v>212</v>
      </c>
      <c r="CP6" s="2" t="s">
        <v>213</v>
      </c>
      <c r="CQ6" s="2" t="s">
        <v>214</v>
      </c>
      <c r="CR6" s="2" t="s">
        <v>215</v>
      </c>
      <c r="CS6" s="2" t="s">
        <v>216</v>
      </c>
      <c r="CT6" s="2" t="s">
        <v>223</v>
      </c>
      <c r="CU6" s="2" t="s">
        <v>224</v>
      </c>
      <c r="CV6" s="2" t="s">
        <v>225</v>
      </c>
      <c r="CW6" s="2" t="s">
        <v>226</v>
      </c>
      <c r="CX6" s="2" t="s">
        <v>227</v>
      </c>
      <c r="CY6" s="2" t="s">
        <v>228</v>
      </c>
      <c r="CZ6" s="2" t="s">
        <v>229</v>
      </c>
      <c r="DA6" s="2" t="s">
        <v>230</v>
      </c>
      <c r="DB6" s="2" t="s">
        <v>231</v>
      </c>
      <c r="DC6" s="2" t="s">
        <v>232</v>
      </c>
      <c r="DD6" s="2" t="s">
        <v>233</v>
      </c>
      <c r="DE6" s="2" t="s">
        <v>234</v>
      </c>
      <c r="DF6" s="2" t="s">
        <v>235</v>
      </c>
      <c r="DG6" s="2" t="s">
        <v>236</v>
      </c>
      <c r="DH6" s="2" t="s">
        <v>237</v>
      </c>
      <c r="DI6" s="2" t="s">
        <v>238</v>
      </c>
      <c r="DJ6" s="2" t="s">
        <v>239</v>
      </c>
      <c r="DK6" s="2" t="s">
        <v>240</v>
      </c>
      <c r="DL6" s="2" t="s">
        <v>241</v>
      </c>
      <c r="DM6" s="2" t="s">
        <v>242</v>
      </c>
      <c r="DN6" s="2" t="s">
        <v>243</v>
      </c>
      <c r="DO6" s="2" t="s">
        <v>244</v>
      </c>
    </row>
    <row r="7" spans="1:119"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1</v>
      </c>
      <c r="X7" s="48">
        <f>Table3[[#This Row],[ball factor]]/$X$32*(1-$X$34)+$X$34</f>
        <v>1.1411764705882355</v>
      </c>
      <c r="Y7" s="29">
        <f>Table3[[#This Row],[offense]]</f>
        <v>0.1</v>
      </c>
      <c r="Z7" s="80">
        <f t="shared" ref="Z7:Z22" si="1">$AA$33</f>
        <v>-0.90000000000000013</v>
      </c>
      <c r="AA7" s="80">
        <f>IF(Table3[[#This Row],[player control]]&gt;1,Table3[[#This Row],[player control]]*$AA$41+$AA$40,Table3[[#This Row],[player control]]*$AA$39+$AA$38)</f>
        <v>-0.14000000000000001</v>
      </c>
      <c r="AB7" s="81">
        <f>_xlfn.NORM.DIST(-1,Table3[[#This Row],[ideal steer]],($AB$25-Table3[[#This Row],[scaled control]])*$AB$27,TRUE)</f>
        <v>0.40456602559459909</v>
      </c>
      <c r="AC7" s="81">
        <f>1-_xlfn.NORM.DIST(1,Table3[[#This Row],[ideal steer]],($AB$25-Table3[[#This Row],[scaled control]])*$AB$27,TRUE)</f>
        <v>2.2229077858426649E-6</v>
      </c>
      <c r="AD7" s="81">
        <f>1-(1-Table3[[#This Row],[unmod foul percent 3rd]])*(1-Table3[[#This Row],[unmod foul percent 1st]])</f>
        <v>0.40456734918941673</v>
      </c>
      <c r="AE7" s="81">
        <f>1-((1-_xlfn.NORM.DIST(-1,0,($AB$25-Table3[[#This Row],[scaled control]])*$AB$27,TRUE))*_xlfn.NORM.DIST(1,0,($AB$25-Table3[[#This Row],[scaled control]])*$AB$27,TRUE))</f>
        <v>1.5653650964326582E-2</v>
      </c>
      <c r="AF7" s="29">
        <f t="shared" ref="AF7:AF22" si="2">$AF$34*$AF$25</f>
        <v>-4</v>
      </c>
      <c r="AG7" s="29">
        <f>$AG$25*($AG$34*Table3[[#This Row],[offense]])</f>
        <v>0</v>
      </c>
      <c r="AH7" s="29">
        <f t="shared" ref="AH7:AH22" si="3">$AH$25*$AH$34</f>
        <v>0</v>
      </c>
      <c r="AI7" s="29">
        <f t="shared" ref="AI7:AI22" si="4">$AI$34*$AI$25</f>
        <v>0</v>
      </c>
      <c r="AJ7" s="29">
        <f>$AJ$25*(Table3[[#This Row],[offense]]-$AJ$27)</f>
        <v>-0.9</v>
      </c>
      <c r="AK7" s="29" cm="1">
        <f t="array" ref="AK7">SUM(Table3[[#This Row],[count]:[current hitter vs next hitter]]*MIN(1, Table3[[#This Row],[defense]]))</f>
        <v>-0.49000000000000005</v>
      </c>
      <c r="AL7" s="81">
        <f>$AL$25-(Table3[[#This Row],[calling modifier]]/(ABS(Table3[[#This Row],[calling modifier]])+$AL$29)*$AL$27)</f>
        <v>0.60956564177647632</v>
      </c>
      <c r="AM7" s="105">
        <f>$AL$25-$AL$27*TANH(Table3[[#This Row],[calling modifier]]/$AM$29)</f>
        <v>0.60979803965401103</v>
      </c>
      <c r="AN7" s="129">
        <f>MAX(0, 1-_xlfn.NORM.S.INV(Table3[[#This Row],[tanh strike percent]])*($AN$25*($AN$27-Table3[[#This Row],[defense]])))</f>
        <v>0.67660047359294584</v>
      </c>
      <c r="AO7" s="130">
        <f>MAX(0, 1-_xlfn.NORM.S.INV(Table3[[#This Row],[tanh strike percent]])*($AN$25*($AN$27-0.2)))</f>
        <v>0.68775218140008576</v>
      </c>
      <c r="AP7" s="130">
        <f>MAX(0, 1-_xlfn.NORM.S.INV(Table3[[#This Row],[tanh strike percent]])*($AN$25*($AN$27-2)))</f>
        <v>0.88848292192860201</v>
      </c>
      <c r="AQ7" s="130">
        <f>Table3[[#This Row],[called position]]-pitchmod*(pitchstdv-Table3[[#This Row],[defense]])</f>
        <v>-0.48339952640705408</v>
      </c>
      <c r="AR7" s="130">
        <f>ABS(Table3[[#This Row],[called position]]+pitchmod*(pitchstdv-Table3[[#This Row],[defense]]))</f>
        <v>1.8366004735929458</v>
      </c>
      <c r="AS7" s="130">
        <f>IF(AND(Table3[[#This Row],[location -1  stdv]]&lt;1, Table3[[#This Row],[location +1 stdv]]&gt;1),0, MIN(Table3[[#This Row],[location -1  stdv]]+1, 1-Table3[[#This Row],[location +1 stdv]]))</f>
        <v>0</v>
      </c>
      <c r="AT7" s="130">
        <f>IF(AND(Table3[[#This Row],[location -1  stdv]]&lt;0, Table3[[#This Row],[location +1 stdv]]&gt;0),1, MAX(1-ABS(Table3[[#This Row],[location -1  stdv]]), Table3[[#This Row],[location +1 stdv]]-1))</f>
        <v>1</v>
      </c>
      <c r="AU7" s="130">
        <f>$AU$30/(ABS(Table3[[#This Row],[called position]]-1)+$AU$27)+$AU$32*Table3[[#This Row],[defense]]</f>
        <v>0.52236708481275207</v>
      </c>
      <c r="AV7" s="130">
        <f>$AU$30/(ABS(0.5-1)+$AU$27)+$AU$32*Table3[[#This Row],[defense]]</f>
        <v>0.38333333333333336</v>
      </c>
      <c r="AW7" s="130">
        <f>$AU$30/(ABS(0.9-1)+$AU$27)+$AU$32*Table3[[#This Row],[defense]]</f>
        <v>1.0500000000000003</v>
      </c>
      <c r="AX7" s="130">
        <f>Table3[[#This Row],[defense]]*$AX$30+MAX(0, Table3[[#This Row],[called position]]-$AX$27)^$AX$25</f>
        <v>0.17421433424038829</v>
      </c>
      <c r="AY7" s="130">
        <f>Table3[[#This Row],[defense]]*$AX$30 + MAX(0, Table3[[#This Row],[location +1 stdv]]-$AX$27)^$AX$25</f>
        <v>1.6452630358996061</v>
      </c>
      <c r="AZ7" s="130">
        <f>Table3[[#This Row],[defense]]*$AX$30+MAX(0, 1-$AX$27)^$AX$25</f>
        <v>0.45355339059327382</v>
      </c>
      <c r="BA7" s="29">
        <f>MAX(0, 0.1*(1-Table3[[#This Row],[defense]]))</f>
        <v>9.0000000000000011E-2</v>
      </c>
      <c r="BB7" s="29">
        <f t="shared" ref="BB7:BB22" si="5">$BB$25</f>
        <v>0.5</v>
      </c>
      <c r="BC7" s="130">
        <f>$AU$30/(ABS(Table3[[#This Row],[Location]]-1)+$AU$27)+$AU$32*Table3[[#This Row],[defense]]</f>
        <v>0.38333333333333336</v>
      </c>
      <c r="BD7" s="29" t="b">
        <f>Table3[[#This Row],[Location]]&lt;= (1+MAX(0, (Table3[[#This Row],[defense]]-1)*0.1))</f>
        <v>1</v>
      </c>
      <c r="BE7" s="117">
        <f>1/(1+Table3[[#This Row],[offense]])</f>
        <v>0.90909090909090906</v>
      </c>
      <c r="BF7" s="130">
        <f>Table3[[#This Row],[obscurity]]*Table3[[#This Row],[discipline modifier]]</f>
        <v>0.34848484848484851</v>
      </c>
      <c r="BG7" s="105">
        <f>1/(1+Table3[[#This Row],[effective obscurity]])</f>
        <v>0.74157303370786509</v>
      </c>
      <c r="BH7" s="105">
        <f>IF(Table3[[#This Row],[Strike?]],Table3[[#This Row],[odds of read]],1-Table3[[#This Row],[odds of read]])</f>
        <v>0.74157303370786509</v>
      </c>
      <c r="BI7" s="29">
        <f t="shared" ref="BI7:BI22" si="6">$BB$29</f>
        <v>1</v>
      </c>
      <c r="BJ7" s="105">
        <f>Table3[[#This Row],[desperation echo]]*Table3[[#This Row],[unadjusted swing %]]</f>
        <v>0.74157303370786509</v>
      </c>
      <c r="BK7" s="129">
        <f>Table3[[#This Row],[ave obscurity]]</f>
        <v>0.52236708481275207</v>
      </c>
      <c r="BL7" s="105">
        <f>1/(1+Table3[[#This Row],[ave obscurity]]*Table3[[#This Row],[discipline modifier]])</f>
        <v>0.67802164522276298</v>
      </c>
      <c r="BM7" s="29">
        <f>Table3[[#This Row],[offense]]</f>
        <v>0.1</v>
      </c>
      <c r="BN7" s="130">
        <f>Table3[[#This Row],[average difficulty]]</f>
        <v>0.17421433424038829</v>
      </c>
      <c r="BO7" s="130">
        <f>Table3[[#This Row],[contact echo]]-Table3[[#This Row],[pitch carry forward diff]]</f>
        <v>-7.4214334240388286E-2</v>
      </c>
      <c r="BP7" s="105">
        <f>1-_xlfn.NORM.DIST($BP$27,Table3[[#This Row],[CF contact readiness]], $BP$30,TRUE)</f>
        <v>0.73954021373108914</v>
      </c>
      <c r="BQ7" s="105">
        <f>1-_xlfn.NORM.DIST($BP$25,Table3[[#This Row],[CF contact readiness]], $BP$30,TRUE)</f>
        <v>0.36014492398006948</v>
      </c>
      <c r="BR7" s="105">
        <f>1-Table3[[#This Row],[foul %]]</f>
        <v>0.26045978626891086</v>
      </c>
      <c r="BS7" s="130">
        <f>(Table3[[#This Row],[CF contact readiness]]-$BP$27)/$BP$30</f>
        <v>0.64192855525320391</v>
      </c>
      <c r="BT7" s="130">
        <f>(Table3[[#This Row],[CF contact readiness]]+$BP$30-$BP$27)/$BP$30</f>
        <v>1.6419285552532041</v>
      </c>
      <c r="BU7" s="29">
        <f>MAX(0, IF(ISBLANK($BU$28), Table3[[#This Row],[hit quality +1stdv]], $BU$28)-1)</f>
        <v>0.64192855525320414</v>
      </c>
      <c r="BV7" s="29">
        <f>$BV$25+Table3[[#This Row],[offense]]*$BV$28</f>
        <v>10.5</v>
      </c>
      <c r="BW7" s="29">
        <f>$BW$25*$BW$28/($BW$28+Table3[[#This Row],[hit quality remainder]])</f>
        <v>17.514230560216898</v>
      </c>
      <c r="BX7" s="105">
        <f>_xlfn.NORM.DIST(10,Table3[[#This Row],[adjusted launch angle]],Table3[[#This Row],[angle stdev]],TRUE)</f>
        <v>0.48861245728266545</v>
      </c>
      <c r="BY7" s="105">
        <f>1-_xlfn.NORM.DIST(50, Table3[[#This Row],[adjusted launch angle]],Table3[[#This Row],[angle stdev]],TRUE)</f>
        <v>1.2056973296676654E-2</v>
      </c>
      <c r="BZ7" s="105">
        <f t="shared" ref="BZ7:BZ22" si="7">1-_xlfn.NORM.DIST(70, $BZ$28,$BZ$25,TRUE)</f>
        <v>0.42944875004736094</v>
      </c>
      <c r="CA7" s="29">
        <f>$CA$25+Table3[[#This Row],[offense]]*($CA$27-$CA$25)/2</f>
        <v>72</v>
      </c>
      <c r="CB7" s="29">
        <f>Table3[[#This Row],[exit velocity mean]]-Table3[[#This Row],[reduction]]*100</f>
        <v>63</v>
      </c>
      <c r="CC7" s="155">
        <f>Table3[[#This Row],[exit velocity mean]]^2*2*SIN(RADIANS(Table3[[#This Row],[adjusted launch angle]]))/$CC$28*5280</f>
        <v>124.70158326797061</v>
      </c>
      <c r="CD7" s="117">
        <f>2*Table3[[#This Row],[exit velocity mean]]*SIN(RADIANS(Table3[[#This Row],[adjusted launch angle]]))/$CC$28*60*60</f>
        <v>1.1808862051891156</v>
      </c>
      <c r="CE7" s="155">
        <f>Table3[[#This Row],[theoretical distance]]-Table3[[#This Row],[flight time]]^2*$CE$25</f>
        <v>102.38970759427541</v>
      </c>
      <c r="CF7" s="29">
        <f>Table3[[#This Row],[exit velocity mean]]+$CC$25-Table3[[#This Row],[reduction]]*100</f>
        <v>75.5</v>
      </c>
      <c r="CG7" s="29">
        <f>MIN(Table3[[#This Row],[adjusted launch angle]]+Table3[[#This Row],[angle stdev]], 30)</f>
        <v>28.014230560216898</v>
      </c>
      <c r="CH7" s="117">
        <f>2*Table3[[#This Row],[+1stdv EV]]*SIN(RADIANS(Table3[[#This Row],[+1stdv LA]]))/$CC$28*60*60</f>
        <v>3.1915492993304175</v>
      </c>
      <c r="CI7" s="155">
        <f>Table3[[#This Row],[+1stdv EV]]^2*2*SIN(RADIANS(Table3[[#This Row],[+1stdv LA]]))/$CC$28*5280-Table3[[#This Row],[+1stdv flight time]]^2*$CE$25</f>
        <v>190.43510153161782</v>
      </c>
      <c r="CJ7" s="155">
        <f>Table3[[#This Row],[+1stdev distance]]-Table3[[#This Row],[actual distance]]</f>
        <v>88.045393937342411</v>
      </c>
    </row>
    <row r="8" spans="1:119"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8">(1-$W$32)</f>
        <v>1</v>
      </c>
      <c r="X8" s="49">
        <f>Table3[[#This Row],[ball factor]]/$X$32*(1-$X$34)+$X$34</f>
        <v>1.1411764705882355</v>
      </c>
      <c r="Y8" s="3">
        <f>Table3[[#This Row],[offense]]</f>
        <v>0.5</v>
      </c>
      <c r="Z8" s="82">
        <f t="shared" si="1"/>
        <v>-0.90000000000000013</v>
      </c>
      <c r="AA8" s="82">
        <f>IF(Table3[[#This Row],[player control]]&gt;1,Table3[[#This Row],[player control]]*$AA$41+$AA$40,Table3[[#This Row],[player control]]*$AA$39+$AA$38)</f>
        <v>0.10000000000000003</v>
      </c>
      <c r="AB8" s="83">
        <f>_xlfn.NORM.DIST(-1,Table3[[#This Row],[ideal steer]],($AB$25-Table3[[#This Row],[scaled control]])*$AB$27,TRUE)</f>
        <v>0.39881703452798722</v>
      </c>
      <c r="AC8" s="83">
        <f>1-_xlfn.NORM.DIST(1,Table3[[#This Row],[ideal steer]],($AB$25-Table3[[#This Row],[scaled control]])*$AB$27,TRUE)</f>
        <v>5.5294477940837083E-7</v>
      </c>
      <c r="AD8" s="83">
        <f>1-(1-Table3[[#This Row],[unmod foul percent 3rd]])*(1-Table3[[#This Row],[unmod foul percent 1st]])</f>
        <v>0.39881736694896941</v>
      </c>
      <c r="AE8" s="83">
        <f>1-((1-_xlfn.NORM.DIST(-1,0,($AB$25-Table3[[#This Row],[scaled control]])*$AB$27,TRUE))*_xlfn.NORM.DIST(1,0,($AB$25-Table3[[#This Row],[scaled control]])*$AB$27,TRUE))</f>
        <v>1.0317546081842099E-2</v>
      </c>
      <c r="AF8" s="3">
        <f t="shared" si="2"/>
        <v>-4</v>
      </c>
      <c r="AG8" s="3">
        <f>$AG$25*($AG$34*Table3[[#This Row],[offense]])</f>
        <v>0</v>
      </c>
      <c r="AH8" s="3">
        <f t="shared" si="3"/>
        <v>0</v>
      </c>
      <c r="AI8" s="3">
        <f t="shared" si="4"/>
        <v>0</v>
      </c>
      <c r="AJ8" s="3">
        <f>$AJ$25*(Table3[[#This Row],[offense]]-$AJ$27)</f>
        <v>-0.5</v>
      </c>
      <c r="AK8" s="3" cm="1">
        <f t="array" ref="AK8">SUM(Table3[[#This Row],[count]:[current hitter vs next hitter]]*MIN(1, Table3[[#This Row],[defense]]))</f>
        <v>-0.45</v>
      </c>
      <c r="AL8" s="83">
        <f>$AL$25-(Table3[[#This Row],[calling modifier]]/(ABS(Table3[[#This Row],[calling modifier]])+$AL$29)*$AL$27)</f>
        <v>0.60880195599022002</v>
      </c>
      <c r="AM8" s="106">
        <f>$AL$25-$AL$27*TANH(Table3[[#This Row],[calling modifier]]/$AM$29)</f>
        <v>0.60899848155748382</v>
      </c>
      <c r="AN8" s="131">
        <f>MAX(0, 1-_xlfn.NORM.S.INV(Table3[[#This Row],[tanh strike percent]])*($AN$25*($AN$27-Table3[[#This Row],[defense]])))</f>
        <v>0.6790167688539277</v>
      </c>
      <c r="AO8" s="132">
        <f>MAX(0, 1-_xlfn.NORM.S.INV(Table3[[#This Row],[tanh strike percent]])*($AN$25*($AN$27-0.2)))</f>
        <v>0.69008515613482679</v>
      </c>
      <c r="AP8" s="132">
        <f>MAX(0, 1-_xlfn.NORM.S.INV(Table3[[#This Row],[tanh strike percent]])*($AN$25*($AN$27-2)))</f>
        <v>0.8893161271910095</v>
      </c>
      <c r="AQ8" s="132">
        <f>Table3[[#This Row],[called position]]-pitchmod*(pitchstdv-Table3[[#This Row],[defense]])</f>
        <v>-0.48098323114607222</v>
      </c>
      <c r="AR8" s="132">
        <f>ABS(Table3[[#This Row],[called position]]+pitchmod*(pitchstdv-Table3[[#This Row],[defense]]))</f>
        <v>1.8390167688539276</v>
      </c>
      <c r="AS8" s="132">
        <f>IF(AND(Table3[[#This Row],[location -1  stdv]]&lt;1, Table3[[#This Row],[location +1 stdv]]&gt;1),0, MIN(Table3[[#This Row],[location -1  stdv]]+1, 1-Table3[[#This Row],[location +1 stdv]]))</f>
        <v>0</v>
      </c>
      <c r="AT8" s="132">
        <f>IF(AND(Table3[[#This Row],[location -1  stdv]]&lt;0, Table3[[#This Row],[location +1 stdv]]&gt;0),1, MAX(1-ABS(Table3[[#This Row],[location -1  stdv]]), Table3[[#This Row],[location +1 stdv]]-1))</f>
        <v>1</v>
      </c>
      <c r="AU8" s="132">
        <f>$AU$30/(ABS(Table3[[#This Row],[called position]]-1)+$AU$27)+$AU$32*Table3[[#This Row],[defense]]</f>
        <v>0.52507830527008392</v>
      </c>
      <c r="AV8" s="132">
        <f>$AU$30/(ABS(0.5-1)+$AU$27)+$AU$32*Table3[[#This Row],[defense]]</f>
        <v>0.38333333333333336</v>
      </c>
      <c r="AW8" s="132">
        <f>$AU$30/(ABS(0.9-1)+$AU$27)+$AU$32*Table3[[#This Row],[defense]]</f>
        <v>1.0500000000000003</v>
      </c>
      <c r="AX8" s="132">
        <f>Table3[[#This Row],[defense]]*$AX$30+MAX(0, Table3[[#This Row],[called position]]-$AX$27)^$AX$25</f>
        <v>0.17574266316648918</v>
      </c>
      <c r="AY8" s="132">
        <f>Table3[[#This Row],[defense]]*$AX$30 + MAX(0, Table3[[#This Row],[location +1 stdv]]-$AX$27)^$AX$25</f>
        <v>1.6494551996816886</v>
      </c>
      <c r="AZ8" s="132">
        <f>Table3[[#This Row],[defense]]*$AX$30+MAX(0, 1-$AX$27)^$AX$25</f>
        <v>0.45355339059327382</v>
      </c>
      <c r="BA8" s="3">
        <f>MAX(0, 0.1*(1-Table3[[#This Row],[defense]]))</f>
        <v>9.0000000000000011E-2</v>
      </c>
      <c r="BB8" s="3">
        <f t="shared" si="5"/>
        <v>0.5</v>
      </c>
      <c r="BC8" s="132">
        <f>$AU$30/(ABS(Table3[[#This Row],[Location]]-1)+$AU$27)+$AU$32*Table3[[#This Row],[defense]]</f>
        <v>0.38333333333333336</v>
      </c>
      <c r="BD8" s="3" t="b">
        <f>Table3[[#This Row],[Location]]&lt;= (1+MAX(0, (Table3[[#This Row],[defense]]-1)*0.1))</f>
        <v>1</v>
      </c>
      <c r="BE8" s="118">
        <f>1/(1+Table3[[#This Row],[offense]])</f>
        <v>0.66666666666666663</v>
      </c>
      <c r="BF8" s="132">
        <f>Table3[[#This Row],[obscurity]]*Table3[[#This Row],[discipline modifier]]</f>
        <v>0.25555555555555554</v>
      </c>
      <c r="BG8" s="106">
        <f>1/(1+Table3[[#This Row],[effective obscurity]])</f>
        <v>0.79646017699115046</v>
      </c>
      <c r="BH8" s="106">
        <f>IF(Table3[[#This Row],[Strike?]],Table3[[#This Row],[odds of read]],1-Table3[[#This Row],[odds of read]])</f>
        <v>0.79646017699115046</v>
      </c>
      <c r="BI8" s="3">
        <f t="shared" si="6"/>
        <v>1</v>
      </c>
      <c r="BJ8" s="106">
        <f>Table3[[#This Row],[desperation echo]]*Table3[[#This Row],[unadjusted swing %]]</f>
        <v>0.79646017699115046</v>
      </c>
      <c r="BK8" s="131">
        <f>Table3[[#This Row],[ave obscurity]]</f>
        <v>0.52507830527008392</v>
      </c>
      <c r="BL8" s="106">
        <f>1/(1+Table3[[#This Row],[ave obscurity]]*Table3[[#This Row],[discipline modifier]])</f>
        <v>0.74071209794524251</v>
      </c>
      <c r="BM8" s="3">
        <f>Table3[[#This Row],[offense]]</f>
        <v>0.5</v>
      </c>
      <c r="BN8" s="132">
        <f>Table3[[#This Row],[average difficulty]]</f>
        <v>0.17574266316648918</v>
      </c>
      <c r="BO8" s="132">
        <f>Table3[[#This Row],[contact echo]]-Table3[[#This Row],[pitch carry forward diff]]</f>
        <v>0.32425733683351082</v>
      </c>
      <c r="BP8" s="106">
        <f>1-_xlfn.NORM.DIST($BP$27,Table3[[#This Row],[CF contact readiness]], $BP$30,TRUE)</f>
        <v>0.78075702290809812</v>
      </c>
      <c r="BQ8" s="106">
        <f>1-_xlfn.NORM.DIST($BP$25,Table3[[#This Row],[CF contact readiness]], $BP$30,TRUE)</f>
        <v>0.41089334838820257</v>
      </c>
      <c r="BR8" s="106">
        <f>1-Table3[[#This Row],[foul %]]</f>
        <v>0.21924297709190188</v>
      </c>
      <c r="BS8" s="132">
        <f>(Table3[[#This Row],[CF contact readiness]]-$BP$27)/$BP$30</f>
        <v>0.77475244561117018</v>
      </c>
      <c r="BT8" s="132">
        <f>(Table3[[#This Row],[CF contact readiness]]+$BP$30-$BP$27)/$BP$30</f>
        <v>1.7747524456111703</v>
      </c>
      <c r="BU8" s="3">
        <f>MAX(0, IF(ISBLANK($BU$28), Table3[[#This Row],[hit quality +1stdv]], $BU$28)-1)</f>
        <v>0.77475244561117029</v>
      </c>
      <c r="BV8" s="3">
        <f>$BV$25+Table3[[#This Row],[offense]]*$BV$28</f>
        <v>12.5</v>
      </c>
      <c r="BW8" s="3">
        <f>$BW$25*$BW$28/($BW$28+Table3[[#This Row],[hit quality remainder]])</f>
        <v>15.689320753106029</v>
      </c>
      <c r="BX8" s="106">
        <f>_xlfn.NORM.DIST(10,Table3[[#This Row],[adjusted launch angle]],Table3[[#This Row],[angle stdev]],TRUE)</f>
        <v>0.43669890635404063</v>
      </c>
      <c r="BY8" s="106">
        <f>1-_xlfn.NORM.DIST(50, Table3[[#This Row],[adjusted launch angle]],Table3[[#This Row],[angle stdev]],TRUE)</f>
        <v>8.4204979670932101E-3</v>
      </c>
      <c r="BZ8" s="106">
        <f t="shared" si="7"/>
        <v>0.42944875004736094</v>
      </c>
      <c r="CA8" s="3">
        <f>$CA$25+Table3[[#This Row],[offense]]*($CA$27-$CA$25)/2</f>
        <v>80</v>
      </c>
      <c r="CB8" s="3">
        <f>Table3[[#This Row],[exit velocity mean]]-Table3[[#This Row],[reduction]]*100</f>
        <v>71</v>
      </c>
      <c r="CC8" s="156">
        <f>Table3[[#This Row],[exit velocity mean]]^2*2*SIN(RADIANS(Table3[[#This Row],[adjusted launch angle]]))/$CC$28*5280</f>
        <v>182.8481858549093</v>
      </c>
      <c r="CD8" s="118">
        <f>2*Table3[[#This Row],[exit velocity mean]]*SIN(RADIANS(Table3[[#This Row],[adjusted launch angle]]))/$CC$28*60*60</f>
        <v>1.558365220354341</v>
      </c>
      <c r="CE8" s="156">
        <f>Table3[[#This Row],[theoretical distance]]-Table3[[#This Row],[flight time]]^2*$CE$25</f>
        <v>143.99215129474877</v>
      </c>
      <c r="CF8" s="3">
        <f>Table3[[#This Row],[exit velocity mean]]+$CC$25-Table3[[#This Row],[reduction]]*100</f>
        <v>83.5</v>
      </c>
      <c r="CG8" s="3">
        <f>MIN(Table3[[#This Row],[adjusted launch angle]]+Table3[[#This Row],[angle stdev]], 30)</f>
        <v>28.189320753106031</v>
      </c>
      <c r="CH8" s="118">
        <f>2*Table3[[#This Row],[+1stdv EV]]*SIN(RADIANS(Table3[[#This Row],[+1stdv LA]]))/$CC$28*60*60</f>
        <v>3.5499844893060266</v>
      </c>
      <c r="CI8" s="156">
        <f>Table3[[#This Row],[+1stdv EV]]^2*2*SIN(RADIANS(Table3[[#This Row],[+1stdv LA]]))/$CC$28*5280-Table3[[#This Row],[+1stdv flight time]]^2*$CE$25</f>
        <v>233.11652913466412</v>
      </c>
      <c r="CJ8" s="156">
        <f>Table3[[#This Row],[+1stdev distance]]-Table3[[#This Row],[actual distance]]</f>
        <v>89.124377839915354</v>
      </c>
    </row>
    <row r="9" spans="1:119"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8"/>
        <v>1</v>
      </c>
      <c r="X9" s="50">
        <f>Table3[[#This Row],[ball factor]]/$X$32*(1-$X$34)+$X$34</f>
        <v>1.1411764705882355</v>
      </c>
      <c r="Y9" s="4">
        <f>Table3[[#This Row],[offense]]</f>
        <v>1</v>
      </c>
      <c r="Z9" s="84">
        <f t="shared" si="1"/>
        <v>-0.90000000000000013</v>
      </c>
      <c r="AA9" s="84">
        <f>IF(Table3[[#This Row],[player control]]&gt;1,Table3[[#This Row],[player control]]*$AA$41+$AA$40,Table3[[#This Row],[player control]]*$AA$39+$AA$38)</f>
        <v>0.40000000000000008</v>
      </c>
      <c r="AB9" s="85">
        <f>_xlfn.NORM.DIST(-1,Table3[[#This Row],[ideal steer]],($AB$25-Table3[[#This Row],[scaled control]])*$AB$27,TRUE)</f>
        <v>0.39059147543357509</v>
      </c>
      <c r="AC9" s="85">
        <f>1-_xlfn.NORM.DIST(1,Table3[[#This Row],[ideal steer]],($AB$25-Table3[[#This Row],[scaled control]])*$AB$27,TRUE)</f>
        <v>6.5379949898414225E-8</v>
      </c>
      <c r="AD9" s="85">
        <f>1-(1-Table3[[#This Row],[unmod foul percent 3rd]])*(1-Table3[[#This Row],[unmod foul percent 1st]])</f>
        <v>0.39059151527667391</v>
      </c>
      <c r="AE9" s="85">
        <f>1-((1-_xlfn.NORM.DIST(-1,0,($AB$25-Table3[[#This Row],[scaled control]])*$AB$27,TRUE))*_xlfn.NORM.DIST(1,0,($AB$25-Table3[[#This Row],[scaled control]])*$AB$27,TRUE))</f>
        <v>5.465714583151815E-3</v>
      </c>
      <c r="AF9" s="4">
        <f t="shared" si="2"/>
        <v>-4</v>
      </c>
      <c r="AG9" s="4">
        <f>$AG$25*($AG$34*Table3[[#This Row],[offense]])</f>
        <v>0</v>
      </c>
      <c r="AH9" s="4">
        <f t="shared" si="3"/>
        <v>0</v>
      </c>
      <c r="AI9" s="4">
        <f t="shared" si="4"/>
        <v>0</v>
      </c>
      <c r="AJ9" s="4">
        <f>$AJ$25*(Table3[[#This Row],[offense]]-$AJ$27)</f>
        <v>0</v>
      </c>
      <c r="AK9" s="4" cm="1">
        <f t="array" ref="AK9">SUM(Table3[[#This Row],[count]:[current hitter vs next hitter]]*MIN(1, Table3[[#This Row],[defense]]))</f>
        <v>-0.4</v>
      </c>
      <c r="AL9" s="85">
        <f>$AL$25-(Table3[[#This Row],[calling modifier]]/(ABS(Table3[[#This Row],[calling modifier]])+$AL$29)*$AL$27)</f>
        <v>0.60784313725490191</v>
      </c>
      <c r="AM9" s="107">
        <f>$AL$25-$AL$27*TANH(Table3[[#This Row],[calling modifier]]/$AM$29)</f>
        <v>0.60799893350397238</v>
      </c>
      <c r="AN9" s="133">
        <f>MAX(0, 1-_xlfn.NORM.S.INV(Table3[[#This Row],[tanh strike percent]])*($AN$25*($AN$27-Table3[[#This Row],[defense]])))</f>
        <v>0.68203548515294243</v>
      </c>
      <c r="AO9" s="134">
        <f>MAX(0, 1-_xlfn.NORM.S.INV(Table3[[#This Row],[tanh strike percent]])*($AN$25*($AN$27-0.2)))</f>
        <v>0.69299977876835817</v>
      </c>
      <c r="AP9" s="134">
        <f>MAX(0, 1-_xlfn.NORM.S.INV(Table3[[#This Row],[tanh strike percent]])*($AN$25*($AN$27-2)))</f>
        <v>0.89035706384584223</v>
      </c>
      <c r="AQ9" s="134">
        <f>Table3[[#This Row],[called position]]-pitchmod*(pitchstdv-Table3[[#This Row],[defense]])</f>
        <v>-0.47796451484705749</v>
      </c>
      <c r="AR9" s="134">
        <f>ABS(Table3[[#This Row],[called position]]+pitchmod*(pitchstdv-Table3[[#This Row],[defense]]))</f>
        <v>1.8420354851529424</v>
      </c>
      <c r="AS9" s="134">
        <f>IF(AND(Table3[[#This Row],[location -1  stdv]]&lt;1, Table3[[#This Row],[location +1 stdv]]&gt;1),0, MIN(Table3[[#This Row],[location -1  stdv]]+1, 1-Table3[[#This Row],[location +1 stdv]]))</f>
        <v>0</v>
      </c>
      <c r="AT9" s="134">
        <f>IF(AND(Table3[[#This Row],[location -1  stdv]]&lt;0, Table3[[#This Row],[location +1 stdv]]&gt;0),1, MAX(1-ABS(Table3[[#This Row],[location -1  stdv]]), Table3[[#This Row],[location +1 stdv]]-1))</f>
        <v>1</v>
      </c>
      <c r="AU9" s="134">
        <f>$AU$30/(ABS(Table3[[#This Row],[called position]]-1)+$AU$27)+$AU$32*Table3[[#This Row],[defense]]</f>
        <v>0.52850952149175734</v>
      </c>
      <c r="AV9" s="134">
        <f>$AU$30/(ABS(0.5-1)+$AU$27)+$AU$32*Table3[[#This Row],[defense]]</f>
        <v>0.38333333333333336</v>
      </c>
      <c r="AW9" s="134">
        <f>$AU$30/(ABS(0.9-1)+$AU$27)+$AU$32*Table3[[#This Row],[defense]]</f>
        <v>1.0500000000000003</v>
      </c>
      <c r="AX9" s="134">
        <f>Table3[[#This Row],[defense]]*$AX$30+MAX(0, Table3[[#This Row],[called position]]-$AX$27)^$AX$25</f>
        <v>0.17766656242028445</v>
      </c>
      <c r="AY9" s="134">
        <f>Table3[[#This Row],[defense]]*$AX$30 + MAX(0, Table3[[#This Row],[location +1 stdv]]-$AX$27)^$AX$25</f>
        <v>1.6546978534488685</v>
      </c>
      <c r="AZ9" s="134">
        <f>Table3[[#This Row],[defense]]*$AX$30+MAX(0, 1-$AX$27)^$AX$25</f>
        <v>0.45355339059327382</v>
      </c>
      <c r="BA9" s="4">
        <f>MAX(0, 0.1*(1-Table3[[#This Row],[defense]]))</f>
        <v>9.0000000000000011E-2</v>
      </c>
      <c r="BB9" s="4">
        <f t="shared" si="5"/>
        <v>0.5</v>
      </c>
      <c r="BC9" s="134">
        <f>$AU$30/(ABS(Table3[[#This Row],[Location]]-1)+$AU$27)+$AU$32*Table3[[#This Row],[defense]]</f>
        <v>0.38333333333333336</v>
      </c>
      <c r="BD9" s="4" t="b">
        <f>Table3[[#This Row],[Location]]&lt;= (1+MAX(0, (Table3[[#This Row],[defense]]-1)*0.1))</f>
        <v>1</v>
      </c>
      <c r="BE9" s="119">
        <f>1/(1+Table3[[#This Row],[offense]])</f>
        <v>0.5</v>
      </c>
      <c r="BF9" s="134">
        <f>Table3[[#This Row],[obscurity]]*Table3[[#This Row],[discipline modifier]]</f>
        <v>0.19166666666666668</v>
      </c>
      <c r="BG9" s="107">
        <f>1/(1+Table3[[#This Row],[effective obscurity]])</f>
        <v>0.83916083916083917</v>
      </c>
      <c r="BH9" s="107">
        <f>IF(Table3[[#This Row],[Strike?]],Table3[[#This Row],[odds of read]],1-Table3[[#This Row],[odds of read]])</f>
        <v>0.83916083916083917</v>
      </c>
      <c r="BI9" s="4">
        <f t="shared" si="6"/>
        <v>1</v>
      </c>
      <c r="BJ9" s="107">
        <f>Table3[[#This Row],[desperation echo]]*Table3[[#This Row],[unadjusted swing %]]</f>
        <v>0.83916083916083917</v>
      </c>
      <c r="BK9" s="133">
        <f>Table3[[#This Row],[ave obscurity]]</f>
        <v>0.52850952149175734</v>
      </c>
      <c r="BL9" s="107">
        <f>1/(1+Table3[[#This Row],[ave obscurity]]*Table3[[#This Row],[discipline modifier]])</f>
        <v>0.79097981755672808</v>
      </c>
      <c r="BM9" s="4">
        <f>Table3[[#This Row],[offense]]</f>
        <v>1</v>
      </c>
      <c r="BN9" s="134">
        <f>Table3[[#This Row],[average difficulty]]</f>
        <v>0.17766656242028445</v>
      </c>
      <c r="BO9" s="134">
        <f>Table3[[#This Row],[contact echo]]-Table3[[#This Row],[pitch carry forward diff]]</f>
        <v>0.82233343757971555</v>
      </c>
      <c r="BP9" s="107">
        <f>1-_xlfn.NORM.DIST($BP$27,Table3[[#This Row],[CF contact readiness]], $BP$30,TRUE)</f>
        <v>0.82659063331786464</v>
      </c>
      <c r="BQ9" s="107">
        <f>1-_xlfn.NORM.DIST($BP$25,Table3[[#This Row],[CF contact readiness]], $BP$30,TRUE)</f>
        <v>0.47638756880377942</v>
      </c>
      <c r="BR9" s="107">
        <f>1-Table3[[#This Row],[foul %]]</f>
        <v>0.17340936668213536</v>
      </c>
      <c r="BS9" s="134">
        <f>(Table3[[#This Row],[CF contact readiness]]-$BP$27)/$BP$30</f>
        <v>0.94077781252657189</v>
      </c>
      <c r="BT9" s="134">
        <f>(Table3[[#This Row],[CF contact readiness]]+$BP$30-$BP$27)/$BP$30</f>
        <v>1.9407778125265718</v>
      </c>
      <c r="BU9" s="4">
        <f>MAX(0, IF(ISBLANK($BU$28), Table3[[#This Row],[hit quality +1stdv]], $BU$28)-1)</f>
        <v>0.94077781252657178</v>
      </c>
      <c r="BV9" s="4">
        <f>$BV$25+Table3[[#This Row],[offense]]*$BV$28</f>
        <v>15</v>
      </c>
      <c r="BW9" s="4">
        <f>$BW$25*$BW$28/($BW$28+Table3[[#This Row],[hit quality remainder]])</f>
        <v>13.881390889083494</v>
      </c>
      <c r="BX9" s="107">
        <f>_xlfn.NORM.DIST(10,Table3[[#This Row],[adjusted launch angle]],Table3[[#This Row],[angle stdev]],TRUE)</f>
        <v>0.35935086123913501</v>
      </c>
      <c r="BY9" s="107">
        <f>1-_xlfn.NORM.DIST(50, Table3[[#This Row],[adjusted launch angle]],Table3[[#This Row],[angle stdev]],TRUE)</f>
        <v>5.8450897212606323E-3</v>
      </c>
      <c r="BZ9" s="107">
        <f t="shared" si="7"/>
        <v>0.42944875004736094</v>
      </c>
      <c r="CA9" s="4">
        <f>$CA$25+Table3[[#This Row],[offense]]*($CA$27-$CA$25)/2</f>
        <v>90</v>
      </c>
      <c r="CB9" s="4">
        <f>Table3[[#This Row],[exit velocity mean]]-Table3[[#This Row],[reduction]]*100</f>
        <v>81</v>
      </c>
      <c r="CC9" s="157">
        <f>Table3[[#This Row],[exit velocity mean]]^2*2*SIN(RADIANS(Table3[[#This Row],[adjusted launch angle]]))/$CC$28*5280</f>
        <v>276.72932302361517</v>
      </c>
      <c r="CD9" s="119">
        <f>2*Table3[[#This Row],[exit velocity mean]]*SIN(RADIANS(Table3[[#This Row],[adjusted launch angle]]))/$CC$28*60*60</f>
        <v>2.0964342653304175</v>
      </c>
      <c r="CE9" s="157">
        <f>Table3[[#This Row],[theoretical distance]]-Table3[[#This Row],[flight time]]^2*$CE$25</f>
        <v>206.40873696199137</v>
      </c>
      <c r="CF9" s="4">
        <f>Table3[[#This Row],[exit velocity mean]]+$CC$25-Table3[[#This Row],[reduction]]*100</f>
        <v>93.5</v>
      </c>
      <c r="CG9" s="4">
        <f>MIN(Table3[[#This Row],[adjusted launch angle]]+Table3[[#This Row],[angle stdev]], 30)</f>
        <v>28.881390889083494</v>
      </c>
      <c r="CH9" s="119">
        <f>2*Table3[[#This Row],[+1stdv EV]]*SIN(RADIANS(Table3[[#This Row],[+1stdv LA]]))/$CC$28*60*60</f>
        <v>4.0644282997712828</v>
      </c>
      <c r="CI9" s="157">
        <f>Table3[[#This Row],[+1stdv EV]]^2*2*SIN(RADIANS(Table3[[#This Row],[+1stdv LA]]))/$CC$28*5280-Table3[[#This Row],[+1stdv flight time]]^2*$CE$25</f>
        <v>293.05536237826169</v>
      </c>
      <c r="CJ9" s="157">
        <f>Table3[[#This Row],[+1stdev distance]]-Table3[[#This Row],[actual distance]]</f>
        <v>86.646625416270325</v>
      </c>
    </row>
    <row r="10" spans="1:119"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8"/>
        <v>1</v>
      </c>
      <c r="X10" s="49">
        <f>Table3[[#This Row],[ball factor]]/$X$32*(1-$X$34)+$X$34</f>
        <v>1.1411764705882355</v>
      </c>
      <c r="Y10" s="3">
        <f>Table3[[#This Row],[offense]]</f>
        <v>2</v>
      </c>
      <c r="Z10" s="82">
        <f t="shared" si="1"/>
        <v>-0.90000000000000013</v>
      </c>
      <c r="AA10" s="82">
        <f>IF(Table3[[#This Row],[player control]]&gt;1,Table3[[#This Row],[player control]]*$AA$41+$AA$40,Table3[[#This Row],[player control]]*$AA$39+$AA$38)</f>
        <v>2</v>
      </c>
      <c r="AB10" s="83">
        <f>_xlfn.NORM.DIST(-1,Table3[[#This Row],[ideal steer]],($AB$25-Table3[[#This Row],[scaled control]])*$AB$27,TRUE)</f>
        <v>0.3085375387259871</v>
      </c>
      <c r="AC10" s="83">
        <f>1-_xlfn.NORM.DIST(1,Table3[[#This Row],[ideal steer]],($AB$25-Table3[[#This Row],[scaled control]])*$AB$27,TRUE)</f>
        <v>0</v>
      </c>
      <c r="AD10" s="83">
        <f>1-(1-Table3[[#This Row],[unmod foul percent 3rd]])*(1-Table3[[#This Row],[unmod foul percent 1st]])</f>
        <v>0.3085375387259871</v>
      </c>
      <c r="AE10" s="83">
        <f>1-((1-_xlfn.NORM.DIST(-1,0,($AB$25-Table3[[#This Row],[scaled control]])*$AB$27,TRUE))*_xlfn.NORM.DIST(1,0,($AB$25-Table3[[#This Row],[scaled control]])*$AB$27,TRUE))</f>
        <v>5.7330306169056655E-7</v>
      </c>
      <c r="AF10" s="3">
        <f t="shared" si="2"/>
        <v>-4</v>
      </c>
      <c r="AG10" s="3">
        <f>$AG$25*($AG$34*Table3[[#This Row],[offense]])</f>
        <v>0</v>
      </c>
      <c r="AH10" s="3">
        <f t="shared" si="3"/>
        <v>0</v>
      </c>
      <c r="AI10" s="3">
        <f t="shared" si="4"/>
        <v>0</v>
      </c>
      <c r="AJ10" s="3">
        <f>$AJ$25*(Table3[[#This Row],[offense]]-$AJ$27)</f>
        <v>1</v>
      </c>
      <c r="AK10" s="3" cm="1">
        <f t="array" ref="AK10">SUM(Table3[[#This Row],[count]:[current hitter vs next hitter]]*MIN(1, Table3[[#This Row],[defense]]))</f>
        <v>-0.30000000000000004</v>
      </c>
      <c r="AL10" s="83">
        <f>$AL$25-(Table3[[#This Row],[calling modifier]]/(ABS(Table3[[#This Row],[calling modifier]])+$AL$29)*$AL$27)</f>
        <v>0.60591133004926101</v>
      </c>
      <c r="AM10" s="106">
        <f>$AL$25-$AL$27*TANH(Table3[[#This Row],[calling modifier]]/$AM$29)</f>
        <v>0.60599955004049633</v>
      </c>
      <c r="AN10" s="131">
        <f>MAX(0, 1-_xlfn.NORM.S.INV(Table3[[#This Row],[tanh strike percent]])*($AN$25*($AN$27-Table3[[#This Row],[defense]])))</f>
        <v>0.68806735214557979</v>
      </c>
      <c r="AO10" s="132">
        <f>MAX(0, 1-_xlfn.NORM.S.INV(Table3[[#This Row],[tanh strike percent]])*($AN$25*($AN$27-0.2)))</f>
        <v>0.6988236503474563</v>
      </c>
      <c r="AP10" s="132">
        <f>MAX(0, 1-_xlfn.NORM.S.INV(Table3[[#This Row],[tanh strike percent]])*($AN$25*($AN$27-2)))</f>
        <v>0.89243701798123443</v>
      </c>
      <c r="AQ10" s="132">
        <f>Table3[[#This Row],[called position]]-pitchmod*(pitchstdv-Table3[[#This Row],[defense]])</f>
        <v>-0.47193264785442013</v>
      </c>
      <c r="AR10" s="132">
        <f>ABS(Table3[[#This Row],[called position]]+pitchmod*(pitchstdv-Table3[[#This Row],[defense]]))</f>
        <v>1.8480673521455797</v>
      </c>
      <c r="AS10" s="132">
        <f>IF(AND(Table3[[#This Row],[location -1  stdv]]&lt;1, Table3[[#This Row],[location +1 stdv]]&gt;1),0, MIN(Table3[[#This Row],[location -1  stdv]]+1, 1-Table3[[#This Row],[location +1 stdv]]))</f>
        <v>0</v>
      </c>
      <c r="AT10" s="132">
        <f>IF(AND(Table3[[#This Row],[location -1  stdv]]&lt;0, Table3[[#This Row],[location +1 stdv]]&gt;0),1, MAX(1-ABS(Table3[[#This Row],[location -1  stdv]]), Table3[[#This Row],[location +1 stdv]]-1))</f>
        <v>1</v>
      </c>
      <c r="AU10" s="132">
        <f>$AU$30/(ABS(Table3[[#This Row],[called position]]-1)+$AU$27)+$AU$32*Table3[[#This Row],[defense]]</f>
        <v>0.53551626350014725</v>
      </c>
      <c r="AV10" s="132">
        <f>$AU$30/(ABS(0.5-1)+$AU$27)+$AU$32*Table3[[#This Row],[defense]]</f>
        <v>0.38333333333333336</v>
      </c>
      <c r="AW10" s="132">
        <f>$AU$30/(ABS(0.9-1)+$AU$27)+$AU$32*Table3[[#This Row],[defense]]</f>
        <v>1.0500000000000003</v>
      </c>
      <c r="AX10" s="132">
        <f>Table3[[#This Row],[defense]]*$AX$30+MAX(0, Table3[[#This Row],[called position]]-$AX$27)^$AX$25</f>
        <v>0.18155866625617012</v>
      </c>
      <c r="AY10" s="132">
        <f>Table3[[#This Row],[defense]]*$AX$30 + MAX(0, Table3[[#This Row],[location +1 stdv]]-$AX$27)^$AX$25</f>
        <v>1.6651911601796676</v>
      </c>
      <c r="AZ10" s="132">
        <f>Table3[[#This Row],[defense]]*$AX$30+MAX(0, 1-$AX$27)^$AX$25</f>
        <v>0.45355339059327382</v>
      </c>
      <c r="BA10" s="3">
        <f>MAX(0, 0.1*(1-Table3[[#This Row],[defense]]))</f>
        <v>9.0000000000000011E-2</v>
      </c>
      <c r="BB10" s="3">
        <f t="shared" si="5"/>
        <v>0.5</v>
      </c>
      <c r="BC10" s="132">
        <f>$AU$30/(ABS(Table3[[#This Row],[Location]]-1)+$AU$27)+$AU$32*Table3[[#This Row],[defense]]</f>
        <v>0.38333333333333336</v>
      </c>
      <c r="BD10" s="3" t="b">
        <f>Table3[[#This Row],[Location]]&lt;= (1+MAX(0, (Table3[[#This Row],[defense]]-1)*0.1))</f>
        <v>1</v>
      </c>
      <c r="BE10" s="118">
        <f>1/(1+Table3[[#This Row],[offense]])</f>
        <v>0.33333333333333331</v>
      </c>
      <c r="BF10" s="132">
        <f>Table3[[#This Row],[obscurity]]*Table3[[#This Row],[discipline modifier]]</f>
        <v>0.12777777777777777</v>
      </c>
      <c r="BG10" s="106">
        <f>1/(1+Table3[[#This Row],[effective obscurity]])</f>
        <v>0.88669950738916259</v>
      </c>
      <c r="BH10" s="106">
        <f>IF(Table3[[#This Row],[Strike?]],Table3[[#This Row],[odds of read]],1-Table3[[#This Row],[odds of read]])</f>
        <v>0.88669950738916259</v>
      </c>
      <c r="BI10" s="3">
        <f t="shared" si="6"/>
        <v>1</v>
      </c>
      <c r="BJ10" s="106">
        <f>Table3[[#This Row],[desperation echo]]*Table3[[#This Row],[unadjusted swing %]]</f>
        <v>0.88669950738916259</v>
      </c>
      <c r="BK10" s="131">
        <f>Table3[[#This Row],[ave obscurity]]</f>
        <v>0.53551626350014725</v>
      </c>
      <c r="BL10" s="106">
        <f>1/(1+Table3[[#This Row],[ave obscurity]]*Table3[[#This Row],[discipline modifier]])</f>
        <v>0.84853237162880757</v>
      </c>
      <c r="BM10" s="3">
        <f>Table3[[#This Row],[offense]]</f>
        <v>2</v>
      </c>
      <c r="BN10" s="132">
        <f>Table3[[#This Row],[average difficulty]]</f>
        <v>0.18155866625617012</v>
      </c>
      <c r="BO10" s="132">
        <f>Table3[[#This Row],[contact echo]]-Table3[[#This Row],[pitch carry forward diff]]</f>
        <v>1.8184413337438299</v>
      </c>
      <c r="BP10" s="106">
        <f>1-_xlfn.NORM.DIST($BP$27,Table3[[#This Row],[CF contact readiness]], $BP$30,TRUE)</f>
        <v>0.89845793456050538</v>
      </c>
      <c r="BQ10" s="106">
        <f>1-_xlfn.NORM.DIST($BP$25,Table3[[#This Row],[CF contact readiness]], $BP$30,TRUE)</f>
        <v>0.60750181603215569</v>
      </c>
      <c r="BR10" s="106">
        <f>1-Table3[[#This Row],[foul %]]</f>
        <v>0.10154206543949462</v>
      </c>
      <c r="BS10" s="132">
        <f>(Table3[[#This Row],[CF contact readiness]]-$BP$27)/$BP$30</f>
        <v>1.27281377791461</v>
      </c>
      <c r="BT10" s="132">
        <f>(Table3[[#This Row],[CF contact readiness]]+$BP$30-$BP$27)/$BP$30</f>
        <v>2.2728137779146098</v>
      </c>
      <c r="BU10" s="3">
        <f>MAX(0, IF(ISBLANK($BU$28), Table3[[#This Row],[hit quality +1stdv]], $BU$28)-1)</f>
        <v>1.2728137779146098</v>
      </c>
      <c r="BV10" s="3">
        <f>$BV$25+Table3[[#This Row],[offense]]*$BV$28</f>
        <v>20</v>
      </c>
      <c r="BW10" s="3">
        <f>$BW$25*$BW$28/($BW$28+Table3[[#This Row],[hit quality remainder]])</f>
        <v>11.281500769655757</v>
      </c>
      <c r="BX10" s="106">
        <f>_xlfn.NORM.DIST(10,Table3[[#This Row],[adjusted launch angle]],Table3[[#This Row],[angle stdev]],TRUE)</f>
        <v>0.18769915416172575</v>
      </c>
      <c r="BY10" s="106">
        <f>1-_xlfn.NORM.DIST(50, Table3[[#This Row],[adjusted launch angle]],Table3[[#This Row],[angle stdev]],TRUE)</f>
        <v>3.9160823204601458E-3</v>
      </c>
      <c r="BZ10" s="106">
        <f t="shared" si="7"/>
        <v>0.42944875004736094</v>
      </c>
      <c r="CA10" s="3">
        <f>$CA$25+Table3[[#This Row],[offense]]*($CA$27-$CA$25)/2</f>
        <v>110</v>
      </c>
      <c r="CB10" s="3">
        <f>Table3[[#This Row],[exit velocity mean]]-Table3[[#This Row],[reduction]]*100</f>
        <v>101</v>
      </c>
      <c r="CC10" s="156">
        <f>Table3[[#This Row],[exit velocity mean]]^2*2*SIN(RADIANS(Table3[[#This Row],[adjusted launch angle]]))/$CC$28*5280</f>
        <v>546.27457291975804</v>
      </c>
      <c r="CD10" s="118">
        <f>2*Table3[[#This Row],[exit velocity mean]]*SIN(RADIANS(Table3[[#This Row],[adjusted launch angle]]))/$CC$28*60*60</f>
        <v>3.3859994189241207</v>
      </c>
      <c r="CE10" s="156">
        <f>Table3[[#This Row],[theoretical distance]]-Table3[[#This Row],[flight time]]^2*$CE$25</f>
        <v>362.83469988048631</v>
      </c>
      <c r="CF10" s="3">
        <f>Table3[[#This Row],[exit velocity mean]]+$CC$25-Table3[[#This Row],[reduction]]*100</f>
        <v>113.5</v>
      </c>
      <c r="CG10" s="3">
        <f>MIN(Table3[[#This Row],[adjusted launch angle]]+Table3[[#This Row],[angle stdev]], 30)</f>
        <v>30</v>
      </c>
      <c r="CH10" s="118">
        <f>2*Table3[[#This Row],[+1stdv EV]]*SIN(RADIANS(Table3[[#This Row],[+1stdv LA]]))/$CC$28*60*60</f>
        <v>5.1074999999999999</v>
      </c>
      <c r="CI10" s="156">
        <f>Table3[[#This Row],[+1stdv EV]]^2*2*SIN(RADIANS(Table3[[#This Row],[+1stdv LA]]))/$CC$28*5280-Table3[[#This Row],[+1stdv flight time]]^2*$CE$25</f>
        <v>432.84359999999981</v>
      </c>
      <c r="CJ10" s="156">
        <f>Table3[[#This Row],[+1stdev distance]]-Table3[[#This Row],[actual distance]]</f>
        <v>70.008900119513498</v>
      </c>
    </row>
    <row r="11" spans="1:119"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8"/>
        <v>1</v>
      </c>
      <c r="X11" s="51">
        <f>Table3[[#This Row],[ball factor]]/$X$32*(1-$X$34)+$X$34</f>
        <v>1.1411764705882355</v>
      </c>
      <c r="Y11" s="13">
        <f>Table3[[#This Row],[offense]]</f>
        <v>0.1</v>
      </c>
      <c r="Z11" s="86">
        <f t="shared" si="1"/>
        <v>-0.90000000000000013</v>
      </c>
      <c r="AA11" s="86">
        <f>IF(Table3[[#This Row],[player control]]&gt;1,Table3[[#This Row],[player control]]*$AA$41+$AA$40,Table3[[#This Row],[player control]]*$AA$39+$AA$38)</f>
        <v>-0.14000000000000001</v>
      </c>
      <c r="AB11" s="87">
        <f>_xlfn.NORM.DIST(-1,Table3[[#This Row],[ideal steer]],($AB$25-Table3[[#This Row],[scaled control]])*$AB$27,TRUE)</f>
        <v>0.40456602559459909</v>
      </c>
      <c r="AC11" s="87">
        <f>1-_xlfn.NORM.DIST(1,Table3[[#This Row],[ideal steer]],($AB$25-Table3[[#This Row],[scaled control]])*$AB$27,TRUE)</f>
        <v>2.2229077858426649E-6</v>
      </c>
      <c r="AD11" s="87">
        <f>1-(1-Table3[[#This Row],[unmod foul percent 3rd]])*(1-Table3[[#This Row],[unmod foul percent 1st]])</f>
        <v>0.40456734918941673</v>
      </c>
      <c r="AE11" s="87">
        <f>1-((1-_xlfn.NORM.DIST(-1,0,($AB$25-Table3[[#This Row],[scaled control]])*$AB$27,TRUE))*_xlfn.NORM.DIST(1,0,($AB$25-Table3[[#This Row],[scaled control]])*$AB$27,TRUE))</f>
        <v>1.5653650964326582E-2</v>
      </c>
      <c r="AF11" s="13">
        <f t="shared" si="2"/>
        <v>-4</v>
      </c>
      <c r="AG11" s="13">
        <f>$AG$25*($AG$34*Table3[[#This Row],[offense]])</f>
        <v>0</v>
      </c>
      <c r="AH11" s="13">
        <f t="shared" si="3"/>
        <v>0</v>
      </c>
      <c r="AI11" s="13">
        <f t="shared" si="4"/>
        <v>0</v>
      </c>
      <c r="AJ11" s="13">
        <f>$AJ$25*(Table3[[#This Row],[offense]]-$AJ$27)</f>
        <v>-0.9</v>
      </c>
      <c r="AK11" s="13" cm="1">
        <f t="array" ref="AK11">SUM(Table3[[#This Row],[count]:[current hitter vs next hitter]]*MIN(1, Table3[[#This Row],[defense]]))</f>
        <v>-2.4500000000000002</v>
      </c>
      <c r="AL11" s="87">
        <f>$AL$25-(Table3[[#This Row],[calling modifier]]/(ABS(Table3[[#This Row],[calling modifier]])+$AL$29)*$AL$27)</f>
        <v>0.64365256124721604</v>
      </c>
      <c r="AM11" s="108">
        <f>$AL$25-$AL$27*TANH(Table3[[#This Row],[calling modifier]]/$AM$29)</f>
        <v>0.6487563602597729</v>
      </c>
      <c r="AN11" s="135">
        <f>MAX(0, 1-_xlfn.NORM.S.INV(Table3[[#This Row],[tanh strike percent]])*($AN$25*($AN$27-Table3[[#This Row],[defense]])))</f>
        <v>0.61803493756775341</v>
      </c>
      <c r="AO11" s="136">
        <f>MAX(0, 1-_xlfn.NORM.S.INV(Table3[[#This Row],[tanh strike percent]])*($AN$25*($AN$27-0.2)))</f>
        <v>0.57219913007588374</v>
      </c>
      <c r="AP11" s="136">
        <f>MAX(0, 1-_xlfn.NORM.S.INV(Table3[[#This Row],[tanh strike percent]])*($AN$25*($AN$27-2)))</f>
        <v>0.84721397502710127</v>
      </c>
      <c r="AQ11" s="136">
        <f>Table3[[#This Row],[called position]]-pitchmod*(pitchstdv-Table3[[#This Row],[defense]])</f>
        <v>-0.38196506243224659</v>
      </c>
      <c r="AR11" s="136">
        <f>ABS(Table3[[#This Row],[called position]]+pitchmod*(pitchstdv-Table3[[#This Row],[defense]]))</f>
        <v>1.6180349375677534</v>
      </c>
      <c r="AS11" s="136">
        <f>IF(AND(Table3[[#This Row],[location -1  stdv]]&lt;1, Table3[[#This Row],[location +1 stdv]]&gt;1),0, MIN(Table3[[#This Row],[location -1  stdv]]+1, 1-Table3[[#This Row],[location +1 stdv]]))</f>
        <v>0</v>
      </c>
      <c r="AT11" s="136">
        <f>IF(AND(Table3[[#This Row],[location -1  stdv]]&lt;0, Table3[[#This Row],[location +1 stdv]]&gt;0),1, MAX(1-ABS(Table3[[#This Row],[location -1  stdv]]), Table3[[#This Row],[location +1 stdv]]-1))</f>
        <v>1</v>
      </c>
      <c r="AU11" s="136">
        <f>$AU$30/(ABS(Table3[[#This Row],[called position]]-1)+$AU$27)+$AU$32*Table3[[#This Row],[defense]]</f>
        <v>0.66496783810572468</v>
      </c>
      <c r="AV11" s="136">
        <f>$AU$30/(ABS(0.5-1)+$AU$27)+$AU$32*Table3[[#This Row],[defense]]</f>
        <v>0.58333333333333337</v>
      </c>
      <c r="AW11" s="136">
        <f>$AU$30/(ABS(0.9-1)+$AU$27)+$AU$32*Table3[[#This Row],[defense]]</f>
        <v>1.2500000000000002</v>
      </c>
      <c r="AX11" s="136">
        <f>Table3[[#This Row],[defense]]*$AX$30+MAX(0, Table3[[#This Row],[called position]]-$AX$27)^$AX$25</f>
        <v>0.54055233463349739</v>
      </c>
      <c r="AY11" s="136">
        <f>Table3[[#This Row],[defense]]*$AX$30 + MAX(0, Table3[[#This Row],[location +1 stdv]]-$AX$27)^$AX$25</f>
        <v>1.6821785161333958</v>
      </c>
      <c r="AZ11" s="136">
        <f>Table3[[#This Row],[defense]]*$AX$30+MAX(0, 1-$AX$27)^$AX$25</f>
        <v>0.85355339059327373</v>
      </c>
      <c r="BA11" s="13">
        <f>MAX(0, 0.1*(1-Table3[[#This Row],[defense]]))</f>
        <v>0.05</v>
      </c>
      <c r="BB11" s="13">
        <f t="shared" si="5"/>
        <v>0.5</v>
      </c>
      <c r="BC11" s="136">
        <f>$AU$30/(ABS(Table3[[#This Row],[Location]]-1)+$AU$27)+$AU$32*Table3[[#This Row],[defense]]</f>
        <v>0.58333333333333337</v>
      </c>
      <c r="BD11" s="13" t="b">
        <f>Table3[[#This Row],[Location]]&lt;= (1+MAX(0, (Table3[[#This Row],[defense]]-1)*0.1))</f>
        <v>1</v>
      </c>
      <c r="BE11" s="120">
        <f>1/(1+Table3[[#This Row],[offense]])</f>
        <v>0.90909090909090906</v>
      </c>
      <c r="BF11" s="136">
        <f>Table3[[#This Row],[obscurity]]*Table3[[#This Row],[discipline modifier]]</f>
        <v>0.53030303030303028</v>
      </c>
      <c r="BG11" s="108">
        <f>1/(1+Table3[[#This Row],[effective obscurity]])</f>
        <v>0.65346534653465349</v>
      </c>
      <c r="BH11" s="108">
        <f>IF(Table3[[#This Row],[Strike?]],Table3[[#This Row],[odds of read]],1-Table3[[#This Row],[odds of read]])</f>
        <v>0.65346534653465349</v>
      </c>
      <c r="BI11" s="13">
        <f t="shared" si="6"/>
        <v>1</v>
      </c>
      <c r="BJ11" s="108">
        <f>Table3[[#This Row],[desperation echo]]*Table3[[#This Row],[unadjusted swing %]]</f>
        <v>0.65346534653465349</v>
      </c>
      <c r="BK11" s="135">
        <f>Table3[[#This Row],[ave obscurity]]</f>
        <v>0.66496783810572468</v>
      </c>
      <c r="BL11" s="108">
        <f>1/(1+Table3[[#This Row],[ave obscurity]]*Table3[[#This Row],[discipline modifier]])</f>
        <v>0.62324081847326451</v>
      </c>
      <c r="BM11" s="13">
        <f>Table3[[#This Row],[offense]]</f>
        <v>0.1</v>
      </c>
      <c r="BN11" s="136">
        <f>Table3[[#This Row],[average difficulty]]</f>
        <v>0.54055233463349739</v>
      </c>
      <c r="BO11" s="136">
        <f>Table3[[#This Row],[contact echo]]-Table3[[#This Row],[pitch carry forward diff]]</f>
        <v>-0.44055233463349741</v>
      </c>
      <c r="BP11" s="108">
        <f>1-_xlfn.NORM.DIST($BP$27,Table3[[#This Row],[CF contact readiness]], $BP$30,TRUE)</f>
        <v>0.69840404788718113</v>
      </c>
      <c r="BQ11" s="108">
        <f>1-_xlfn.NORM.DIST($BP$25,Table3[[#This Row],[CF contact readiness]], $BP$30,TRUE)</f>
        <v>0.31554824176592611</v>
      </c>
      <c r="BR11" s="108">
        <f>1-Table3[[#This Row],[foul %]]</f>
        <v>0.30159595211281887</v>
      </c>
      <c r="BS11" s="136">
        <f>(Table3[[#This Row],[CF contact readiness]]-$BP$27)/$BP$30</f>
        <v>0.51981588845550086</v>
      </c>
      <c r="BT11" s="136">
        <f>(Table3[[#This Row],[CF contact readiness]]+$BP$30-$BP$27)/$BP$30</f>
        <v>1.5198158884555009</v>
      </c>
      <c r="BU11" s="13">
        <f>MAX(0, IF(ISBLANK($BU$28), Table3[[#This Row],[hit quality +1stdv]], $BU$28)-1)</f>
        <v>0.51981588845550086</v>
      </c>
      <c r="BV11" s="13">
        <f>$BV$25+Table3[[#This Row],[offense]]*$BV$28</f>
        <v>10.5</v>
      </c>
      <c r="BW11" s="13">
        <f>$BW$25*$BW$28/($BW$28+Table3[[#This Row],[hit quality remainder]])</f>
        <v>19.611383021586146</v>
      </c>
      <c r="BX11" s="108">
        <f>_xlfn.NORM.DIST(10,Table3[[#This Row],[adjusted launch angle]],Table3[[#This Row],[angle stdev]],TRUE)</f>
        <v>0.4898299098943425</v>
      </c>
      <c r="BY11" s="108">
        <f>1-_xlfn.NORM.DIST(50, Table3[[#This Row],[adjusted launch angle]],Table3[[#This Row],[angle stdev]],TRUE)</f>
        <v>2.1997608469818908E-2</v>
      </c>
      <c r="BZ11" s="108">
        <f t="shared" si="7"/>
        <v>0.42944875004736094</v>
      </c>
      <c r="CA11" s="13">
        <f>$CA$25+Table3[[#This Row],[offense]]*($CA$27-$CA$25)/2</f>
        <v>72</v>
      </c>
      <c r="CB11" s="13">
        <f>Table3[[#This Row],[exit velocity mean]]-Table3[[#This Row],[reduction]]*100</f>
        <v>67</v>
      </c>
      <c r="CC11" s="158">
        <f>Table3[[#This Row],[exit velocity mean]]^2*2*SIN(RADIANS(Table3[[#This Row],[adjusted launch angle]]))/$CC$28*5280</f>
        <v>124.70158326797061</v>
      </c>
      <c r="CD11" s="120">
        <f>2*Table3[[#This Row],[exit velocity mean]]*SIN(RADIANS(Table3[[#This Row],[adjusted launch angle]]))/$CC$28*60*60</f>
        <v>1.1808862051891156</v>
      </c>
      <c r="CE11" s="158">
        <f>Table3[[#This Row],[theoretical distance]]-Table3[[#This Row],[flight time]]^2*$CE$25</f>
        <v>102.38970759427541</v>
      </c>
      <c r="CF11" s="13">
        <f>Table3[[#This Row],[exit velocity mean]]+$CC$25-Table3[[#This Row],[reduction]]*100</f>
        <v>79.5</v>
      </c>
      <c r="CG11" s="13">
        <f>MIN(Table3[[#This Row],[adjusted launch angle]]+Table3[[#This Row],[angle stdev]], 30)</f>
        <v>30</v>
      </c>
      <c r="CH11" s="120">
        <f>2*Table3[[#This Row],[+1stdv EV]]*SIN(RADIANS(Table3[[#This Row],[+1stdv LA]]))/$CC$28*60*60</f>
        <v>3.5774999999999992</v>
      </c>
      <c r="CI11" s="158">
        <f>Table3[[#This Row],[+1stdv EV]]^2*2*SIN(RADIANS(Table3[[#This Row],[+1stdv LA]]))/$CC$28*5280-Table3[[#This Row],[+1stdv flight time]]^2*$CE$25</f>
        <v>212.36040000000006</v>
      </c>
      <c r="CJ11" s="158">
        <f>Table3[[#This Row],[+1stdev distance]]-Table3[[#This Row],[actual distance]]</f>
        <v>109.97069240572465</v>
      </c>
    </row>
    <row r="12" spans="1:119"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8"/>
        <v>1</v>
      </c>
      <c r="X12" s="52">
        <f>Table3[[#This Row],[ball factor]]/$X$32*(1-$X$34)+$X$34</f>
        <v>1.1411764705882355</v>
      </c>
      <c r="Y12" s="26">
        <f>Table3[[#This Row],[offense]]</f>
        <v>0.5</v>
      </c>
      <c r="Z12" s="88">
        <f t="shared" si="1"/>
        <v>-0.90000000000000013</v>
      </c>
      <c r="AA12" s="88">
        <f>IF(Table3[[#This Row],[player control]]&gt;1,Table3[[#This Row],[player control]]*$AA$41+$AA$40,Table3[[#This Row],[player control]]*$AA$39+$AA$38)</f>
        <v>0.10000000000000003</v>
      </c>
      <c r="AB12" s="89">
        <f>_xlfn.NORM.DIST(-1,Table3[[#This Row],[ideal steer]],($AB$25-Table3[[#This Row],[scaled control]])*$AB$27,TRUE)</f>
        <v>0.39881703452798722</v>
      </c>
      <c r="AC12" s="89">
        <f>1-_xlfn.NORM.DIST(1,Table3[[#This Row],[ideal steer]],($AB$25-Table3[[#This Row],[scaled control]])*$AB$27,TRUE)</f>
        <v>5.5294477940837083E-7</v>
      </c>
      <c r="AD12" s="89">
        <f>1-(1-Table3[[#This Row],[unmod foul percent 3rd]])*(1-Table3[[#This Row],[unmod foul percent 1st]])</f>
        <v>0.39881736694896941</v>
      </c>
      <c r="AE12" s="89">
        <f>1-((1-_xlfn.NORM.DIST(-1,0,($AB$25-Table3[[#This Row],[scaled control]])*$AB$27,TRUE))*_xlfn.NORM.DIST(1,0,($AB$25-Table3[[#This Row],[scaled control]])*$AB$27,TRUE))</f>
        <v>1.0317546081842099E-2</v>
      </c>
      <c r="AF12" s="26">
        <f t="shared" si="2"/>
        <v>-4</v>
      </c>
      <c r="AG12" s="26">
        <f>$AG$25*($AG$34*Table3[[#This Row],[offense]])</f>
        <v>0</v>
      </c>
      <c r="AH12" s="26">
        <f t="shared" si="3"/>
        <v>0</v>
      </c>
      <c r="AI12" s="26">
        <f t="shared" si="4"/>
        <v>0</v>
      </c>
      <c r="AJ12" s="26">
        <f>$AJ$25*(Table3[[#This Row],[offense]]-$AJ$27)</f>
        <v>-0.5</v>
      </c>
      <c r="AK12" s="26" cm="1">
        <f t="array" ref="AK12">SUM(Table3[[#This Row],[count]:[current hitter vs next hitter]]*MIN(1, Table3[[#This Row],[defense]]))</f>
        <v>-2.25</v>
      </c>
      <c r="AL12" s="89">
        <f>$AL$25-(Table3[[#This Row],[calling modifier]]/(ABS(Table3[[#This Row],[calling modifier]])+$AL$29)*$AL$27)</f>
        <v>0.6404494382022472</v>
      </c>
      <c r="AM12" s="109">
        <f>$AL$25-$AL$27*TANH(Table3[[#This Row],[calling modifier]]/$AM$29)</f>
        <v>0.64481111243569589</v>
      </c>
      <c r="AN12" s="137">
        <f>MAX(0, 1-_xlfn.NORM.S.INV(Table3[[#This Row],[tanh strike percent]])*($AN$25*($AN$27-Table3[[#This Row],[defense]])))</f>
        <v>0.62865122691042474</v>
      </c>
      <c r="AO12" s="138">
        <f>MAX(0, 1-_xlfn.NORM.S.INV(Table3[[#This Row],[tanh strike percent]])*($AN$25*($AN$27-0.2)))</f>
        <v>0.58408937413967577</v>
      </c>
      <c r="AP12" s="138">
        <f>MAX(0, 1-_xlfn.NORM.S.INV(Table3[[#This Row],[tanh strike percent]])*($AN$25*($AN$27-2)))</f>
        <v>0.85146049076416985</v>
      </c>
      <c r="AQ12" s="138">
        <f>Table3[[#This Row],[called position]]-pitchmod*(pitchstdv-Table3[[#This Row],[defense]])</f>
        <v>-0.37134877308957526</v>
      </c>
      <c r="AR12" s="138">
        <f>ABS(Table3[[#This Row],[called position]]+pitchmod*(pitchstdv-Table3[[#This Row],[defense]]))</f>
        <v>1.6286512269104247</v>
      </c>
      <c r="AS12" s="138">
        <f>IF(AND(Table3[[#This Row],[location -1  stdv]]&lt;1, Table3[[#This Row],[location +1 stdv]]&gt;1),0, MIN(Table3[[#This Row],[location -1  stdv]]+1, 1-Table3[[#This Row],[location +1 stdv]]))</f>
        <v>0</v>
      </c>
      <c r="AT12" s="138">
        <f>IF(AND(Table3[[#This Row],[location -1  stdv]]&lt;0, Table3[[#This Row],[location +1 stdv]]&gt;0),1, MAX(1-ABS(Table3[[#This Row],[location -1  stdv]]), Table3[[#This Row],[location +1 stdv]]-1))</f>
        <v>1</v>
      </c>
      <c r="AU12" s="138">
        <f>$AU$30/(ABS(Table3[[#This Row],[called position]]-1)+$AU$27)+$AU$32*Table3[[#This Row],[defense]]</f>
        <v>0.67431424757732839</v>
      </c>
      <c r="AV12" s="138">
        <f>$AU$30/(ABS(0.5-1)+$AU$27)+$AU$32*Table3[[#This Row],[defense]]</f>
        <v>0.58333333333333337</v>
      </c>
      <c r="AW12" s="138">
        <f>$AU$30/(ABS(0.9-1)+$AU$27)+$AU$32*Table3[[#This Row],[defense]]</f>
        <v>1.2500000000000002</v>
      </c>
      <c r="AX12" s="138">
        <f>Table3[[#This Row],[defense]]*$AX$30+MAX(0, Table3[[#This Row],[called position]]-$AX$27)^$AX$25</f>
        <v>0.54614460135634468</v>
      </c>
      <c r="AY12" s="138">
        <f>Table3[[#This Row],[defense]]*$AX$30 + MAX(0, Table3[[#This Row],[location +1 stdv]]-$AX$27)^$AX$25</f>
        <v>1.6990564705310101</v>
      </c>
      <c r="AZ12" s="138">
        <f>Table3[[#This Row],[defense]]*$AX$30+MAX(0, 1-$AX$27)^$AX$25</f>
        <v>0.85355339059327373</v>
      </c>
      <c r="BA12" s="26">
        <f>MAX(0, 0.1*(1-Table3[[#This Row],[defense]]))</f>
        <v>0.05</v>
      </c>
      <c r="BB12" s="26">
        <f t="shared" si="5"/>
        <v>0.5</v>
      </c>
      <c r="BC12" s="138">
        <f>$AU$30/(ABS(Table3[[#This Row],[Location]]-1)+$AU$27)+$AU$32*Table3[[#This Row],[defense]]</f>
        <v>0.58333333333333337</v>
      </c>
      <c r="BD12" s="26" t="b">
        <f>Table3[[#This Row],[Location]]&lt;= (1+MAX(0, (Table3[[#This Row],[defense]]-1)*0.1))</f>
        <v>1</v>
      </c>
      <c r="BE12" s="121">
        <f>1/(1+Table3[[#This Row],[offense]])</f>
        <v>0.66666666666666663</v>
      </c>
      <c r="BF12" s="138">
        <f>Table3[[#This Row],[obscurity]]*Table3[[#This Row],[discipline modifier]]</f>
        <v>0.3888888888888889</v>
      </c>
      <c r="BG12" s="109">
        <f>1/(1+Table3[[#This Row],[effective obscurity]])</f>
        <v>0.72</v>
      </c>
      <c r="BH12" s="109">
        <f>IF(Table3[[#This Row],[Strike?]],Table3[[#This Row],[odds of read]],1-Table3[[#This Row],[odds of read]])</f>
        <v>0.72</v>
      </c>
      <c r="BI12" s="26">
        <f t="shared" si="6"/>
        <v>1</v>
      </c>
      <c r="BJ12" s="109">
        <f>Table3[[#This Row],[desperation echo]]*Table3[[#This Row],[unadjusted swing %]]</f>
        <v>0.72</v>
      </c>
      <c r="BK12" s="137">
        <f>Table3[[#This Row],[ave obscurity]]</f>
        <v>0.67431424757732839</v>
      </c>
      <c r="BL12" s="109">
        <f>1/(1+Table3[[#This Row],[ave obscurity]]*Table3[[#This Row],[discipline modifier]])</f>
        <v>0.68987268131611379</v>
      </c>
      <c r="BM12" s="26">
        <f>Table3[[#This Row],[offense]]</f>
        <v>0.5</v>
      </c>
      <c r="BN12" s="138">
        <f>Table3[[#This Row],[average difficulty]]</f>
        <v>0.54614460135634468</v>
      </c>
      <c r="BO12" s="138">
        <f>Table3[[#This Row],[contact echo]]-Table3[[#This Row],[pitch carry forward diff]]</f>
        <v>-4.6144601356344683E-2</v>
      </c>
      <c r="BP12" s="109">
        <f>1-_xlfn.NORM.DIST($BP$27,Table3[[#This Row],[CF contact readiness]], $BP$30,TRUE)</f>
        <v>0.74256877816899158</v>
      </c>
      <c r="BQ12" s="109">
        <f>1-_xlfn.NORM.DIST($BP$25,Table3[[#This Row],[CF contact readiness]], $BP$30,TRUE)</f>
        <v>0.3636516908695604</v>
      </c>
      <c r="BR12" s="109">
        <f>1-Table3[[#This Row],[foul %]]</f>
        <v>0.25743122183100842</v>
      </c>
      <c r="BS12" s="138">
        <f>(Table3[[#This Row],[CF contact readiness]]-$BP$27)/$BP$30</f>
        <v>0.65128513288121848</v>
      </c>
      <c r="BT12" s="138">
        <f>(Table3[[#This Row],[CF contact readiness]]+$BP$30-$BP$27)/$BP$30</f>
        <v>1.6512851328812186</v>
      </c>
      <c r="BU12" s="26">
        <f>MAX(0, IF(ISBLANK($BU$28), Table3[[#This Row],[hit quality +1stdv]], $BU$28)-1)</f>
        <v>0.65128513288121859</v>
      </c>
      <c r="BV12" s="26">
        <f>$BV$25+Table3[[#This Row],[offense]]*$BV$28</f>
        <v>12.5</v>
      </c>
      <c r="BW12" s="26">
        <f>$BW$25*$BW$28/($BW$28+Table3[[#This Row],[hit quality remainder]])</f>
        <v>17.371891140423038</v>
      </c>
      <c r="BX12" s="109">
        <f>_xlfn.NORM.DIST(10,Table3[[#This Row],[adjusted launch angle]],Table3[[#This Row],[angle stdev]],TRUE)</f>
        <v>0.44278551618726236</v>
      </c>
      <c r="BY12" s="109">
        <f>1-_xlfn.NORM.DIST(50, Table3[[#This Row],[adjusted launch angle]],Table3[[#This Row],[angle stdev]],TRUE)</f>
        <v>1.5438291680317628E-2</v>
      </c>
      <c r="BZ12" s="109">
        <f t="shared" si="7"/>
        <v>0.42944875004736094</v>
      </c>
      <c r="CA12" s="26">
        <f>$CA$25+Table3[[#This Row],[offense]]*($CA$27-$CA$25)/2</f>
        <v>80</v>
      </c>
      <c r="CB12" s="26">
        <f>Table3[[#This Row],[exit velocity mean]]-Table3[[#This Row],[reduction]]*100</f>
        <v>75</v>
      </c>
      <c r="CC12" s="159">
        <f>Table3[[#This Row],[exit velocity mean]]^2*2*SIN(RADIANS(Table3[[#This Row],[adjusted launch angle]]))/$CC$28*5280</f>
        <v>182.8481858549093</v>
      </c>
      <c r="CD12" s="121">
        <f>2*Table3[[#This Row],[exit velocity mean]]*SIN(RADIANS(Table3[[#This Row],[adjusted launch angle]]))/$CC$28*60*60</f>
        <v>1.558365220354341</v>
      </c>
      <c r="CE12" s="159">
        <f>Table3[[#This Row],[theoretical distance]]-Table3[[#This Row],[flight time]]^2*$CE$25</f>
        <v>143.99215129474877</v>
      </c>
      <c r="CF12" s="26">
        <f>Table3[[#This Row],[exit velocity mean]]+$CC$25-Table3[[#This Row],[reduction]]*100</f>
        <v>87.5</v>
      </c>
      <c r="CG12" s="26">
        <f>MIN(Table3[[#This Row],[adjusted launch angle]]+Table3[[#This Row],[angle stdev]], 30)</f>
        <v>29.871891140423038</v>
      </c>
      <c r="CH12" s="121">
        <f>2*Table3[[#This Row],[+1stdv EV]]*SIN(RADIANS(Table3[[#This Row],[+1stdv LA]]))/$CC$28*60*60</f>
        <v>3.9222412979718122</v>
      </c>
      <c r="CI12" s="159">
        <f>Table3[[#This Row],[+1stdv EV]]^2*2*SIN(RADIANS(Table3[[#This Row],[+1stdv LA]]))/$CC$28*5280-Table3[[#This Row],[+1stdv flight time]]^2*$CE$25</f>
        <v>257.21067111413299</v>
      </c>
      <c r="CJ12" s="159">
        <f>Table3[[#This Row],[+1stdev distance]]-Table3[[#This Row],[actual distance]]</f>
        <v>113.21851981938423</v>
      </c>
    </row>
    <row r="13" spans="1:119"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8"/>
        <v>1</v>
      </c>
      <c r="X13" s="51">
        <f>Table3[[#This Row],[ball factor]]/$X$32*(1-$X$34)+$X$34</f>
        <v>1.1411764705882355</v>
      </c>
      <c r="Y13" s="13">
        <f>Table3[[#This Row],[offense]]</f>
        <v>1</v>
      </c>
      <c r="Z13" s="86">
        <f t="shared" si="1"/>
        <v>-0.90000000000000013</v>
      </c>
      <c r="AA13" s="86">
        <f>IF(Table3[[#This Row],[player control]]&gt;1,Table3[[#This Row],[player control]]*$AA$41+$AA$40,Table3[[#This Row],[player control]]*$AA$39+$AA$38)</f>
        <v>0.40000000000000008</v>
      </c>
      <c r="AB13" s="87">
        <f>_xlfn.NORM.DIST(-1,Table3[[#This Row],[ideal steer]],($AB$25-Table3[[#This Row],[scaled control]])*$AB$27,TRUE)</f>
        <v>0.39059147543357509</v>
      </c>
      <c r="AC13" s="87">
        <f>1-_xlfn.NORM.DIST(1,Table3[[#This Row],[ideal steer]],($AB$25-Table3[[#This Row],[scaled control]])*$AB$27,TRUE)</f>
        <v>6.5379949898414225E-8</v>
      </c>
      <c r="AD13" s="87">
        <f>1-(1-Table3[[#This Row],[unmod foul percent 3rd]])*(1-Table3[[#This Row],[unmod foul percent 1st]])</f>
        <v>0.39059151527667391</v>
      </c>
      <c r="AE13" s="87">
        <f>1-((1-_xlfn.NORM.DIST(-1,0,($AB$25-Table3[[#This Row],[scaled control]])*$AB$27,TRUE))*_xlfn.NORM.DIST(1,0,($AB$25-Table3[[#This Row],[scaled control]])*$AB$27,TRUE))</f>
        <v>5.465714583151815E-3</v>
      </c>
      <c r="AF13" s="13">
        <f t="shared" si="2"/>
        <v>-4</v>
      </c>
      <c r="AG13" s="13">
        <f>$AG$25*($AG$34*Table3[[#This Row],[offense]])</f>
        <v>0</v>
      </c>
      <c r="AH13" s="13">
        <f t="shared" si="3"/>
        <v>0</v>
      </c>
      <c r="AI13" s="13">
        <f t="shared" si="4"/>
        <v>0</v>
      </c>
      <c r="AJ13" s="13">
        <f>$AJ$25*(Table3[[#This Row],[offense]]-$AJ$27)</f>
        <v>0</v>
      </c>
      <c r="AK13" s="13" cm="1">
        <f t="array" ref="AK13">SUM(Table3[[#This Row],[count]:[current hitter vs next hitter]]*MIN(1, Table3[[#This Row],[defense]]))</f>
        <v>-2</v>
      </c>
      <c r="AL13" s="87">
        <f>$AL$25-(Table3[[#This Row],[calling modifier]]/(ABS(Table3[[#This Row],[calling modifier]])+$AL$29)*$AL$27)</f>
        <v>0.63636363636363635</v>
      </c>
      <c r="AM13" s="108">
        <f>$AL$25-$AL$27*TANH(Table3[[#This Row],[calling modifier]]/$AM$29)</f>
        <v>0.63986719784998236</v>
      </c>
      <c r="AN13" s="135">
        <f>MAX(0, 1-_xlfn.NORM.S.INV(Table3[[#This Row],[tanh strike percent]])*($AN$25*($AN$27-Table3[[#This Row],[defense]])))</f>
        <v>0.64189615844593195</v>
      </c>
      <c r="AO13" s="136">
        <f>MAX(0, 1-_xlfn.NORM.S.INV(Table3[[#This Row],[tanh strike percent]])*($AN$25*($AN$27-0.2)))</f>
        <v>0.59892369745944385</v>
      </c>
      <c r="AP13" s="136">
        <f>MAX(0, 1-_xlfn.NORM.S.INV(Table3[[#This Row],[tanh strike percent]])*($AN$25*($AN$27-2)))</f>
        <v>0.8567584633783728</v>
      </c>
      <c r="AQ13" s="136">
        <f>Table3[[#This Row],[called position]]-pitchmod*(pitchstdv-Table3[[#This Row],[defense]])</f>
        <v>-0.35810384155406805</v>
      </c>
      <c r="AR13" s="136">
        <f>ABS(Table3[[#This Row],[called position]]+pitchmod*(pitchstdv-Table3[[#This Row],[defense]]))</f>
        <v>1.641896158445932</v>
      </c>
      <c r="AS13" s="136">
        <f>IF(AND(Table3[[#This Row],[location -1  stdv]]&lt;1, Table3[[#This Row],[location +1 stdv]]&gt;1),0, MIN(Table3[[#This Row],[location -1  stdv]]+1, 1-Table3[[#This Row],[location +1 stdv]]))</f>
        <v>0</v>
      </c>
      <c r="AT13" s="136">
        <f>IF(AND(Table3[[#This Row],[location -1  stdv]]&lt;0, Table3[[#This Row],[location +1 stdv]]&gt;0),1, MAX(1-ABS(Table3[[#This Row],[location -1  stdv]]), Table3[[#This Row],[location +1 stdv]]-1))</f>
        <v>1</v>
      </c>
      <c r="AU13" s="136">
        <f>$AU$30/(ABS(Table3[[#This Row],[called position]]-1)+$AU$27)+$AU$32*Table3[[#This Row],[defense]]</f>
        <v>0.68658223716596989</v>
      </c>
      <c r="AV13" s="136">
        <f>$AU$30/(ABS(0.5-1)+$AU$27)+$AU$32*Table3[[#This Row],[defense]]</f>
        <v>0.58333333333333337</v>
      </c>
      <c r="AW13" s="136">
        <f>$AU$30/(ABS(0.9-1)+$AU$27)+$AU$32*Table3[[#This Row],[defense]]</f>
        <v>1.2500000000000002</v>
      </c>
      <c r="AX13" s="136">
        <f>Table3[[#This Row],[defense]]*$AX$30+MAX(0, Table3[[#This Row],[called position]]-$AX$27)^$AX$25</f>
        <v>0.55345101504348349</v>
      </c>
      <c r="AY13" s="136">
        <f>Table3[[#This Row],[defense]]*$AX$30 + MAX(0, Table3[[#This Row],[location +1 stdv]]-$AX$27)^$AX$25</f>
        <v>1.7202249979786981</v>
      </c>
      <c r="AZ13" s="136">
        <f>Table3[[#This Row],[defense]]*$AX$30+MAX(0, 1-$AX$27)^$AX$25</f>
        <v>0.85355339059327373</v>
      </c>
      <c r="BA13" s="13">
        <f>MAX(0, 0.1*(1-Table3[[#This Row],[defense]]))</f>
        <v>0.05</v>
      </c>
      <c r="BB13" s="13">
        <f t="shared" si="5"/>
        <v>0.5</v>
      </c>
      <c r="BC13" s="136">
        <f>$AU$30/(ABS(Table3[[#This Row],[Location]]-1)+$AU$27)+$AU$32*Table3[[#This Row],[defense]]</f>
        <v>0.58333333333333337</v>
      </c>
      <c r="BD13" s="13" t="b">
        <f>Table3[[#This Row],[Location]]&lt;= (1+MAX(0, (Table3[[#This Row],[defense]]-1)*0.1))</f>
        <v>1</v>
      </c>
      <c r="BE13" s="120">
        <f>1/(1+Table3[[#This Row],[offense]])</f>
        <v>0.5</v>
      </c>
      <c r="BF13" s="136">
        <f>Table3[[#This Row],[obscurity]]*Table3[[#This Row],[discipline modifier]]</f>
        <v>0.29166666666666669</v>
      </c>
      <c r="BG13" s="108">
        <f>1/(1+Table3[[#This Row],[effective obscurity]])</f>
        <v>0.77419354838709675</v>
      </c>
      <c r="BH13" s="108">
        <f>IF(Table3[[#This Row],[Strike?]],Table3[[#This Row],[odds of read]],1-Table3[[#This Row],[odds of read]])</f>
        <v>0.77419354838709675</v>
      </c>
      <c r="BI13" s="13">
        <f t="shared" si="6"/>
        <v>1</v>
      </c>
      <c r="BJ13" s="108">
        <f>Table3[[#This Row],[desperation echo]]*Table3[[#This Row],[unadjusted swing %]]</f>
        <v>0.77419354838709675</v>
      </c>
      <c r="BK13" s="135">
        <f>Table3[[#This Row],[ave obscurity]]</f>
        <v>0.68658223716596989</v>
      </c>
      <c r="BL13" s="108">
        <f>1/(1+Table3[[#This Row],[ave obscurity]]*Table3[[#This Row],[discipline modifier]])</f>
        <v>0.74444026776182592</v>
      </c>
      <c r="BM13" s="13">
        <f>Table3[[#This Row],[offense]]</f>
        <v>1</v>
      </c>
      <c r="BN13" s="136">
        <f>Table3[[#This Row],[average difficulty]]</f>
        <v>0.55345101504348349</v>
      </c>
      <c r="BO13" s="136">
        <f>Table3[[#This Row],[contact echo]]-Table3[[#This Row],[pitch carry forward diff]]</f>
        <v>0.44654898495651651</v>
      </c>
      <c r="BP13" s="108">
        <f>1-_xlfn.NORM.DIST($BP$27,Table3[[#This Row],[CF contact readiness]], $BP$30,TRUE)</f>
        <v>0.7926115890058304</v>
      </c>
      <c r="BQ13" s="108">
        <f>1-_xlfn.NORM.DIST($BP$25,Table3[[#This Row],[CF contact readiness]], $BP$30,TRUE)</f>
        <v>0.42681701771302238</v>
      </c>
      <c r="BR13" s="108">
        <f>1-Table3[[#This Row],[foul %]]</f>
        <v>0.2073884109941696</v>
      </c>
      <c r="BS13" s="136">
        <f>(Table3[[#This Row],[CF contact readiness]]-$BP$27)/$BP$30</f>
        <v>0.8155163283188388</v>
      </c>
      <c r="BT13" s="136">
        <f>(Table3[[#This Row],[CF contact readiness]]+$BP$30-$BP$27)/$BP$30</f>
        <v>1.8155163283188387</v>
      </c>
      <c r="BU13" s="13">
        <f>MAX(0, IF(ISBLANK($BU$28), Table3[[#This Row],[hit quality +1stdv]], $BU$28)-1)</f>
        <v>0.81551632831883869</v>
      </c>
      <c r="BV13" s="13">
        <f>$BV$25+Table3[[#This Row],[offense]]*$BV$28</f>
        <v>15</v>
      </c>
      <c r="BW13" s="13">
        <f>$BW$25*$BW$28/($BW$28+Table3[[#This Row],[hit quality remainder]])</f>
        <v>15.203156030422639</v>
      </c>
      <c r="BX13" s="108">
        <f>_xlfn.NORM.DIST(10,Table3[[#This Row],[adjusted launch angle]],Table3[[#This Row],[angle stdev]],TRUE)</f>
        <v>0.37112354285281923</v>
      </c>
      <c r="BY13" s="108">
        <f>1-_xlfn.NORM.DIST(50, Table3[[#This Row],[adjusted launch angle]],Table3[[#This Row],[angle stdev]],TRUE)</f>
        <v>1.066325651585287E-2</v>
      </c>
      <c r="BZ13" s="108">
        <f t="shared" si="7"/>
        <v>0.42944875004736094</v>
      </c>
      <c r="CA13" s="13">
        <f>$CA$25+Table3[[#This Row],[offense]]*($CA$27-$CA$25)/2</f>
        <v>90</v>
      </c>
      <c r="CB13" s="13">
        <f>Table3[[#This Row],[exit velocity mean]]-Table3[[#This Row],[reduction]]*100</f>
        <v>85</v>
      </c>
      <c r="CC13" s="158">
        <f>Table3[[#This Row],[exit velocity mean]]^2*2*SIN(RADIANS(Table3[[#This Row],[adjusted launch angle]]))/$CC$28*5280</f>
        <v>276.72932302361517</v>
      </c>
      <c r="CD13" s="120">
        <f>2*Table3[[#This Row],[exit velocity mean]]*SIN(RADIANS(Table3[[#This Row],[adjusted launch angle]]))/$CC$28*60*60</f>
        <v>2.0964342653304175</v>
      </c>
      <c r="CE13" s="158">
        <f>Table3[[#This Row],[theoretical distance]]-Table3[[#This Row],[flight time]]^2*$CE$25</f>
        <v>206.40873696199137</v>
      </c>
      <c r="CF13" s="13">
        <f>Table3[[#This Row],[exit velocity mean]]+$CC$25-Table3[[#This Row],[reduction]]*100</f>
        <v>97.5</v>
      </c>
      <c r="CG13" s="13">
        <f>MIN(Table3[[#This Row],[adjusted launch angle]]+Table3[[#This Row],[angle stdev]], 30)</f>
        <v>30</v>
      </c>
      <c r="CH13" s="120">
        <f>2*Table3[[#This Row],[+1stdv EV]]*SIN(RADIANS(Table3[[#This Row],[+1stdv LA]]))/$CC$28*60*60</f>
        <v>4.3874999999999993</v>
      </c>
      <c r="CI13" s="158">
        <f>Table3[[#This Row],[+1stdv EV]]^2*2*SIN(RADIANS(Table3[[#This Row],[+1stdv LA]]))/$CC$28*5280-Table3[[#This Row],[+1stdv flight time]]^2*$CE$25</f>
        <v>319.41000000000003</v>
      </c>
      <c r="CJ13" s="158">
        <f>Table3[[#This Row],[+1stdev distance]]-Table3[[#This Row],[actual distance]]</f>
        <v>113.00126303800866</v>
      </c>
    </row>
    <row r="14" spans="1:119"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8"/>
        <v>1</v>
      </c>
      <c r="X14" s="53">
        <f>Table3[[#This Row],[ball factor]]/$X$32*(1-$X$34)+$X$34</f>
        <v>1.1411764705882355</v>
      </c>
      <c r="Y14" s="5">
        <f>Table3[[#This Row],[offense]]</f>
        <v>2</v>
      </c>
      <c r="Z14" s="90">
        <f t="shared" si="1"/>
        <v>-0.90000000000000013</v>
      </c>
      <c r="AA14" s="90">
        <f>IF(Table3[[#This Row],[player control]]&gt;1,Table3[[#This Row],[player control]]*$AA$41+$AA$40,Table3[[#This Row],[player control]]*$AA$39+$AA$38)</f>
        <v>2</v>
      </c>
      <c r="AB14" s="91">
        <f>_xlfn.NORM.DIST(-1,Table3[[#This Row],[ideal steer]],($AB$25-Table3[[#This Row],[scaled control]])*$AB$27,TRUE)</f>
        <v>0.3085375387259871</v>
      </c>
      <c r="AC14" s="91">
        <f>1-_xlfn.NORM.DIST(1,Table3[[#This Row],[ideal steer]],($AB$25-Table3[[#This Row],[scaled control]])*$AB$27,TRUE)</f>
        <v>0</v>
      </c>
      <c r="AD14" s="91">
        <f>1-(1-Table3[[#This Row],[unmod foul percent 3rd]])*(1-Table3[[#This Row],[unmod foul percent 1st]])</f>
        <v>0.3085375387259871</v>
      </c>
      <c r="AE14" s="91">
        <f>1-((1-_xlfn.NORM.DIST(-1,0,($AB$25-Table3[[#This Row],[scaled control]])*$AB$27,TRUE))*_xlfn.NORM.DIST(1,0,($AB$25-Table3[[#This Row],[scaled control]])*$AB$27,TRUE))</f>
        <v>5.7330306169056655E-7</v>
      </c>
      <c r="AF14" s="5">
        <f t="shared" si="2"/>
        <v>-4</v>
      </c>
      <c r="AG14" s="5">
        <f>$AG$25*($AG$34*Table3[[#This Row],[offense]])</f>
        <v>0</v>
      </c>
      <c r="AH14" s="5">
        <f t="shared" si="3"/>
        <v>0</v>
      </c>
      <c r="AI14" s="5">
        <f t="shared" si="4"/>
        <v>0</v>
      </c>
      <c r="AJ14" s="5">
        <f>$AJ$25*(Table3[[#This Row],[offense]]-$AJ$27)</f>
        <v>1</v>
      </c>
      <c r="AK14" s="5" cm="1">
        <f t="array" ref="AK14">SUM(Table3[[#This Row],[count]:[current hitter vs next hitter]]*MIN(1, Table3[[#This Row],[defense]]))</f>
        <v>-1.5</v>
      </c>
      <c r="AL14" s="91">
        <f>$AL$25-(Table3[[#This Row],[calling modifier]]/(ABS(Table3[[#This Row],[calling modifier]])+$AL$29)*$AL$27)</f>
        <v>0.62790697674418605</v>
      </c>
      <c r="AM14" s="110">
        <f>$AL$25-$AL$27*TANH(Table3[[#This Row],[calling modifier]]/$AM$29)</f>
        <v>0.62994387627499959</v>
      </c>
      <c r="AN14" s="139">
        <f>MAX(0, 1-_xlfn.NORM.S.INV(Table3[[#This Row],[tanh strike percent]])*($AN$25*($AN$27-Table3[[#This Row],[defense]])))</f>
        <v>0.66829529483385297</v>
      </c>
      <c r="AO14" s="140">
        <f>MAX(0, 1-_xlfn.NORM.S.INV(Table3[[#This Row],[tanh strike percent]])*($AN$25*($AN$27-0.2)))</f>
        <v>0.62849073021391533</v>
      </c>
      <c r="AP14" s="140">
        <f>MAX(0, 1-_xlfn.NORM.S.INV(Table3[[#This Row],[tanh strike percent]])*($AN$25*($AN$27-2)))</f>
        <v>0.86731811793354119</v>
      </c>
      <c r="AQ14" s="140">
        <f>Table3[[#This Row],[called position]]-pitchmod*(pitchstdv-Table3[[#This Row],[defense]])</f>
        <v>-0.33170470516614703</v>
      </c>
      <c r="AR14" s="140">
        <f>ABS(Table3[[#This Row],[called position]]+pitchmod*(pitchstdv-Table3[[#This Row],[defense]]))</f>
        <v>1.668295294833853</v>
      </c>
      <c r="AS14" s="140">
        <f>IF(AND(Table3[[#This Row],[location -1  stdv]]&lt;1, Table3[[#This Row],[location +1 stdv]]&gt;1),0, MIN(Table3[[#This Row],[location -1  stdv]]+1, 1-Table3[[#This Row],[location +1 stdv]]))</f>
        <v>0</v>
      </c>
      <c r="AT14" s="140">
        <f>IF(AND(Table3[[#This Row],[location -1  stdv]]&lt;0, Table3[[#This Row],[location +1 stdv]]&gt;0),1, MAX(1-ABS(Table3[[#This Row],[location -1  stdv]]), Table3[[#This Row],[location +1 stdv]]-1))</f>
        <v>1</v>
      </c>
      <c r="AU14" s="140">
        <f>$AU$30/(ABS(Table3[[#This Row],[called position]]-1)+$AU$27)+$AU$32*Table3[[#This Row],[defense]]</f>
        <v>0.7132796390834506</v>
      </c>
      <c r="AV14" s="140">
        <f>$AU$30/(ABS(0.5-1)+$AU$27)+$AU$32*Table3[[#This Row],[defense]]</f>
        <v>0.58333333333333337</v>
      </c>
      <c r="AW14" s="140">
        <f>$AU$30/(ABS(0.9-1)+$AU$27)+$AU$32*Table3[[#This Row],[defense]]</f>
        <v>1.2500000000000002</v>
      </c>
      <c r="AX14" s="140">
        <f>Table3[[#This Row],[defense]]*$AX$30+MAX(0, Table3[[#This Row],[called position]]-$AX$27)^$AX$25</f>
        <v>0.56904114120028026</v>
      </c>
      <c r="AY14" s="140">
        <f>Table3[[#This Row],[defense]]*$AX$30 + MAX(0, Table3[[#This Row],[location +1 stdv]]-$AX$27)^$AX$25</f>
        <v>1.7627836245649673</v>
      </c>
      <c r="AZ14" s="140">
        <f>Table3[[#This Row],[defense]]*$AX$30+MAX(0, 1-$AX$27)^$AX$25</f>
        <v>0.85355339059327373</v>
      </c>
      <c r="BA14" s="5">
        <f>MAX(0, 0.1*(1-Table3[[#This Row],[defense]]))</f>
        <v>0.05</v>
      </c>
      <c r="BB14" s="5">
        <f t="shared" si="5"/>
        <v>0.5</v>
      </c>
      <c r="BC14" s="140">
        <f>$AU$30/(ABS(Table3[[#This Row],[Location]]-1)+$AU$27)+$AU$32*Table3[[#This Row],[defense]]</f>
        <v>0.58333333333333337</v>
      </c>
      <c r="BD14" s="5" t="b">
        <f>Table3[[#This Row],[Location]]&lt;= (1+MAX(0, (Table3[[#This Row],[defense]]-1)*0.1))</f>
        <v>1</v>
      </c>
      <c r="BE14" s="122">
        <f>1/(1+Table3[[#This Row],[offense]])</f>
        <v>0.33333333333333331</v>
      </c>
      <c r="BF14" s="140">
        <f>Table3[[#This Row],[obscurity]]*Table3[[#This Row],[discipline modifier]]</f>
        <v>0.19444444444444445</v>
      </c>
      <c r="BG14" s="110">
        <f>1/(1+Table3[[#This Row],[effective obscurity]])</f>
        <v>0.83720930232558144</v>
      </c>
      <c r="BH14" s="110">
        <f>IF(Table3[[#This Row],[Strike?]],Table3[[#This Row],[odds of read]],1-Table3[[#This Row],[odds of read]])</f>
        <v>0.83720930232558144</v>
      </c>
      <c r="BI14" s="5">
        <f t="shared" si="6"/>
        <v>1</v>
      </c>
      <c r="BJ14" s="110">
        <f>Table3[[#This Row],[desperation echo]]*Table3[[#This Row],[unadjusted swing %]]</f>
        <v>0.83720930232558144</v>
      </c>
      <c r="BK14" s="139">
        <f>Table3[[#This Row],[ave obscurity]]</f>
        <v>0.7132796390834506</v>
      </c>
      <c r="BL14" s="110">
        <f>1/(1+Table3[[#This Row],[ave obscurity]]*Table3[[#This Row],[discipline modifier]])</f>
        <v>0.80791114367580741</v>
      </c>
      <c r="BM14" s="5">
        <f>Table3[[#This Row],[offense]]</f>
        <v>2</v>
      </c>
      <c r="BN14" s="140">
        <f>Table3[[#This Row],[average difficulty]]</f>
        <v>0.56904114120028026</v>
      </c>
      <c r="BO14" s="140">
        <f>Table3[[#This Row],[contact echo]]-Table3[[#This Row],[pitch carry forward diff]]</f>
        <v>1.4309588587997197</v>
      </c>
      <c r="BP14" s="110">
        <f>1-_xlfn.NORM.DIST($BP$27,Table3[[#This Row],[CF contact readiness]], $BP$30,TRUE)</f>
        <v>0.87361620408643792</v>
      </c>
      <c r="BQ14" s="110">
        <f>1-_xlfn.NORM.DIST($BP$25,Table3[[#This Row],[CF contact readiness]], $BP$30,TRUE)</f>
        <v>0.5571127380642914</v>
      </c>
      <c r="BR14" s="110">
        <f>1-Table3[[#This Row],[foul %]]</f>
        <v>0.12638379591356208</v>
      </c>
      <c r="BS14" s="140">
        <f>(Table3[[#This Row],[CF contact readiness]]-$BP$27)/$BP$30</f>
        <v>1.14365295293324</v>
      </c>
      <c r="BT14" s="140">
        <f>(Table3[[#This Row],[CF contact readiness]]+$BP$30-$BP$27)/$BP$30</f>
        <v>2.1436529529332398</v>
      </c>
      <c r="BU14" s="5">
        <f>MAX(0, IF(ISBLANK($BU$28), Table3[[#This Row],[hit quality +1stdv]], $BU$28)-1)</f>
        <v>1.1436529529332398</v>
      </c>
      <c r="BV14" s="5">
        <f>$BV$25+Table3[[#This Row],[offense]]*$BV$28</f>
        <v>20</v>
      </c>
      <c r="BW14" s="5">
        <f>$BW$25*$BW$28/($BW$28+Table3[[#This Row],[hit quality remainder]])</f>
        <v>12.16801878055114</v>
      </c>
      <c r="BX14" s="110">
        <f>_xlfn.NORM.DIST(10,Table3[[#This Row],[adjusted launch angle]],Table3[[#This Row],[angle stdev]],TRUE)</f>
        <v>0.20558783134270991</v>
      </c>
      <c r="BY14" s="110">
        <f>1-_xlfn.NORM.DIST(50, Table3[[#This Row],[adjusted launch angle]],Table3[[#This Row],[angle stdev]],TRUE)</f>
        <v>6.8415015827276715E-3</v>
      </c>
      <c r="BZ14" s="110">
        <f t="shared" si="7"/>
        <v>0.42944875004736094</v>
      </c>
      <c r="CA14" s="5">
        <f>$CA$25+Table3[[#This Row],[offense]]*($CA$27-$CA$25)/2</f>
        <v>110</v>
      </c>
      <c r="CB14" s="5">
        <f>Table3[[#This Row],[exit velocity mean]]-Table3[[#This Row],[reduction]]*100</f>
        <v>105</v>
      </c>
      <c r="CC14" s="160">
        <f>Table3[[#This Row],[exit velocity mean]]^2*2*SIN(RADIANS(Table3[[#This Row],[adjusted launch angle]]))/$CC$28*5280</f>
        <v>546.27457291975804</v>
      </c>
      <c r="CD14" s="122">
        <f>2*Table3[[#This Row],[exit velocity mean]]*SIN(RADIANS(Table3[[#This Row],[adjusted launch angle]]))/$CC$28*60*60</f>
        <v>3.3859994189241207</v>
      </c>
      <c r="CE14" s="160">
        <f>Table3[[#This Row],[theoretical distance]]-Table3[[#This Row],[flight time]]^2*$CE$25</f>
        <v>362.83469988048631</v>
      </c>
      <c r="CF14" s="5">
        <f>Table3[[#This Row],[exit velocity mean]]+$CC$25-Table3[[#This Row],[reduction]]*100</f>
        <v>117.5</v>
      </c>
      <c r="CG14" s="5">
        <f>MIN(Table3[[#This Row],[adjusted launch angle]]+Table3[[#This Row],[angle stdev]], 30)</f>
        <v>30</v>
      </c>
      <c r="CH14" s="122">
        <f>2*Table3[[#This Row],[+1stdv EV]]*SIN(RADIANS(Table3[[#This Row],[+1stdv LA]]))/$CC$28*60*60</f>
        <v>5.2874999999999988</v>
      </c>
      <c r="CI14" s="160">
        <f>Table3[[#This Row],[+1stdv EV]]^2*2*SIN(RADIANS(Table3[[#This Row],[+1stdv LA]]))/$CC$28*5280-Table3[[#This Row],[+1stdv flight time]]^2*$CE$25</f>
        <v>463.8900000000001</v>
      </c>
      <c r="CJ14" s="160">
        <f>Table3[[#This Row],[+1stdev distance]]-Table3[[#This Row],[actual distance]]</f>
        <v>101.05530011951379</v>
      </c>
    </row>
    <row r="15" spans="1:119"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8"/>
        <v>1</v>
      </c>
      <c r="X15" s="54">
        <f>Table3[[#This Row],[ball factor]]/$X$32*(1-$X$34)+$X$34</f>
        <v>1.1411764705882355</v>
      </c>
      <c r="Y15" s="17">
        <f>Table3[[#This Row],[offense]]</f>
        <v>0.1</v>
      </c>
      <c r="Z15" s="92">
        <f t="shared" si="1"/>
        <v>-0.90000000000000013</v>
      </c>
      <c r="AA15" s="92">
        <f>IF(Table3[[#This Row],[player control]]&gt;1,Table3[[#This Row],[player control]]*$AA$41+$AA$40,Table3[[#This Row],[player control]]*$AA$39+$AA$38)</f>
        <v>-0.14000000000000001</v>
      </c>
      <c r="AB15" s="93">
        <f>_xlfn.NORM.DIST(-1,Table3[[#This Row],[ideal steer]],($AB$25-Table3[[#This Row],[scaled control]])*$AB$27,TRUE)</f>
        <v>0.40456602559459909</v>
      </c>
      <c r="AC15" s="93">
        <f>1-_xlfn.NORM.DIST(1,Table3[[#This Row],[ideal steer]],($AB$25-Table3[[#This Row],[scaled control]])*$AB$27,TRUE)</f>
        <v>2.2229077858426649E-6</v>
      </c>
      <c r="AD15" s="93">
        <f>1-(1-Table3[[#This Row],[unmod foul percent 3rd]])*(1-Table3[[#This Row],[unmod foul percent 1st]])</f>
        <v>0.40456734918941673</v>
      </c>
      <c r="AE15" s="93">
        <f>1-((1-_xlfn.NORM.DIST(-1,0,($AB$25-Table3[[#This Row],[scaled control]])*$AB$27,TRUE))*_xlfn.NORM.DIST(1,0,($AB$25-Table3[[#This Row],[scaled control]])*$AB$27,TRUE))</f>
        <v>1.5653650964326582E-2</v>
      </c>
      <c r="AF15" s="17">
        <f t="shared" si="2"/>
        <v>-4</v>
      </c>
      <c r="AG15" s="17">
        <f>$AG$25*($AG$34*Table3[[#This Row],[offense]])</f>
        <v>0</v>
      </c>
      <c r="AH15" s="17">
        <f t="shared" si="3"/>
        <v>0</v>
      </c>
      <c r="AI15" s="17">
        <f t="shared" si="4"/>
        <v>0</v>
      </c>
      <c r="AJ15" s="17">
        <f>$AJ$25*(Table3[[#This Row],[offense]]-$AJ$27)</f>
        <v>-0.9</v>
      </c>
      <c r="AK15" s="17" cm="1">
        <f t="array" ref="AK15">SUM(Table3[[#This Row],[count]:[current hitter vs next hitter]]*MIN(1, Table3[[#This Row],[defense]]))</f>
        <v>-4.9000000000000004</v>
      </c>
      <c r="AL15" s="93">
        <f>$AL$25-(Table3[[#This Row],[calling modifier]]/(ABS(Table3[[#This Row],[calling modifier]])+$AL$29)*$AL$27)</f>
        <v>0.67871485943775101</v>
      </c>
      <c r="AM15" s="111">
        <f>$AL$25-$AL$27*TANH(Table3[[#This Row],[calling modifier]]/$AM$29)</f>
        <v>0.69608514587447212</v>
      </c>
      <c r="AN15" s="141">
        <f>MAX(0, 1-_xlfn.NORM.S.INV(Table3[[#This Row],[tanh strike percent]])*($AN$25*($AN$27-Table3[[#This Row],[defense]])))</f>
        <v>0.58946091069891038</v>
      </c>
      <c r="AO15" s="142">
        <f>MAX(0, 1-_xlfn.NORM.S.INV(Table3[[#This Row],[tanh strike percent]])*($AN$25*($AN$27-0.2)))</f>
        <v>0.42524527497847475</v>
      </c>
      <c r="AP15" s="142">
        <f>MAX(0, 1-_xlfn.NORM.S.INV(Table3[[#This Row],[tanh strike percent]])*($AN$25*($AN$27-2)))</f>
        <v>0.79473045534945519</v>
      </c>
      <c r="AQ15" s="142">
        <f>Table3[[#This Row],[called position]]-pitchmod*(pitchstdv-Table3[[#This Row],[defense]])</f>
        <v>-0.21053908930108967</v>
      </c>
      <c r="AR15" s="142">
        <f>ABS(Table3[[#This Row],[called position]]+pitchmod*(pitchstdv-Table3[[#This Row],[defense]]))</f>
        <v>1.3894609106989104</v>
      </c>
      <c r="AS15" s="142">
        <f>IF(AND(Table3[[#This Row],[location -1  stdv]]&lt;1, Table3[[#This Row],[location +1 stdv]]&gt;1),0, MIN(Table3[[#This Row],[location -1  stdv]]+1, 1-Table3[[#This Row],[location +1 stdv]]))</f>
        <v>0</v>
      </c>
      <c r="AT15" s="142">
        <f>IF(AND(Table3[[#This Row],[location -1  stdv]]&lt;0, Table3[[#This Row],[location +1 stdv]]&gt;0),1, MAX(1-ABS(Table3[[#This Row],[location -1  stdv]]), Table3[[#This Row],[location +1 stdv]]-1))</f>
        <v>1</v>
      </c>
      <c r="AU15" s="142">
        <f>$AU$30/(ABS(Table3[[#This Row],[called position]]-1)+$AU$27)+$AU$32*Table3[[#This Row],[defense]]</f>
        <v>0.89174277580545913</v>
      </c>
      <c r="AV15" s="142">
        <f>$AU$30/(ABS(0.5-1)+$AU$27)+$AU$32*Table3[[#This Row],[defense]]</f>
        <v>0.83333333333333337</v>
      </c>
      <c r="AW15" s="142">
        <f>$AU$30/(ABS(0.9-1)+$AU$27)+$AU$32*Table3[[#This Row],[defense]]</f>
        <v>1.5000000000000002</v>
      </c>
      <c r="AX15" s="142">
        <f>Table3[[#This Row],[defense]]*$AX$30+MAX(0, Table3[[#This Row],[called position]]-$AX$27)^$AX$25</f>
        <v>1.0267577734495787</v>
      </c>
      <c r="AY15" s="142">
        <f>Table3[[#This Row],[defense]]*$AX$30 + MAX(0, Table3[[#This Row],[location +1 stdv]]-$AX$27)^$AX$25</f>
        <v>1.8388615725405923</v>
      </c>
      <c r="AZ15" s="142">
        <f>Table3[[#This Row],[defense]]*$AX$30+MAX(0, 1-$AX$27)^$AX$25</f>
        <v>1.3535533905932737</v>
      </c>
      <c r="BA15" s="17">
        <f>MAX(0, 0.1*(1-Table3[[#This Row],[defense]]))</f>
        <v>0</v>
      </c>
      <c r="BB15" s="17">
        <f t="shared" si="5"/>
        <v>0.5</v>
      </c>
      <c r="BC15" s="142">
        <f>$AU$30/(ABS(Table3[[#This Row],[Location]]-1)+$AU$27)+$AU$32*Table3[[#This Row],[defense]]</f>
        <v>0.83333333333333337</v>
      </c>
      <c r="BD15" s="17" t="b">
        <f>Table3[[#This Row],[Location]]&lt;= (1+MAX(0, (Table3[[#This Row],[defense]]-1)*0.1))</f>
        <v>1</v>
      </c>
      <c r="BE15" s="123">
        <f>1/(1+Table3[[#This Row],[offense]])</f>
        <v>0.90909090909090906</v>
      </c>
      <c r="BF15" s="142">
        <f>Table3[[#This Row],[obscurity]]*Table3[[#This Row],[discipline modifier]]</f>
        <v>0.75757575757575757</v>
      </c>
      <c r="BG15" s="111">
        <f>1/(1+Table3[[#This Row],[effective obscurity]])</f>
        <v>0.56896551724137934</v>
      </c>
      <c r="BH15" s="111">
        <f>IF(Table3[[#This Row],[Strike?]],Table3[[#This Row],[odds of read]],1-Table3[[#This Row],[odds of read]])</f>
        <v>0.56896551724137934</v>
      </c>
      <c r="BI15" s="17">
        <f t="shared" si="6"/>
        <v>1</v>
      </c>
      <c r="BJ15" s="111">
        <f>Table3[[#This Row],[desperation echo]]*Table3[[#This Row],[unadjusted swing %]]</f>
        <v>0.56896551724137934</v>
      </c>
      <c r="BK15" s="141">
        <f>Table3[[#This Row],[ave obscurity]]</f>
        <v>0.89174277580545913</v>
      </c>
      <c r="BL15" s="111">
        <f>1/(1+Table3[[#This Row],[ave obscurity]]*Table3[[#This Row],[discipline modifier]])</f>
        <v>0.55228015051047985</v>
      </c>
      <c r="BM15" s="17">
        <f>Table3[[#This Row],[offense]]</f>
        <v>0.1</v>
      </c>
      <c r="BN15" s="142">
        <f>Table3[[#This Row],[average difficulty]]</f>
        <v>1.0267577734495787</v>
      </c>
      <c r="BO15" s="142">
        <f>Table3[[#This Row],[contact echo]]-Table3[[#This Row],[pitch carry forward diff]]</f>
        <v>-0.92675777344957877</v>
      </c>
      <c r="BP15" s="111">
        <f>1-_xlfn.NORM.DIST($BP$27,Table3[[#This Row],[CF contact readiness]], $BP$30,TRUE)</f>
        <v>0.63973382460662376</v>
      </c>
      <c r="BQ15" s="111">
        <f>1-_xlfn.NORM.DIST($BP$25,Table3[[#This Row],[CF contact readiness]], $BP$30,TRUE)</f>
        <v>0.26035459549311302</v>
      </c>
      <c r="BR15" s="111">
        <f>1-Table3[[#This Row],[foul %]]</f>
        <v>0.36026617539337624</v>
      </c>
      <c r="BS15" s="142">
        <f>(Table3[[#This Row],[CF contact readiness]]-$BP$27)/$BP$30</f>
        <v>0.35774740885014039</v>
      </c>
      <c r="BT15" s="142">
        <f>(Table3[[#This Row],[CF contact readiness]]+$BP$30-$BP$27)/$BP$30</f>
        <v>1.3577474088501404</v>
      </c>
      <c r="BU15" s="17">
        <f>MAX(0, IF(ISBLANK($BU$28), Table3[[#This Row],[hit quality +1stdv]], $BU$28)-1)</f>
        <v>0.35774740885014045</v>
      </c>
      <c r="BV15" s="17">
        <f>$BV$25+Table3[[#This Row],[offense]]*$BV$28</f>
        <v>10.5</v>
      </c>
      <c r="BW15" s="17">
        <f>$BW$25*$BW$28/($BW$28+Table3[[#This Row],[hit quality remainder]])</f>
        <v>23.316887691693697</v>
      </c>
      <c r="BX15" s="111">
        <f>_xlfn.NORM.DIST(10,Table3[[#This Row],[adjusted launch angle]],Table3[[#This Row],[angle stdev]],TRUE)</f>
        <v>0.49144586289978898</v>
      </c>
      <c r="BY15" s="111">
        <f>1-_xlfn.NORM.DIST(50, Table3[[#This Row],[adjusted launch angle]],Table3[[#This Row],[angle stdev]],TRUE)</f>
        <v>4.512778355562419E-2</v>
      </c>
      <c r="BZ15" s="111">
        <f t="shared" si="7"/>
        <v>0.42944875004736094</v>
      </c>
      <c r="CA15" s="17">
        <f>$CA$25+Table3[[#This Row],[offense]]*($CA$27-$CA$25)/2</f>
        <v>72</v>
      </c>
      <c r="CB15" s="17">
        <f>Table3[[#This Row],[exit velocity mean]]-Table3[[#This Row],[reduction]]*100</f>
        <v>72</v>
      </c>
      <c r="CC15" s="161">
        <f>Table3[[#This Row],[exit velocity mean]]^2*2*SIN(RADIANS(Table3[[#This Row],[adjusted launch angle]]))/$CC$28*5280</f>
        <v>124.70158326797061</v>
      </c>
      <c r="CD15" s="123">
        <f>2*Table3[[#This Row],[exit velocity mean]]*SIN(RADIANS(Table3[[#This Row],[adjusted launch angle]]))/$CC$28*60*60</f>
        <v>1.1808862051891156</v>
      </c>
      <c r="CE15" s="161">
        <f>Table3[[#This Row],[theoretical distance]]-Table3[[#This Row],[flight time]]^2*$CE$25</f>
        <v>102.38970759427541</v>
      </c>
      <c r="CF15" s="17">
        <f>Table3[[#This Row],[exit velocity mean]]+$CC$25-Table3[[#This Row],[reduction]]*100</f>
        <v>84.5</v>
      </c>
      <c r="CG15" s="17">
        <f>MIN(Table3[[#This Row],[adjusted launch angle]]+Table3[[#This Row],[angle stdev]], 30)</f>
        <v>30</v>
      </c>
      <c r="CH15" s="123">
        <f>2*Table3[[#This Row],[+1stdv EV]]*SIN(RADIANS(Table3[[#This Row],[+1stdv LA]]))/$CC$28*60*60</f>
        <v>3.8024999999999993</v>
      </c>
      <c r="CI15" s="161">
        <f>Table3[[#This Row],[+1stdv EV]]^2*2*SIN(RADIANS(Table3[[#This Row],[+1stdv LA]]))/$CC$28*5280-Table3[[#This Row],[+1stdv flight time]]^2*$CE$25</f>
        <v>239.91240000000005</v>
      </c>
      <c r="CJ15" s="161">
        <f>Table3[[#This Row],[+1stdev distance]]-Table3[[#This Row],[actual distance]]</f>
        <v>137.52269240572463</v>
      </c>
    </row>
    <row r="16" spans="1:119"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8"/>
        <v>1</v>
      </c>
      <c r="X16" s="55">
        <f>Table3[[#This Row],[ball factor]]/$X$32*(1-$X$34)+$X$34</f>
        <v>1.1411764705882355</v>
      </c>
      <c r="Y16" s="6">
        <f>Table3[[#This Row],[offense]]</f>
        <v>0.5</v>
      </c>
      <c r="Z16" s="94">
        <f t="shared" si="1"/>
        <v>-0.90000000000000013</v>
      </c>
      <c r="AA16" s="94">
        <f>IF(Table3[[#This Row],[player control]]&gt;1,Table3[[#This Row],[player control]]*$AA$41+$AA$40,Table3[[#This Row],[player control]]*$AA$39+$AA$38)</f>
        <v>0.10000000000000003</v>
      </c>
      <c r="AB16" s="95">
        <f>_xlfn.NORM.DIST(-1,Table3[[#This Row],[ideal steer]],($AB$25-Table3[[#This Row],[scaled control]])*$AB$27,TRUE)</f>
        <v>0.39881703452798722</v>
      </c>
      <c r="AC16" s="95">
        <f>1-_xlfn.NORM.DIST(1,Table3[[#This Row],[ideal steer]],($AB$25-Table3[[#This Row],[scaled control]])*$AB$27,TRUE)</f>
        <v>5.5294477940837083E-7</v>
      </c>
      <c r="AD16" s="95">
        <f>1-(1-Table3[[#This Row],[unmod foul percent 3rd]])*(1-Table3[[#This Row],[unmod foul percent 1st]])</f>
        <v>0.39881736694896941</v>
      </c>
      <c r="AE16" s="95">
        <f>1-((1-_xlfn.NORM.DIST(-1,0,($AB$25-Table3[[#This Row],[scaled control]])*$AB$27,TRUE))*_xlfn.NORM.DIST(1,0,($AB$25-Table3[[#This Row],[scaled control]])*$AB$27,TRUE))</f>
        <v>1.0317546081842099E-2</v>
      </c>
      <c r="AF16" s="6">
        <f t="shared" si="2"/>
        <v>-4</v>
      </c>
      <c r="AG16" s="6">
        <f>$AG$25*($AG$34*Table3[[#This Row],[offense]])</f>
        <v>0</v>
      </c>
      <c r="AH16" s="6">
        <f t="shared" si="3"/>
        <v>0</v>
      </c>
      <c r="AI16" s="6">
        <f t="shared" si="4"/>
        <v>0</v>
      </c>
      <c r="AJ16" s="6">
        <f>$AJ$25*(Table3[[#This Row],[offense]]-$AJ$27)</f>
        <v>-0.5</v>
      </c>
      <c r="AK16" s="6" cm="1">
        <f t="array" ref="AK16">SUM(Table3[[#This Row],[count]:[current hitter vs next hitter]]*MIN(1, Table3[[#This Row],[defense]]))</f>
        <v>-4.5</v>
      </c>
      <c r="AL16" s="95">
        <f>$AL$25-(Table3[[#This Row],[calling modifier]]/(ABS(Table3[[#This Row],[calling modifier]])+$AL$29)*$AL$27)</f>
        <v>0.67346938775510201</v>
      </c>
      <c r="AM16" s="112">
        <f>$AL$25-$AL$27*TANH(Table3[[#This Row],[calling modifier]]/$AM$29)</f>
        <v>0.68851138715937754</v>
      </c>
      <c r="AN16" s="143">
        <f>MAX(0, 1-_xlfn.NORM.S.INV(Table3[[#This Row],[tanh strike percent]])*($AN$25*($AN$27-Table3[[#This Row],[defense]])))</f>
        <v>0.60669180703648995</v>
      </c>
      <c r="AO16" s="144">
        <f>MAX(0, 1-_xlfn.NORM.S.INV(Table3[[#This Row],[tanh strike percent]])*($AN$25*($AN$27-0.2)))</f>
        <v>0.449368529851086</v>
      </c>
      <c r="AP16" s="144">
        <f>MAX(0, 1-_xlfn.NORM.S.INV(Table3[[#This Row],[tanh strike percent]])*($AN$25*($AN$27-2)))</f>
        <v>0.80334590351824497</v>
      </c>
      <c r="AQ16" s="144">
        <f>Table3[[#This Row],[called position]]-pitchmod*(pitchstdv-Table3[[#This Row],[defense]])</f>
        <v>-0.19330819296351009</v>
      </c>
      <c r="AR16" s="144">
        <f>ABS(Table3[[#This Row],[called position]]+pitchmod*(pitchstdv-Table3[[#This Row],[defense]]))</f>
        <v>1.40669180703649</v>
      </c>
      <c r="AS16" s="144">
        <f>IF(AND(Table3[[#This Row],[location -1  stdv]]&lt;1, Table3[[#This Row],[location +1 stdv]]&gt;1),0, MIN(Table3[[#This Row],[location -1  stdv]]+1, 1-Table3[[#This Row],[location +1 stdv]]))</f>
        <v>0</v>
      </c>
      <c r="AT16" s="144">
        <f>IF(AND(Table3[[#This Row],[location -1  stdv]]&lt;0, Table3[[#This Row],[location +1 stdv]]&gt;0),1, MAX(1-ABS(Table3[[#This Row],[location -1  stdv]]), Table3[[#This Row],[location +1 stdv]]-1))</f>
        <v>1</v>
      </c>
      <c r="AU16" s="144">
        <f>$AU$30/(ABS(Table3[[#This Row],[called position]]-1)+$AU$27)+$AU$32*Table3[[#This Row],[defense]]</f>
        <v>0.90542606600250397</v>
      </c>
      <c r="AV16" s="144">
        <f>$AU$30/(ABS(0.5-1)+$AU$27)+$AU$32*Table3[[#This Row],[defense]]</f>
        <v>0.83333333333333337</v>
      </c>
      <c r="AW16" s="144">
        <f>$AU$30/(ABS(0.9-1)+$AU$27)+$AU$32*Table3[[#This Row],[defense]]</f>
        <v>1.5000000000000002</v>
      </c>
      <c r="AX16" s="144">
        <f>Table3[[#This Row],[defense]]*$AX$30+MAX(0, Table3[[#This Row],[called position]]-$AX$27)^$AX$25</f>
        <v>1.0348495043941954</v>
      </c>
      <c r="AY16" s="144">
        <f>Table3[[#This Row],[defense]]*$AX$30 + MAX(0, Table3[[#This Row],[location +1 stdv]]-$AX$27)^$AX$25</f>
        <v>1.8633552556853348</v>
      </c>
      <c r="AZ16" s="144">
        <f>Table3[[#This Row],[defense]]*$AX$30+MAX(0, 1-$AX$27)^$AX$25</f>
        <v>1.3535533905932737</v>
      </c>
      <c r="BA16" s="6">
        <f>MAX(0, 0.1*(1-Table3[[#This Row],[defense]]))</f>
        <v>0</v>
      </c>
      <c r="BB16" s="6">
        <f t="shared" si="5"/>
        <v>0.5</v>
      </c>
      <c r="BC16" s="144">
        <f>$AU$30/(ABS(Table3[[#This Row],[Location]]-1)+$AU$27)+$AU$32*Table3[[#This Row],[defense]]</f>
        <v>0.83333333333333337</v>
      </c>
      <c r="BD16" s="6" t="b">
        <f>Table3[[#This Row],[Location]]&lt;= (1+MAX(0, (Table3[[#This Row],[defense]]-1)*0.1))</f>
        <v>1</v>
      </c>
      <c r="BE16" s="124">
        <f>1/(1+Table3[[#This Row],[offense]])</f>
        <v>0.66666666666666663</v>
      </c>
      <c r="BF16" s="144">
        <f>Table3[[#This Row],[obscurity]]*Table3[[#This Row],[discipline modifier]]</f>
        <v>0.55555555555555558</v>
      </c>
      <c r="BG16" s="112">
        <f>1/(1+Table3[[#This Row],[effective obscurity]])</f>
        <v>0.64285714285714279</v>
      </c>
      <c r="BH16" s="112">
        <f>IF(Table3[[#This Row],[Strike?]],Table3[[#This Row],[odds of read]],1-Table3[[#This Row],[odds of read]])</f>
        <v>0.64285714285714279</v>
      </c>
      <c r="BI16" s="6">
        <f t="shared" si="6"/>
        <v>1</v>
      </c>
      <c r="BJ16" s="112">
        <f>Table3[[#This Row],[desperation echo]]*Table3[[#This Row],[unadjusted swing %]]</f>
        <v>0.64285714285714279</v>
      </c>
      <c r="BK16" s="143">
        <f>Table3[[#This Row],[ave obscurity]]</f>
        <v>0.90542606600250397</v>
      </c>
      <c r="BL16" s="112">
        <f>1/(1+Table3[[#This Row],[ave obscurity]]*Table3[[#This Row],[discipline modifier]])</f>
        <v>0.6235901494543955</v>
      </c>
      <c r="BM16" s="6">
        <f>Table3[[#This Row],[offense]]</f>
        <v>0.5</v>
      </c>
      <c r="BN16" s="144">
        <f>Table3[[#This Row],[average difficulty]]</f>
        <v>1.0348495043941954</v>
      </c>
      <c r="BO16" s="144">
        <f>Table3[[#This Row],[contact echo]]-Table3[[#This Row],[pitch carry forward diff]]</f>
        <v>-0.53484950439419543</v>
      </c>
      <c r="BP16" s="112">
        <f>1-_xlfn.NORM.DIST($BP$27,Table3[[#This Row],[CF contact readiness]], $BP$30,TRUE)</f>
        <v>0.68736088604483059</v>
      </c>
      <c r="BQ16" s="112">
        <f>1-_xlfn.NORM.DIST($BP$25,Table3[[#This Row],[CF contact readiness]], $BP$30,TRUE)</f>
        <v>0.30445971715663112</v>
      </c>
      <c r="BR16" s="112">
        <f>1-Table3[[#This Row],[foul %]]</f>
        <v>0.31263911395516941</v>
      </c>
      <c r="BS16" s="144">
        <f>(Table3[[#This Row],[CF contact readiness]]-$BP$27)/$BP$30</f>
        <v>0.48838349853526819</v>
      </c>
      <c r="BT16" s="144">
        <f>(Table3[[#This Row],[CF contact readiness]]+$BP$30-$BP$27)/$BP$30</f>
        <v>1.4883834985352682</v>
      </c>
      <c r="BU16" s="6">
        <f>MAX(0, IF(ISBLANK($BU$28), Table3[[#This Row],[hit quality +1stdv]], $BU$28)-1)</f>
        <v>0.48838349853526819</v>
      </c>
      <c r="BV16" s="6">
        <f>$BV$25+Table3[[#This Row],[offense]]*$BV$28</f>
        <v>12.5</v>
      </c>
      <c r="BW16" s="6">
        <f>$BW$25*$BW$28/($BW$28+Table3[[#This Row],[hit quality remainder]])</f>
        <v>20.235060611229283</v>
      </c>
      <c r="BX16" s="112">
        <f>_xlfn.NORM.DIST(10,Table3[[#This Row],[adjusted launch angle]],Table3[[#This Row],[angle stdev]],TRUE)</f>
        <v>0.45083660826844291</v>
      </c>
      <c r="BY16" s="112">
        <f>1-_xlfn.NORM.DIST(50, Table3[[#This Row],[adjusted launch angle]],Table3[[#This Row],[angle stdev]],TRUE)</f>
        <v>3.1925483442733937E-2</v>
      </c>
      <c r="BZ16" s="112">
        <f t="shared" si="7"/>
        <v>0.42944875004736094</v>
      </c>
      <c r="CA16" s="6">
        <f>$CA$25+Table3[[#This Row],[offense]]*($CA$27-$CA$25)/2</f>
        <v>80</v>
      </c>
      <c r="CB16" s="6">
        <f>Table3[[#This Row],[exit velocity mean]]-Table3[[#This Row],[reduction]]*100</f>
        <v>80</v>
      </c>
      <c r="CC16" s="162">
        <f>Table3[[#This Row],[exit velocity mean]]^2*2*SIN(RADIANS(Table3[[#This Row],[adjusted launch angle]]))/$CC$28*5280</f>
        <v>182.8481858549093</v>
      </c>
      <c r="CD16" s="124">
        <f>2*Table3[[#This Row],[exit velocity mean]]*SIN(RADIANS(Table3[[#This Row],[adjusted launch angle]]))/$CC$28*60*60</f>
        <v>1.558365220354341</v>
      </c>
      <c r="CE16" s="162">
        <f>Table3[[#This Row],[theoretical distance]]-Table3[[#This Row],[flight time]]^2*$CE$25</f>
        <v>143.99215129474877</v>
      </c>
      <c r="CF16" s="6">
        <f>Table3[[#This Row],[exit velocity mean]]+$CC$25-Table3[[#This Row],[reduction]]*100</f>
        <v>92.5</v>
      </c>
      <c r="CG16" s="6">
        <f>MIN(Table3[[#This Row],[adjusted launch angle]]+Table3[[#This Row],[angle stdev]], 30)</f>
        <v>30</v>
      </c>
      <c r="CH16" s="124">
        <f>2*Table3[[#This Row],[+1stdv EV]]*SIN(RADIANS(Table3[[#This Row],[+1stdv LA]]))/$CC$28*60*60</f>
        <v>4.1624999999999988</v>
      </c>
      <c r="CI16" s="162">
        <f>Table3[[#This Row],[+1stdv EV]]^2*2*SIN(RADIANS(Table3[[#This Row],[+1stdv LA]]))/$CC$28*5280-Table3[[#This Row],[+1stdv flight time]]^2*$CE$25</f>
        <v>287.49</v>
      </c>
      <c r="CJ16" s="162">
        <f>Table3[[#This Row],[+1stdev distance]]-Table3[[#This Row],[actual distance]]</f>
        <v>143.49784870525124</v>
      </c>
    </row>
    <row r="17" spans="1:90"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8"/>
        <v>1</v>
      </c>
      <c r="X17" s="56">
        <f>Table3[[#This Row],[ball factor]]/$X$32*(1-$X$34)+$X$34</f>
        <v>1.1411764705882355</v>
      </c>
      <c r="Y17" s="23">
        <f>Table3[[#This Row],[offense]]</f>
        <v>1</v>
      </c>
      <c r="Z17" s="96">
        <f t="shared" si="1"/>
        <v>-0.90000000000000013</v>
      </c>
      <c r="AA17" s="96">
        <f>IF(Table3[[#This Row],[player control]]&gt;1,Table3[[#This Row],[player control]]*$AA$41+$AA$40,Table3[[#This Row],[player control]]*$AA$39+$AA$38)</f>
        <v>0.40000000000000008</v>
      </c>
      <c r="AB17" s="97">
        <f>_xlfn.NORM.DIST(-1,Table3[[#This Row],[ideal steer]],($AB$25-Table3[[#This Row],[scaled control]])*$AB$27,TRUE)</f>
        <v>0.39059147543357509</v>
      </c>
      <c r="AC17" s="97">
        <f>1-_xlfn.NORM.DIST(1,Table3[[#This Row],[ideal steer]],($AB$25-Table3[[#This Row],[scaled control]])*$AB$27,TRUE)</f>
        <v>6.5379949898414225E-8</v>
      </c>
      <c r="AD17" s="97">
        <f>1-(1-Table3[[#This Row],[unmod foul percent 3rd]])*(1-Table3[[#This Row],[unmod foul percent 1st]])</f>
        <v>0.39059151527667391</v>
      </c>
      <c r="AE17" s="97">
        <f>1-((1-_xlfn.NORM.DIST(-1,0,($AB$25-Table3[[#This Row],[scaled control]])*$AB$27,TRUE))*_xlfn.NORM.DIST(1,0,($AB$25-Table3[[#This Row],[scaled control]])*$AB$27,TRUE))</f>
        <v>5.465714583151815E-3</v>
      </c>
      <c r="AF17" s="23">
        <f t="shared" si="2"/>
        <v>-4</v>
      </c>
      <c r="AG17" s="23">
        <f>$AG$25*($AG$34*Table3[[#This Row],[offense]])</f>
        <v>0</v>
      </c>
      <c r="AH17" s="23">
        <f t="shared" si="3"/>
        <v>0</v>
      </c>
      <c r="AI17" s="23">
        <f t="shared" si="4"/>
        <v>0</v>
      </c>
      <c r="AJ17" s="23">
        <f>$AJ$25*(Table3[[#This Row],[offense]]-$AJ$27)</f>
        <v>0</v>
      </c>
      <c r="AK17" s="23" cm="1">
        <f t="array" ref="AK17">SUM(Table3[[#This Row],[count]:[current hitter vs next hitter]]*MIN(1, Table3[[#This Row],[defense]]))</f>
        <v>-4</v>
      </c>
      <c r="AL17" s="97">
        <f>$AL$25-(Table3[[#This Row],[calling modifier]]/(ABS(Table3[[#This Row],[calling modifier]])+$AL$29)*$AL$27)</f>
        <v>0.66666666666666663</v>
      </c>
      <c r="AM17" s="113">
        <f>$AL$25-$AL$27*TANH(Table3[[#This Row],[calling modifier]]/$AM$29)</f>
        <v>0.67895012808996158</v>
      </c>
      <c r="AN17" s="145">
        <f>MAX(0, 1-_xlfn.NORM.S.INV(Table3[[#This Row],[tanh strike percent]])*($AN$25*($AN$27-Table3[[#This Row],[defense]])))</f>
        <v>0.62818798795153219</v>
      </c>
      <c r="AO17" s="146">
        <f>MAX(0, 1-_xlfn.NORM.S.INV(Table3[[#This Row],[tanh strike percent]])*($AN$25*($AN$27-0.2)))</f>
        <v>0.4794631831321452</v>
      </c>
      <c r="AP17" s="146">
        <f>MAX(0, 1-_xlfn.NORM.S.INV(Table3[[#This Row],[tanh strike percent]])*($AN$25*($AN$27-2)))</f>
        <v>0.81409399397576609</v>
      </c>
      <c r="AQ17" s="146">
        <f>Table3[[#This Row],[called position]]-pitchmod*(pitchstdv-Table3[[#This Row],[defense]])</f>
        <v>-0.17181201204846785</v>
      </c>
      <c r="AR17" s="146">
        <f>ABS(Table3[[#This Row],[called position]]+pitchmod*(pitchstdv-Table3[[#This Row],[defense]]))</f>
        <v>1.4281879879515322</v>
      </c>
      <c r="AS17" s="146">
        <f>IF(AND(Table3[[#This Row],[location -1  stdv]]&lt;1, Table3[[#This Row],[location +1 stdv]]&gt;1),0, MIN(Table3[[#This Row],[location -1  stdv]]+1, 1-Table3[[#This Row],[location +1 stdv]]))</f>
        <v>0</v>
      </c>
      <c r="AT17" s="146">
        <f>IF(AND(Table3[[#This Row],[location -1  stdv]]&lt;0, Table3[[#This Row],[location +1 stdv]]&gt;0),1, MAX(1-ABS(Table3[[#This Row],[location -1  stdv]]), Table3[[#This Row],[location +1 stdv]]-1))</f>
        <v>1</v>
      </c>
      <c r="AU17" s="146">
        <f>$AU$30/(ABS(Table3[[#This Row],[called position]]-1)+$AU$27)+$AU$32*Table3[[#This Row],[defense]]</f>
        <v>0.9238976433254833</v>
      </c>
      <c r="AV17" s="146">
        <f>$AU$30/(ABS(0.5-1)+$AU$27)+$AU$32*Table3[[#This Row],[defense]]</f>
        <v>0.83333333333333337</v>
      </c>
      <c r="AW17" s="146">
        <f>$AU$30/(ABS(0.9-1)+$AU$27)+$AU$32*Table3[[#This Row],[defense]]</f>
        <v>1.5000000000000002</v>
      </c>
      <c r="AX17" s="146">
        <f>Table3[[#This Row],[defense]]*$AX$30+MAX(0, Table3[[#This Row],[called position]]-$AX$27)^$AX$25</f>
        <v>1.0458955941327002</v>
      </c>
      <c r="AY17" s="146">
        <f>Table3[[#This Row],[defense]]*$AX$30 + MAX(0, Table3[[#This Row],[location +1 stdv]]-$AX$27)^$AX$25</f>
        <v>1.8942396362496379</v>
      </c>
      <c r="AZ17" s="146">
        <f>Table3[[#This Row],[defense]]*$AX$30+MAX(0, 1-$AX$27)^$AX$25</f>
        <v>1.3535533905932737</v>
      </c>
      <c r="BA17" s="23">
        <f>MAX(0, 0.1*(1-Table3[[#This Row],[defense]]))</f>
        <v>0</v>
      </c>
      <c r="BB17" s="23">
        <f t="shared" si="5"/>
        <v>0.5</v>
      </c>
      <c r="BC17" s="146">
        <f>$AU$30/(ABS(Table3[[#This Row],[Location]]-1)+$AU$27)+$AU$32*Table3[[#This Row],[defense]]</f>
        <v>0.83333333333333337</v>
      </c>
      <c r="BD17" s="23" t="b">
        <f>Table3[[#This Row],[Location]]&lt;= (1+MAX(0, (Table3[[#This Row],[defense]]-1)*0.1))</f>
        <v>1</v>
      </c>
      <c r="BE17" s="125">
        <f>1/(1+Table3[[#This Row],[offense]])</f>
        <v>0.5</v>
      </c>
      <c r="BF17" s="146">
        <f>Table3[[#This Row],[obscurity]]*Table3[[#This Row],[discipline modifier]]</f>
        <v>0.41666666666666669</v>
      </c>
      <c r="BG17" s="113">
        <f>1/(1+Table3[[#This Row],[effective obscurity]])</f>
        <v>0.70588235294117641</v>
      </c>
      <c r="BH17" s="113">
        <f>IF(Table3[[#This Row],[Strike?]],Table3[[#This Row],[odds of read]],1-Table3[[#This Row],[odds of read]])</f>
        <v>0.70588235294117641</v>
      </c>
      <c r="BI17" s="23">
        <f t="shared" si="6"/>
        <v>1</v>
      </c>
      <c r="BJ17" s="113">
        <f>Table3[[#This Row],[desperation echo]]*Table3[[#This Row],[unadjusted swing %]]</f>
        <v>0.70588235294117641</v>
      </c>
      <c r="BK17" s="145">
        <f>Table3[[#This Row],[ave obscurity]]</f>
        <v>0.9238976433254833</v>
      </c>
      <c r="BL17" s="113">
        <f>1/(1+Table3[[#This Row],[ave obscurity]]*Table3[[#This Row],[discipline modifier]])</f>
        <v>0.68401847259102677</v>
      </c>
      <c r="BM17" s="23">
        <f>Table3[[#This Row],[offense]]</f>
        <v>1</v>
      </c>
      <c r="BN17" s="146">
        <f>Table3[[#This Row],[average difficulty]]</f>
        <v>1.0458955941327002</v>
      </c>
      <c r="BO17" s="146">
        <f>Table3[[#This Row],[contact echo]]-Table3[[#This Row],[pitch carry forward diff]]</f>
        <v>-4.5895594132700168E-2</v>
      </c>
      <c r="BP17" s="113">
        <f>1-_xlfn.NORM.DIST($BP$27,Table3[[#This Row],[CF contact readiness]], $BP$30,TRUE)</f>
        <v>0.74259556252249415</v>
      </c>
      <c r="BQ17" s="113">
        <f>1-_xlfn.NORM.DIST($BP$25,Table3[[#This Row],[CF contact readiness]], $BP$30,TRUE)</f>
        <v>0.3636828511595207</v>
      </c>
      <c r="BR17" s="113">
        <f>1-Table3[[#This Row],[foul %]]</f>
        <v>0.25740443747750585</v>
      </c>
      <c r="BS17" s="146">
        <f>(Table3[[#This Row],[CF contact readiness]]-$BP$27)/$BP$30</f>
        <v>0.65136813528909998</v>
      </c>
      <c r="BT17" s="146">
        <f>(Table3[[#This Row],[CF contact readiness]]+$BP$30-$BP$27)/$BP$30</f>
        <v>1.6513681352890999</v>
      </c>
      <c r="BU17" s="23">
        <f>MAX(0, IF(ISBLANK($BU$28), Table3[[#This Row],[hit quality +1stdv]], $BU$28)-1)</f>
        <v>0.65136813528909987</v>
      </c>
      <c r="BV17" s="23">
        <f>$BV$25+Table3[[#This Row],[offense]]*$BV$28</f>
        <v>15</v>
      </c>
      <c r="BW17" s="23">
        <f>$BW$25*$BW$28/($BW$28+Table3[[#This Row],[hit quality remainder]])</f>
        <v>17.370638796581034</v>
      </c>
      <c r="BX17" s="113">
        <f>_xlfn.NORM.DIST(10,Table3[[#This Row],[adjusted launch angle]],Table3[[#This Row],[angle stdev]],TRUE)</f>
        <v>0.3867338300086321</v>
      </c>
      <c r="BY17" s="113">
        <f>1-_xlfn.NORM.DIST(50, Table3[[#This Row],[adjusted launch angle]],Table3[[#This Row],[angle stdev]],TRUE)</f>
        <v>2.1957866000810844E-2</v>
      </c>
      <c r="BZ17" s="113">
        <f t="shared" si="7"/>
        <v>0.42944875004736094</v>
      </c>
      <c r="CA17" s="23">
        <f>$CA$25+Table3[[#This Row],[offense]]*($CA$27-$CA$25)/2</f>
        <v>90</v>
      </c>
      <c r="CB17" s="23">
        <f>Table3[[#This Row],[exit velocity mean]]-Table3[[#This Row],[reduction]]*100</f>
        <v>90</v>
      </c>
      <c r="CC17" s="163">
        <f>Table3[[#This Row],[exit velocity mean]]^2*2*SIN(RADIANS(Table3[[#This Row],[adjusted launch angle]]))/$CC$28*5280</f>
        <v>276.72932302361517</v>
      </c>
      <c r="CD17" s="125">
        <f>2*Table3[[#This Row],[exit velocity mean]]*SIN(RADIANS(Table3[[#This Row],[adjusted launch angle]]))/$CC$28*60*60</f>
        <v>2.0964342653304175</v>
      </c>
      <c r="CE17" s="163">
        <f>Table3[[#This Row],[theoretical distance]]-Table3[[#This Row],[flight time]]^2*$CE$25</f>
        <v>206.40873696199137</v>
      </c>
      <c r="CF17" s="23">
        <f>Table3[[#This Row],[exit velocity mean]]+$CC$25-Table3[[#This Row],[reduction]]*100</f>
        <v>102.5</v>
      </c>
      <c r="CG17" s="23">
        <f>MIN(Table3[[#This Row],[adjusted launch angle]]+Table3[[#This Row],[angle stdev]], 30)</f>
        <v>30</v>
      </c>
      <c r="CH17" s="125">
        <f>2*Table3[[#This Row],[+1stdv EV]]*SIN(RADIANS(Table3[[#This Row],[+1stdv LA]]))/$CC$28*60*60</f>
        <v>4.6124999999999989</v>
      </c>
      <c r="CI17" s="163">
        <f>Table3[[#This Row],[+1stdv EV]]^2*2*SIN(RADIANS(Table3[[#This Row],[+1stdv LA]]))/$CC$28*5280-Table3[[#This Row],[+1stdv flight time]]^2*$CE$25</f>
        <v>353.01000000000005</v>
      </c>
      <c r="CJ17" s="163">
        <f>Table3[[#This Row],[+1stdev distance]]-Table3[[#This Row],[actual distance]]</f>
        <v>146.60126303800868</v>
      </c>
    </row>
    <row r="18" spans="1:90"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8"/>
        <v>1</v>
      </c>
      <c r="X18" s="55">
        <f>Table3[[#This Row],[ball factor]]/$X$32*(1-$X$34)+$X$34</f>
        <v>1.1411764705882355</v>
      </c>
      <c r="Y18" s="6">
        <f>Table3[[#This Row],[offense]]</f>
        <v>2</v>
      </c>
      <c r="Z18" s="94">
        <f t="shared" si="1"/>
        <v>-0.90000000000000013</v>
      </c>
      <c r="AA18" s="94">
        <f>IF(Table3[[#This Row],[player control]]&gt;1,Table3[[#This Row],[player control]]*$AA$41+$AA$40,Table3[[#This Row],[player control]]*$AA$39+$AA$38)</f>
        <v>2</v>
      </c>
      <c r="AB18" s="95">
        <f>_xlfn.NORM.DIST(-1,Table3[[#This Row],[ideal steer]],($AB$25-Table3[[#This Row],[scaled control]])*$AB$27,TRUE)</f>
        <v>0.3085375387259871</v>
      </c>
      <c r="AC18" s="95">
        <f>1-_xlfn.NORM.DIST(1,Table3[[#This Row],[ideal steer]],($AB$25-Table3[[#This Row],[scaled control]])*$AB$27,TRUE)</f>
        <v>0</v>
      </c>
      <c r="AD18" s="95">
        <f>1-(1-Table3[[#This Row],[unmod foul percent 3rd]])*(1-Table3[[#This Row],[unmod foul percent 1st]])</f>
        <v>0.3085375387259871</v>
      </c>
      <c r="AE18" s="95">
        <f>1-((1-_xlfn.NORM.DIST(-1,0,($AB$25-Table3[[#This Row],[scaled control]])*$AB$27,TRUE))*_xlfn.NORM.DIST(1,0,($AB$25-Table3[[#This Row],[scaled control]])*$AB$27,TRUE))</f>
        <v>5.7330306169056655E-7</v>
      </c>
      <c r="AF18" s="6">
        <f t="shared" si="2"/>
        <v>-4</v>
      </c>
      <c r="AG18" s="6">
        <f>$AG$25*($AG$34*Table3[[#This Row],[offense]])</f>
        <v>0</v>
      </c>
      <c r="AH18" s="6">
        <f t="shared" si="3"/>
        <v>0</v>
      </c>
      <c r="AI18" s="6">
        <f t="shared" si="4"/>
        <v>0</v>
      </c>
      <c r="AJ18" s="6">
        <f>$AJ$25*(Table3[[#This Row],[offense]]-$AJ$27)</f>
        <v>1</v>
      </c>
      <c r="AK18" s="6" cm="1">
        <f t="array" ref="AK18">SUM(Table3[[#This Row],[count]:[current hitter vs next hitter]]*MIN(1, Table3[[#This Row],[defense]]))</f>
        <v>-3</v>
      </c>
      <c r="AL18" s="95">
        <f>$AL$25-(Table3[[#This Row],[calling modifier]]/(ABS(Table3[[#This Row],[calling modifier]])+$AL$29)*$AL$27)</f>
        <v>0.65217391304347827</v>
      </c>
      <c r="AM18" s="112">
        <f>$AL$25-$AL$27*TANH(Table3[[#This Row],[calling modifier]]/$AM$29)</f>
        <v>0.65955401344932718</v>
      </c>
      <c r="AN18" s="143">
        <f>MAX(0, 1-_xlfn.NORM.S.INV(Table3[[#This Row],[tanh strike percent]])*($AN$25*($AN$27-Table3[[#This Row],[defense]])))</f>
        <v>0.67100299464447755</v>
      </c>
      <c r="AO18" s="144">
        <f>MAX(0, 1-_xlfn.NORM.S.INV(Table3[[#This Row],[tanh strike percent]])*($AN$25*($AN$27-0.2)))</f>
        <v>0.53940419250226868</v>
      </c>
      <c r="AP18" s="144">
        <f>MAX(0, 1-_xlfn.NORM.S.INV(Table3[[#This Row],[tanh strike percent]])*($AN$25*($AN$27-2)))</f>
        <v>0.83550149732223877</v>
      </c>
      <c r="AQ18" s="144">
        <f>Table3[[#This Row],[called position]]-pitchmod*(pitchstdv-Table3[[#This Row],[defense]])</f>
        <v>-0.1289970053555225</v>
      </c>
      <c r="AR18" s="144">
        <f>ABS(Table3[[#This Row],[called position]]+pitchmod*(pitchstdv-Table3[[#This Row],[defense]]))</f>
        <v>1.4710029946444776</v>
      </c>
      <c r="AS18" s="144">
        <f>IF(AND(Table3[[#This Row],[location -1  stdv]]&lt;1, Table3[[#This Row],[location +1 stdv]]&gt;1),0, MIN(Table3[[#This Row],[location -1  stdv]]+1, 1-Table3[[#This Row],[location +1 stdv]]))</f>
        <v>0</v>
      </c>
      <c r="AT18" s="144">
        <f>IF(AND(Table3[[#This Row],[location -1  stdv]]&lt;0, Table3[[#This Row],[location +1 stdv]]&gt;0),1, MAX(1-ABS(Table3[[#This Row],[location -1  stdv]]), Table3[[#This Row],[location +1 stdv]]-1))</f>
        <v>1</v>
      </c>
      <c r="AU18" s="144">
        <f>$AU$30/(ABS(Table3[[#This Row],[called position]]-1)+$AU$27)+$AU$32*Table3[[#This Row],[defense]]</f>
        <v>0.96620372054638026</v>
      </c>
      <c r="AV18" s="144">
        <f>$AU$30/(ABS(0.5-1)+$AU$27)+$AU$32*Table3[[#This Row],[defense]]</f>
        <v>0.83333333333333337</v>
      </c>
      <c r="AW18" s="144">
        <f>$AU$30/(ABS(0.9-1)+$AU$27)+$AU$32*Table3[[#This Row],[defense]]</f>
        <v>1.5000000000000002</v>
      </c>
      <c r="AX18" s="144">
        <f>Table3[[#This Row],[defense]]*$AX$30+MAX(0, Table3[[#This Row],[called position]]-$AX$27)^$AX$25</f>
        <v>1.0707140276310017</v>
      </c>
      <c r="AY18" s="144">
        <f>Table3[[#This Row],[defense]]*$AX$30 + MAX(0, Table3[[#This Row],[location +1 stdv]]-$AX$27)^$AX$25</f>
        <v>1.956821342491327</v>
      </c>
      <c r="AZ18" s="144">
        <f>Table3[[#This Row],[defense]]*$AX$30+MAX(0, 1-$AX$27)^$AX$25</f>
        <v>1.3535533905932737</v>
      </c>
      <c r="BA18" s="6">
        <f>MAX(0, 0.1*(1-Table3[[#This Row],[defense]]))</f>
        <v>0</v>
      </c>
      <c r="BB18" s="6">
        <f t="shared" si="5"/>
        <v>0.5</v>
      </c>
      <c r="BC18" s="144">
        <f>$AU$30/(ABS(Table3[[#This Row],[Location]]-1)+$AU$27)+$AU$32*Table3[[#This Row],[defense]]</f>
        <v>0.83333333333333337</v>
      </c>
      <c r="BD18" s="6" t="b">
        <f>Table3[[#This Row],[Location]]&lt;= (1+MAX(0, (Table3[[#This Row],[defense]]-1)*0.1))</f>
        <v>1</v>
      </c>
      <c r="BE18" s="124">
        <f>1/(1+Table3[[#This Row],[offense]])</f>
        <v>0.33333333333333331</v>
      </c>
      <c r="BF18" s="144">
        <f>Table3[[#This Row],[obscurity]]*Table3[[#This Row],[discipline modifier]]</f>
        <v>0.27777777777777779</v>
      </c>
      <c r="BG18" s="112">
        <f>1/(1+Table3[[#This Row],[effective obscurity]])</f>
        <v>0.78260869565217395</v>
      </c>
      <c r="BH18" s="112">
        <f>IF(Table3[[#This Row],[Strike?]],Table3[[#This Row],[odds of read]],1-Table3[[#This Row],[odds of read]])</f>
        <v>0.78260869565217395</v>
      </c>
      <c r="BI18" s="6">
        <f t="shared" si="6"/>
        <v>1</v>
      </c>
      <c r="BJ18" s="112">
        <f>Table3[[#This Row],[desperation echo]]*Table3[[#This Row],[unadjusted swing %]]</f>
        <v>0.78260869565217395</v>
      </c>
      <c r="BK18" s="143">
        <f>Table3[[#This Row],[ave obscurity]]</f>
        <v>0.96620372054638026</v>
      </c>
      <c r="BL18" s="112">
        <f>1/(1+Table3[[#This Row],[ave obscurity]]*Table3[[#This Row],[discipline modifier]])</f>
        <v>0.7563907987022721</v>
      </c>
      <c r="BM18" s="6">
        <f>Table3[[#This Row],[offense]]</f>
        <v>2</v>
      </c>
      <c r="BN18" s="144">
        <f>Table3[[#This Row],[average difficulty]]</f>
        <v>1.0707140276310017</v>
      </c>
      <c r="BO18" s="144">
        <f>Table3[[#This Row],[contact echo]]-Table3[[#This Row],[pitch carry forward diff]]</f>
        <v>0.92928597236899835</v>
      </c>
      <c r="BP18" s="112">
        <f>1-_xlfn.NORM.DIST($BP$27,Table3[[#This Row],[CF contact readiness]], $BP$30,TRUE)</f>
        <v>0.83557395703100679</v>
      </c>
      <c r="BQ18" s="112">
        <f>1-_xlfn.NORM.DIST($BP$25,Table3[[#This Row],[CF contact readiness]], $BP$30,TRUE)</f>
        <v>0.49059726556760985</v>
      </c>
      <c r="BR18" s="112">
        <f>1-Table3[[#This Row],[foul %]]</f>
        <v>0.16442604296899321</v>
      </c>
      <c r="BS18" s="144">
        <f>(Table3[[#This Row],[CF contact readiness]]-$BP$27)/$BP$30</f>
        <v>0.97642865745633278</v>
      </c>
      <c r="BT18" s="144">
        <f>(Table3[[#This Row],[CF contact readiness]]+$BP$30-$BP$27)/$BP$30</f>
        <v>1.9764286574563326</v>
      </c>
      <c r="BU18" s="6">
        <f>MAX(0, IF(ISBLANK($BU$28), Table3[[#This Row],[hit quality +1stdv]], $BU$28)-1)</f>
        <v>0.97642865745633256</v>
      </c>
      <c r="BV18" s="6">
        <f>$BV$25+Table3[[#This Row],[offense]]*$BV$28</f>
        <v>20</v>
      </c>
      <c r="BW18" s="6">
        <f>$BW$25*$BW$28/($BW$28+Table3[[#This Row],[hit quality remainder]])</f>
        <v>13.546201436144589</v>
      </c>
      <c r="BX18" s="112">
        <f>_xlfn.NORM.DIST(10,Table3[[#This Row],[adjusted launch angle]],Table3[[#This Row],[angle stdev]],TRUE)</f>
        <v>0.23019210849816696</v>
      </c>
      <c r="BY18" s="112">
        <f>1-_xlfn.NORM.DIST(50, Table3[[#This Row],[adjusted launch angle]],Table3[[#This Row],[angle stdev]],TRUE)</f>
        <v>1.3392289526165668E-2</v>
      </c>
      <c r="BZ18" s="112">
        <f t="shared" si="7"/>
        <v>0.42944875004736094</v>
      </c>
      <c r="CA18" s="6">
        <f>$CA$25+Table3[[#This Row],[offense]]*($CA$27-$CA$25)/2</f>
        <v>110</v>
      </c>
      <c r="CB18" s="6">
        <f>Table3[[#This Row],[exit velocity mean]]-Table3[[#This Row],[reduction]]*100</f>
        <v>110</v>
      </c>
      <c r="CC18" s="162">
        <f>Table3[[#This Row],[exit velocity mean]]^2*2*SIN(RADIANS(Table3[[#This Row],[adjusted launch angle]]))/$CC$28*5280</f>
        <v>546.27457291975804</v>
      </c>
      <c r="CD18" s="124">
        <f>2*Table3[[#This Row],[exit velocity mean]]*SIN(RADIANS(Table3[[#This Row],[adjusted launch angle]]))/$CC$28*60*60</f>
        <v>3.3859994189241207</v>
      </c>
      <c r="CE18" s="162">
        <f>Table3[[#This Row],[theoretical distance]]-Table3[[#This Row],[flight time]]^2*$CE$25</f>
        <v>362.83469988048631</v>
      </c>
      <c r="CF18" s="6">
        <f>Table3[[#This Row],[exit velocity mean]]+$CC$25-Table3[[#This Row],[reduction]]*100</f>
        <v>122.5</v>
      </c>
      <c r="CG18" s="6">
        <f>MIN(Table3[[#This Row],[adjusted launch angle]]+Table3[[#This Row],[angle stdev]], 30)</f>
        <v>30</v>
      </c>
      <c r="CH18" s="124">
        <f>2*Table3[[#This Row],[+1stdv EV]]*SIN(RADIANS(Table3[[#This Row],[+1stdv LA]]))/$CC$28*60*60</f>
        <v>5.5124999999999993</v>
      </c>
      <c r="CI18" s="162">
        <f>Table3[[#This Row],[+1stdv EV]]^2*2*SIN(RADIANS(Table3[[#This Row],[+1stdv LA]]))/$CC$28*5280-Table3[[#This Row],[+1stdv flight time]]^2*$CE$25</f>
        <v>504.21000000000004</v>
      </c>
      <c r="CJ18" s="162">
        <f>Table3[[#This Row],[+1stdev distance]]-Table3[[#This Row],[actual distance]]</f>
        <v>141.37530011951372</v>
      </c>
    </row>
    <row r="19" spans="1:90"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8"/>
        <v>1</v>
      </c>
      <c r="X19" s="57">
        <f>Table3[[#This Row],[ball factor]]/$X$32*(1-$X$34)+$X$34</f>
        <v>1.1411764705882355</v>
      </c>
      <c r="Y19" s="15">
        <f>Table3[[#This Row],[offense]]</f>
        <v>0.1</v>
      </c>
      <c r="Z19" s="98">
        <f t="shared" si="1"/>
        <v>-0.90000000000000013</v>
      </c>
      <c r="AA19" s="98">
        <f>IF(Table3[[#This Row],[player control]]&gt;1,Table3[[#This Row],[player control]]*$AA$41+$AA$40,Table3[[#This Row],[player control]]*$AA$39+$AA$38)</f>
        <v>-0.14000000000000001</v>
      </c>
      <c r="AB19" s="99">
        <f>_xlfn.NORM.DIST(-1,Table3[[#This Row],[ideal steer]],($AB$25-Table3[[#This Row],[scaled control]])*$AB$27,TRUE)</f>
        <v>0.40456602559459909</v>
      </c>
      <c r="AC19" s="99">
        <f>1-_xlfn.NORM.DIST(1,Table3[[#This Row],[ideal steer]],($AB$25-Table3[[#This Row],[scaled control]])*$AB$27,TRUE)</f>
        <v>2.2229077858426649E-6</v>
      </c>
      <c r="AD19" s="99">
        <f>1-(1-Table3[[#This Row],[unmod foul percent 3rd]])*(1-Table3[[#This Row],[unmod foul percent 1st]])</f>
        <v>0.40456734918941673</v>
      </c>
      <c r="AE19" s="99">
        <f>1-((1-_xlfn.NORM.DIST(-1,0,($AB$25-Table3[[#This Row],[scaled control]])*$AB$27,TRUE))*_xlfn.NORM.DIST(1,0,($AB$25-Table3[[#This Row],[scaled control]])*$AB$27,TRUE))</f>
        <v>1.5653650964326582E-2</v>
      </c>
      <c r="AF19" s="15">
        <f t="shared" si="2"/>
        <v>-4</v>
      </c>
      <c r="AG19" s="15">
        <f>$AG$25*($AG$34*Table3[[#This Row],[offense]])</f>
        <v>0</v>
      </c>
      <c r="AH19" s="15">
        <f t="shared" si="3"/>
        <v>0</v>
      </c>
      <c r="AI19" s="15">
        <f t="shared" si="4"/>
        <v>0</v>
      </c>
      <c r="AJ19" s="15">
        <f>$AJ$25*(Table3[[#This Row],[offense]]-$AJ$27)</f>
        <v>-0.9</v>
      </c>
      <c r="AK19" s="15" cm="1">
        <f t="array" ref="AK19">SUM(Table3[[#This Row],[count]:[current hitter vs next hitter]]*MIN(1, Table3[[#This Row],[defense]]))</f>
        <v>-4.9000000000000004</v>
      </c>
      <c r="AL19" s="99">
        <f>$AL$25-(Table3[[#This Row],[calling modifier]]/(ABS(Table3[[#This Row],[calling modifier]])+$AL$29)*$AL$27)</f>
        <v>0.67871485943775101</v>
      </c>
      <c r="AM19" s="114">
        <f>$AL$25-$AL$27*TANH(Table3[[#This Row],[calling modifier]]/$AM$29)</f>
        <v>0.69608514587447212</v>
      </c>
      <c r="AN19" s="147">
        <f>MAX(0, 1-_xlfn.NORM.S.INV(Table3[[#This Row],[tanh strike percent]])*($AN$25*($AN$27-Table3[[#This Row],[defense]])))</f>
        <v>0.79473045534945519</v>
      </c>
      <c r="AO19" s="148">
        <f>MAX(0, 1-_xlfn.NORM.S.INV(Table3[[#This Row],[tanh strike percent]])*($AN$25*($AN$27-0.2)))</f>
        <v>0.42524527497847475</v>
      </c>
      <c r="AP19" s="148">
        <f>MAX(0, 1-_xlfn.NORM.S.INV(Table3[[#This Row],[tanh strike percent]])*($AN$25*($AN$27-2)))</f>
        <v>0.79473045534945519</v>
      </c>
      <c r="AQ19" s="148">
        <f>Table3[[#This Row],[called position]]-pitchmod*(pitchstdv-Table3[[#This Row],[defense]])</f>
        <v>0.39473045534945517</v>
      </c>
      <c r="AR19" s="148">
        <f>ABS(Table3[[#This Row],[called position]]+pitchmod*(pitchstdv-Table3[[#This Row],[defense]]))</f>
        <v>1.1947304553494553</v>
      </c>
      <c r="AS19" s="148">
        <f>IF(AND(Table3[[#This Row],[location -1  stdv]]&lt;1, Table3[[#This Row],[location +1 stdv]]&gt;1),0, MIN(Table3[[#This Row],[location -1  stdv]]+1, 1-Table3[[#This Row],[location +1 stdv]]))</f>
        <v>0</v>
      </c>
      <c r="AT19" s="148">
        <f>IF(AND(Table3[[#This Row],[location -1  stdv]]&lt;0, Table3[[#This Row],[location +1 stdv]]&gt;0),1, MAX(1-ABS(Table3[[#This Row],[location -1  stdv]]), Table3[[#This Row],[location +1 stdv]]-1))</f>
        <v>0.60526954465054483</v>
      </c>
      <c r="AU19" s="148">
        <f>$AU$30/(ABS(Table3[[#This Row],[called position]]-1)+$AU$27)+$AU$32*Table3[[#This Row],[defense]]</f>
        <v>1.6551587064767586</v>
      </c>
      <c r="AV19" s="148">
        <f>$AU$30/(ABS(0.5-1)+$AU$27)+$AU$32*Table3[[#This Row],[defense]]</f>
        <v>1.3333333333333335</v>
      </c>
      <c r="AW19" s="148">
        <f>$AU$30/(ABS(0.9-1)+$AU$27)+$AU$32*Table3[[#This Row],[defense]]</f>
        <v>2</v>
      </c>
      <c r="AX19" s="148">
        <f>Table3[[#This Row],[defense]]*$AX$30+MAX(0, Table3[[#This Row],[called position]]-$AX$27)^$AX$25</f>
        <v>2.1600064620877775</v>
      </c>
      <c r="AY19" s="148">
        <f>Table3[[#This Row],[defense]]*$AX$30 + MAX(0, Table3[[#This Row],[location +1 stdv]]-$AX$27)^$AX$25</f>
        <v>2.5790612541434479</v>
      </c>
      <c r="AZ19" s="148">
        <f>Table3[[#This Row],[defense]]*$AX$30+MAX(0, 1-$AX$27)^$AX$25</f>
        <v>2.353553390593274</v>
      </c>
      <c r="BA19" s="15">
        <f>MAX(0, 0.1*(1-Table3[[#This Row],[defense]]))</f>
        <v>0</v>
      </c>
      <c r="BB19" s="15">
        <f t="shared" si="5"/>
        <v>0.5</v>
      </c>
      <c r="BC19" s="148">
        <f>$AU$30/(ABS(Table3[[#This Row],[Location]]-1)+$AU$27)+$AU$32*Table3[[#This Row],[defense]]</f>
        <v>1.3333333333333335</v>
      </c>
      <c r="BD19" s="15" t="b">
        <f>Table3[[#This Row],[Location]]&lt;= (1+MAX(0, (Table3[[#This Row],[defense]]-1)*0.1))</f>
        <v>1</v>
      </c>
      <c r="BE19" s="126">
        <f>1/(1+Table3[[#This Row],[offense]])</f>
        <v>0.90909090909090906</v>
      </c>
      <c r="BF19" s="148">
        <f>Table3[[#This Row],[obscurity]]*Table3[[#This Row],[discipline modifier]]</f>
        <v>1.2121212121212122</v>
      </c>
      <c r="BG19" s="114">
        <f>1/(1+Table3[[#This Row],[effective obscurity]])</f>
        <v>0.45205479452054798</v>
      </c>
      <c r="BH19" s="114">
        <f>IF(Table3[[#This Row],[Strike?]],Table3[[#This Row],[odds of read]],1-Table3[[#This Row],[odds of read]])</f>
        <v>0.45205479452054798</v>
      </c>
      <c r="BI19" s="15">
        <f t="shared" si="6"/>
        <v>1</v>
      </c>
      <c r="BJ19" s="114">
        <f>Table3[[#This Row],[desperation echo]]*Table3[[#This Row],[unadjusted swing %]]</f>
        <v>0.45205479452054798</v>
      </c>
      <c r="BK19" s="147">
        <f>Table3[[#This Row],[ave obscurity]]</f>
        <v>1.6551587064767586</v>
      </c>
      <c r="BL19" s="114">
        <f>1/(1+Table3[[#This Row],[ave obscurity]]*Table3[[#This Row],[discipline modifier]])</f>
        <v>0.39925104764896024</v>
      </c>
      <c r="BM19" s="15">
        <f>Table3[[#This Row],[offense]]</f>
        <v>0.1</v>
      </c>
      <c r="BN19" s="148">
        <f>Table3[[#This Row],[average difficulty]]</f>
        <v>2.1600064620877775</v>
      </c>
      <c r="BO19" s="148">
        <f>Table3[[#This Row],[contact echo]]-Table3[[#This Row],[pitch carry forward diff]]</f>
        <v>-2.0600064620877774</v>
      </c>
      <c r="BP19" s="114">
        <f>1-_xlfn.NORM.DIST($BP$27,Table3[[#This Row],[CF contact readiness]], $BP$30,TRUE)</f>
        <v>0.49202082712162132</v>
      </c>
      <c r="BQ19" s="114">
        <f>1-_xlfn.NORM.DIST($BP$25,Table3[[#This Row],[CF contact readiness]], $BP$30,TRUE)</f>
        <v>0.15386371958413303</v>
      </c>
      <c r="BR19" s="114">
        <f>1-Table3[[#This Row],[foul %]]</f>
        <v>0.50797917287837868</v>
      </c>
      <c r="BS19" s="148">
        <f>(Table3[[#This Row],[CF contact readiness]]-$BP$27)/$BP$30</f>
        <v>-2.0002154029259128E-2</v>
      </c>
      <c r="BT19" s="148">
        <f>(Table3[[#This Row],[CF contact readiness]]+$BP$30-$BP$27)/$BP$30</f>
        <v>0.97999784597074091</v>
      </c>
      <c r="BU19" s="15">
        <f>MAX(0, IF(ISBLANK($BU$28), Table3[[#This Row],[hit quality +1stdv]], $BU$28)-1)</f>
        <v>0</v>
      </c>
      <c r="BV19" s="15">
        <f>$BV$25+Table3[[#This Row],[offense]]*$BV$28</f>
        <v>10.5</v>
      </c>
      <c r="BW19" s="15">
        <f>$BW$25*$BW$28/($BW$28+Table3[[#This Row],[hit quality remainder]])</f>
        <v>40</v>
      </c>
      <c r="BX19" s="114">
        <f>_xlfn.NORM.DIST(10,Table3[[#This Row],[adjusted launch angle]],Table3[[#This Row],[angle stdev]],TRUE)</f>
        <v>0.49501335135596203</v>
      </c>
      <c r="BY19" s="114">
        <f>1-_xlfn.NORM.DIST(50, Table3[[#This Row],[adjusted launch angle]],Table3[[#This Row],[angle stdev]],TRUE)</f>
        <v>0.16169879145728561</v>
      </c>
      <c r="BZ19" s="114">
        <f t="shared" si="7"/>
        <v>0.42944875004736094</v>
      </c>
      <c r="CA19" s="15">
        <f>$CA$25+Table3[[#This Row],[offense]]*($CA$27-$CA$25)/2</f>
        <v>72</v>
      </c>
      <c r="CB19" s="15">
        <f>Table3[[#This Row],[exit velocity mean]]-Table3[[#This Row],[reduction]]*100</f>
        <v>72</v>
      </c>
      <c r="CC19" s="164">
        <f>Table3[[#This Row],[exit velocity mean]]^2*2*SIN(RADIANS(Table3[[#This Row],[adjusted launch angle]]))/$CC$28*5280</f>
        <v>124.70158326797061</v>
      </c>
      <c r="CD19" s="126">
        <f>2*Table3[[#This Row],[exit velocity mean]]*SIN(RADIANS(Table3[[#This Row],[adjusted launch angle]]))/$CC$28*60*60</f>
        <v>1.1808862051891156</v>
      </c>
      <c r="CE19" s="164">
        <f>Table3[[#This Row],[theoretical distance]]-Table3[[#This Row],[flight time]]^2*$CE$25</f>
        <v>102.38970759427541</v>
      </c>
      <c r="CF19" s="15">
        <f>Table3[[#This Row],[exit velocity mean]]+$CC$25-Table3[[#This Row],[reduction]]*100</f>
        <v>84.5</v>
      </c>
      <c r="CG19" s="15">
        <f>MIN(Table3[[#This Row],[adjusted launch angle]]+Table3[[#This Row],[angle stdev]], 30)</f>
        <v>30</v>
      </c>
      <c r="CH19" s="126">
        <f>2*Table3[[#This Row],[+1stdv EV]]*SIN(RADIANS(Table3[[#This Row],[+1stdv LA]]))/$CC$28*60*60</f>
        <v>3.8024999999999993</v>
      </c>
      <c r="CI19" s="164">
        <f>Table3[[#This Row],[+1stdv EV]]^2*2*SIN(RADIANS(Table3[[#This Row],[+1stdv LA]]))/$CC$28*5280-Table3[[#This Row],[+1stdv flight time]]^2*$CE$25</f>
        <v>239.91240000000005</v>
      </c>
      <c r="CJ19" s="164">
        <f>Table3[[#This Row],[+1stdev distance]]-Table3[[#This Row],[actual distance]]</f>
        <v>137.52269240572463</v>
      </c>
    </row>
    <row r="20" spans="1:90"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8"/>
        <v>1</v>
      </c>
      <c r="X20" s="58">
        <f>Table3[[#This Row],[ball factor]]/$X$32*(1-$X$34)+$X$34</f>
        <v>1.1411764705882355</v>
      </c>
      <c r="Y20" s="11">
        <f>Table3[[#This Row],[offense]]</f>
        <v>0.5</v>
      </c>
      <c r="Z20" s="100">
        <f t="shared" si="1"/>
        <v>-0.90000000000000013</v>
      </c>
      <c r="AA20" s="100">
        <f>IF(Table3[[#This Row],[player control]]&gt;1,Table3[[#This Row],[player control]]*$AA$41+$AA$40,Table3[[#This Row],[player control]]*$AA$39+$AA$38)</f>
        <v>0.10000000000000003</v>
      </c>
      <c r="AB20" s="101">
        <f>_xlfn.NORM.DIST(-1,Table3[[#This Row],[ideal steer]],($AB$25-Table3[[#This Row],[scaled control]])*$AB$27,TRUE)</f>
        <v>0.39881703452798722</v>
      </c>
      <c r="AC20" s="101">
        <f>1-_xlfn.NORM.DIST(1,Table3[[#This Row],[ideal steer]],($AB$25-Table3[[#This Row],[scaled control]])*$AB$27,TRUE)</f>
        <v>5.5294477940837083E-7</v>
      </c>
      <c r="AD20" s="101">
        <f>1-(1-Table3[[#This Row],[unmod foul percent 3rd]])*(1-Table3[[#This Row],[unmod foul percent 1st]])</f>
        <v>0.39881736694896941</v>
      </c>
      <c r="AE20" s="101">
        <f>1-((1-_xlfn.NORM.DIST(-1,0,($AB$25-Table3[[#This Row],[scaled control]])*$AB$27,TRUE))*_xlfn.NORM.DIST(1,0,($AB$25-Table3[[#This Row],[scaled control]])*$AB$27,TRUE))</f>
        <v>1.0317546081842099E-2</v>
      </c>
      <c r="AF20" s="11">
        <f t="shared" si="2"/>
        <v>-4</v>
      </c>
      <c r="AG20" s="11">
        <f>$AG$25*($AG$34*Table3[[#This Row],[offense]])</f>
        <v>0</v>
      </c>
      <c r="AH20" s="11">
        <f t="shared" si="3"/>
        <v>0</v>
      </c>
      <c r="AI20" s="11">
        <f t="shared" si="4"/>
        <v>0</v>
      </c>
      <c r="AJ20" s="11">
        <f>$AJ$25*(Table3[[#This Row],[offense]]-$AJ$27)</f>
        <v>-0.5</v>
      </c>
      <c r="AK20" s="11" cm="1">
        <f t="array" ref="AK20">SUM(Table3[[#This Row],[count]:[current hitter vs next hitter]]*MIN(1, Table3[[#This Row],[defense]]))</f>
        <v>-4.5</v>
      </c>
      <c r="AL20" s="101">
        <f>$AL$25-(Table3[[#This Row],[calling modifier]]/(ABS(Table3[[#This Row],[calling modifier]])+$AL$29)*$AL$27)</f>
        <v>0.67346938775510201</v>
      </c>
      <c r="AM20" s="115">
        <f>$AL$25-$AL$27*TANH(Table3[[#This Row],[calling modifier]]/$AM$29)</f>
        <v>0.68851138715937754</v>
      </c>
      <c r="AN20" s="149">
        <f>MAX(0, 1-_xlfn.NORM.S.INV(Table3[[#This Row],[tanh strike percent]])*($AN$25*($AN$27-Table3[[#This Row],[defense]])))</f>
        <v>0.80334590351824497</v>
      </c>
      <c r="AO20" s="150">
        <f>MAX(0, 1-_xlfn.NORM.S.INV(Table3[[#This Row],[tanh strike percent]])*($AN$25*($AN$27-0.2)))</f>
        <v>0.449368529851086</v>
      </c>
      <c r="AP20" s="150">
        <f>MAX(0, 1-_xlfn.NORM.S.INV(Table3[[#This Row],[tanh strike percent]])*($AN$25*($AN$27-2)))</f>
        <v>0.80334590351824497</v>
      </c>
      <c r="AQ20" s="150">
        <f>Table3[[#This Row],[called position]]-pitchmod*(pitchstdv-Table3[[#This Row],[defense]])</f>
        <v>0.40334590351824495</v>
      </c>
      <c r="AR20" s="150">
        <f>ABS(Table3[[#This Row],[called position]]+pitchmod*(pitchstdv-Table3[[#This Row],[defense]]))</f>
        <v>1.203345903518245</v>
      </c>
      <c r="AS20" s="150">
        <f>IF(AND(Table3[[#This Row],[location -1  stdv]]&lt;1, Table3[[#This Row],[location +1 stdv]]&gt;1),0, MIN(Table3[[#This Row],[location -1  stdv]]+1, 1-Table3[[#This Row],[location +1 stdv]]))</f>
        <v>0</v>
      </c>
      <c r="AT20" s="150">
        <f>IF(AND(Table3[[#This Row],[location -1  stdv]]&lt;0, Table3[[#This Row],[location +1 stdv]]&gt;0),1, MAX(1-ABS(Table3[[#This Row],[location -1  stdv]]), Table3[[#This Row],[location +1 stdv]]-1))</f>
        <v>0.59665409648175505</v>
      </c>
      <c r="AU20" s="150">
        <f>$AU$30/(ABS(Table3[[#This Row],[called position]]-1)+$AU$27)+$AU$32*Table3[[#This Row],[defense]]</f>
        <v>1.6741858695765575</v>
      </c>
      <c r="AV20" s="150">
        <f>$AU$30/(ABS(0.5-1)+$AU$27)+$AU$32*Table3[[#This Row],[defense]]</f>
        <v>1.3333333333333335</v>
      </c>
      <c r="AW20" s="150">
        <f>$AU$30/(ABS(0.9-1)+$AU$27)+$AU$32*Table3[[#This Row],[defense]]</f>
        <v>2</v>
      </c>
      <c r="AX20" s="150">
        <f>Table3[[#This Row],[defense]]*$AX$30+MAX(0, Table3[[#This Row],[called position]]-$AX$27)^$AX$25</f>
        <v>2.1670733580522925</v>
      </c>
      <c r="AY20" s="150">
        <f>Table3[[#This Row],[defense]]*$AX$30 + MAX(0, Table3[[#This Row],[location +1 stdv]]-$AX$27)^$AX$25</f>
        <v>2.5898661079238132</v>
      </c>
      <c r="AZ20" s="150">
        <f>Table3[[#This Row],[defense]]*$AX$30+MAX(0, 1-$AX$27)^$AX$25</f>
        <v>2.353553390593274</v>
      </c>
      <c r="BA20" s="11">
        <f>MAX(0, 0.1*(1-Table3[[#This Row],[defense]]))</f>
        <v>0</v>
      </c>
      <c r="BB20" s="11">
        <f t="shared" si="5"/>
        <v>0.5</v>
      </c>
      <c r="BC20" s="150">
        <f>$AU$30/(ABS(Table3[[#This Row],[Location]]-1)+$AU$27)+$AU$32*Table3[[#This Row],[defense]]</f>
        <v>1.3333333333333335</v>
      </c>
      <c r="BD20" s="11" t="b">
        <f>Table3[[#This Row],[Location]]&lt;= (1+MAX(0, (Table3[[#This Row],[defense]]-1)*0.1))</f>
        <v>1</v>
      </c>
      <c r="BE20" s="127">
        <f>1/(1+Table3[[#This Row],[offense]])</f>
        <v>0.66666666666666663</v>
      </c>
      <c r="BF20" s="150">
        <f>Table3[[#This Row],[obscurity]]*Table3[[#This Row],[discipline modifier]]</f>
        <v>0.88888888888888895</v>
      </c>
      <c r="BG20" s="115">
        <f>1/(1+Table3[[#This Row],[effective obscurity]])</f>
        <v>0.52941176470588236</v>
      </c>
      <c r="BH20" s="115">
        <f>IF(Table3[[#This Row],[Strike?]],Table3[[#This Row],[odds of read]],1-Table3[[#This Row],[odds of read]])</f>
        <v>0.52941176470588236</v>
      </c>
      <c r="BI20" s="11">
        <f t="shared" si="6"/>
        <v>1</v>
      </c>
      <c r="BJ20" s="115">
        <f>Table3[[#This Row],[desperation echo]]*Table3[[#This Row],[unadjusted swing %]]</f>
        <v>0.52941176470588236</v>
      </c>
      <c r="BK20" s="149">
        <f>Table3[[#This Row],[ave obscurity]]</f>
        <v>1.6741858695765575</v>
      </c>
      <c r="BL20" s="115">
        <f>1/(1+Table3[[#This Row],[ave obscurity]]*Table3[[#This Row],[discipline modifier]])</f>
        <v>0.472562118802483</v>
      </c>
      <c r="BM20" s="11">
        <f>Table3[[#This Row],[offense]]</f>
        <v>0.5</v>
      </c>
      <c r="BN20" s="150">
        <f>Table3[[#This Row],[average difficulty]]</f>
        <v>2.1670733580522925</v>
      </c>
      <c r="BO20" s="150">
        <f>Table3[[#This Row],[contact echo]]-Table3[[#This Row],[pitch carry forward diff]]</f>
        <v>-1.6670733580522925</v>
      </c>
      <c r="BP20" s="115">
        <f>1-_xlfn.NORM.DIST($BP$27,Table3[[#This Row],[CF contact readiness]], $BP$30,TRUE)</f>
        <v>0.54418213132312188</v>
      </c>
      <c r="BQ20" s="115">
        <f>1-_xlfn.NORM.DIST($BP$25,Table3[[#This Row],[CF contact readiness]], $BP$30,TRUE)</f>
        <v>0.18699496913825597</v>
      </c>
      <c r="BR20" s="115">
        <f>1-Table3[[#This Row],[foul %]]</f>
        <v>0.45581786867687812</v>
      </c>
      <c r="BS20" s="150">
        <f>(Table3[[#This Row],[CF contact readiness]]-$BP$27)/$BP$30</f>
        <v>0.11097554731590249</v>
      </c>
      <c r="BT20" s="150">
        <f>(Table3[[#This Row],[CF contact readiness]]+$BP$30-$BP$27)/$BP$30</f>
        <v>1.1109755473159024</v>
      </c>
      <c r="BU20" s="11">
        <f>MAX(0, IF(ISBLANK($BU$28), Table3[[#This Row],[hit quality +1stdv]], $BU$28)-1)</f>
        <v>0.11097554731590242</v>
      </c>
      <c r="BV20" s="11">
        <f>$BV$25+Table3[[#This Row],[offense]]*$BV$28</f>
        <v>12.5</v>
      </c>
      <c r="BW20" s="11">
        <f>$BW$25*$BW$28/($BW$28+Table3[[#This Row],[hit quality remainder]])</f>
        <v>32.73453428351214</v>
      </c>
      <c r="BX20" s="115">
        <f>_xlfn.NORM.DIST(10,Table3[[#This Row],[adjusted launch angle]],Table3[[#This Row],[angle stdev]],TRUE)</f>
        <v>0.46956159515502022</v>
      </c>
      <c r="BY20" s="115">
        <f>1-_xlfn.NORM.DIST(50, Table3[[#This Row],[adjusted launch angle]],Table3[[#This Row],[angle stdev]],TRUE)</f>
        <v>0.12598466394930252</v>
      </c>
      <c r="BZ20" s="115">
        <f t="shared" si="7"/>
        <v>0.42944875004736094</v>
      </c>
      <c r="CA20" s="11">
        <f>$CA$25+Table3[[#This Row],[offense]]*($CA$27-$CA$25)/2</f>
        <v>80</v>
      </c>
      <c r="CB20" s="11">
        <f>Table3[[#This Row],[exit velocity mean]]-Table3[[#This Row],[reduction]]*100</f>
        <v>80</v>
      </c>
      <c r="CC20" s="165">
        <f>Table3[[#This Row],[exit velocity mean]]^2*2*SIN(RADIANS(Table3[[#This Row],[adjusted launch angle]]))/$CC$28*5280</f>
        <v>182.8481858549093</v>
      </c>
      <c r="CD20" s="127">
        <f>2*Table3[[#This Row],[exit velocity mean]]*SIN(RADIANS(Table3[[#This Row],[adjusted launch angle]]))/$CC$28*60*60</f>
        <v>1.558365220354341</v>
      </c>
      <c r="CE20" s="165">
        <f>Table3[[#This Row],[theoretical distance]]-Table3[[#This Row],[flight time]]^2*$CE$25</f>
        <v>143.99215129474877</v>
      </c>
      <c r="CF20" s="11">
        <f>Table3[[#This Row],[exit velocity mean]]+$CC$25-Table3[[#This Row],[reduction]]*100</f>
        <v>92.5</v>
      </c>
      <c r="CG20" s="11">
        <f>MIN(Table3[[#This Row],[adjusted launch angle]]+Table3[[#This Row],[angle stdev]], 30)</f>
        <v>30</v>
      </c>
      <c r="CH20" s="127">
        <f>2*Table3[[#This Row],[+1stdv EV]]*SIN(RADIANS(Table3[[#This Row],[+1stdv LA]]))/$CC$28*60*60</f>
        <v>4.1624999999999988</v>
      </c>
      <c r="CI20" s="165">
        <f>Table3[[#This Row],[+1stdv EV]]^2*2*SIN(RADIANS(Table3[[#This Row],[+1stdv LA]]))/$CC$28*5280-Table3[[#This Row],[+1stdv flight time]]^2*$CE$25</f>
        <v>287.49</v>
      </c>
      <c r="CJ20" s="165">
        <f>Table3[[#This Row],[+1stdev distance]]-Table3[[#This Row],[actual distance]]</f>
        <v>143.49784870525124</v>
      </c>
    </row>
    <row r="21" spans="1:90"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8"/>
        <v>1</v>
      </c>
      <c r="X21" s="57">
        <f>Table3[[#This Row],[ball factor]]/$X$32*(1-$X$34)+$X$34</f>
        <v>1.1411764705882355</v>
      </c>
      <c r="Y21" s="15">
        <f>Table3[[#This Row],[offense]]</f>
        <v>1</v>
      </c>
      <c r="Z21" s="98">
        <f t="shared" si="1"/>
        <v>-0.90000000000000013</v>
      </c>
      <c r="AA21" s="98">
        <f>IF(Table3[[#This Row],[player control]]&gt;1,Table3[[#This Row],[player control]]*$AA$41+$AA$40,Table3[[#This Row],[player control]]*$AA$39+$AA$38)</f>
        <v>0.40000000000000008</v>
      </c>
      <c r="AB21" s="99">
        <f>_xlfn.NORM.DIST(-1,Table3[[#This Row],[ideal steer]],($AB$25-Table3[[#This Row],[scaled control]])*$AB$27,TRUE)</f>
        <v>0.39059147543357509</v>
      </c>
      <c r="AC21" s="99">
        <f>1-_xlfn.NORM.DIST(1,Table3[[#This Row],[ideal steer]],($AB$25-Table3[[#This Row],[scaled control]])*$AB$27,TRUE)</f>
        <v>6.5379949898414225E-8</v>
      </c>
      <c r="AD21" s="99">
        <f>1-(1-Table3[[#This Row],[unmod foul percent 3rd]])*(1-Table3[[#This Row],[unmod foul percent 1st]])</f>
        <v>0.39059151527667391</v>
      </c>
      <c r="AE21" s="99">
        <f>1-((1-_xlfn.NORM.DIST(-1,0,($AB$25-Table3[[#This Row],[scaled control]])*$AB$27,TRUE))*_xlfn.NORM.DIST(1,0,($AB$25-Table3[[#This Row],[scaled control]])*$AB$27,TRUE))</f>
        <v>5.465714583151815E-3</v>
      </c>
      <c r="AF21" s="15">
        <f t="shared" si="2"/>
        <v>-4</v>
      </c>
      <c r="AG21" s="15">
        <f>$AG$25*($AG$34*Table3[[#This Row],[offense]])</f>
        <v>0</v>
      </c>
      <c r="AH21" s="15">
        <f t="shared" si="3"/>
        <v>0</v>
      </c>
      <c r="AI21" s="15">
        <f t="shared" si="4"/>
        <v>0</v>
      </c>
      <c r="AJ21" s="15">
        <f>$AJ$25*(Table3[[#This Row],[offense]]-$AJ$27)</f>
        <v>0</v>
      </c>
      <c r="AK21" s="15" cm="1">
        <f t="array" ref="AK21">SUM(Table3[[#This Row],[count]:[current hitter vs next hitter]]*MIN(1, Table3[[#This Row],[defense]]))</f>
        <v>-4</v>
      </c>
      <c r="AL21" s="99">
        <f>$AL$25-(Table3[[#This Row],[calling modifier]]/(ABS(Table3[[#This Row],[calling modifier]])+$AL$29)*$AL$27)</f>
        <v>0.66666666666666663</v>
      </c>
      <c r="AM21" s="114">
        <f>$AL$25-$AL$27*TANH(Table3[[#This Row],[calling modifier]]/$AM$29)</f>
        <v>0.67895012808996158</v>
      </c>
      <c r="AN21" s="147">
        <f>MAX(0, 1-_xlfn.NORM.S.INV(Table3[[#This Row],[tanh strike percent]])*($AN$25*($AN$27-Table3[[#This Row],[defense]])))</f>
        <v>0.81409399397576609</v>
      </c>
      <c r="AO21" s="148">
        <f>MAX(0, 1-_xlfn.NORM.S.INV(Table3[[#This Row],[tanh strike percent]])*($AN$25*($AN$27-0.2)))</f>
        <v>0.4794631831321452</v>
      </c>
      <c r="AP21" s="148">
        <f>MAX(0, 1-_xlfn.NORM.S.INV(Table3[[#This Row],[tanh strike percent]])*($AN$25*($AN$27-2)))</f>
        <v>0.81409399397576609</v>
      </c>
      <c r="AQ21" s="148">
        <f>Table3[[#This Row],[called position]]-pitchmod*(pitchstdv-Table3[[#This Row],[defense]])</f>
        <v>0.41409399397576607</v>
      </c>
      <c r="AR21" s="148">
        <f>ABS(Table3[[#This Row],[called position]]+pitchmod*(pitchstdv-Table3[[#This Row],[defense]]))</f>
        <v>1.2140939939757662</v>
      </c>
      <c r="AS21" s="148">
        <f>IF(AND(Table3[[#This Row],[location -1  stdv]]&lt;1, Table3[[#This Row],[location +1 stdv]]&gt;1),0, MIN(Table3[[#This Row],[location -1  stdv]]+1, 1-Table3[[#This Row],[location +1 stdv]]))</f>
        <v>0</v>
      </c>
      <c r="AT21" s="148">
        <f>IF(AND(Table3[[#This Row],[location -1  stdv]]&lt;0, Table3[[#This Row],[location +1 stdv]]&gt;0),1, MAX(1-ABS(Table3[[#This Row],[location -1  stdv]]), Table3[[#This Row],[location +1 stdv]]-1))</f>
        <v>0.58590600602423393</v>
      </c>
      <c r="AU21" s="148">
        <f>$AU$30/(ABS(Table3[[#This Row],[called position]]-1)+$AU$27)+$AU$32*Table3[[#This Row],[defense]]</f>
        <v>1.6995306002177781</v>
      </c>
      <c r="AV21" s="148">
        <f>$AU$30/(ABS(0.5-1)+$AU$27)+$AU$32*Table3[[#This Row],[defense]]</f>
        <v>1.3333333333333335</v>
      </c>
      <c r="AW21" s="148">
        <f>$AU$30/(ABS(0.9-1)+$AU$27)+$AU$32*Table3[[#This Row],[defense]]</f>
        <v>2</v>
      </c>
      <c r="AX21" s="148">
        <f>Table3[[#This Row],[defense]]*$AX$30+MAX(0, Table3[[#This Row],[called position]]-$AX$27)^$AX$25</f>
        <v>2.1760311183097452</v>
      </c>
      <c r="AY21" s="148">
        <f>Table3[[#This Row],[defense]]*$AX$30 + MAX(0, Table3[[#This Row],[location +1 stdv]]-$AX$27)^$AX$25</f>
        <v>2.6034385769767505</v>
      </c>
      <c r="AZ21" s="148">
        <f>Table3[[#This Row],[defense]]*$AX$30+MAX(0, 1-$AX$27)^$AX$25</f>
        <v>2.353553390593274</v>
      </c>
      <c r="BA21" s="15">
        <f>MAX(0, 0.1*(1-Table3[[#This Row],[defense]]))</f>
        <v>0</v>
      </c>
      <c r="BB21" s="15">
        <f t="shared" si="5"/>
        <v>0.5</v>
      </c>
      <c r="BC21" s="148">
        <f>$AU$30/(ABS(Table3[[#This Row],[Location]]-1)+$AU$27)+$AU$32*Table3[[#This Row],[defense]]</f>
        <v>1.3333333333333335</v>
      </c>
      <c r="BD21" s="15" t="b">
        <f>Table3[[#This Row],[Location]]&lt;= (1+MAX(0, (Table3[[#This Row],[defense]]-1)*0.1))</f>
        <v>1</v>
      </c>
      <c r="BE21" s="126">
        <f>1/(1+Table3[[#This Row],[offense]])</f>
        <v>0.5</v>
      </c>
      <c r="BF21" s="148">
        <f>Table3[[#This Row],[obscurity]]*Table3[[#This Row],[discipline modifier]]</f>
        <v>0.66666666666666674</v>
      </c>
      <c r="BG21" s="114">
        <f>1/(1+Table3[[#This Row],[effective obscurity]])</f>
        <v>0.6</v>
      </c>
      <c r="BH21" s="114">
        <f>IF(Table3[[#This Row],[Strike?]],Table3[[#This Row],[odds of read]],1-Table3[[#This Row],[odds of read]])</f>
        <v>0.6</v>
      </c>
      <c r="BI21" s="15">
        <f t="shared" si="6"/>
        <v>1</v>
      </c>
      <c r="BJ21" s="114">
        <f>Table3[[#This Row],[desperation echo]]*Table3[[#This Row],[unadjusted swing %]]</f>
        <v>0.6</v>
      </c>
      <c r="BK21" s="147">
        <f>Table3[[#This Row],[ave obscurity]]</f>
        <v>1.6995306002177781</v>
      </c>
      <c r="BL21" s="114">
        <f>1/(1+Table3[[#This Row],[ave obscurity]]*Table3[[#This Row],[discipline modifier]])</f>
        <v>0.54060912481228496</v>
      </c>
      <c r="BM21" s="15">
        <f>Table3[[#This Row],[offense]]</f>
        <v>1</v>
      </c>
      <c r="BN21" s="148">
        <f>Table3[[#This Row],[average difficulty]]</f>
        <v>2.1760311183097452</v>
      </c>
      <c r="BO21" s="148">
        <f>Table3[[#This Row],[contact echo]]-Table3[[#This Row],[pitch carry forward diff]]</f>
        <v>-1.1760311183097452</v>
      </c>
      <c r="BP21" s="114">
        <f>1-_xlfn.NORM.DIST($BP$27,Table3[[#This Row],[CF contact readiness]], $BP$30,TRUE)</f>
        <v>0.60820984371938658</v>
      </c>
      <c r="BQ21" s="114">
        <f>1-_xlfn.NORM.DIST($BP$25,Table3[[#This Row],[CF contact readiness]], $BP$30,TRUE)</f>
        <v>0.23412059954262809</v>
      </c>
      <c r="BR21" s="114">
        <f>1-Table3[[#This Row],[foul %]]</f>
        <v>0.39179015628061342</v>
      </c>
      <c r="BS21" s="148">
        <f>(Table3[[#This Row],[CF contact readiness]]-$BP$27)/$BP$30</f>
        <v>0.27465629389675161</v>
      </c>
      <c r="BT21" s="148">
        <f>(Table3[[#This Row],[CF contact readiness]]+$BP$30-$BP$27)/$BP$30</f>
        <v>1.2746562938967516</v>
      </c>
      <c r="BU21" s="15">
        <f>MAX(0, IF(ISBLANK($BU$28), Table3[[#This Row],[hit quality +1stdv]], $BU$28)-1)</f>
        <v>0.27465629389675161</v>
      </c>
      <c r="BV21" s="15">
        <f>$BV$25+Table3[[#This Row],[offense]]*$BV$28</f>
        <v>15</v>
      </c>
      <c r="BW21" s="15">
        <f>$BW$25*$BW$28/($BW$28+Table3[[#This Row],[hit quality remainder]])</f>
        <v>25.817901639182519</v>
      </c>
      <c r="BX21" s="114">
        <f>_xlfn.NORM.DIST(10,Table3[[#This Row],[adjusted launch angle]],Table3[[#This Row],[angle stdev]],TRUE)</f>
        <v>0.42321946220952417</v>
      </c>
      <c r="BY21" s="114">
        <f>1-_xlfn.NORM.DIST(50, Table3[[#This Row],[adjusted launch angle]],Table3[[#This Row],[angle stdev]],TRUE)</f>
        <v>8.7605514015848596E-2</v>
      </c>
      <c r="BZ21" s="114">
        <f t="shared" si="7"/>
        <v>0.42944875004736094</v>
      </c>
      <c r="CA21" s="15">
        <f>$CA$25+Table3[[#This Row],[offense]]*($CA$27-$CA$25)/2</f>
        <v>90</v>
      </c>
      <c r="CB21" s="15">
        <f>Table3[[#This Row],[exit velocity mean]]-Table3[[#This Row],[reduction]]*100</f>
        <v>90</v>
      </c>
      <c r="CC21" s="164">
        <f>Table3[[#This Row],[exit velocity mean]]^2*2*SIN(RADIANS(Table3[[#This Row],[adjusted launch angle]]))/$CC$28*5280</f>
        <v>276.72932302361517</v>
      </c>
      <c r="CD21" s="126">
        <f>2*Table3[[#This Row],[exit velocity mean]]*SIN(RADIANS(Table3[[#This Row],[adjusted launch angle]]))/$CC$28*60*60</f>
        <v>2.0964342653304175</v>
      </c>
      <c r="CE21" s="164">
        <f>Table3[[#This Row],[theoretical distance]]-Table3[[#This Row],[flight time]]^2*$CE$25</f>
        <v>206.40873696199137</v>
      </c>
      <c r="CF21" s="15">
        <f>Table3[[#This Row],[exit velocity mean]]+$CC$25-Table3[[#This Row],[reduction]]*100</f>
        <v>102.5</v>
      </c>
      <c r="CG21" s="15">
        <f>MIN(Table3[[#This Row],[adjusted launch angle]]+Table3[[#This Row],[angle stdev]], 30)</f>
        <v>30</v>
      </c>
      <c r="CH21" s="126">
        <f>2*Table3[[#This Row],[+1stdv EV]]*SIN(RADIANS(Table3[[#This Row],[+1stdv LA]]))/$CC$28*60*60</f>
        <v>4.6124999999999989</v>
      </c>
      <c r="CI21" s="164">
        <f>Table3[[#This Row],[+1stdv EV]]^2*2*SIN(RADIANS(Table3[[#This Row],[+1stdv LA]]))/$CC$28*5280-Table3[[#This Row],[+1stdv flight time]]^2*$CE$25</f>
        <v>353.01000000000005</v>
      </c>
      <c r="CJ21" s="164">
        <f>Table3[[#This Row],[+1stdev distance]]-Table3[[#This Row],[actual distance]]</f>
        <v>146.60126303800868</v>
      </c>
    </row>
    <row r="22" spans="1:90"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8"/>
        <v>1</v>
      </c>
      <c r="X22" s="59">
        <f>Table3[[#This Row],[ball factor]]/$X$32*(1-$X$34)+$X$34</f>
        <v>1.1411764705882355</v>
      </c>
      <c r="Y22" s="20">
        <f>Table3[[#This Row],[offense]]</f>
        <v>2</v>
      </c>
      <c r="Z22" s="102">
        <f t="shared" si="1"/>
        <v>-0.90000000000000013</v>
      </c>
      <c r="AA22" s="102">
        <f>IF(Table3[[#This Row],[player control]]&gt;1,Table3[[#This Row],[player control]]*$AA$41+$AA$40,Table3[[#This Row],[player control]]*$AA$39+$AA$38)</f>
        <v>2</v>
      </c>
      <c r="AB22" s="103">
        <f>_xlfn.NORM.DIST(-1,Table3[[#This Row],[ideal steer]],($AB$25-Table3[[#This Row],[scaled control]])*$AB$27,TRUE)</f>
        <v>0.3085375387259871</v>
      </c>
      <c r="AC22" s="103">
        <f>1-_xlfn.NORM.DIST(1,Table3[[#This Row],[ideal steer]],($AB$25-Table3[[#This Row],[scaled control]])*$AB$27,TRUE)</f>
        <v>0</v>
      </c>
      <c r="AD22" s="103">
        <f>1-(1-Table3[[#This Row],[unmod foul percent 3rd]])*(1-Table3[[#This Row],[unmod foul percent 1st]])</f>
        <v>0.3085375387259871</v>
      </c>
      <c r="AE22" s="103">
        <f>1-((1-_xlfn.NORM.DIST(-1,0,($AB$25-Table3[[#This Row],[scaled control]])*$AB$27,TRUE))*_xlfn.NORM.DIST(1,0,($AB$25-Table3[[#This Row],[scaled control]])*$AB$27,TRUE))</f>
        <v>5.7330306169056655E-7</v>
      </c>
      <c r="AF22" s="20">
        <f t="shared" si="2"/>
        <v>-4</v>
      </c>
      <c r="AG22" s="20">
        <f>$AG$25*($AG$34*Table3[[#This Row],[offense]])</f>
        <v>0</v>
      </c>
      <c r="AH22" s="20">
        <f t="shared" si="3"/>
        <v>0</v>
      </c>
      <c r="AI22" s="20">
        <f t="shared" si="4"/>
        <v>0</v>
      </c>
      <c r="AJ22" s="20">
        <f>$AJ$25*(Table3[[#This Row],[offense]]-$AJ$27)</f>
        <v>1</v>
      </c>
      <c r="AK22" s="20" cm="1">
        <f t="array" ref="AK22">SUM(Table3[[#This Row],[count]:[current hitter vs next hitter]]*MIN(1, Table3[[#This Row],[defense]]))</f>
        <v>-3</v>
      </c>
      <c r="AL22" s="103">
        <f>$AL$25-(Table3[[#This Row],[calling modifier]]/(ABS(Table3[[#This Row],[calling modifier]])+$AL$29)*$AL$27)</f>
        <v>0.65217391304347827</v>
      </c>
      <c r="AM22" s="116">
        <f>$AL$25-$AL$27*TANH(Table3[[#This Row],[calling modifier]]/$AM$29)</f>
        <v>0.65955401344932718</v>
      </c>
      <c r="AN22" s="151">
        <f>MAX(0, 1-_xlfn.NORM.S.INV(Table3[[#This Row],[tanh strike percent]])*($AN$25*($AN$27-Table3[[#This Row],[defense]])))</f>
        <v>0.83550149732223877</v>
      </c>
      <c r="AO22" s="152">
        <f>MAX(0, 1-_xlfn.NORM.S.INV(Table3[[#This Row],[tanh strike percent]])*($AN$25*($AN$27-0.2)))</f>
        <v>0.53940419250226868</v>
      </c>
      <c r="AP22" s="152">
        <f>MAX(0, 1-_xlfn.NORM.S.INV(Table3[[#This Row],[tanh strike percent]])*($AN$25*($AN$27-2)))</f>
        <v>0.83550149732223877</v>
      </c>
      <c r="AQ22" s="152">
        <f>Table3[[#This Row],[called position]]-pitchmod*(pitchstdv-Table3[[#This Row],[defense]])</f>
        <v>0.43550149732223875</v>
      </c>
      <c r="AR22" s="152">
        <f>ABS(Table3[[#This Row],[called position]]+pitchmod*(pitchstdv-Table3[[#This Row],[defense]]))</f>
        <v>1.2355014973222387</v>
      </c>
      <c r="AS22" s="152">
        <f>IF(AND(Table3[[#This Row],[location -1  stdv]]&lt;1, Table3[[#This Row],[location +1 stdv]]&gt;1),0, MIN(Table3[[#This Row],[location -1  stdv]]+1, 1-Table3[[#This Row],[location +1 stdv]]))</f>
        <v>0</v>
      </c>
      <c r="AT22" s="152">
        <f>IF(AND(Table3[[#This Row],[location -1  stdv]]&lt;0, Table3[[#This Row],[location +1 stdv]]&gt;0),1, MAX(1-ABS(Table3[[#This Row],[location -1  stdv]]), Table3[[#This Row],[location +1 stdv]]-1))</f>
        <v>0.56449850267776125</v>
      </c>
      <c r="AU22" s="152">
        <f>$AU$30/(ABS(Table3[[#This Row],[called position]]-1)+$AU$27)+$AU$32*Table3[[#This Row],[defense]]</f>
        <v>1.7561479478152671</v>
      </c>
      <c r="AV22" s="152">
        <f>$AU$30/(ABS(0.5-1)+$AU$27)+$AU$32*Table3[[#This Row],[defense]]</f>
        <v>1.3333333333333335</v>
      </c>
      <c r="AW22" s="152">
        <f>$AU$30/(ABS(0.9-1)+$AU$27)+$AU$32*Table3[[#This Row],[defense]]</f>
        <v>2</v>
      </c>
      <c r="AX22" s="152">
        <f>Table3[[#This Row],[defense]]*$AX$30+MAX(0, Table3[[#This Row],[called position]]-$AX$27)^$AX$25</f>
        <v>2.1943308248687097</v>
      </c>
      <c r="AY22" s="152">
        <f>Table3[[#This Row],[defense]]*$AX$30 + MAX(0, Table3[[#This Row],[location +1 stdv]]-$AX$27)^$AX$25</f>
        <v>2.630776262913709</v>
      </c>
      <c r="AZ22" s="152">
        <f>Table3[[#This Row],[defense]]*$AX$30+MAX(0, 1-$AX$27)^$AX$25</f>
        <v>2.353553390593274</v>
      </c>
      <c r="BA22" s="20">
        <f>MAX(0, 0.1*(1-Table3[[#This Row],[defense]]))</f>
        <v>0</v>
      </c>
      <c r="BB22" s="20">
        <f t="shared" si="5"/>
        <v>0.5</v>
      </c>
      <c r="BC22" s="152">
        <f>$AU$30/(ABS(Table3[[#This Row],[Location]]-1)+$AU$27)+$AU$32*Table3[[#This Row],[defense]]</f>
        <v>1.3333333333333335</v>
      </c>
      <c r="BD22" s="20" t="b">
        <f>Table3[[#This Row],[Location]]&lt;= (1+MAX(0, (Table3[[#This Row],[defense]]-1)*0.1))</f>
        <v>1</v>
      </c>
      <c r="BE22" s="128">
        <f>1/(1+Table3[[#This Row],[offense]])</f>
        <v>0.33333333333333331</v>
      </c>
      <c r="BF22" s="152">
        <f>Table3[[#This Row],[obscurity]]*Table3[[#This Row],[discipline modifier]]</f>
        <v>0.44444444444444448</v>
      </c>
      <c r="BG22" s="116">
        <f>1/(1+Table3[[#This Row],[effective obscurity]])</f>
        <v>0.69230769230769229</v>
      </c>
      <c r="BH22" s="116">
        <f>IF(Table3[[#This Row],[Strike?]],Table3[[#This Row],[odds of read]],1-Table3[[#This Row],[odds of read]])</f>
        <v>0.69230769230769229</v>
      </c>
      <c r="BI22" s="20">
        <f t="shared" si="6"/>
        <v>1</v>
      </c>
      <c r="BJ22" s="116">
        <f>Table3[[#This Row],[desperation echo]]*Table3[[#This Row],[unadjusted swing %]]</f>
        <v>0.69230769230769229</v>
      </c>
      <c r="BK22" s="151">
        <f>Table3[[#This Row],[ave obscurity]]</f>
        <v>1.7561479478152671</v>
      </c>
      <c r="BL22" s="116">
        <f>1/(1+Table3[[#This Row],[ave obscurity]]*Table3[[#This Row],[discipline modifier]])</f>
        <v>0.63076254837237522</v>
      </c>
      <c r="BM22" s="20">
        <f>Table3[[#This Row],[offense]]</f>
        <v>2</v>
      </c>
      <c r="BN22" s="152">
        <f>Table3[[#This Row],[average difficulty]]</f>
        <v>2.1943308248687097</v>
      </c>
      <c r="BO22" s="152">
        <f>Table3[[#This Row],[contact echo]]-Table3[[#This Row],[pitch carry forward diff]]</f>
        <v>-0.19433082486870967</v>
      </c>
      <c r="BP22" s="116">
        <f>1-_xlfn.NORM.DIST($BP$27,Table3[[#This Row],[CF contact readiness]], $BP$30,TRUE)</f>
        <v>0.72637622789803846</v>
      </c>
      <c r="BQ22" s="116">
        <f>1-_xlfn.NORM.DIST($BP$25,Table3[[#This Row],[CF contact readiness]], $BP$30,TRUE)</f>
        <v>0.34527445037153437</v>
      </c>
      <c r="BR22" s="116">
        <f>1-Table3[[#This Row],[foul %]]</f>
        <v>0.27362377210196154</v>
      </c>
      <c r="BS22" s="152">
        <f>(Table3[[#This Row],[CF contact readiness]]-$BP$27)/$BP$30</f>
        <v>0.60188972504376348</v>
      </c>
      <c r="BT22" s="152">
        <f>(Table3[[#This Row],[CF contact readiness]]+$BP$30-$BP$27)/$BP$30</f>
        <v>1.6018897250437636</v>
      </c>
      <c r="BU22" s="20">
        <f>MAX(0, IF(ISBLANK($BU$28), Table3[[#This Row],[hit quality +1stdv]], $BU$28)-1)</f>
        <v>0.60188972504376359</v>
      </c>
      <c r="BV22" s="20">
        <f>$BV$25+Table3[[#This Row],[offense]]*$BV$28</f>
        <v>20</v>
      </c>
      <c r="BW22" s="20">
        <f>$BW$25*$BW$28/($BW$28+Table3[[#This Row],[hit quality remainder]])</f>
        <v>18.150636624917855</v>
      </c>
      <c r="BX22" s="116">
        <f>_xlfn.NORM.DIST(10,Table3[[#This Row],[adjusted launch angle]],Table3[[#This Row],[angle stdev]],TRUE)</f>
        <v>0.29083573622253345</v>
      </c>
      <c r="BY22" s="116">
        <f>1-_xlfn.NORM.DIST(50, Table3[[#This Row],[adjusted launch angle]],Table3[[#This Row],[angle stdev]],TRUE)</f>
        <v>4.9182266373134054E-2</v>
      </c>
      <c r="BZ22" s="116">
        <f t="shared" si="7"/>
        <v>0.42944875004736094</v>
      </c>
      <c r="CA22" s="20">
        <f>$CA$25+Table3[[#This Row],[offense]]*($CA$27-$CA$25)/2</f>
        <v>110</v>
      </c>
      <c r="CB22" s="20">
        <f>Table3[[#This Row],[exit velocity mean]]-Table3[[#This Row],[reduction]]*100</f>
        <v>110</v>
      </c>
      <c r="CC22" s="166">
        <f>Table3[[#This Row],[exit velocity mean]]^2*2*SIN(RADIANS(Table3[[#This Row],[adjusted launch angle]]))/$CC$28*5280</f>
        <v>546.27457291975804</v>
      </c>
      <c r="CD22" s="128">
        <f>2*Table3[[#This Row],[exit velocity mean]]*SIN(RADIANS(Table3[[#This Row],[adjusted launch angle]]))/$CC$28*60*60</f>
        <v>3.3859994189241207</v>
      </c>
      <c r="CE22" s="166">
        <f>Table3[[#This Row],[theoretical distance]]-Table3[[#This Row],[flight time]]^2*$CE$25</f>
        <v>362.83469988048631</v>
      </c>
      <c r="CF22" s="20">
        <f>Table3[[#This Row],[exit velocity mean]]+$CC$25-Table3[[#This Row],[reduction]]*100</f>
        <v>122.5</v>
      </c>
      <c r="CG22" s="20">
        <f>MIN(Table3[[#This Row],[adjusted launch angle]]+Table3[[#This Row],[angle stdev]], 30)</f>
        <v>30</v>
      </c>
      <c r="CH22" s="128">
        <f>2*Table3[[#This Row],[+1stdv EV]]*SIN(RADIANS(Table3[[#This Row],[+1stdv LA]]))/$CC$28*60*60</f>
        <v>5.5124999999999993</v>
      </c>
      <c r="CI22" s="166">
        <f>Table3[[#This Row],[+1stdv EV]]^2*2*SIN(RADIANS(Table3[[#This Row],[+1stdv LA]]))/$CC$28*5280-Table3[[#This Row],[+1stdv flight time]]^2*$CE$25</f>
        <v>504.21000000000004</v>
      </c>
      <c r="CJ22" s="166">
        <f>Table3[[#This Row],[+1stdev distance]]-Table3[[#This Row],[actual distance]]</f>
        <v>141.37530011951372</v>
      </c>
    </row>
    <row r="23" spans="1:90" x14ac:dyDescent="0.25">
      <c r="AW23" s="154"/>
      <c r="BK23" s="73"/>
      <c r="BL23" s="73"/>
    </row>
    <row r="24" spans="1:90" x14ac:dyDescent="0.25">
      <c r="Y24" s="63" t="s">
        <v>141</v>
      </c>
      <c r="Z24" s="64"/>
      <c r="AA24" s="65"/>
      <c r="AB24" t="s">
        <v>160</v>
      </c>
      <c r="AF24" s="63" t="s">
        <v>169</v>
      </c>
      <c r="AG24" s="104" t="s">
        <v>178</v>
      </c>
      <c r="AH24" s="64"/>
      <c r="AI24" s="64"/>
      <c r="AJ24" s="65"/>
      <c r="AL24" t="s">
        <v>187</v>
      </c>
      <c r="AN24" t="s">
        <v>196</v>
      </c>
      <c r="AU24" t="s">
        <v>204</v>
      </c>
      <c r="AX24" t="s">
        <v>219</v>
      </c>
      <c r="BA24" t="s">
        <v>247</v>
      </c>
      <c r="BB24" t="s">
        <v>199</v>
      </c>
      <c r="BP24" t="s">
        <v>270</v>
      </c>
      <c r="BV24" t="s">
        <v>277</v>
      </c>
      <c r="BW24" t="s">
        <v>276</v>
      </c>
      <c r="BZ24" t="s">
        <v>284</v>
      </c>
      <c r="CA24" t="s">
        <v>288</v>
      </c>
      <c r="CC24" t="s">
        <v>290</v>
      </c>
      <c r="CE24" t="s">
        <v>294</v>
      </c>
      <c r="CL24" t="s">
        <v>113</v>
      </c>
    </row>
    <row r="25" spans="1:90" x14ac:dyDescent="0.25">
      <c r="D25" t="s">
        <v>89</v>
      </c>
      <c r="E25" t="s">
        <v>90</v>
      </c>
      <c r="G25" t="s">
        <v>82</v>
      </c>
      <c r="H25" t="s">
        <v>83</v>
      </c>
      <c r="K25" t="s">
        <v>84</v>
      </c>
      <c r="L25" t="s">
        <v>85</v>
      </c>
      <c r="P25" t="s">
        <v>103</v>
      </c>
      <c r="T25" t="s">
        <v>109</v>
      </c>
      <c r="W25" t="s">
        <v>131</v>
      </c>
      <c r="X25" t="s">
        <v>135</v>
      </c>
      <c r="Y25" s="66" t="s">
        <v>138</v>
      </c>
      <c r="Z25" s="72" t="s">
        <v>99</v>
      </c>
      <c r="AA25" s="67" t="s">
        <v>140</v>
      </c>
      <c r="AB25" s="72">
        <v>4</v>
      </c>
      <c r="AF25" s="68">
        <v>20</v>
      </c>
      <c r="AG25" s="69">
        <v>5</v>
      </c>
      <c r="AH25" s="69">
        <v>3</v>
      </c>
      <c r="AI25" s="69">
        <v>3</v>
      </c>
      <c r="AJ25" s="70">
        <v>1</v>
      </c>
      <c r="AL25">
        <v>0.6</v>
      </c>
      <c r="AN25">
        <v>0.4</v>
      </c>
      <c r="AU25">
        <v>10</v>
      </c>
      <c r="AX25">
        <v>1.5</v>
      </c>
      <c r="BA25">
        <v>0.1</v>
      </c>
      <c r="BB25">
        <v>0.5</v>
      </c>
      <c r="BP25">
        <v>1</v>
      </c>
      <c r="BV25">
        <v>10</v>
      </c>
      <c r="BW25">
        <v>40</v>
      </c>
      <c r="BZ25">
        <v>90</v>
      </c>
      <c r="CA25">
        <v>70</v>
      </c>
      <c r="CC25">
        <v>12.5</v>
      </c>
      <c r="CE25">
        <v>16</v>
      </c>
      <c r="CL25">
        <v>80</v>
      </c>
    </row>
    <row r="26" spans="1:90" x14ac:dyDescent="0.25">
      <c r="D26">
        <v>0.1</v>
      </c>
      <c r="E26">
        <v>0.1</v>
      </c>
      <c r="G26">
        <v>0.1</v>
      </c>
      <c r="H26">
        <v>2.5000000000000001E-3</v>
      </c>
      <c r="K26">
        <v>0.2</v>
      </c>
      <c r="L26">
        <v>0.01</v>
      </c>
      <c r="O26" t="s">
        <v>87</v>
      </c>
      <c r="P26">
        <v>-3</v>
      </c>
      <c r="T26">
        <v>0.2</v>
      </c>
      <c r="W26">
        <v>0</v>
      </c>
      <c r="X26">
        <v>0.5</v>
      </c>
      <c r="Y26" s="68"/>
      <c r="Z26" s="69" t="s">
        <v>139</v>
      </c>
      <c r="AA26" s="70" t="s">
        <v>99</v>
      </c>
      <c r="AB26" t="s">
        <v>161</v>
      </c>
      <c r="AF26" s="60" t="s">
        <v>131</v>
      </c>
      <c r="AG26" s="60" t="s">
        <v>172</v>
      </c>
      <c r="AH26" s="60" t="s">
        <v>176</v>
      </c>
      <c r="AI26" s="60" t="s">
        <v>181</v>
      </c>
      <c r="AJ26" s="60" t="s">
        <v>183</v>
      </c>
      <c r="AL26" t="s">
        <v>190</v>
      </c>
      <c r="AN26" t="s">
        <v>197</v>
      </c>
      <c r="AU26" t="s">
        <v>205</v>
      </c>
      <c r="AX26" t="s">
        <v>262</v>
      </c>
      <c r="BP26" t="s">
        <v>266</v>
      </c>
      <c r="CA26" t="s">
        <v>287</v>
      </c>
    </row>
    <row r="27" spans="1:90" x14ac:dyDescent="0.25">
      <c r="K27" t="s">
        <v>91</v>
      </c>
      <c r="O27" t="s">
        <v>95</v>
      </c>
      <c r="P27">
        <v>1.7</v>
      </c>
      <c r="W27" t="s">
        <v>132</v>
      </c>
      <c r="Y27" s="77" t="s">
        <v>144</v>
      </c>
      <c r="Z27" s="64"/>
      <c r="AA27" s="65" t="s">
        <v>149</v>
      </c>
      <c r="AB27">
        <v>0.1</v>
      </c>
      <c r="AF27" s="61">
        <v>0</v>
      </c>
      <c r="AG27" s="61">
        <v>1</v>
      </c>
      <c r="AH27" s="61">
        <v>0</v>
      </c>
      <c r="AI27" s="61">
        <v>1</v>
      </c>
      <c r="AJ27" s="61">
        <v>1</v>
      </c>
      <c r="AL27">
        <v>0.4</v>
      </c>
      <c r="AN27">
        <v>3</v>
      </c>
      <c r="AU27">
        <f>1/AU25</f>
        <v>0.1</v>
      </c>
      <c r="AX27">
        <v>0.5</v>
      </c>
      <c r="BP27">
        <v>-2</v>
      </c>
      <c r="BU27" t="s">
        <v>275</v>
      </c>
      <c r="BV27" t="s">
        <v>245</v>
      </c>
      <c r="BW27" t="s">
        <v>280</v>
      </c>
      <c r="BZ27" t="s">
        <v>273</v>
      </c>
      <c r="CA27">
        <v>110</v>
      </c>
      <c r="CC27" t="s">
        <v>292</v>
      </c>
      <c r="CE27">
        <f>CE10/CE9</f>
        <v>1.7578456475284747</v>
      </c>
      <c r="CL27" t="s">
        <v>308</v>
      </c>
    </row>
    <row r="28" spans="1:90" x14ac:dyDescent="0.25">
      <c r="K28">
        <v>0.9</v>
      </c>
      <c r="W28">
        <v>2</v>
      </c>
      <c r="Y28" s="71" t="s">
        <v>148</v>
      </c>
      <c r="Z28" s="32">
        <v>-0.2</v>
      </c>
      <c r="AA28" s="67">
        <f>Z28</f>
        <v>-0.2</v>
      </c>
      <c r="AF28" s="61" t="s">
        <v>132</v>
      </c>
      <c r="AG28" s="61" t="s">
        <v>171</v>
      </c>
      <c r="AH28" s="61" t="s">
        <v>177</v>
      </c>
      <c r="AI28" s="61"/>
      <c r="AJ28" s="61"/>
      <c r="AL28" t="s">
        <v>189</v>
      </c>
      <c r="AM28" t="s">
        <v>189</v>
      </c>
      <c r="AU28" t="s">
        <v>221</v>
      </c>
      <c r="BB28" t="s">
        <v>136</v>
      </c>
      <c r="BV28">
        <v>5</v>
      </c>
      <c r="BW28">
        <v>0.5</v>
      </c>
      <c r="BZ28">
        <f>0.6*90</f>
        <v>54</v>
      </c>
      <c r="CC28">
        <v>80000</v>
      </c>
      <c r="CL28">
        <v>90</v>
      </c>
    </row>
    <row r="29" spans="1:90" x14ac:dyDescent="0.25">
      <c r="W29" t="s">
        <v>130</v>
      </c>
      <c r="Y29" s="71" t="s">
        <v>145</v>
      </c>
      <c r="Z29" s="32">
        <v>-0.4</v>
      </c>
      <c r="AA29" s="67">
        <f>IF(ISBLANK(AA26),0,Z29)</f>
        <v>-0.4</v>
      </c>
      <c r="AF29" s="61">
        <v>0</v>
      </c>
      <c r="AG29" s="61">
        <v>1</v>
      </c>
      <c r="AH29" s="61">
        <f>-POWER(AH27,1.5)/2</f>
        <v>0</v>
      </c>
      <c r="AI29" s="61"/>
      <c r="AJ29" s="61"/>
      <c r="AL29">
        <v>20</v>
      </c>
      <c r="AM29">
        <v>20</v>
      </c>
      <c r="AU29">
        <v>5</v>
      </c>
      <c r="AX29" t="s">
        <v>245</v>
      </c>
      <c r="BB29">
        <v>1</v>
      </c>
      <c r="BP29" t="s">
        <v>264</v>
      </c>
    </row>
    <row r="30" spans="1:90" x14ac:dyDescent="0.25">
      <c r="W30">
        <f xml:space="preserve"> W28/2 - W26/3</f>
        <v>1</v>
      </c>
      <c r="Y30" s="71" t="s">
        <v>146</v>
      </c>
      <c r="Z30" s="32">
        <v>0</v>
      </c>
      <c r="AA30" s="67">
        <f>IF(ISBLANK(Z25),0, Z30)</f>
        <v>0</v>
      </c>
      <c r="AF30" s="61" t="s">
        <v>184</v>
      </c>
      <c r="AG30" s="61"/>
      <c r="AH30" s="61" t="s">
        <v>179</v>
      </c>
      <c r="AI30" s="61"/>
      <c r="AJ30" s="61"/>
      <c r="AU30">
        <f>1/AU29</f>
        <v>0.2</v>
      </c>
      <c r="AX30">
        <v>1</v>
      </c>
      <c r="BP30">
        <v>3</v>
      </c>
    </row>
    <row r="31" spans="1:90" x14ac:dyDescent="0.25">
      <c r="W31" t="s">
        <v>133</v>
      </c>
      <c r="X31" t="s">
        <v>142</v>
      </c>
      <c r="Y31" s="71" t="s">
        <v>147</v>
      </c>
      <c r="Z31" s="32">
        <v>0.8</v>
      </c>
      <c r="AA31" s="67">
        <f>IF(ISBLANK(Y26),0,Z31)</f>
        <v>0</v>
      </c>
      <c r="AF31" s="61">
        <v>-0.2</v>
      </c>
      <c r="AG31" s="61"/>
      <c r="AH31" s="61" t="b">
        <v>0</v>
      </c>
      <c r="AI31" s="61"/>
      <c r="AJ31" s="61"/>
      <c r="AL31" t="s">
        <v>191</v>
      </c>
      <c r="AU31" t="s">
        <v>206</v>
      </c>
    </row>
    <row r="32" spans="1:90" x14ac:dyDescent="0.25">
      <c r="W32">
        <f>MAX(0, ((W26+X26)/(3+X26))-(W28/2))</f>
        <v>0</v>
      </c>
      <c r="X32">
        <v>0.85</v>
      </c>
      <c r="Y32" s="66"/>
      <c r="Z32" s="32"/>
      <c r="AA32" s="67">
        <f>SUM(AA28:AA31)</f>
        <v>-0.60000000000000009</v>
      </c>
      <c r="AF32" s="61"/>
      <c r="AG32" s="61"/>
      <c r="AH32" s="61">
        <f>IF(AND(AH31, AH272&lt;3), 0.5, 0)</f>
        <v>0</v>
      </c>
      <c r="AI32" s="61"/>
      <c r="AJ32" s="61"/>
      <c r="AL32">
        <f>AL25-AL27</f>
        <v>0.19999999999999996</v>
      </c>
      <c r="AU32">
        <v>0.5</v>
      </c>
    </row>
    <row r="33" spans="24:38" x14ac:dyDescent="0.25">
      <c r="X33" t="s">
        <v>143</v>
      </c>
      <c r="Y33" s="68" t="s">
        <v>151</v>
      </c>
      <c r="Z33" s="69">
        <v>0.5</v>
      </c>
      <c r="AA33" s="78">
        <f>IF(ISBLANK(Z25), AA32,AA32*(1+Z33))</f>
        <v>-0.90000000000000013</v>
      </c>
      <c r="AF33" s="61" t="s">
        <v>130</v>
      </c>
      <c r="AG33" s="61" t="s">
        <v>170</v>
      </c>
      <c r="AH33" s="61" t="s">
        <v>180</v>
      </c>
      <c r="AI33" s="61" t="s">
        <v>182</v>
      </c>
      <c r="AJ33" s="61"/>
      <c r="AL33" t="s">
        <v>192</v>
      </c>
    </row>
    <row r="34" spans="24:38" x14ac:dyDescent="0.25">
      <c r="X34">
        <v>0.2</v>
      </c>
      <c r="AF34" s="62">
        <f xml:space="preserve"> IF(SUM(AF27,AF29)=0, AF31,  AF29/2-AF27/3)</f>
        <v>-0.2</v>
      </c>
      <c r="AG34" s="62">
        <f>AG27-AG29</f>
        <v>0</v>
      </c>
      <c r="AH34" s="62">
        <f>AH29+AH32</f>
        <v>0</v>
      </c>
      <c r="AI34" s="62">
        <f>AI27-1</f>
        <v>0</v>
      </c>
      <c r="AJ34" s="62"/>
      <c r="AL34">
        <f>AL25+AL27</f>
        <v>1</v>
      </c>
    </row>
    <row r="35" spans="24:38" x14ac:dyDescent="0.25">
      <c r="Z35" t="s">
        <v>152</v>
      </c>
      <c r="AA35">
        <v>-0.2</v>
      </c>
    </row>
    <row r="36" spans="24:38" x14ac:dyDescent="0.25">
      <c r="Z36" t="s">
        <v>153</v>
      </c>
      <c r="AA36">
        <v>0.4</v>
      </c>
    </row>
    <row r="37" spans="24:38" x14ac:dyDescent="0.25">
      <c r="Z37" t="s">
        <v>154</v>
      </c>
      <c r="AA37">
        <v>2</v>
      </c>
    </row>
    <row r="38" spans="24:38" x14ac:dyDescent="0.25">
      <c r="Z38" t="s">
        <v>156</v>
      </c>
      <c r="AA38">
        <f>AA35</f>
        <v>-0.2</v>
      </c>
    </row>
    <row r="39" spans="24:38" x14ac:dyDescent="0.25">
      <c r="Z39" t="s">
        <v>157</v>
      </c>
      <c r="AA39">
        <f>AA36-AA35</f>
        <v>0.60000000000000009</v>
      </c>
    </row>
    <row r="40" spans="24:38" x14ac:dyDescent="0.25">
      <c r="Z40" t="s">
        <v>158</v>
      </c>
      <c r="AA40">
        <f>AA36-AA41</f>
        <v>-1.2000000000000002</v>
      </c>
    </row>
    <row r="41" spans="24:38" x14ac:dyDescent="0.25">
      <c r="Z41" t="s">
        <v>159</v>
      </c>
      <c r="AA41">
        <f>(AA37-AA36)</f>
        <v>1.6</v>
      </c>
    </row>
  </sheetData>
  <phoneticPr fontId="9" type="noConversion"/>
  <conditionalFormatting sqref="O7:O22">
    <cfRule type="cellIs" dxfId="82"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85913-BB23-45EF-B183-28069296EF50}">
  <dimension ref="J12:L18"/>
  <sheetViews>
    <sheetView workbookViewId="0">
      <selection activeCell="X6" sqref="X6"/>
    </sheetView>
  </sheetViews>
  <sheetFormatPr defaultRowHeight="15" x14ac:dyDescent="0.25"/>
  <cols>
    <col min="10" max="10" width="9.28515625" customWidth="1"/>
  </cols>
  <sheetData>
    <row r="12" spans="10:12" x14ac:dyDescent="0.25">
      <c r="J12" t="s">
        <v>112</v>
      </c>
      <c r="K12" t="s">
        <v>301</v>
      </c>
      <c r="L12" t="s">
        <v>302</v>
      </c>
    </row>
    <row r="13" spans="10:12" x14ac:dyDescent="0.25">
      <c r="J13">
        <v>1</v>
      </c>
      <c r="K13">
        <v>0.5</v>
      </c>
      <c r="L13">
        <f>POWER(Table1[[#This Row],[quality]]-0.8, 1/4)</f>
        <v>0.66874030497642201</v>
      </c>
    </row>
    <row r="14" spans="10:12" x14ac:dyDescent="0.25">
      <c r="J14">
        <v>1.5</v>
      </c>
      <c r="K14">
        <v>0.75</v>
      </c>
      <c r="L14">
        <f>POWER(Table1[[#This Row],[quality]]-0.8, 1/4)</f>
        <v>0.91469121922869445</v>
      </c>
    </row>
    <row r="15" spans="10:12" x14ac:dyDescent="0.25">
      <c r="J15">
        <v>2</v>
      </c>
      <c r="K15">
        <v>1</v>
      </c>
      <c r="L15">
        <f>POWER(Table1[[#This Row],[quality]]-0.8, 1/4)</f>
        <v>1.0466351393921056</v>
      </c>
    </row>
    <row r="16" spans="10:12" x14ac:dyDescent="0.25">
      <c r="J16">
        <v>3</v>
      </c>
      <c r="K16">
        <v>1.4</v>
      </c>
      <c r="L16">
        <f>POWER(Table1[[#This Row],[quality]]-0.8, 1/4)</f>
        <v>1.2178832856309068</v>
      </c>
    </row>
    <row r="17" spans="10:12" x14ac:dyDescent="0.25">
      <c r="J17">
        <v>5</v>
      </c>
      <c r="K17">
        <v>2</v>
      </c>
      <c r="L17">
        <f>POWER(Table1[[#This Row],[quality]]-0.8, 1/4)</f>
        <v>1.4315691227432645</v>
      </c>
    </row>
    <row r="18" spans="10:12" x14ac:dyDescent="0.25">
      <c r="J18">
        <v>3.35</v>
      </c>
      <c r="L18" s="73">
        <f>POWER(Table1[[#This Row],[quality]]-0.8, 1/4)</f>
        <v>1.2636739857523107</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CCA5A-0B13-43BB-84FB-82799C654ACD}">
  <dimension ref="A1:W23"/>
  <sheetViews>
    <sheetView workbookViewId="0">
      <selection activeCell="E18" sqref="E18"/>
    </sheetView>
  </sheetViews>
  <sheetFormatPr defaultRowHeight="15" x14ac:dyDescent="0.25"/>
  <sheetData>
    <row r="1" spans="1:23" x14ac:dyDescent="0.25">
      <c r="A1" t="s">
        <v>87</v>
      </c>
      <c r="B1">
        <v>-3</v>
      </c>
      <c r="C1" t="s">
        <v>81</v>
      </c>
      <c r="D1">
        <v>2</v>
      </c>
      <c r="E1" t="s">
        <v>305</v>
      </c>
      <c r="F1">
        <v>-0.3</v>
      </c>
    </row>
    <row r="2" spans="1:23" x14ac:dyDescent="0.25">
      <c r="B2" t="s">
        <v>304</v>
      </c>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303</v>
      </c>
      <c r="B3">
        <v>0</v>
      </c>
      <c r="C3">
        <f t="shared" ref="C3:L12" si="0">_xlfn.NORM.DIST($B3, throwingmean, throwingstdv + throwingfactor *C$2, TRUE)</f>
        <v>0.93319279873114191</v>
      </c>
      <c r="D3">
        <f t="shared" si="0"/>
        <v>0.93610096034524259</v>
      </c>
      <c r="E3">
        <f t="shared" si="0"/>
        <v>0.93899500761383359</v>
      </c>
      <c r="F3">
        <f t="shared" si="0"/>
        <v>0.941871574470311</v>
      </c>
      <c r="G3">
        <f t="shared" si="0"/>
        <v>0.94472709570688829</v>
      </c>
      <c r="H3">
        <f t="shared" si="0"/>
        <v>0.94755780490616992</v>
      </c>
      <c r="I3">
        <f t="shared" si="0"/>
        <v>0.95035973404319185</v>
      </c>
      <c r="J3">
        <f t="shared" si="0"/>
        <v>0.95312871510773034</v>
      </c>
      <c r="K3">
        <f t="shared" si="0"/>
        <v>0.95586038414193264</v>
      </c>
      <c r="L3">
        <f t="shared" si="0"/>
        <v>0.95855018813574422</v>
      </c>
      <c r="M3">
        <f t="shared" ref="M3:W12" si="1">_xlfn.NORM.DIST($B3, throwingmean, throwingstdv + throwingfactor *M$2, TRUE)</f>
        <v>0.96119339527114878</v>
      </c>
      <c r="N3">
        <f t="shared" si="1"/>
        <v>0.96378510905435966</v>
      </c>
      <c r="O3">
        <f t="shared" si="1"/>
        <v>0.96632028692061955</v>
      </c>
      <c r="P3">
        <f t="shared" si="1"/>
        <v>0.96879376393622496</v>
      </c>
      <c r="Q3">
        <f t="shared" si="1"/>
        <v>0.97120028225284716</v>
      </c>
      <c r="R3">
        <f t="shared" si="1"/>
        <v>0.97353452698506504</v>
      </c>
      <c r="S3">
        <f t="shared" si="1"/>
        <v>0.97579116917672093</v>
      </c>
      <c r="T3">
        <f t="shared" si="1"/>
        <v>0.97796491648714601</v>
      </c>
      <c r="U3">
        <f t="shared" si="1"/>
        <v>0.98005057215450919</v>
      </c>
      <c r="V3">
        <f t="shared" si="1"/>
        <v>0.98204310266867123</v>
      </c>
      <c r="W3">
        <f t="shared" si="1"/>
        <v>0.98393771439617173</v>
      </c>
    </row>
    <row r="4" spans="1:23" x14ac:dyDescent="0.25">
      <c r="B4">
        <v>0.1</v>
      </c>
      <c r="C4">
        <f t="shared" si="0"/>
        <v>0.93942924199794098</v>
      </c>
      <c r="D4">
        <f t="shared" si="0"/>
        <v>0.94221049307757543</v>
      </c>
      <c r="E4">
        <f t="shared" si="0"/>
        <v>0.94497162805414114</v>
      </c>
      <c r="F4">
        <f t="shared" si="0"/>
        <v>0.94770921469607072</v>
      </c>
      <c r="G4">
        <f t="shared" si="0"/>
        <v>0.95041964397531165</v>
      </c>
      <c r="H4">
        <f t="shared" si="0"/>
        <v>0.95309913157177895</v>
      </c>
      <c r="I4">
        <f t="shared" si="0"/>
        <v>0.95574372137968222</v>
      </c>
      <c r="J4">
        <f t="shared" si="0"/>
        <v>0.9583492913688767</v>
      </c>
      <c r="K4">
        <f t="shared" si="0"/>
        <v>0.96091156219176899</v>
      </c>
      <c r="L4">
        <f t="shared" si="0"/>
        <v>0.96342610896336511</v>
      </c>
      <c r="M4">
        <f t="shared" si="1"/>
        <v>0.96588837667724492</v>
      </c>
      <c r="N4">
        <f t="shared" si="1"/>
        <v>0.96829369975146407</v>
      </c>
      <c r="O4">
        <f t="shared" si="1"/>
        <v>0.97063732622285248</v>
      </c>
      <c r="P4">
        <f t="shared" si="1"/>
        <v>0.97291444712231223</v>
      </c>
      <c r="Q4">
        <f t="shared" si="1"/>
        <v>0.97512023156297545</v>
      </c>
      <c r="R4">
        <f t="shared" si="1"/>
        <v>0.97724986805182079</v>
      </c>
      <c r="S4">
        <f t="shared" si="1"/>
        <v>0.97929861248667271</v>
      </c>
      <c r="T4">
        <f t="shared" si="1"/>
        <v>0.98126184321621246</v>
      </c>
      <c r="U4">
        <f t="shared" si="1"/>
        <v>0.98313512341112752</v>
      </c>
      <c r="V4">
        <f t="shared" si="1"/>
        <v>0.98491427080899996</v>
      </c>
      <c r="W4">
        <f t="shared" si="1"/>
        <v>0.98659543464220212</v>
      </c>
    </row>
    <row r="5" spans="1:23" x14ac:dyDescent="0.25">
      <c r="B5">
        <v>0.2</v>
      </c>
      <c r="C5">
        <f t="shared" si="0"/>
        <v>0.94520070830044201</v>
      </c>
      <c r="D5">
        <f t="shared" si="0"/>
        <v>0.94785108530229123</v>
      </c>
      <c r="E5">
        <f t="shared" si="0"/>
        <v>0.95047579566670537</v>
      </c>
      <c r="F5">
        <f t="shared" si="0"/>
        <v>0.95307139309539912</v>
      </c>
      <c r="G5">
        <f t="shared" si="0"/>
        <v>0.9556342800557962</v>
      </c>
      <c r="H5">
        <f t="shared" si="0"/>
        <v>0.95816071278906079</v>
      </c>
      <c r="I5">
        <f t="shared" si="0"/>
        <v>0.96064680858347651</v>
      </c>
      <c r="J5">
        <f t="shared" si="0"/>
        <v>0.96308855565481921</v>
      </c>
      <c r="K5">
        <f t="shared" si="0"/>
        <v>0.96548182600279242</v>
      </c>
      <c r="L5">
        <f t="shared" si="0"/>
        <v>0.96782239163714201</v>
      </c>
      <c r="M5">
        <f t="shared" si="1"/>
        <v>0.97010594458676791</v>
      </c>
      <c r="N5">
        <f t="shared" si="1"/>
        <v>0.97232812111745404</v>
      </c>
      <c r="O5">
        <f t="shared" si="1"/>
        <v>0.97448453058555684</v>
      </c>
      <c r="P5">
        <f t="shared" si="1"/>
        <v>0.97657078934214148</v>
      </c>
      <c r="Q5">
        <f t="shared" si="1"/>
        <v>0.97858256006982691</v>
      </c>
      <c r="R5">
        <f t="shared" si="1"/>
        <v>0.98051559687722489</v>
      </c>
      <c r="S5">
        <f t="shared" si="1"/>
        <v>0.98236579638662769</v>
      </c>
      <c r="T5">
        <f t="shared" si="1"/>
        <v>0.98412925492187275</v>
      </c>
      <c r="U5">
        <f t="shared" si="1"/>
        <v>0.98580233172670073</v>
      </c>
      <c r="V5">
        <f t="shared" si="1"/>
        <v>0.98738171791059692</v>
      </c>
      <c r="W5">
        <f t="shared" si="1"/>
        <v>0.9888645105203836</v>
      </c>
    </row>
    <row r="6" spans="1:23" x14ac:dyDescent="0.25">
      <c r="B6">
        <v>0.3</v>
      </c>
      <c r="C6">
        <f t="shared" si="0"/>
        <v>0.9505285319663519</v>
      </c>
      <c r="D6">
        <f t="shared" si="0"/>
        <v>0.95304533229487931</v>
      </c>
      <c r="E6">
        <f t="shared" si="0"/>
        <v>0.95553141012261578</v>
      </c>
      <c r="F6">
        <f t="shared" si="0"/>
        <v>0.95798335506905641</v>
      </c>
      <c r="G6">
        <f t="shared" si="0"/>
        <v>0.96039763356816699</v>
      </c>
      <c r="H6">
        <f t="shared" si="0"/>
        <v>0.96277059720355673</v>
      </c>
      <c r="I6">
        <f t="shared" si="0"/>
        <v>0.96509849349527255</v>
      </c>
      <c r="J6">
        <f t="shared" si="0"/>
        <v>0.96737747945404673</v>
      </c>
      <c r="K6">
        <f t="shared" si="0"/>
        <v>0.96960363823473861</v>
      </c>
      <c r="L6">
        <f t="shared" si="0"/>
        <v>0.97177299923126637</v>
      </c>
      <c r="M6">
        <f t="shared" si="1"/>
        <v>0.97388156195825992</v>
      </c>
      <c r="N6">
        <f t="shared" si="1"/>
        <v>0.97592532405714871</v>
      </c>
      <c r="O6">
        <f t="shared" si="1"/>
        <v>0.97790031374301589</v>
      </c>
      <c r="P6">
        <f t="shared" si="1"/>
        <v>0.97980262696922982</v>
      </c>
      <c r="Q6">
        <f t="shared" si="1"/>
        <v>0.98162846952483385</v>
      </c>
      <c r="R6">
        <f t="shared" si="1"/>
        <v>0.98337420418952204</v>
      </c>
      <c r="S6">
        <f t="shared" si="1"/>
        <v>0.98503640294671146</v>
      </c>
      <c r="T6">
        <f t="shared" si="1"/>
        <v>0.98661190409033794</v>
      </c>
      <c r="U6">
        <f t="shared" si="1"/>
        <v>0.98809787384903192</v>
      </c>
      <c r="V6">
        <f t="shared" si="1"/>
        <v>0.98949187188624066</v>
      </c>
      <c r="W6">
        <f t="shared" si="1"/>
        <v>0.99079191971184799</v>
      </c>
    </row>
    <row r="7" spans="1:23" x14ac:dyDescent="0.25">
      <c r="B7">
        <v>0.4</v>
      </c>
      <c r="C7">
        <f t="shared" si="0"/>
        <v>0.95543453724145699</v>
      </c>
      <c r="D7">
        <f t="shared" si="0"/>
        <v>0.95781624723514713</v>
      </c>
      <c r="E7">
        <f t="shared" si="0"/>
        <v>0.96016270640197721</v>
      </c>
      <c r="F7">
        <f t="shared" si="0"/>
        <v>0.96247058720650747</v>
      </c>
      <c r="G7">
        <f t="shared" si="0"/>
        <v>0.96473646869703567</v>
      </c>
      <c r="H7">
        <f t="shared" si="0"/>
        <v>0.96695684789416148</v>
      </c>
      <c r="I7">
        <f t="shared" si="0"/>
        <v>0.96912815373421313</v>
      </c>
      <c r="J7">
        <f t="shared" si="0"/>
        <v>0.97124676384449027</v>
      </c>
      <c r="K7">
        <f t="shared" si="0"/>
        <v>0.9733090244307121</v>
      </c>
      <c r="L7">
        <f t="shared" si="0"/>
        <v>0.97531127355290825</v>
      </c>
      <c r="M7">
        <f t="shared" si="1"/>
        <v>0.97724986805182079</v>
      </c>
      <c r="N7">
        <f t="shared" si="1"/>
        <v>0.9791212143607767</v>
      </c>
      <c r="O7">
        <f t="shared" si="1"/>
        <v>0.98092180339453061</v>
      </c>
      <c r="P7">
        <f t="shared" si="1"/>
        <v>0.98264824964288278</v>
      </c>
      <c r="Q7">
        <f t="shared" si="1"/>
        <v>0.98429733450858192</v>
      </c>
      <c r="R7">
        <f t="shared" si="1"/>
        <v>0.98586605381145986</v>
      </c>
      <c r="S7">
        <f t="shared" si="1"/>
        <v>0.98735166922903572</v>
      </c>
      <c r="T7">
        <f t="shared" si="1"/>
        <v>0.98875176325331959</v>
      </c>
      <c r="U7">
        <f t="shared" si="1"/>
        <v>0.99006429701015009</v>
      </c>
      <c r="V7">
        <f t="shared" si="1"/>
        <v>0.99128767000840101</v>
      </c>
      <c r="W7">
        <f t="shared" si="1"/>
        <v>0.99242078056128025</v>
      </c>
    </row>
    <row r="8" spans="1:23" x14ac:dyDescent="0.25">
      <c r="B8">
        <v>0.5</v>
      </c>
      <c r="C8">
        <f t="shared" si="0"/>
        <v>0.95994084313618289</v>
      </c>
      <c r="D8">
        <f t="shared" si="0"/>
        <v>0.9621870572995479</v>
      </c>
      <c r="E8">
        <f t="shared" si="0"/>
        <v>0.96439404232427384</v>
      </c>
      <c r="F8">
        <f t="shared" si="0"/>
        <v>0.96655859658087928</v>
      </c>
      <c r="G8">
        <f t="shared" si="0"/>
        <v>0.96867745573741471</v>
      </c>
      <c r="H8">
        <f t="shared" si="0"/>
        <v>0.97074730684334809</v>
      </c>
      <c r="I8">
        <f t="shared" si="0"/>
        <v>0.97276480498626128</v>
      </c>
      <c r="J8">
        <f t="shared" si="0"/>
        <v>0.97472659274822582</v>
      </c>
      <c r="K8">
        <f t="shared" si="0"/>
        <v>0.97662932267937719</v>
      </c>
      <c r="L8">
        <f t="shared" si="0"/>
        <v>0.97846968298743109</v>
      </c>
      <c r="M8">
        <f t="shared" si="1"/>
        <v>0.98024442661121902</v>
      </c>
      <c r="N8">
        <f t="shared" si="1"/>
        <v>0.98195040380095566</v>
      </c>
      <c r="O8">
        <f t="shared" si="1"/>
        <v>0.98358459826471212</v>
      </c>
      <c r="P8">
        <f t="shared" si="1"/>
        <v>0.98514416685602335</v>
      </c>
      <c r="Q8">
        <f t="shared" si="1"/>
        <v>0.98662648266809205</v>
      </c>
      <c r="R8">
        <f t="shared" si="1"/>
        <v>0.98802918126206773</v>
      </c>
      <c r="S8">
        <f t="shared" si="1"/>
        <v>0.98935020958708397</v>
      </c>
      <c r="T8">
        <f t="shared" si="1"/>
        <v>0.99058787694556816</v>
      </c>
      <c r="U8">
        <f t="shared" si="1"/>
        <v>0.99174090711751128</v>
      </c>
      <c r="V8">
        <f t="shared" si="1"/>
        <v>0.99280849048270048</v>
      </c>
      <c r="W8">
        <f t="shared" si="1"/>
        <v>0.99379033467422384</v>
      </c>
    </row>
    <row r="9" spans="1:23" x14ac:dyDescent="0.25">
      <c r="B9">
        <v>0.6</v>
      </c>
      <c r="C9">
        <f t="shared" si="0"/>
        <v>0.96406968088707423</v>
      </c>
      <c r="D9">
        <f t="shared" si="0"/>
        <v>0.96618101424832259</v>
      </c>
      <c r="E9">
        <f t="shared" si="0"/>
        <v>0.96824970264897547</v>
      </c>
      <c r="F9">
        <f t="shared" si="0"/>
        <v>0.97027270889703676</v>
      </c>
      <c r="G9">
        <f t="shared" si="0"/>
        <v>0.97224696399442845</v>
      </c>
      <c r="H9">
        <f t="shared" si="0"/>
        <v>0.97416938348928472</v>
      </c>
      <c r="I9">
        <f t="shared" si="0"/>
        <v>0.97603688633498631</v>
      </c>
      <c r="J9">
        <f t="shared" si="0"/>
        <v>0.97784641642385983</v>
      </c>
      <c r="K9">
        <f t="shared" si="0"/>
        <v>0.9795949669416939</v>
      </c>
      <c r="L9">
        <f t="shared" si="0"/>
        <v>0.98127960765667077</v>
      </c>
      <c r="M9">
        <f t="shared" si="1"/>
        <v>0.98289751521066271</v>
      </c>
      <c r="N9">
        <f t="shared" si="1"/>
        <v>0.98444600641955393</v>
      </c>
      <c r="O9">
        <f t="shared" si="1"/>
        <v>0.98592257450963416</v>
      </c>
      <c r="P9">
        <f t="shared" si="1"/>
        <v>0.98732492811641093</v>
      </c>
      <c r="Q9">
        <f t="shared" si="1"/>
        <v>0.98865103274781108</v>
      </c>
      <c r="R9">
        <f t="shared" si="1"/>
        <v>0.98989915426344599</v>
      </c>
      <c r="S9">
        <f t="shared" si="1"/>
        <v>0.99106790374392784</v>
      </c>
      <c r="T9">
        <f t="shared" si="1"/>
        <v>0.99215628291889535</v>
      </c>
      <c r="U9">
        <f t="shared" si="1"/>
        <v>0.99316372909104689</v>
      </c>
      <c r="V9">
        <f t="shared" si="1"/>
        <v>0.99409015824032565</v>
      </c>
      <c r="W9">
        <f t="shared" si="1"/>
        <v>0.99493600472530463</v>
      </c>
    </row>
    <row r="10" spans="1:23" x14ac:dyDescent="0.25">
      <c r="B10">
        <v>0.7</v>
      </c>
      <c r="C10">
        <f t="shared" si="0"/>
        <v>0.96784322520438626</v>
      </c>
      <c r="D10">
        <f t="shared" si="0"/>
        <v>0.96982122064229781</v>
      </c>
      <c r="E10">
        <f t="shared" si="0"/>
        <v>0.97175372082062006</v>
      </c>
      <c r="F10">
        <f t="shared" si="0"/>
        <v>0.97363788647703964</v>
      </c>
      <c r="G10">
        <f t="shared" si="0"/>
        <v>0.97547087689619361</v>
      </c>
      <c r="H10">
        <f t="shared" si="0"/>
        <v>0.97724986805182079</v>
      </c>
      <c r="I10">
        <f t="shared" si="0"/>
        <v>0.97897207311016909</v>
      </c>
      <c r="J10">
        <f t="shared" si="0"/>
        <v>0.98063476539748684</v>
      </c>
      <c r="K10">
        <f t="shared" si="0"/>
        <v>0.98223530390123148</v>
      </c>
      <c r="L10">
        <f t="shared" si="0"/>
        <v>0.98377116132986453</v>
      </c>
      <c r="M10">
        <f t="shared" si="1"/>
        <v>0.98523995469775305</v>
      </c>
      <c r="N10">
        <f t="shared" si="1"/>
        <v>0.98663947832768129</v>
      </c>
      <c r="O10">
        <f t="shared" si="1"/>
        <v>0.98796773907173285</v>
      </c>
      <c r="P10">
        <f t="shared" si="1"/>
        <v>0.98922299344000109</v>
      </c>
      <c r="Q10">
        <f t="shared" si="1"/>
        <v>0.99040378619428515</v>
      </c>
      <c r="R10">
        <f t="shared" si="1"/>
        <v>0.9915089898099565</v>
      </c>
      <c r="S10">
        <f t="shared" si="1"/>
        <v>0.99253784403396828</v>
      </c>
      <c r="T10">
        <f t="shared" si="1"/>
        <v>0.993489994572619</v>
      </c>
      <c r="U10">
        <f t="shared" si="1"/>
        <v>0.99436552973351766</v>
      </c>
      <c r="V10">
        <f t="shared" si="1"/>
        <v>0.9951650136295519</v>
      </c>
      <c r="W10">
        <f t="shared" si="1"/>
        <v>0.99588951433965567</v>
      </c>
    </row>
    <row r="11" spans="1:23" x14ac:dyDescent="0.25">
      <c r="B11">
        <v>0.8</v>
      </c>
      <c r="C11">
        <f t="shared" si="0"/>
        <v>0.97128344018399815</v>
      </c>
      <c r="D11">
        <f t="shared" si="0"/>
        <v>0.97313047249844897</v>
      </c>
      <c r="E11">
        <f t="shared" si="0"/>
        <v>0.97492971907180315</v>
      </c>
      <c r="F11">
        <f t="shared" si="0"/>
        <v>0.9766785666692418</v>
      </c>
      <c r="G11">
        <f t="shared" si="0"/>
        <v>0.97837442974191546</v>
      </c>
      <c r="H11">
        <f t="shared" si="0"/>
        <v>0.98001476984692537</v>
      </c>
      <c r="I11">
        <f t="shared" si="0"/>
        <v>0.9815971172112371</v>
      </c>
      <c r="J11">
        <f t="shared" si="0"/>
        <v>0.98311909447403878</v>
      </c>
      <c r="K11">
        <f t="shared" si="0"/>
        <v>0.98457844259899263</v>
      </c>
      <c r="L11">
        <f t="shared" si="0"/>
        <v>0.98597304889303117</v>
      </c>
      <c r="M11">
        <f t="shared" si="1"/>
        <v>0.98730097700023178</v>
      </c>
      <c r="N11">
        <f t="shared" si="1"/>
        <v>0.98856049865636386</v>
      </c>
      <c r="O11">
        <f t="shared" si="1"/>
        <v>0.98975012689068897</v>
      </c>
      <c r="P11">
        <f t="shared" si="1"/>
        <v>0.99086865024566873</v>
      </c>
      <c r="Q11">
        <f t="shared" si="1"/>
        <v>0.99191516745228692</v>
      </c>
      <c r="R11">
        <f t="shared" si="1"/>
        <v>0.99288912184959954</v>
      </c>
      <c r="S11">
        <f t="shared" si="1"/>
        <v>0.99379033467422384</v>
      </c>
      <c r="T11">
        <f t="shared" si="1"/>
        <v>0.99461903617301051</v>
      </c>
      <c r="U11">
        <f t="shared" si="1"/>
        <v>0.9953758933168243</v>
      </c>
      <c r="V11">
        <f t="shared" si="1"/>
        <v>0.99606203272497285</v>
      </c>
      <c r="W11">
        <f t="shared" si="1"/>
        <v>0.99667905726178674</v>
      </c>
    </row>
    <row r="12" spans="1:23" x14ac:dyDescent="0.25">
      <c r="B12">
        <v>0.9</v>
      </c>
      <c r="C12">
        <f t="shared" si="0"/>
        <v>0.97441194047836144</v>
      </c>
      <c r="D12">
        <f t="shared" si="0"/>
        <v>0.97613111888135196</v>
      </c>
      <c r="E12">
        <f t="shared" si="0"/>
        <v>0.9778007672556237</v>
      </c>
      <c r="F12">
        <f t="shared" si="0"/>
        <v>0.9794185208944417</v>
      </c>
      <c r="G12">
        <f t="shared" si="0"/>
        <v>0.98098207010284577</v>
      </c>
      <c r="H12">
        <f t="shared" si="0"/>
        <v>0.98248918036829402</v>
      </c>
      <c r="I12">
        <f t="shared" si="0"/>
        <v>0.98393771439617173</v>
      </c>
      <c r="J12">
        <f t="shared" si="0"/>
        <v>0.98532565597611843</v>
      </c>
      <c r="K12">
        <f t="shared" si="0"/>
        <v>0.98665113559422191</v>
      </c>
      <c r="L12">
        <f t="shared" si="0"/>
        <v>0.98791245764394509</v>
      </c>
      <c r="M12">
        <f t="shared" si="1"/>
        <v>0.98910812901414658</v>
      </c>
      <c r="N12">
        <f t="shared" si="1"/>
        <v>0.99023688874489857</v>
      </c>
      <c r="O12">
        <f t="shared" si="1"/>
        <v>0.99129773834062174</v>
      </c>
      <c r="P12">
        <f t="shared" si="1"/>
        <v>0.99228997221560522</v>
      </c>
      <c r="Q12">
        <f t="shared" si="1"/>
        <v>0.99321320762041643</v>
      </c>
      <c r="R12">
        <f t="shared" si="1"/>
        <v>0.99406741326145165</v>
      </c>
      <c r="S12">
        <f t="shared" si="1"/>
        <v>0.99485293568395028</v>
      </c>
      <c r="T12">
        <f t="shared" si="1"/>
        <v>0.99557052234725518</v>
      </c>
      <c r="U12">
        <f t="shared" si="1"/>
        <v>0.9962213401885005</v>
      </c>
      <c r="V12">
        <f t="shared" si="1"/>
        <v>0.99680698835864645</v>
      </c>
      <c r="W12">
        <f t="shared" si="1"/>
        <v>0.99732950373746643</v>
      </c>
    </row>
    <row r="13" spans="1:23" x14ac:dyDescent="0.25">
      <c r="B13">
        <v>1</v>
      </c>
      <c r="C13">
        <f t="shared" ref="C13:L23" si="2">_xlfn.NORM.DIST($B13, throwingmean, throwingstdv + throwingfactor *C$2, TRUE)</f>
        <v>0.97724986805182079</v>
      </c>
      <c r="D13">
        <f t="shared" si="2"/>
        <v>0.97884493863434063</v>
      </c>
      <c r="E13">
        <f t="shared" si="2"/>
        <v>0.98038926046139385</v>
      </c>
      <c r="F13">
        <f t="shared" si="2"/>
        <v>0.98188073420027189</v>
      </c>
      <c r="G13">
        <f t="shared" si="2"/>
        <v>0.98331734052759789</v>
      </c>
      <c r="H13">
        <f t="shared" si="2"/>
        <v>0.98469716052612621</v>
      </c>
      <c r="I13">
        <f t="shared" si="2"/>
        <v>0.98601839761764787</v>
      </c>
      <c r="J13">
        <f t="shared" si="2"/>
        <v>0.98727940093204036</v>
      </c>
      <c r="K13">
        <f t="shared" si="2"/>
        <v>0.98847868995611909</v>
      </c>
      <c r="L13">
        <f t="shared" si="2"/>
        <v>0.98961498023936256</v>
      </c>
      <c r="M13">
        <f t="shared" ref="M13:W23" si="3">_xlfn.NORM.DIST($B13, throwingmean, throwingstdv + throwingfactor *M$2, TRUE)</f>
        <v>0.99068720985629855</v>
      </c>
      <c r="N13">
        <f t="shared" si="3"/>
        <v>0.99169456623730734</v>
      </c>
      <c r="O13">
        <f t="shared" si="3"/>
        <v>0.99263651288131527</v>
      </c>
      <c r="P13">
        <f t="shared" si="3"/>
        <v>0.99351281535665104</v>
      </c>
      <c r="Q13">
        <f t="shared" si="3"/>
        <v>0.9943235658825752</v>
      </c>
      <c r="R13">
        <f t="shared" si="3"/>
        <v>0.99506920566743162</v>
      </c>
      <c r="S13">
        <f t="shared" si="3"/>
        <v>0.99575054406539887</v>
      </c>
      <c r="T13">
        <f t="shared" si="3"/>
        <v>0.99636877350986042</v>
      </c>
      <c r="U13">
        <f t="shared" si="3"/>
        <v>0.99692547909715257</v>
      </c>
      <c r="V13">
        <f t="shared" si="3"/>
        <v>0.99742264164199901</v>
      </c>
      <c r="W13">
        <f t="shared" si="3"/>
        <v>0.99786263301991374</v>
      </c>
    </row>
    <row r="14" spans="1:23" x14ac:dyDescent="0.25">
      <c r="B14">
        <v>1.1000000000000001</v>
      </c>
      <c r="C14">
        <f t="shared" si="2"/>
        <v>0.97981778459429558</v>
      </c>
      <c r="D14">
        <f t="shared" si="2"/>
        <v>0.98129303418367897</v>
      </c>
      <c r="E14">
        <f t="shared" si="2"/>
        <v>0.98271681517805853</v>
      </c>
      <c r="F14">
        <f t="shared" si="2"/>
        <v>0.98408730488766094</v>
      </c>
      <c r="G14">
        <f t="shared" si="2"/>
        <v>0.98540278287955929</v>
      </c>
      <c r="H14">
        <f t="shared" si="2"/>
        <v>0.9866616510953955</v>
      </c>
      <c r="I14">
        <f t="shared" si="2"/>
        <v>0.98786245514015714</v>
      </c>
      <c r="J14">
        <f t="shared" si="2"/>
        <v>0.98900390658142112</v>
      </c>
      <c r="K14">
        <f t="shared" si="2"/>
        <v>0.9900849060392205</v>
      </c>
      <c r="L14">
        <f t="shared" si="2"/>
        <v>0.99110456677879533</v>
      </c>
      <c r="M14">
        <f t="shared" si="3"/>
        <v>0.99206223844209485</v>
      </c>
      <c r="N14">
        <f t="shared" si="3"/>
        <v>0.99295753046970459</v>
      </c>
      <c r="O14">
        <f t="shared" si="3"/>
        <v>0.99379033467422384</v>
      </c>
      <c r="P14">
        <f t="shared" si="3"/>
        <v>0.99456084633132047</v>
      </c>
      <c r="Q14">
        <f t="shared" si="3"/>
        <v>0.99526958305914193</v>
      </c>
      <c r="R14">
        <f t="shared" si="3"/>
        <v>0.99591740066526613</v>
      </c>
      <c r="S14">
        <f t="shared" si="3"/>
        <v>0.99650550505931867</v>
      </c>
      <c r="T14">
        <f t="shared" si="3"/>
        <v>0.99703545926696446</v>
      </c>
      <c r="U14">
        <f t="shared" si="3"/>
        <v>0.99750918454727489</v>
      </c>
      <c r="V14">
        <f t="shared" si="3"/>
        <v>0.99792895462238751</v>
      </c>
      <c r="W14">
        <f t="shared" si="3"/>
        <v>0.99829738208935259</v>
      </c>
    </row>
    <row r="15" spans="1:23" x14ac:dyDescent="0.25">
      <c r="B15">
        <v>1.2</v>
      </c>
      <c r="C15">
        <f t="shared" si="2"/>
        <v>0.98213557943718344</v>
      </c>
      <c r="D15">
        <f t="shared" si="2"/>
        <v>0.98349574210455681</v>
      </c>
      <c r="E15">
        <f t="shared" si="2"/>
        <v>0.98480418351194976</v>
      </c>
      <c r="F15">
        <f t="shared" si="2"/>
        <v>0.98605936350374279</v>
      </c>
      <c r="G15">
        <f t="shared" si="2"/>
        <v>0.98725986335550087</v>
      </c>
      <c r="H15">
        <f t="shared" si="2"/>
        <v>0.98840440514152805</v>
      </c>
      <c r="I15">
        <f t="shared" si="2"/>
        <v>0.98949187188624066</v>
      </c>
      <c r="J15">
        <f t="shared" si="2"/>
        <v>0.99052132828574579</v>
      </c>
      <c r="K15">
        <f t="shared" si="2"/>
        <v>0.99149204172653183</v>
      </c>
      <c r="L15">
        <f t="shared" si="2"/>
        <v>0.99240350326205273</v>
      </c>
      <c r="M15">
        <f t="shared" si="3"/>
        <v>0.99325544813598621</v>
      </c>
      <c r="N15">
        <f t="shared" si="3"/>
        <v>0.99404787536444239</v>
      </c>
      <c r="O15">
        <f t="shared" si="3"/>
        <v>0.99478106581052672</v>
      </c>
      <c r="P15">
        <f t="shared" si="3"/>
        <v>0.99545559810651818</v>
      </c>
      <c r="Q15">
        <f t="shared" si="3"/>
        <v>0.99607236170571123</v>
      </c>
      <c r="R15">
        <f t="shared" si="3"/>
        <v>0.99663256628319929</v>
      </c>
      <c r="S15">
        <f t="shared" si="3"/>
        <v>0.99713774665945876</v>
      </c>
      <c r="T15">
        <f t="shared" si="3"/>
        <v>0.99758976240089414</v>
      </c>
      <c r="U15">
        <f t="shared" si="3"/>
        <v>0.99799079126726198</v>
      </c>
      <c r="V15">
        <f t="shared" si="3"/>
        <v>0.99834331573791169</v>
      </c>
      <c r="W15">
        <f t="shared" si="3"/>
        <v>0.9986501019683699</v>
      </c>
    </row>
    <row r="16" spans="1:23" x14ac:dyDescent="0.25">
      <c r="B16">
        <v>1.3</v>
      </c>
      <c r="C16">
        <f t="shared" si="2"/>
        <v>0.98422239260890954</v>
      </c>
      <c r="D16">
        <f t="shared" si="2"/>
        <v>0.9854725599216041</v>
      </c>
      <c r="E16">
        <f t="shared" si="2"/>
        <v>0.98667118474140514</v>
      </c>
      <c r="F16">
        <f t="shared" si="2"/>
        <v>0.98781701026588054</v>
      </c>
      <c r="G16">
        <f t="shared" si="2"/>
        <v>0.98890891700233552</v>
      </c>
      <c r="H16">
        <f t="shared" si="2"/>
        <v>0.98994594096094168</v>
      </c>
      <c r="I16">
        <f t="shared" si="2"/>
        <v>0.99092729223645926</v>
      </c>
      <c r="J16">
        <f t="shared" si="2"/>
        <v>0.99185237372137502</v>
      </c>
      <c r="K16">
        <f t="shared" si="2"/>
        <v>0.99272079963615401</v>
      </c>
      <c r="L16">
        <f t="shared" si="2"/>
        <v>0.99353241350084198</v>
      </c>
      <c r="M16">
        <f t="shared" si="3"/>
        <v>0.99428730510778573</v>
      </c>
      <c r="N16">
        <f t="shared" si="3"/>
        <v>0.99498582598973795</v>
      </c>
      <c r="O16">
        <f t="shared" si="3"/>
        <v>0.99562860281384891</v>
      </c>
      <c r="P16">
        <f t="shared" si="3"/>
        <v>0.99621654807370474</v>
      </c>
      <c r="Q16">
        <f t="shared" si="3"/>
        <v>0.99675086740336638</v>
      </c>
      <c r="R16">
        <f t="shared" si="3"/>
        <v>0.99723306280512991</v>
      </c>
      <c r="S16">
        <f t="shared" si="3"/>
        <v>0.99766493107341181</v>
      </c>
      <c r="T16">
        <f t="shared" si="3"/>
        <v>0.9980485567187205</v>
      </c>
      <c r="U16">
        <f t="shared" si="3"/>
        <v>0.99838629875681095</v>
      </c>
      <c r="V16">
        <f t="shared" si="3"/>
        <v>0.99868077083778739</v>
      </c>
      <c r="W16">
        <f t="shared" si="3"/>
        <v>0.99893481435657228</v>
      </c>
    </row>
    <row r="17" spans="2:23" x14ac:dyDescent="0.25">
      <c r="B17">
        <v>1.4</v>
      </c>
      <c r="C17">
        <f t="shared" si="2"/>
        <v>0.98609655248650141</v>
      </c>
      <c r="D17">
        <f t="shared" si="2"/>
        <v>0.98724208843039174</v>
      </c>
      <c r="E17">
        <f t="shared" si="2"/>
        <v>0.98833665330160048</v>
      </c>
      <c r="F17">
        <f t="shared" si="2"/>
        <v>0.98937926979223911</v>
      </c>
      <c r="G17">
        <f t="shared" si="2"/>
        <v>0.99036911036340736</v>
      </c>
      <c r="H17">
        <f t="shared" si="2"/>
        <v>0.99130551389665644</v>
      </c>
      <c r="I17">
        <f t="shared" si="2"/>
        <v>0.99218800234452975</v>
      </c>
      <c r="J17">
        <f t="shared" si="2"/>
        <v>0.99301629709024808</v>
      </c>
      <c r="K17">
        <f t="shared" si="2"/>
        <v>0.99379033467422384</v>
      </c>
      <c r="L17">
        <f t="shared" si="2"/>
        <v>0.99451028149084664</v>
      </c>
      <c r="M17">
        <f t="shared" si="3"/>
        <v>0.99517654700468294</v>
      </c>
      <c r="N17">
        <f t="shared" si="3"/>
        <v>0.99578979498334452</v>
      </c>
      <c r="O17">
        <f t="shared" si="3"/>
        <v>0.99635095219800218</v>
      </c>
      <c r="P17">
        <f t="shared" si="3"/>
        <v>0.99686121400590511</v>
      </c>
      <c r="Q17">
        <f t="shared" si="3"/>
        <v>0.99732204620721154</v>
      </c>
      <c r="R17">
        <f t="shared" si="3"/>
        <v>0.99773518256671845</v>
      </c>
      <c r="S17">
        <f t="shared" si="3"/>
        <v>0.99810261741620365</v>
      </c>
      <c r="T17">
        <f t="shared" si="3"/>
        <v>0.99842659281208423</v>
      </c>
      <c r="U17">
        <f t="shared" si="3"/>
        <v>0.99870957982304531</v>
      </c>
      <c r="V17">
        <f t="shared" si="3"/>
        <v>0.99895425366976121</v>
      </c>
      <c r="W17">
        <f t="shared" si="3"/>
        <v>0.99916346263892386</v>
      </c>
    </row>
    <row r="18" spans="2:23" x14ac:dyDescent="0.25">
      <c r="B18">
        <v>1.5</v>
      </c>
      <c r="C18">
        <f t="shared" si="2"/>
        <v>0.98777552734495533</v>
      </c>
      <c r="D18">
        <f t="shared" si="2"/>
        <v>0.98882198867076931</v>
      </c>
      <c r="E18">
        <f t="shared" si="2"/>
        <v>0.989818402138959</v>
      </c>
      <c r="F18">
        <f t="shared" si="2"/>
        <v>0.99076406186531352</v>
      </c>
      <c r="G18">
        <f t="shared" si="2"/>
        <v>0.99165842074571242</v>
      </c>
      <c r="H18">
        <f t="shared" si="2"/>
        <v>0.99250110526320356</v>
      </c>
      <c r="I18">
        <f t="shared" si="2"/>
        <v>0.99329192992302162</v>
      </c>
      <c r="J18">
        <f t="shared" si="2"/>
        <v>0.99403091100447794</v>
      </c>
      <c r="K18">
        <f t="shared" si="2"/>
        <v>0.99471827927308554</v>
      </c>
      <c r="L18">
        <f t="shared" si="2"/>
        <v>0.99535449125135822</v>
      </c>
      <c r="M18">
        <f t="shared" si="3"/>
        <v>0.99594023860462444</v>
      </c>
      <c r="N18">
        <f t="shared" si="3"/>
        <v>0.99647645516170658</v>
      </c>
      <c r="O18">
        <f t="shared" si="3"/>
        <v>0.99696432106288702</v>
      </c>
      <c r="P18">
        <f t="shared" si="3"/>
        <v>0.99740526351334968</v>
      </c>
      <c r="Q18">
        <f t="shared" si="3"/>
        <v>0.99780095362404031</v>
      </c>
      <c r="R18">
        <f t="shared" si="3"/>
        <v>0.9981532988489582</v>
      </c>
      <c r="S18">
        <f t="shared" si="3"/>
        <v>0.9984644305839443</v>
      </c>
      <c r="T18">
        <f t="shared" si="3"/>
        <v>0.99873668658270343</v>
      </c>
      <c r="U18">
        <f t="shared" si="3"/>
        <v>0.99897258797617372</v>
      </c>
      <c r="V18">
        <f t="shared" si="3"/>
        <v>0.99917481085525794</v>
      </c>
      <c r="W18">
        <f t="shared" si="3"/>
        <v>0.99934615259594539</v>
      </c>
    </row>
    <row r="19" spans="2:23" x14ac:dyDescent="0.25">
      <c r="B19">
        <v>1.6</v>
      </c>
      <c r="C19">
        <f t="shared" si="2"/>
        <v>0.98927588997832416</v>
      </c>
      <c r="D19">
        <f t="shared" si="2"/>
        <v>0.99022895255784427</v>
      </c>
      <c r="E19">
        <f t="shared" si="2"/>
        <v>0.99113320025518947</v>
      </c>
      <c r="F19">
        <f t="shared" si="2"/>
        <v>0.99198818684480428</v>
      </c>
      <c r="G19">
        <f t="shared" si="2"/>
        <v>0.99279363050302394</v>
      </c>
      <c r="H19">
        <f t="shared" si="2"/>
        <v>0.99354942653731249</v>
      </c>
      <c r="I19">
        <f t="shared" si="2"/>
        <v>0.99425565940188498</v>
      </c>
      <c r="J19">
        <f t="shared" si="2"/>
        <v>0.99491261367939154</v>
      </c>
      <c r="K19">
        <f t="shared" si="2"/>
        <v>0.99552078367125296</v>
      </c>
      <c r="L19">
        <f t="shared" si="2"/>
        <v>0.99608088120520577</v>
      </c>
      <c r="M19">
        <f t="shared" si="3"/>
        <v>0.99659384124004158</v>
      </c>
      <c r="N19">
        <f t="shared" si="3"/>
        <v>0.99706082482737046</v>
      </c>
      <c r="O19">
        <f t="shared" si="3"/>
        <v>0.99748321898197434</v>
      </c>
      <c r="P19">
        <f t="shared" si="3"/>
        <v>0.99786263301991374</v>
      </c>
      <c r="Q19">
        <f t="shared" si="3"/>
        <v>0.99820089095140607</v>
      </c>
      <c r="R19">
        <f t="shared" si="3"/>
        <v>0.9985000195681506</v>
      </c>
      <c r="S19">
        <f t="shared" si="3"/>
        <v>0.99876223194673974</v>
      </c>
      <c r="T19">
        <f t="shared" si="3"/>
        <v>0.99898990620501338</v>
      </c>
      <c r="U19">
        <f t="shared" si="3"/>
        <v>0.9991855594995066</v>
      </c>
      <c r="V19">
        <f t="shared" si="3"/>
        <v>0.99935181744050361</v>
      </c>
      <c r="W19">
        <f t="shared" si="3"/>
        <v>0.99949137932483567</v>
      </c>
    </row>
    <row r="20" spans="2:23" x14ac:dyDescent="0.25">
      <c r="B20">
        <v>1.7</v>
      </c>
      <c r="C20">
        <f t="shared" si="2"/>
        <v>0.99061329446516144</v>
      </c>
      <c r="D20">
        <f t="shared" si="2"/>
        <v>0.9914786860812399</v>
      </c>
      <c r="E20">
        <f t="shared" si="2"/>
        <v>0.99229676317508175</v>
      </c>
      <c r="F20">
        <f t="shared" si="2"/>
        <v>0.99306732427326405</v>
      </c>
      <c r="G20">
        <f t="shared" si="2"/>
        <v>0.99379033467422384</v>
      </c>
      <c r="H20">
        <f t="shared" si="2"/>
        <v>0.99446593693750274</v>
      </c>
      <c r="I20">
        <f t="shared" si="2"/>
        <v>0.99509446035679117</v>
      </c>
      <c r="J20">
        <f t="shared" si="2"/>
        <v>0.99567642909881338</v>
      </c>
      <c r="K20">
        <f t="shared" si="2"/>
        <v>0.99621256866269048</v>
      </c>
      <c r="L20">
        <f t="shared" si="2"/>
        <v>0.99670381029225796</v>
      </c>
      <c r="M20">
        <f t="shared" si="3"/>
        <v>0.99715129295938176</v>
      </c>
      <c r="N20">
        <f t="shared" si="3"/>
        <v>0.99755636253257118</v>
      </c>
      <c r="O20">
        <f t="shared" si="3"/>
        <v>0.99792056775540883</v>
      </c>
      <c r="P20">
        <f t="shared" si="3"/>
        <v>0.99824565268711207</v>
      </c>
      <c r="Q20">
        <f t="shared" si="3"/>
        <v>0.99853354530660077</v>
      </c>
      <c r="R20">
        <f t="shared" si="3"/>
        <v>0.99878634205533956</v>
      </c>
      <c r="S20">
        <f t="shared" si="3"/>
        <v>0.99900628819602255</v>
      </c>
      <c r="T20">
        <f t="shared" si="3"/>
        <v>0.99919575399596294</v>
      </c>
      <c r="U20">
        <f t="shared" si="3"/>
        <v>0.99935720690637442</v>
      </c>
      <c r="V20">
        <f t="shared" si="3"/>
        <v>0.99949318009983712</v>
      </c>
      <c r="W20">
        <f t="shared" si="3"/>
        <v>0.99960623794332182</v>
      </c>
    </row>
    <row r="21" spans="2:23" x14ac:dyDescent="0.25">
      <c r="B21">
        <v>1.8</v>
      </c>
      <c r="C21">
        <f t="shared" si="2"/>
        <v>0.99180246407540384</v>
      </c>
      <c r="D21">
        <f t="shared" si="2"/>
        <v>0.9925859039167042</v>
      </c>
      <c r="E21">
        <f t="shared" si="2"/>
        <v>0.99332375501779535</v>
      </c>
      <c r="F21">
        <f t="shared" si="2"/>
        <v>0.9940160431794185</v>
      </c>
      <c r="G21">
        <f t="shared" si="2"/>
        <v>0.99466296029774037</v>
      </c>
      <c r="H21">
        <f t="shared" si="2"/>
        <v>0.99526487252223783</v>
      </c>
      <c r="I21">
        <f t="shared" si="2"/>
        <v>0.99582232714110541</v>
      </c>
      <c r="J21">
        <f t="shared" si="2"/>
        <v>0.99633605788946533</v>
      </c>
      <c r="K21">
        <f t="shared" si="2"/>
        <v>0.99680698835864645</v>
      </c>
      <c r="L21">
        <f t="shared" si="2"/>
        <v>0.9972362331748813</v>
      </c>
      <c r="M21">
        <f t="shared" si="3"/>
        <v>0.99762509661539056</v>
      </c>
      <c r="N21">
        <f t="shared" si="3"/>
        <v>0.99797506834174698</v>
      </c>
      <c r="O21">
        <f t="shared" si="3"/>
        <v>0.99828781595757443</v>
      </c>
      <c r="P21">
        <f t="shared" si="3"/>
        <v>0.99856517414304602</v>
      </c>
      <c r="Q21">
        <f t="shared" si="3"/>
        <v>0.99880913018513184</v>
      </c>
      <c r="R21">
        <f t="shared" si="3"/>
        <v>0.99902180581250244</v>
      </c>
      <c r="S21">
        <f t="shared" si="3"/>
        <v>0.99920543535894968</v>
      </c>
      <c r="T21">
        <f t="shared" si="3"/>
        <v>0.99936234041936356</v>
      </c>
      <c r="U21">
        <f t="shared" si="3"/>
        <v>0.99949490132603891</v>
      </c>
      <c r="V21">
        <f t="shared" si="3"/>
        <v>0.99960552595622765</v>
      </c>
      <c r="W21">
        <f t="shared" si="3"/>
        <v>0.99969661657718201</v>
      </c>
    </row>
    <row r="22" spans="2:23" x14ac:dyDescent="0.25">
      <c r="B22">
        <v>1.9</v>
      </c>
      <c r="C22">
        <f t="shared" si="2"/>
        <v>0.99285718926472855</v>
      </c>
      <c r="D22">
        <f t="shared" si="2"/>
        <v>0.99356433425440716</v>
      </c>
      <c r="E22">
        <f t="shared" si="2"/>
        <v>0.9942278008261155</v>
      </c>
      <c r="F22">
        <f t="shared" si="2"/>
        <v>0.99484782257686355</v>
      </c>
      <c r="G22">
        <f t="shared" si="2"/>
        <v>0.995424795737889</v>
      </c>
      <c r="H22">
        <f t="shared" si="2"/>
        <v>0.99595928497776753</v>
      </c>
      <c r="I22">
        <f t="shared" si="2"/>
        <v>0.99645202772823449</v>
      </c>
      <c r="J22">
        <f t="shared" si="2"/>
        <v>0.9969039367509489</v>
      </c>
      <c r="K22">
        <f t="shared" si="2"/>
        <v>0.99731610065702081</v>
      </c>
      <c r="L22">
        <f t="shared" si="2"/>
        <v>0.99768978209323977</v>
      </c>
      <c r="M22">
        <f t="shared" si="3"/>
        <v>0.99802641332185826</v>
      </c>
      <c r="N22">
        <f t="shared" si="3"/>
        <v>0.99832758894694029</v>
      </c>
      <c r="O22">
        <f t="shared" si="3"/>
        <v>0.99859505558209449</v>
      </c>
      <c r="P22">
        <f t="shared" si="3"/>
        <v>0.99883069831415505</v>
      </c>
      <c r="Q22">
        <f t="shared" si="3"/>
        <v>0.99903652389688324</v>
      </c>
      <c r="R22">
        <f t="shared" si="3"/>
        <v>0.99921464070916677</v>
      </c>
      <c r="S22">
        <f t="shared" si="3"/>
        <v>0.99936723563349539</v>
      </c>
      <c r="T22">
        <f t="shared" si="3"/>
        <v>0.99949654815113109</v>
      </c>
      <c r="U22">
        <f t="shared" si="3"/>
        <v>0.99960484210678979</v>
      </c>
      <c r="V22">
        <f t="shared" si="3"/>
        <v>0.99969437576173004</v>
      </c>
      <c r="W22">
        <f t="shared" si="3"/>
        <v>0.99976737092096446</v>
      </c>
    </row>
    <row r="23" spans="2:23" x14ac:dyDescent="0.25">
      <c r="B23">
        <v>2</v>
      </c>
      <c r="C23">
        <f t="shared" si="2"/>
        <v>0.99379033467422384</v>
      </c>
      <c r="D23">
        <f t="shared" si="2"/>
        <v>0.99442673263320192</v>
      </c>
      <c r="E23">
        <f t="shared" si="2"/>
        <v>0.99502150780925247</v>
      </c>
      <c r="F23">
        <f t="shared" si="2"/>
        <v>0.99557508067649803</v>
      </c>
      <c r="G23">
        <f t="shared" si="2"/>
        <v>0.99608802840283917</v>
      </c>
      <c r="H23">
        <f t="shared" si="2"/>
        <v>0.99656108833800094</v>
      </c>
      <c r="I23">
        <f t="shared" si="2"/>
        <v>0.99699515987387455</v>
      </c>
      <c r="J23">
        <f t="shared" si="2"/>
        <v>0.99739130442657642</v>
      </c>
      <c r="K23">
        <f t="shared" si="2"/>
        <v>0.99775074329355862</v>
      </c>
      <c r="L23">
        <f t="shared" si="2"/>
        <v>0.99807485315250621</v>
      </c>
      <c r="M23">
        <f t="shared" si="3"/>
        <v>0.99836515899365319</v>
      </c>
      <c r="N23">
        <f t="shared" si="3"/>
        <v>0.99862332431550138</v>
      </c>
      <c r="O23">
        <f t="shared" si="3"/>
        <v>0.99885113846754769</v>
      </c>
      <c r="P23">
        <f t="shared" si="3"/>
        <v>0.99905050109394478</v>
      </c>
      <c r="Q23">
        <f t="shared" si="3"/>
        <v>0.99922340371983398</v>
      </c>
      <c r="R23">
        <f t="shared" si="3"/>
        <v>0.99937190862726821</v>
      </c>
      <c r="S23">
        <f t="shared" si="3"/>
        <v>0.99949812528874615</v>
      </c>
      <c r="T23">
        <f t="shared" si="3"/>
        <v>0.99960418476031487</v>
      </c>
      <c r="U23">
        <f t="shared" si="3"/>
        <v>0.99969221257784135</v>
      </c>
      <c r="V23">
        <f t="shared" si="3"/>
        <v>0.9997643008419731</v>
      </c>
      <c r="W23">
        <f t="shared" si="3"/>
        <v>0.9998224803096265</v>
      </c>
    </row>
  </sheetData>
  <conditionalFormatting sqref="C3:W23">
    <cfRule type="colorScale" priority="1">
      <colorScale>
        <cfvo type="num" val="0.95"/>
        <cfvo type="num" val="0.98"/>
        <cfvo type="num" val="1"/>
        <color rgb="FFF8696B"/>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148E4-8960-49BB-84B7-B9F77657BF02}">
  <dimension ref="A1:W23"/>
  <sheetViews>
    <sheetView workbookViewId="0">
      <selection activeCell="AA6" sqref="AA6"/>
    </sheetView>
  </sheetViews>
  <sheetFormatPr defaultRowHeight="15" x14ac:dyDescent="0.25"/>
  <cols>
    <col min="3" max="23" width="6.140625" customWidth="1"/>
  </cols>
  <sheetData>
    <row r="1" spans="1:23" x14ac:dyDescent="0.25">
      <c r="C1" t="s">
        <v>309</v>
      </c>
    </row>
    <row r="2" spans="1:23" ht="15.75" thickBot="1" x14ac:dyDescent="0.3">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310</v>
      </c>
      <c r="B3">
        <v>0</v>
      </c>
      <c r="C3" s="168"/>
      <c r="D3" s="169"/>
      <c r="E3" s="169"/>
      <c r="F3" s="169"/>
      <c r="G3" s="169"/>
      <c r="H3" s="169"/>
      <c r="I3" s="169"/>
      <c r="J3" s="169"/>
      <c r="K3" s="169"/>
      <c r="L3" s="169"/>
      <c r="M3" s="170"/>
    </row>
    <row r="4" spans="1:23" x14ac:dyDescent="0.25">
      <c r="B4">
        <v>0.1</v>
      </c>
      <c r="C4" s="171"/>
      <c r="D4" s="32"/>
      <c r="E4" s="32"/>
      <c r="F4" s="32"/>
      <c r="G4" s="32"/>
      <c r="H4" s="32"/>
      <c r="I4" s="32"/>
      <c r="J4" s="32"/>
      <c r="K4" s="32"/>
      <c r="L4" s="32"/>
      <c r="M4" s="172"/>
    </row>
    <row r="5" spans="1:23" x14ac:dyDescent="0.25">
      <c r="B5">
        <v>0.2</v>
      </c>
      <c r="C5" s="171"/>
      <c r="D5" s="32"/>
      <c r="E5" s="32"/>
      <c r="F5" s="32"/>
      <c r="G5" s="32"/>
      <c r="H5" s="32"/>
      <c r="I5" s="32"/>
      <c r="J5" s="32"/>
      <c r="K5" s="32"/>
      <c r="L5" s="32"/>
      <c r="M5" s="172"/>
    </row>
    <row r="6" spans="1:23" x14ac:dyDescent="0.25">
      <c r="B6">
        <v>0.3</v>
      </c>
      <c r="C6" s="171"/>
      <c r="D6" s="32"/>
      <c r="E6" s="32"/>
      <c r="F6" s="32"/>
      <c r="G6" s="32"/>
      <c r="H6" s="32"/>
      <c r="I6" s="32"/>
      <c r="J6" s="32"/>
      <c r="K6" s="32"/>
      <c r="L6" s="32"/>
      <c r="M6" s="172"/>
    </row>
    <row r="7" spans="1:23" x14ac:dyDescent="0.25">
      <c r="B7">
        <v>0.4</v>
      </c>
      <c r="C7" s="171"/>
      <c r="D7" s="32"/>
      <c r="E7" s="32"/>
      <c r="F7" s="32"/>
      <c r="G7" s="32"/>
      <c r="H7" s="32"/>
      <c r="I7" s="32"/>
      <c r="J7" s="32"/>
      <c r="K7" s="32"/>
      <c r="L7" s="32"/>
      <c r="M7" s="172"/>
    </row>
    <row r="8" spans="1:23" x14ac:dyDescent="0.25">
      <c r="B8">
        <v>0.5</v>
      </c>
      <c r="C8" s="171"/>
      <c r="D8" s="32"/>
      <c r="E8" s="32"/>
      <c r="F8" s="32"/>
      <c r="G8" s="32"/>
      <c r="H8" s="32"/>
      <c r="I8" s="32"/>
      <c r="J8" s="32"/>
      <c r="K8" s="32"/>
      <c r="L8" s="32"/>
      <c r="M8" s="172"/>
    </row>
    <row r="9" spans="1:23" x14ac:dyDescent="0.25">
      <c r="B9">
        <v>0.6</v>
      </c>
      <c r="C9" s="171"/>
      <c r="D9" s="32"/>
      <c r="E9" s="32"/>
      <c r="F9" s="32"/>
      <c r="G9" s="32"/>
      <c r="H9" s="32"/>
      <c r="I9" s="32"/>
      <c r="J9" s="32"/>
      <c r="K9" s="32"/>
      <c r="L9" s="32"/>
      <c r="M9" s="172"/>
    </row>
    <row r="10" spans="1:23" x14ac:dyDescent="0.25">
      <c r="B10">
        <v>0.7</v>
      </c>
      <c r="C10" s="171"/>
      <c r="D10" s="32"/>
      <c r="E10" s="32"/>
      <c r="F10" s="32"/>
      <c r="G10" s="32"/>
      <c r="H10" s="32"/>
      <c r="I10" s="32"/>
      <c r="J10" s="32"/>
      <c r="K10" s="32"/>
      <c r="L10" s="32"/>
      <c r="M10" s="172"/>
    </row>
    <row r="11" spans="1:23" x14ac:dyDescent="0.25">
      <c r="B11">
        <v>0.8</v>
      </c>
      <c r="C11" s="171"/>
      <c r="D11" s="32"/>
      <c r="E11" s="32"/>
      <c r="F11" s="32"/>
      <c r="G11" s="32"/>
      <c r="H11" s="32"/>
      <c r="I11" s="32"/>
      <c r="J11" s="32"/>
      <c r="K11" s="32"/>
      <c r="L11" s="32"/>
      <c r="M11" s="172"/>
    </row>
    <row r="12" spans="1:23" x14ac:dyDescent="0.25">
      <c r="B12">
        <v>0.9</v>
      </c>
      <c r="C12" s="171"/>
      <c r="D12" s="32"/>
      <c r="E12" s="32"/>
      <c r="F12" s="32"/>
      <c r="G12" s="32"/>
      <c r="H12" s="32"/>
      <c r="I12" s="32"/>
      <c r="J12" s="32"/>
      <c r="K12" s="32"/>
      <c r="L12" s="32"/>
      <c r="M12" s="172"/>
    </row>
    <row r="13" spans="1:23" ht="15.75" thickBot="1" x14ac:dyDescent="0.3">
      <c r="B13">
        <v>1</v>
      </c>
      <c r="C13" s="173"/>
      <c r="D13" s="174"/>
      <c r="E13" s="174"/>
      <c r="F13" s="174"/>
      <c r="G13" s="174"/>
      <c r="H13" s="174"/>
      <c r="I13" s="174"/>
      <c r="J13" s="174"/>
      <c r="K13" s="174"/>
      <c r="L13" s="174"/>
      <c r="M13" s="175"/>
    </row>
    <row r="14" spans="1:23" x14ac:dyDescent="0.25">
      <c r="B14">
        <v>1.1000000000000001</v>
      </c>
    </row>
    <row r="15" spans="1:23" x14ac:dyDescent="0.25">
      <c r="B15">
        <v>1.2</v>
      </c>
    </row>
    <row r="16" spans="1:23" x14ac:dyDescent="0.25">
      <c r="B16">
        <v>1.3</v>
      </c>
    </row>
    <row r="17" spans="2:2" x14ac:dyDescent="0.25">
      <c r="B17">
        <v>1.4</v>
      </c>
    </row>
    <row r="18" spans="2:2" x14ac:dyDescent="0.25">
      <c r="B18">
        <v>1.5</v>
      </c>
    </row>
    <row r="19" spans="2:2" x14ac:dyDescent="0.25">
      <c r="B19">
        <v>1.6</v>
      </c>
    </row>
    <row r="20" spans="2:2" x14ac:dyDescent="0.25">
      <c r="B20">
        <v>1.7</v>
      </c>
    </row>
    <row r="21" spans="2:2" x14ac:dyDescent="0.25">
      <c r="B21">
        <v>1.8</v>
      </c>
    </row>
    <row r="22" spans="2:2" x14ac:dyDescent="0.25">
      <c r="B22">
        <v>1.9</v>
      </c>
    </row>
    <row r="23" spans="2:2" x14ac:dyDescent="0.25">
      <c r="B2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D36" sqref="D36"/>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-0.2</v>
      </c>
      <c r="N4" s="32" t="s">
        <v>81</v>
      </c>
      <c r="O4" s="39">
        <v>2</v>
      </c>
      <c r="P4" s="32"/>
      <c r="Q4" s="32"/>
      <c r="R4" s="32"/>
      <c r="S4" s="33"/>
    </row>
    <row r="5" spans="3:19" x14ac:dyDescent="0.25">
      <c r="C5" s="31" t="s">
        <v>92</v>
      </c>
      <c r="D5" s="39">
        <v>0.3</v>
      </c>
      <c r="E5" s="32">
        <f>_xlfn.NORM.S.INV(D5)</f>
        <v>-0.52440051270804089</v>
      </c>
      <c r="F5" s="32"/>
      <c r="G5" s="33"/>
      <c r="K5" s="31" t="s">
        <v>99</v>
      </c>
      <c r="L5" s="32">
        <v>0</v>
      </c>
      <c r="M5" s="32">
        <v>0.1</v>
      </c>
      <c r="N5" s="32">
        <v>0.25</v>
      </c>
      <c r="O5" s="32">
        <v>0.5</v>
      </c>
      <c r="P5" s="32">
        <v>0.8</v>
      </c>
      <c r="Q5" s="32">
        <v>1</v>
      </c>
      <c r="R5" s="32">
        <v>1.5</v>
      </c>
      <c r="S5" s="33">
        <v>2</v>
      </c>
    </row>
    <row r="6" spans="3:19" ht="15.75" thickBot="1" x14ac:dyDescent="0.3">
      <c r="C6" s="31"/>
      <c r="D6" s="32" t="s">
        <v>96</v>
      </c>
      <c r="E6" s="39">
        <v>1</v>
      </c>
      <c r="F6" s="32"/>
      <c r="G6" s="33"/>
      <c r="K6" s="43" t="s">
        <v>100</v>
      </c>
      <c r="L6" s="44">
        <f t="shared" ref="L6:S6" si="0">_xlfn.NORM.DIST(L5, $M$4, $O$4, TRUE)</f>
        <v>0.53982783727702899</v>
      </c>
      <c r="M6" s="44">
        <f t="shared" si="0"/>
        <v>0.5596176923702425</v>
      </c>
      <c r="N6" s="44">
        <f t="shared" si="0"/>
        <v>0.58901036286872965</v>
      </c>
      <c r="O6" s="44">
        <f t="shared" si="0"/>
        <v>0.6368306511756191</v>
      </c>
      <c r="P6" s="44">
        <f t="shared" si="0"/>
        <v>0.69146246127401312</v>
      </c>
      <c r="Q6" s="44">
        <f t="shared" si="0"/>
        <v>0.72574688224992645</v>
      </c>
      <c r="R6" s="44">
        <f t="shared" si="0"/>
        <v>0.80233745687730762</v>
      </c>
      <c r="S6" s="45">
        <f t="shared" si="0"/>
        <v>0.86433393905361733</v>
      </c>
    </row>
    <row r="7" spans="3:19" ht="15.75" thickBot="1" x14ac:dyDescent="0.3">
      <c r="C7" s="31"/>
      <c r="D7" s="32" t="s">
        <v>87</v>
      </c>
      <c r="E7" s="39">
        <v>0.7</v>
      </c>
      <c r="F7" s="32" t="s">
        <v>95</v>
      </c>
      <c r="G7" s="40">
        <v>0.2</v>
      </c>
      <c r="K7" s="31" t="s">
        <v>101</v>
      </c>
      <c r="L7" s="39">
        <v>0.2</v>
      </c>
      <c r="M7" s="39"/>
      <c r="N7" s="39"/>
      <c r="O7" s="39"/>
      <c r="P7" s="39"/>
      <c r="Q7" s="39">
        <f>0.2+0.35</f>
        <v>0.55000000000000004</v>
      </c>
      <c r="R7" s="39"/>
      <c r="S7" s="40"/>
    </row>
    <row r="8" spans="3:19" ht="15.75" thickBot="1" x14ac:dyDescent="0.3">
      <c r="C8" s="34"/>
      <c r="D8" s="35" t="s">
        <v>95</v>
      </c>
      <c r="E8" s="41">
        <f>(E6-E7)/E5</f>
        <v>-0.57208182053594703</v>
      </c>
      <c r="F8" s="35" t="s">
        <v>87</v>
      </c>
      <c r="G8" s="42">
        <f>-E5*G7 + E6</f>
        <v>1.1048801025416082</v>
      </c>
      <c r="K8" s="34" t="s">
        <v>102</v>
      </c>
      <c r="L8" s="46">
        <f>IF(ISBLANK(L7), "", L6-L7)</f>
        <v>0.33982783727702898</v>
      </c>
      <c r="M8" s="46" t="str">
        <f>IF(ISBLANK(M7), "", M6-M7)</f>
        <v/>
      </c>
      <c r="N8" s="46" t="str">
        <f t="shared" ref="N8:S8" si="1">IF(ISBLANK(N7), "", N6-N7)</f>
        <v/>
      </c>
      <c r="O8" s="46" t="str">
        <f t="shared" si="1"/>
        <v/>
      </c>
      <c r="P8" s="46" t="str">
        <f t="shared" si="1"/>
        <v/>
      </c>
      <c r="Q8" s="46">
        <f t="shared" si="1"/>
        <v>0.17574688224992641</v>
      </c>
      <c r="R8" s="46" t="str">
        <f t="shared" si="1"/>
        <v/>
      </c>
      <c r="S8" s="47" t="str">
        <f t="shared" si="1"/>
        <v/>
      </c>
    </row>
    <row r="9" spans="3:19" ht="15.75" thickTop="1" x14ac:dyDescent="0.25"/>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K1" workbookViewId="0">
      <selection activeCell="AC15" sqref="AC1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iterative</vt:lpstr>
      <vt:lpstr>Sheet1</vt:lpstr>
      <vt:lpstr>Sheet2</vt:lpstr>
      <vt:lpstr>Sheet3</vt:lpstr>
      <vt:lpstr>gauss cruncher</vt:lpstr>
      <vt:lpstr>run speed</vt:lpstr>
      <vt:lpstr>pitch outcomes</vt:lpstr>
      <vt:lpstr>hit quality truth table</vt:lpstr>
      <vt:lpstr>dratings</vt:lpstr>
      <vt:lpstr>home</vt:lpstr>
      <vt:lpstr>oratings</vt:lpstr>
      <vt:lpstr>pitchmod</vt:lpstr>
      <vt:lpstr>pitchstdv</vt:lpstr>
      <vt:lpstr>stratfactor</vt:lpstr>
      <vt:lpstr>throwingfactor</vt:lpstr>
      <vt:lpstr>throwingmean</vt:lpstr>
      <vt:lpstr>throwingstdv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2022-05-12T20:27:23Z</dcterms:modified>
</cp:coreProperties>
</file>