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omments1.xml" ContentType="application/vnd.openxmlformats-officedocument.spreadsheetml.comment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Users\mcgiffenk\Desktop\newpy\xtreemblaseball99\plans\"/>
    </mc:Choice>
  </mc:AlternateContent>
  <xr:revisionPtr revIDLastSave="0" documentId="13_ncr:1_{C2148204-692F-4848-B8AE-6B54289FC49A}" xr6:coauthVersionLast="47" xr6:coauthVersionMax="47" xr10:uidLastSave="{00000000-0000-0000-0000-000000000000}"/>
  <bookViews>
    <workbookView xWindow="-120" yWindow="-120" windowWidth="29040" windowHeight="15990" xr2:uid="{00000000-000D-0000-FFFF-FFFF00000000}"/>
  </bookViews>
  <sheets>
    <sheet name="iterative" sheetId="2" r:id="rId1"/>
    <sheet name="gauss cruncher" sheetId="5" r:id="rId2"/>
    <sheet name="run speed" sheetId="3" r:id="rId3"/>
    <sheet name="pitch outcomes" sheetId="1" r:id="rId4"/>
    <sheet name="hit quality truth table" sheetId="6" r:id="rId5"/>
  </sheets>
  <definedNames>
    <definedName name="basis">#REF!</definedName>
    <definedName name="bs">#REF!</definedName>
    <definedName name="counts">#REF!</definedName>
    <definedName name="dratings">iterative!$B$2:$L$2</definedName>
    <definedName name="factors">#REF!</definedName>
    <definedName name="home">Table3[[#Headers],[Rep '#]]</definedName>
    <definedName name="ms">#REF!</definedName>
    <definedName name="oratings">iterative!$B$1:$L$1</definedName>
    <definedName name="pitchmod">iterative!$AN$25</definedName>
    <definedName name="pitchstdv">iterative!$AN$27</definedName>
    <definedName name="stratfactor">iterative!$E$26</definedName>
    <definedName name="total">#REF!</definedName>
    <definedName name="values">#REF!</definedName>
    <definedName name="weightedvalues">#REF!</definedName>
    <definedName name="weights">#REF!</definedName>
    <definedName name="zeros">#REF!</definedName>
  </definedName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V27" i="2" l="1"/>
  <c r="G8" i="5" l="1"/>
  <c r="AL34" i="2"/>
  <c r="AL32" i="2"/>
  <c r="AG34" i="2"/>
  <c r="AF34" i="2"/>
  <c r="AI34" i="2"/>
  <c r="AI7" i="2" s="1"/>
  <c r="AH32" i="2"/>
  <c r="AH29" i="2"/>
  <c r="AI22" i="2" l="1"/>
  <c r="AI18" i="2"/>
  <c r="AI10" i="2"/>
  <c r="AI21" i="2"/>
  <c r="AI17" i="2"/>
  <c r="AI13" i="2"/>
  <c r="AI9" i="2"/>
  <c r="AI14" i="2"/>
  <c r="AI20" i="2"/>
  <c r="AI16" i="2"/>
  <c r="AI12" i="2"/>
  <c r="AI8" i="2"/>
  <c r="AI19" i="2"/>
  <c r="AI15" i="2"/>
  <c r="AI11" i="2"/>
  <c r="AH34" i="2"/>
  <c r="AH7" i="2" l="1"/>
  <c r="AH11" i="2"/>
  <c r="AH15" i="2"/>
  <c r="AH19" i="2"/>
  <c r="AH8" i="2"/>
  <c r="AH12" i="2"/>
  <c r="AH16" i="2"/>
  <c r="AH20" i="2"/>
  <c r="AH9" i="2"/>
  <c r="AH13" i="2"/>
  <c r="AH17" i="2"/>
  <c r="AH21" i="2"/>
  <c r="AH10" i="2"/>
  <c r="AH14" i="2"/>
  <c r="AH18" i="2"/>
  <c r="AH22" i="2"/>
  <c r="AA41" i="2" l="1"/>
  <c r="AA40" i="2" s="1"/>
  <c r="AA39" i="2"/>
  <c r="AA38" i="2"/>
  <c r="AA31" i="2"/>
  <c r="AA30" i="2"/>
  <c r="AA29" i="2"/>
  <c r="AA28" i="2"/>
  <c r="AF7" i="2" l="1"/>
  <c r="AF11" i="2"/>
  <c r="AF15" i="2"/>
  <c r="AF19" i="2"/>
  <c r="AF13" i="2"/>
  <c r="AF21" i="2"/>
  <c r="AF18" i="2"/>
  <c r="AF8" i="2"/>
  <c r="AF12" i="2"/>
  <c r="AF16" i="2"/>
  <c r="AF20" i="2"/>
  <c r="AF9" i="2"/>
  <c r="AF14" i="2"/>
  <c r="AF22" i="2"/>
  <c r="AF17" i="2"/>
  <c r="AF10" i="2"/>
  <c r="AA32" i="2"/>
  <c r="AA33" i="2" s="1"/>
  <c r="Z7" i="2" l="1"/>
  <c r="Z11" i="2"/>
  <c r="Z15" i="2"/>
  <c r="Z19" i="2"/>
  <c r="Z18" i="2"/>
  <c r="Z8" i="2"/>
  <c r="Z12" i="2"/>
  <c r="Z16" i="2"/>
  <c r="Z20" i="2"/>
  <c r="Z10" i="2"/>
  <c r="Z14" i="2"/>
  <c r="Z22" i="2"/>
  <c r="Z9" i="2"/>
  <c r="Z13" i="2"/>
  <c r="Z17" i="2"/>
  <c r="Z21" i="2"/>
  <c r="W32" i="2" l="1"/>
  <c r="W7" i="2" s="1"/>
  <c r="X7" i="2" s="1"/>
  <c r="W30" i="2"/>
  <c r="W14" i="2" l="1"/>
  <c r="X14" i="2" s="1"/>
  <c r="W10" i="2"/>
  <c r="X10" i="2" s="1"/>
  <c r="W21" i="2"/>
  <c r="X21" i="2" s="1"/>
  <c r="W17" i="2"/>
  <c r="X17" i="2" s="1"/>
  <c r="W13" i="2"/>
  <c r="X13" i="2" s="1"/>
  <c r="W9" i="2"/>
  <c r="X9" i="2" s="1"/>
  <c r="W22" i="2"/>
  <c r="X22" i="2" s="1"/>
  <c r="W18" i="2"/>
  <c r="X18" i="2" s="1"/>
  <c r="W20" i="2"/>
  <c r="X20" i="2" s="1"/>
  <c r="W16" i="2"/>
  <c r="X16" i="2" s="1"/>
  <c r="W12" i="2"/>
  <c r="X12" i="2" s="1"/>
  <c r="W8" i="2"/>
  <c r="X8" i="2" s="1"/>
  <c r="W19" i="2"/>
  <c r="X19" i="2" s="1"/>
  <c r="W15" i="2"/>
  <c r="X15" i="2" s="1"/>
  <c r="W11" i="2"/>
  <c r="X11" i="2" s="1"/>
  <c r="L8" i="5" l="1"/>
  <c r="N8" i="5"/>
  <c r="P8" i="5"/>
  <c r="R8" i="5"/>
  <c r="S6" i="5"/>
  <c r="S8" i="5" s="1"/>
  <c r="R6" i="5"/>
  <c r="Q6" i="5"/>
  <c r="Q8" i="5" s="1"/>
  <c r="P6" i="5"/>
  <c r="O6" i="5"/>
  <c r="O8" i="5" s="1"/>
  <c r="N6" i="5"/>
  <c r="M6" i="5"/>
  <c r="M8" i="5" s="1"/>
  <c r="L6" i="5"/>
  <c r="E5" i="5"/>
  <c r="H16" i="3"/>
  <c r="I16" i="3"/>
  <c r="J16" i="3"/>
  <c r="K16" i="3"/>
  <c r="L16" i="3"/>
  <c r="M16" i="3"/>
  <c r="N16" i="3"/>
  <c r="O16" i="3"/>
  <c r="P16" i="3"/>
  <c r="Q16" i="3"/>
  <c r="R16" i="3"/>
  <c r="S16" i="3"/>
  <c r="T16" i="3"/>
  <c r="U16" i="3"/>
  <c r="V16" i="3"/>
  <c r="W16" i="3"/>
  <c r="X16" i="3"/>
  <c r="Y16" i="3"/>
  <c r="G16" i="3"/>
  <c r="AA6" i="3"/>
  <c r="AB6" i="3" s="1"/>
  <c r="AA10" i="3"/>
  <c r="AB10" i="3" s="1"/>
  <c r="AA14" i="3"/>
  <c r="AB14" i="3" s="1"/>
  <c r="Z4" i="3"/>
  <c r="Z5" i="3"/>
  <c r="Z18" i="3" s="1"/>
  <c r="Z6" i="3"/>
  <c r="Z7" i="3"/>
  <c r="Z8" i="3"/>
  <c r="Z9" i="3"/>
  <c r="Z10" i="3"/>
  <c r="Z11" i="3"/>
  <c r="Z12" i="3"/>
  <c r="Z13" i="3"/>
  <c r="Z14" i="3"/>
  <c r="Z15" i="3"/>
  <c r="Z3" i="3"/>
  <c r="Z16" i="3" s="1"/>
  <c r="H2" i="3"/>
  <c r="I2" i="3"/>
  <c r="J2" i="3"/>
  <c r="K2" i="3"/>
  <c r="AA4" i="3" s="1"/>
  <c r="AB4" i="3" s="1"/>
  <c r="L2" i="3"/>
  <c r="M2" i="3"/>
  <c r="N2" i="3"/>
  <c r="O2" i="3"/>
  <c r="P2" i="3"/>
  <c r="Q2" i="3"/>
  <c r="R2" i="3"/>
  <c r="S2" i="3"/>
  <c r="T2" i="3"/>
  <c r="U2" i="3"/>
  <c r="V2" i="3"/>
  <c r="W2" i="3"/>
  <c r="X2" i="3"/>
  <c r="Y2" i="3"/>
  <c r="AA7" i="3" s="1"/>
  <c r="AB7" i="3" s="1"/>
  <c r="G2" i="3"/>
  <c r="AA13" i="3" l="1"/>
  <c r="AB13" i="3" s="1"/>
  <c r="AA9" i="3"/>
  <c r="AB9" i="3" s="1"/>
  <c r="AA5" i="3"/>
  <c r="AB5" i="3" s="1"/>
  <c r="Z17" i="3"/>
  <c r="AA3" i="3"/>
  <c r="AA12" i="3"/>
  <c r="AB12" i="3" s="1"/>
  <c r="AA8" i="3"/>
  <c r="AB8" i="3" s="1"/>
  <c r="AA15" i="3"/>
  <c r="AB15" i="3" s="1"/>
  <c r="AA11" i="3"/>
  <c r="AB11" i="3" s="1"/>
  <c r="E8" i="5"/>
  <c r="AA18" i="3" l="1"/>
  <c r="AB3" i="3"/>
  <c r="AB16" i="3" s="1"/>
  <c r="AA17" i="3"/>
  <c r="AA16" i="3"/>
  <c r="A8" i="2"/>
  <c r="C8" i="2" s="1"/>
  <c r="A9" i="2"/>
  <c r="C9" i="2" s="1"/>
  <c r="A10" i="2"/>
  <c r="C10" i="2" s="1"/>
  <c r="A11" i="2"/>
  <c r="C11" i="2" s="1"/>
  <c r="A12" i="2"/>
  <c r="C12" i="2" s="1"/>
  <c r="A13" i="2"/>
  <c r="C13" i="2" s="1"/>
  <c r="A14" i="2"/>
  <c r="B14" i="2" s="1"/>
  <c r="AJ14" i="2" s="1"/>
  <c r="A15" i="2"/>
  <c r="C15" i="2" s="1"/>
  <c r="A16" i="2"/>
  <c r="C16" i="2" s="1"/>
  <c r="A17" i="2"/>
  <c r="C17" i="2" s="1"/>
  <c r="A18" i="2"/>
  <c r="C18" i="2" s="1"/>
  <c r="A19" i="2"/>
  <c r="C19" i="2" s="1"/>
  <c r="A20" i="2"/>
  <c r="C20" i="2" s="1"/>
  <c r="A21" i="2"/>
  <c r="C21" i="2" s="1"/>
  <c r="A22" i="2"/>
  <c r="B22" i="2" s="1"/>
  <c r="AJ22" i="2" s="1"/>
  <c r="A7" i="2"/>
  <c r="C7" i="2" s="1"/>
  <c r="B3" i="2"/>
  <c r="AS7" i="2" l="1"/>
  <c r="E7" i="2"/>
  <c r="AS18" i="2"/>
  <c r="AS10" i="2"/>
  <c r="AS15" i="2"/>
  <c r="AS21" i="2"/>
  <c r="AS17" i="2"/>
  <c r="AS13" i="2"/>
  <c r="AS9" i="2"/>
  <c r="AS19" i="2"/>
  <c r="AS11" i="2"/>
  <c r="AS20" i="2"/>
  <c r="AS16" i="2"/>
  <c r="AS12" i="2"/>
  <c r="AS8" i="2"/>
  <c r="Y22" i="2"/>
  <c r="AA22" i="2" s="1"/>
  <c r="AB22" i="2" s="1"/>
  <c r="AG22" i="2"/>
  <c r="Y14" i="2"/>
  <c r="AA14" i="2" s="1"/>
  <c r="AE14" i="2" s="1"/>
  <c r="AG14" i="2"/>
  <c r="P16" i="2"/>
  <c r="R16" i="2" s="1"/>
  <c r="P7" i="2"/>
  <c r="R7" i="2" s="1"/>
  <c r="P19" i="2"/>
  <c r="R19" i="2" s="1"/>
  <c r="P15" i="2"/>
  <c r="R15" i="2" s="1"/>
  <c r="P11" i="2"/>
  <c r="R11" i="2" s="1"/>
  <c r="P21" i="2"/>
  <c r="R21" i="2" s="1"/>
  <c r="L22" i="2"/>
  <c r="M22" i="2" s="1"/>
  <c r="P18" i="2"/>
  <c r="R18" i="2" s="1"/>
  <c r="L14" i="2"/>
  <c r="M14" i="2" s="1"/>
  <c r="P10" i="2"/>
  <c r="R10" i="2" s="1"/>
  <c r="P17" i="2"/>
  <c r="R17" i="2" s="1"/>
  <c r="P13" i="2"/>
  <c r="R13" i="2" s="1"/>
  <c r="P9" i="2"/>
  <c r="R9" i="2" s="1"/>
  <c r="P20" i="2"/>
  <c r="R20" i="2" s="1"/>
  <c r="P12" i="2"/>
  <c r="R12" i="2" s="1"/>
  <c r="P8" i="2"/>
  <c r="R8" i="2" s="1"/>
  <c r="H20" i="2"/>
  <c r="I20" i="2" s="1"/>
  <c r="H16" i="2"/>
  <c r="I16" i="2" s="1"/>
  <c r="H12" i="2"/>
  <c r="I12" i="2" s="1"/>
  <c r="H8" i="2"/>
  <c r="I8" i="2" s="1"/>
  <c r="H7" i="2"/>
  <c r="I7" i="2" s="1"/>
  <c r="H19" i="2"/>
  <c r="I19" i="2" s="1"/>
  <c r="H15" i="2"/>
  <c r="I15" i="2" s="1"/>
  <c r="H11" i="2"/>
  <c r="I11" i="2" s="1"/>
  <c r="D22" i="2"/>
  <c r="K22" i="2"/>
  <c r="H18" i="2"/>
  <c r="I18" i="2" s="1"/>
  <c r="D14" i="2"/>
  <c r="K14" i="2"/>
  <c r="H10" i="2"/>
  <c r="I10" i="2" s="1"/>
  <c r="H21" i="2"/>
  <c r="I21" i="2" s="1"/>
  <c r="H17" i="2"/>
  <c r="I17" i="2" s="1"/>
  <c r="H13" i="2"/>
  <c r="I13" i="2" s="1"/>
  <c r="H9" i="2"/>
  <c r="I9" i="2" s="1"/>
  <c r="G20" i="2"/>
  <c r="G16" i="2"/>
  <c r="G12" i="2"/>
  <c r="G8" i="2"/>
  <c r="G7" i="2"/>
  <c r="G19" i="2"/>
  <c r="G15" i="2"/>
  <c r="G11" i="2"/>
  <c r="G18" i="2"/>
  <c r="G10" i="2"/>
  <c r="G21" i="2"/>
  <c r="G17" i="2"/>
  <c r="G13" i="2"/>
  <c r="G9" i="2"/>
  <c r="B18" i="2"/>
  <c r="AJ18" i="2" s="1"/>
  <c r="B10" i="2"/>
  <c r="AJ10" i="2" s="1"/>
  <c r="B21" i="2"/>
  <c r="AJ21" i="2" s="1"/>
  <c r="B17" i="2"/>
  <c r="AJ17" i="2" s="1"/>
  <c r="B13" i="2"/>
  <c r="AJ13" i="2" s="1"/>
  <c r="B9" i="2"/>
  <c r="AJ9" i="2" s="1"/>
  <c r="C22" i="2"/>
  <c r="C14" i="2"/>
  <c r="B20" i="2"/>
  <c r="AJ20" i="2" s="1"/>
  <c r="B16" i="2"/>
  <c r="AJ16" i="2" s="1"/>
  <c r="B12" i="2"/>
  <c r="AJ12" i="2" s="1"/>
  <c r="B8" i="2"/>
  <c r="AJ8" i="2" s="1"/>
  <c r="B19" i="2"/>
  <c r="AJ19" i="2" s="1"/>
  <c r="B15" i="2"/>
  <c r="AJ15" i="2" s="1"/>
  <c r="B11" i="2"/>
  <c r="AJ11" i="2" s="1"/>
  <c r="B7" i="2"/>
  <c r="AJ7" i="2" s="1"/>
  <c r="C17" i="1"/>
  <c r="D17" i="1"/>
  <c r="E17" i="1"/>
  <c r="F17" i="1"/>
  <c r="B17" i="1"/>
  <c r="AE22" i="2" l="1"/>
  <c r="AC22" i="2"/>
  <c r="AK14" i="2" a="1"/>
  <c r="AK14" i="2" s="1"/>
  <c r="AM14" i="2" s="1"/>
  <c r="E8" i="2"/>
  <c r="E16" i="2"/>
  <c r="E11" i="2"/>
  <c r="E9" i="2"/>
  <c r="E17" i="2"/>
  <c r="E15" i="2"/>
  <c r="E18" i="2"/>
  <c r="AS14" i="2"/>
  <c r="E14" i="2"/>
  <c r="AS22" i="2"/>
  <c r="E22" i="2"/>
  <c r="AK22" i="2" a="1"/>
  <c r="AK22" i="2" s="1"/>
  <c r="AM22" i="2" s="1"/>
  <c r="E12" i="2"/>
  <c r="E20" i="2"/>
  <c r="E19" i="2"/>
  <c r="E13" i="2"/>
  <c r="E21" i="2"/>
  <c r="E10" i="2"/>
  <c r="AD22" i="2"/>
  <c r="Y15" i="2"/>
  <c r="AA15" i="2" s="1"/>
  <c r="AE15" i="2" s="1"/>
  <c r="AG15" i="2"/>
  <c r="AK15" i="2" s="1" a="1"/>
  <c r="AK15" i="2" s="1"/>
  <c r="Y10" i="2"/>
  <c r="AA10" i="2" s="1"/>
  <c r="AE10" i="2" s="1"/>
  <c r="AG10" i="2"/>
  <c r="AK10" i="2" s="1" a="1"/>
  <c r="AK10" i="2" s="1"/>
  <c r="Y19" i="2"/>
  <c r="AA19" i="2" s="1"/>
  <c r="AE19" i="2" s="1"/>
  <c r="AG19" i="2"/>
  <c r="AK19" i="2" s="1" a="1"/>
  <c r="AK19" i="2" s="1"/>
  <c r="Y13" i="2"/>
  <c r="AA13" i="2" s="1"/>
  <c r="AB13" i="2" s="1"/>
  <c r="AG13" i="2"/>
  <c r="AK13" i="2" s="1" a="1"/>
  <c r="AK13" i="2" s="1"/>
  <c r="Y7" i="2"/>
  <c r="AA7" i="2" s="1"/>
  <c r="AE7" i="2" s="1"/>
  <c r="AG7" i="2"/>
  <c r="AK7" i="2" s="1" a="1"/>
  <c r="AK7" i="2" s="1"/>
  <c r="Y8" i="2"/>
  <c r="AA8" i="2" s="1"/>
  <c r="AC8" i="2" s="1"/>
  <c r="AG8" i="2"/>
  <c r="AK8" i="2" s="1" a="1"/>
  <c r="AK8" i="2" s="1"/>
  <c r="Y17" i="2"/>
  <c r="AA17" i="2" s="1"/>
  <c r="AE17" i="2" s="1"/>
  <c r="AG17" i="2"/>
  <c r="AK17" i="2" s="1" a="1"/>
  <c r="AK17" i="2" s="1"/>
  <c r="AB14" i="2"/>
  <c r="Y16" i="2"/>
  <c r="AA16" i="2" s="1"/>
  <c r="AE16" i="2" s="1"/>
  <c r="AG16" i="2"/>
  <c r="AK16" i="2" s="1" a="1"/>
  <c r="AK16" i="2" s="1"/>
  <c r="Y9" i="2"/>
  <c r="AA9" i="2" s="1"/>
  <c r="AE9" i="2" s="1"/>
  <c r="AG9" i="2"/>
  <c r="AK9" i="2" s="1" a="1"/>
  <c r="AK9" i="2" s="1"/>
  <c r="Y20" i="2"/>
  <c r="AA20" i="2" s="1"/>
  <c r="AC20" i="2" s="1"/>
  <c r="AG20" i="2"/>
  <c r="AK20" i="2" s="1" a="1"/>
  <c r="AK20" i="2" s="1"/>
  <c r="Y18" i="2"/>
  <c r="AA18" i="2" s="1"/>
  <c r="AE18" i="2" s="1"/>
  <c r="AG18" i="2"/>
  <c r="AK18" i="2" s="1" a="1"/>
  <c r="AK18" i="2" s="1"/>
  <c r="AC14" i="2"/>
  <c r="Y11" i="2"/>
  <c r="AA11" i="2" s="1"/>
  <c r="AC11" i="2" s="1"/>
  <c r="AG11" i="2"/>
  <c r="AK11" i="2" s="1" a="1"/>
  <c r="AK11" i="2" s="1"/>
  <c r="Y12" i="2"/>
  <c r="AA12" i="2" s="1"/>
  <c r="AC12" i="2" s="1"/>
  <c r="AG12" i="2"/>
  <c r="AK12" i="2" s="1" a="1"/>
  <c r="AK12" i="2" s="1"/>
  <c r="Y21" i="2"/>
  <c r="AA21" i="2" s="1"/>
  <c r="AC21" i="2" s="1"/>
  <c r="AG21" i="2"/>
  <c r="AK21" i="2" s="1" a="1"/>
  <c r="AK21" i="2" s="1"/>
  <c r="AB19" i="2"/>
  <c r="AC17" i="2"/>
  <c r="J12" i="2"/>
  <c r="T12" i="2" s="1"/>
  <c r="J7" i="2"/>
  <c r="T7" i="2" s="1"/>
  <c r="J20" i="2"/>
  <c r="T20" i="2" s="1"/>
  <c r="J15" i="2"/>
  <c r="T15" i="2" s="1"/>
  <c r="J17" i="2"/>
  <c r="T17" i="2" s="1"/>
  <c r="V12" i="2"/>
  <c r="V21" i="2"/>
  <c r="V20" i="2"/>
  <c r="V7" i="2"/>
  <c r="V17" i="2"/>
  <c r="L11" i="2"/>
  <c r="M11" i="2" s="1"/>
  <c r="L15" i="2"/>
  <c r="M15" i="2" s="1"/>
  <c r="L16" i="2"/>
  <c r="M16" i="2" s="1"/>
  <c r="L9" i="2"/>
  <c r="M9" i="2" s="1"/>
  <c r="L10" i="2"/>
  <c r="M10" i="2" s="1"/>
  <c r="V10" i="2"/>
  <c r="L19" i="2"/>
  <c r="M19" i="2" s="1"/>
  <c r="L20" i="2"/>
  <c r="M20" i="2" s="1"/>
  <c r="L13" i="2"/>
  <c r="M13" i="2" s="1"/>
  <c r="L18" i="2"/>
  <c r="M18" i="2" s="1"/>
  <c r="V19" i="2"/>
  <c r="L7" i="2"/>
  <c r="M7" i="2" s="1"/>
  <c r="L8" i="2"/>
  <c r="M8" i="2" s="1"/>
  <c r="V14" i="2"/>
  <c r="P14" i="2"/>
  <c r="R14" i="2" s="1"/>
  <c r="L17" i="2"/>
  <c r="M17" i="2" s="1"/>
  <c r="V8" i="2"/>
  <c r="V13" i="2"/>
  <c r="V18" i="2"/>
  <c r="V15" i="2"/>
  <c r="L12" i="2"/>
  <c r="M12" i="2" s="1"/>
  <c r="V22" i="2"/>
  <c r="P22" i="2"/>
  <c r="R22" i="2" s="1"/>
  <c r="L21" i="2"/>
  <c r="M21" i="2" s="1"/>
  <c r="V9" i="2"/>
  <c r="V11" i="2"/>
  <c r="V16" i="2"/>
  <c r="J9" i="2"/>
  <c r="T9" i="2" s="1"/>
  <c r="J10" i="2"/>
  <c r="T10" i="2" s="1"/>
  <c r="J13" i="2"/>
  <c r="T13" i="2" s="1"/>
  <c r="J18" i="2"/>
  <c r="T18" i="2" s="1"/>
  <c r="H22" i="2"/>
  <c r="I22" i="2" s="1"/>
  <c r="F22" i="2"/>
  <c r="N22" i="2" s="1"/>
  <c r="D16" i="2"/>
  <c r="K16" i="2"/>
  <c r="D7" i="2"/>
  <c r="K7" i="2"/>
  <c r="D8" i="2"/>
  <c r="K8" i="2"/>
  <c r="H14" i="2"/>
  <c r="I14" i="2" s="1"/>
  <c r="F14" i="2"/>
  <c r="N14" i="2" s="1"/>
  <c r="K17" i="2"/>
  <c r="D17" i="2"/>
  <c r="J19" i="2"/>
  <c r="T19" i="2" s="1"/>
  <c r="J16" i="2"/>
  <c r="T16" i="2" s="1"/>
  <c r="D11" i="2"/>
  <c r="K11" i="2"/>
  <c r="K21" i="2"/>
  <c r="D21" i="2"/>
  <c r="D15" i="2"/>
  <c r="K15" i="2"/>
  <c r="D10" i="2"/>
  <c r="K10" i="2"/>
  <c r="J11" i="2"/>
  <c r="T11" i="2" s="1"/>
  <c r="J8" i="2"/>
  <c r="T8" i="2" s="1"/>
  <c r="D12" i="2"/>
  <c r="K12" i="2"/>
  <c r="K9" i="2"/>
  <c r="D9" i="2"/>
  <c r="D19" i="2"/>
  <c r="K19" i="2"/>
  <c r="D20" i="2"/>
  <c r="K20" i="2"/>
  <c r="K13" i="2"/>
  <c r="D13" i="2"/>
  <c r="D18" i="2"/>
  <c r="K18" i="2"/>
  <c r="J21" i="2"/>
  <c r="T21" i="2" s="1"/>
  <c r="G14" i="2"/>
  <c r="G22" i="2"/>
  <c r="AC19" i="2" l="1"/>
  <c r="AB15" i="2"/>
  <c r="AB7" i="2"/>
  <c r="AB21" i="2"/>
  <c r="AD21" i="2" s="1"/>
  <c r="AB17" i="2"/>
  <c r="AE21" i="2"/>
  <c r="AE11" i="2"/>
  <c r="AL22" i="2"/>
  <c r="AL14" i="2"/>
  <c r="AC16" i="2"/>
  <c r="AB20" i="2"/>
  <c r="AD20" i="2" s="1"/>
  <c r="AM18" i="2"/>
  <c r="AL18" i="2"/>
  <c r="AM11" i="2"/>
  <c r="AL11" i="2"/>
  <c r="AM7" i="2"/>
  <c r="AL7" i="2"/>
  <c r="AM15" i="2"/>
  <c r="AL15" i="2"/>
  <c r="AP14" i="2"/>
  <c r="AN14" i="2"/>
  <c r="AV14" i="2" s="1"/>
  <c r="AO14" i="2"/>
  <c r="AM20" i="2"/>
  <c r="AL20" i="2"/>
  <c r="AM16" i="2"/>
  <c r="AL16" i="2"/>
  <c r="AM9" i="2"/>
  <c r="AL9" i="2"/>
  <c r="AM21" i="2"/>
  <c r="AL21" i="2"/>
  <c r="AM17" i="2"/>
  <c r="AL17" i="2"/>
  <c r="AM19" i="2"/>
  <c r="AL19" i="2"/>
  <c r="AM12" i="2"/>
  <c r="AL12" i="2"/>
  <c r="AM8" i="2"/>
  <c r="AL8" i="2"/>
  <c r="AM13" i="2"/>
  <c r="AL13" i="2"/>
  <c r="AM10" i="2"/>
  <c r="AL10" i="2"/>
  <c r="AP22" i="2"/>
  <c r="AN22" i="2"/>
  <c r="AV22" i="2" s="1"/>
  <c r="AO22" i="2"/>
  <c r="AC15" i="2"/>
  <c r="AB11" i="2"/>
  <c r="AD11" i="2" s="1"/>
  <c r="AC7" i="2"/>
  <c r="AC9" i="2"/>
  <c r="AE13" i="2"/>
  <c r="AB9" i="2"/>
  <c r="AB8" i="2"/>
  <c r="AD8" i="2" s="1"/>
  <c r="AB12" i="2"/>
  <c r="AD12" i="2" s="1"/>
  <c r="AC18" i="2"/>
  <c r="AE8" i="2"/>
  <c r="AE12" i="2"/>
  <c r="AC13" i="2"/>
  <c r="AD13" i="2" s="1"/>
  <c r="AB10" i="2"/>
  <c r="AB18" i="2"/>
  <c r="AC10" i="2"/>
  <c r="AB16" i="2"/>
  <c r="AD16" i="2" s="1"/>
  <c r="AE20" i="2"/>
  <c r="AD14" i="2"/>
  <c r="AD17" i="2"/>
  <c r="AD19" i="2"/>
  <c r="AD15" i="2"/>
  <c r="AD7" i="2"/>
  <c r="F20" i="2"/>
  <c r="N20" i="2" s="1"/>
  <c r="F13" i="2"/>
  <c r="S13" i="2" s="1"/>
  <c r="U13" i="2" s="1"/>
  <c r="F9" i="2"/>
  <c r="S9" i="2" s="1"/>
  <c r="U9" i="2" s="1"/>
  <c r="J22" i="2"/>
  <c r="T22" i="2" s="1"/>
  <c r="F12" i="2"/>
  <c r="N12" i="2" s="1"/>
  <c r="O12" i="2" s="1"/>
  <c r="Q12" i="2" s="1"/>
  <c r="F19" i="2"/>
  <c r="S19" i="2" s="1"/>
  <c r="U19" i="2" s="1"/>
  <c r="F7" i="2"/>
  <c r="S7" i="2" s="1"/>
  <c r="U7" i="2" s="1"/>
  <c r="F21" i="2"/>
  <c r="N21" i="2" s="1"/>
  <c r="O21" i="2" s="1"/>
  <c r="Q21" i="2" s="1"/>
  <c r="F11" i="2"/>
  <c r="S11" i="2" s="1"/>
  <c r="U11" i="2" s="1"/>
  <c r="S14" i="2"/>
  <c r="S22" i="2"/>
  <c r="F10" i="2"/>
  <c r="N10" i="2" s="1"/>
  <c r="J14" i="2"/>
  <c r="T14" i="2" s="1"/>
  <c r="F8" i="2"/>
  <c r="N8" i="2" s="1"/>
  <c r="F18" i="2"/>
  <c r="N18" i="2" s="1"/>
  <c r="F15" i="2"/>
  <c r="N15" i="2" s="1"/>
  <c r="F17" i="2"/>
  <c r="N17" i="2" s="1"/>
  <c r="F16" i="2"/>
  <c r="N16" i="2" s="1"/>
  <c r="AQ22" i="2" l="1"/>
  <c r="AQ14" i="2"/>
  <c r="AR14" i="2"/>
  <c r="AR22" i="2"/>
  <c r="AT22" i="2" s="1"/>
  <c r="AW22" i="2" s="1"/>
  <c r="AP13" i="2"/>
  <c r="AN13" i="2"/>
  <c r="AV13" i="2" s="1"/>
  <c r="AO13" i="2"/>
  <c r="AP17" i="2"/>
  <c r="AN17" i="2"/>
  <c r="AV17" i="2" s="1"/>
  <c r="AO17" i="2"/>
  <c r="AP15" i="2"/>
  <c r="AN15" i="2"/>
  <c r="AV15" i="2" s="1"/>
  <c r="AO15" i="2"/>
  <c r="AP11" i="2"/>
  <c r="AN11" i="2"/>
  <c r="AV11" i="2" s="1"/>
  <c r="AO11" i="2"/>
  <c r="AP12" i="2"/>
  <c r="AN12" i="2"/>
  <c r="AV12" i="2" s="1"/>
  <c r="AO12" i="2"/>
  <c r="AP20" i="2"/>
  <c r="AN20" i="2"/>
  <c r="AV20" i="2" s="1"/>
  <c r="AO20" i="2"/>
  <c r="AP10" i="2"/>
  <c r="AN10" i="2"/>
  <c r="AV10" i="2" s="1"/>
  <c r="AO10" i="2"/>
  <c r="AP8" i="2"/>
  <c r="AN8" i="2"/>
  <c r="AV8" i="2" s="1"/>
  <c r="AO8" i="2"/>
  <c r="AP19" i="2"/>
  <c r="AN19" i="2"/>
  <c r="AV19" i="2" s="1"/>
  <c r="AO19" i="2"/>
  <c r="AP21" i="2"/>
  <c r="AN21" i="2"/>
  <c r="AV21" i="2" s="1"/>
  <c r="AO21" i="2"/>
  <c r="AP16" i="2"/>
  <c r="AN16" i="2"/>
  <c r="AV16" i="2" s="1"/>
  <c r="AO16" i="2"/>
  <c r="AP9" i="2"/>
  <c r="AN9" i="2"/>
  <c r="AV9" i="2" s="1"/>
  <c r="AO9" i="2"/>
  <c r="AP7" i="2"/>
  <c r="AN7" i="2"/>
  <c r="AV7" i="2" s="1"/>
  <c r="AO7" i="2"/>
  <c r="AP18" i="2"/>
  <c r="AO18" i="2"/>
  <c r="AN18" i="2"/>
  <c r="AV18" i="2" s="1"/>
  <c r="AD9" i="2"/>
  <c r="S20" i="2"/>
  <c r="U20" i="2" s="1"/>
  <c r="AD18" i="2"/>
  <c r="N9" i="2"/>
  <c r="O9" i="2" s="1"/>
  <c r="Q9" i="2" s="1"/>
  <c r="AD10" i="2"/>
  <c r="N13" i="2"/>
  <c r="O13" i="2" s="1"/>
  <c r="Q13" i="2" s="1"/>
  <c r="S21" i="2"/>
  <c r="U21" i="2" s="1"/>
  <c r="U14" i="2"/>
  <c r="U22" i="2"/>
  <c r="N7" i="2"/>
  <c r="O7" i="2" s="1"/>
  <c r="Q7" i="2" s="1"/>
  <c r="N19" i="2"/>
  <c r="N11" i="2"/>
  <c r="O11" i="2" s="1"/>
  <c r="Q11" i="2" s="1"/>
  <c r="S12" i="2"/>
  <c r="U12" i="2" s="1"/>
  <c r="O22" i="2"/>
  <c r="Q22" i="2" s="1"/>
  <c r="O14" i="2"/>
  <c r="Q14" i="2" s="1"/>
  <c r="S8" i="2"/>
  <c r="U8" i="2" s="1"/>
  <c r="S10" i="2"/>
  <c r="U10" i="2" s="1"/>
  <c r="S15" i="2"/>
  <c r="U15" i="2" s="1"/>
  <c r="S17" i="2"/>
  <c r="U17" i="2" s="1"/>
  <c r="S16" i="2"/>
  <c r="U16" i="2" s="1"/>
  <c r="S18" i="2"/>
  <c r="U18" i="2" s="1"/>
  <c r="O10" i="2"/>
  <c r="Q10" i="2" s="1"/>
  <c r="O19" i="2"/>
  <c r="Q19" i="2" s="1"/>
  <c r="O16" i="2"/>
  <c r="Q16" i="2" s="1"/>
  <c r="O20" i="2"/>
  <c r="Q20" i="2" s="1"/>
  <c r="O18" i="2"/>
  <c r="Q18" i="2" s="1"/>
  <c r="O17" i="2"/>
  <c r="Q17" i="2" s="1"/>
  <c r="O15" i="2"/>
  <c r="Q15" i="2" s="1"/>
  <c r="O8" i="2"/>
  <c r="Q8" i="2" s="1"/>
  <c r="AQ18" i="2" l="1"/>
  <c r="AQ19" i="2"/>
  <c r="AQ21" i="2"/>
  <c r="AQ20" i="2"/>
  <c r="AQ17" i="2"/>
  <c r="AQ7" i="2"/>
  <c r="AQ12" i="2"/>
  <c r="AQ13" i="2"/>
  <c r="AQ16" i="2"/>
  <c r="AQ10" i="2"/>
  <c r="AQ15" i="2"/>
  <c r="AQ9" i="2"/>
  <c r="AQ8" i="2"/>
  <c r="AQ11" i="2"/>
  <c r="AT14" i="2"/>
  <c r="AW14" i="2" s="1"/>
  <c r="AU14" i="2"/>
  <c r="AX14" i="2" s="1"/>
  <c r="AU22" i="2"/>
  <c r="AX22" i="2" s="1"/>
  <c r="AR16" i="2"/>
  <c r="AT16" i="2" s="1"/>
  <c r="AW16" i="2" s="1"/>
  <c r="AR15" i="2"/>
  <c r="AT15" i="2" s="1"/>
  <c r="AW15" i="2" s="1"/>
  <c r="AR9" i="2"/>
  <c r="AT9" i="2" s="1"/>
  <c r="AW9" i="2" s="1"/>
  <c r="AR8" i="2"/>
  <c r="AT8" i="2" s="1"/>
  <c r="AW8" i="2" s="1"/>
  <c r="AR11" i="2"/>
  <c r="AT11" i="2" s="1"/>
  <c r="AW11" i="2" s="1"/>
  <c r="AR10" i="2"/>
  <c r="AR7" i="2"/>
  <c r="AT7" i="2" s="1"/>
  <c r="AW7" i="2" s="1"/>
  <c r="AR19" i="2"/>
  <c r="AU19" i="2" s="1"/>
  <c r="AX19" i="2" s="1"/>
  <c r="AR12" i="2"/>
  <c r="AT12" i="2" s="1"/>
  <c r="AW12" i="2" s="1"/>
  <c r="AR13" i="2"/>
  <c r="AR18" i="2"/>
  <c r="AT18" i="2" s="1"/>
  <c r="AW18" i="2" s="1"/>
  <c r="AR21" i="2"/>
  <c r="AU21" i="2" s="1"/>
  <c r="AX21" i="2" s="1"/>
  <c r="AR20" i="2"/>
  <c r="AR17" i="2"/>
  <c r="AT17" i="2" s="1"/>
  <c r="AW17" i="2" s="1"/>
  <c r="AT20" i="2" l="1"/>
  <c r="AW20" i="2" s="1"/>
  <c r="AT13" i="2"/>
  <c r="AW13" i="2" s="1"/>
  <c r="AT10" i="2"/>
  <c r="AW10" i="2" s="1"/>
  <c r="AU7" i="2"/>
  <c r="AX7" i="2" s="1"/>
  <c r="AU13" i="2"/>
  <c r="AX13" i="2" s="1"/>
  <c r="AU11" i="2"/>
  <c r="AX11" i="2" s="1"/>
  <c r="AT21" i="2"/>
  <c r="AW21" i="2" s="1"/>
  <c r="AU17" i="2"/>
  <c r="AX17" i="2" s="1"/>
  <c r="AU15" i="2"/>
  <c r="AX15" i="2" s="1"/>
  <c r="AU12" i="2"/>
  <c r="AX12" i="2" s="1"/>
  <c r="AU8" i="2"/>
  <c r="AX8" i="2" s="1"/>
  <c r="AT19" i="2"/>
  <c r="AU20" i="2"/>
  <c r="AX20" i="2" s="1"/>
  <c r="AU16" i="2"/>
  <c r="AX16" i="2" s="1"/>
  <c r="AU9" i="2"/>
  <c r="AX9" i="2" s="1"/>
  <c r="AU18" i="2"/>
  <c r="AX18" i="2" s="1"/>
  <c r="AU10" i="2"/>
  <c r="AX10" i="2" s="1"/>
  <c r="AW19" i="2"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Kayla McGiffen</author>
  </authors>
  <commentList>
    <comment ref="AF5" authorId="0" shapeId="0" xr:uid="{5526C213-69A1-4BFD-9AF8-C4E63A295006}">
      <text>
        <r>
          <rPr>
            <sz val="9"/>
            <color indexed="81"/>
            <rFont val="Tahoma"/>
            <family val="2"/>
          </rPr>
          <t>this is a lot of the same issues as hit targeting?</t>
        </r>
      </text>
    </comment>
    <comment ref="D6" authorId="0" shapeId="0" xr:uid="{00000000-0006-0000-0000-000001000000}">
      <text>
        <r>
          <rPr>
            <sz val="9"/>
            <color indexed="81"/>
            <rFont val="Tahoma"/>
            <family val="2"/>
          </rPr>
          <t>MLB average is about 10 feet for a 90 foot basepath, or a little above 0.1</t>
        </r>
      </text>
    </comment>
    <comment ref="G6" authorId="0" shapeId="0" xr:uid="{00000000-0006-0000-0000-000002000000}">
      <text>
        <r>
          <rPr>
            <sz val="9"/>
            <color indexed="81"/>
            <rFont val="Tahoma"/>
            <family val="2"/>
          </rPr>
          <t>0.9 - 1 second approx</t>
        </r>
      </text>
    </comment>
    <comment ref="H6" authorId="0" shapeId="0" xr:uid="{00000000-0006-0000-0000-000003000000}">
      <text>
        <r>
          <rPr>
            <sz val="9"/>
            <color indexed="81"/>
            <rFont val="Tahoma"/>
            <family val="2"/>
          </rPr>
          <t>(0.01 - 0.005 s/ft)</t>
        </r>
      </text>
    </comment>
    <comment ref="J6" authorId="0" shapeId="0" xr:uid="{00000000-0006-0000-0000-000004000000}">
      <text>
        <r>
          <rPr>
            <sz val="9"/>
            <color indexed="81"/>
            <rFont val="Tahoma"/>
            <family val="2"/>
          </rPr>
          <t>pickoff time is 1.3 - 1.5 seconds</t>
        </r>
      </text>
    </comment>
    <comment ref="K6" authorId="0" shapeId="0" xr:uid="{00000000-0006-0000-0000-000005000000}">
      <text>
        <r>
          <rPr>
            <sz val="9"/>
            <color indexed="81"/>
            <rFont val="Tahoma"/>
            <family val="2"/>
          </rPr>
          <t>0.8 - 1</t>
        </r>
      </text>
    </comment>
    <comment ref="L6" authorId="0" shapeId="0" xr:uid="{00000000-0006-0000-0000-000006000000}">
      <text>
        <r>
          <rPr>
            <sz val="9"/>
            <color indexed="81"/>
            <rFont val="Tahoma"/>
            <family val="2"/>
          </rPr>
          <t>0.035 - 0.050</t>
        </r>
      </text>
    </comment>
    <comment ref="P6" authorId="0" shapeId="0" xr:uid="{00000000-0006-0000-0000-000007000000}">
      <text>
        <r>
          <rPr>
            <sz val="9"/>
            <color indexed="81"/>
            <rFont val="Tahoma"/>
            <family val="2"/>
          </rPr>
          <t>MLB FP is 0.985 average, with a minimum around 0.95</t>
        </r>
      </text>
    </comment>
    <comment ref="X6" authorId="0" shapeId="0" xr:uid="{B5D1D0D3-DA2D-4D75-9B34-0F3E11A9E82E}">
      <text>
        <r>
          <rPr>
            <sz val="9"/>
            <color indexed="81"/>
            <rFont val="Tahoma"/>
            <family val="2"/>
          </rPr>
          <t>modifier for pitch read</t>
        </r>
      </text>
    </comment>
    <comment ref="Z6" authorId="0" shapeId="0" xr:uid="{E64EC8D7-40F7-410F-9574-1834399D7CBA}">
      <text>
        <r>
          <rPr>
            <sz val="9"/>
            <color indexed="81"/>
            <rFont val="Tahoma"/>
            <family val="2"/>
          </rPr>
          <t>negative 1 to positive 1
negative 1: striaght to third base
positive 1: straight to first base
do not worry about fouls in this calculation</t>
        </r>
      </text>
    </comment>
    <comment ref="AE6" authorId="0" shapeId="0" xr:uid="{78A19D0D-ED6C-46F4-A408-F5A6D2C23C68}">
      <text>
        <r>
          <rPr>
            <sz val="9"/>
            <color indexed="81"/>
            <rFont val="Tahoma"/>
            <family val="2"/>
          </rPr>
          <t xml:space="preserve">foul percent assuming target is right down the middle to 2nd. Should be very close to zero as actual fouls come from hit quality fuzzing (players basically should never accept fouls to get steer)
</t>
        </r>
      </text>
    </comment>
    <comment ref="AI6" authorId="0" shapeId="0" xr:uid="{7FB6F74D-C6BF-4F8E-A4DE-D1AFBFA9BA38}">
      <text>
        <r>
          <rPr>
            <sz val="9"/>
            <color indexed="81"/>
            <rFont val="Tahoma"/>
            <family val="2"/>
          </rPr>
          <t>at two outs, runners on base are less critical</t>
        </r>
      </text>
    </comment>
    <comment ref="AK6" authorId="0" shapeId="0" xr:uid="{A4D80CCE-A2B4-4732-B1A0-AC7EEBD37D7D}">
      <text>
        <r>
          <rPr>
            <sz val="9"/>
            <color indexed="81"/>
            <rFont val="Tahoma"/>
            <family val="2"/>
          </rPr>
          <t>cap the defense contribution because you don't want to throw too wide - 1 should be "exactly ideal"</t>
        </r>
      </text>
    </comment>
    <comment ref="AM6" authorId="0" shapeId="0" xr:uid="{F3290D02-D257-4972-96A2-CC4C60A9AFDE}">
      <text>
        <r>
          <rPr>
            <sz val="9"/>
            <color indexed="81"/>
            <rFont val="Tahoma"/>
            <family val="2"/>
          </rPr>
          <t>oh god I swear this makes sense somehow
MLB strike percent is about 65% strikes</t>
        </r>
      </text>
    </comment>
    <comment ref="AN6" authorId="0" shapeId="0" xr:uid="{A7127813-21E8-485B-ABDB-12F604DB7038}">
      <text>
        <r>
          <rPr>
            <sz val="9"/>
            <color indexed="81"/>
            <rFont val="Tahoma"/>
            <family val="2"/>
          </rPr>
          <t xml:space="preserve">a ton of work needs to be done to dial in the pitch curves, so we use a placeholder gaussian curve
</t>
        </r>
      </text>
    </comment>
    <comment ref="AH26" authorId="0" shapeId="0" xr:uid="{246EB7CA-2F63-49E7-863F-0B68F2A116B9}">
      <text>
        <r>
          <rPr>
            <sz val="9"/>
            <color indexed="81"/>
            <rFont val="Tahoma"/>
            <family val="2"/>
          </rPr>
          <t>how many runners advance on a walk</t>
        </r>
      </text>
    </comment>
    <comment ref="W30" authorId="0" shapeId="0" xr:uid="{D8DCA7B9-678E-47DB-93A1-F525ACF3FE9E}">
      <text>
        <r>
          <rPr>
            <sz val="9"/>
            <color indexed="81"/>
            <rFont val="Tahoma"/>
            <family val="2"/>
          </rPr>
          <t>higher = more strikes</t>
        </r>
      </text>
    </comment>
    <comment ref="AF31" authorId="0" shapeId="0" xr:uid="{080A9050-38C4-44EF-984F-F1EB60F9CF1E}">
      <text>
        <r>
          <rPr>
            <sz val="9"/>
            <color indexed="81"/>
            <rFont val="Tahoma"/>
            <family val="2"/>
          </rPr>
          <t>MLB first pitch strike rate is about 58%</t>
        </r>
      </text>
    </comment>
    <comment ref="X32" authorId="0" shapeId="0" xr:uid="{EA3D68F0-83F8-43D1-BC3E-EBDFBE194F23}">
      <text>
        <r>
          <rPr>
            <sz val="9"/>
            <color indexed="81"/>
            <rFont val="Tahoma"/>
            <family val="2"/>
          </rPr>
          <t>ball factor for 100% desperation</t>
        </r>
      </text>
    </comment>
    <comment ref="X34" authorId="0" shapeId="0" xr:uid="{7E552806-34C7-44CA-B1E5-89A0535C46A0}">
      <text>
        <r>
          <rPr>
            <sz val="9"/>
            <color indexed="81"/>
            <rFont val="Tahoma"/>
            <family val="2"/>
          </rPr>
          <t>Lowest desperation modifier</t>
        </r>
      </text>
    </comment>
    <comment ref="AF34" authorId="0" shapeId="0" xr:uid="{2D594F3D-E80F-4E82-B70F-2DCBED2E888D}">
      <text>
        <r>
          <rPr>
            <sz val="9"/>
            <color indexed="81"/>
            <rFont val="Tahoma"/>
            <family val="2"/>
          </rPr>
          <t>higher = more strikes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<sst xmlns="http://schemas.openxmlformats.org/spreadsheetml/2006/main" count="292" uniqueCount="217">
  <si>
    <t>Ball</t>
  </si>
  <si>
    <t>Foul</t>
  </si>
  <si>
    <t>Strike, Swinging</t>
  </si>
  <si>
    <t>Strike, Looking</t>
  </si>
  <si>
    <t>Ball In Play</t>
  </si>
  <si>
    <t>offense ratings</t>
  </si>
  <si>
    <t>defense ratings</t>
  </si>
  <si>
    <t>perms</t>
  </si>
  <si>
    <t>Rep #</t>
  </si>
  <si>
    <t>offense</t>
  </si>
  <si>
    <t>defense</t>
  </si>
  <si>
    <t>base leadoff</t>
  </si>
  <si>
    <t>leadoff modifier</t>
  </si>
  <si>
    <t>total leadoff (ft)</t>
  </si>
  <si>
    <t>R</t>
  </si>
  <si>
    <t>1B</t>
  </si>
  <si>
    <t xml:space="preserve"> Pujols, Albert</t>
  </si>
  <si>
    <t xml:space="preserve"> LAD</t>
  </si>
  <si>
    <t xml:space="preserve"> Posey, Buster</t>
  </si>
  <si>
    <t xml:space="preserve"> SF</t>
  </si>
  <si>
    <t>C</t>
  </si>
  <si>
    <t>Rk.</t>
  </si>
  <si>
    <t>Player</t>
  </si>
  <si>
    <t>Bats</t>
  </si>
  <si>
    <t>Team</t>
  </si>
  <si>
    <t>Position</t>
  </si>
  <si>
    <t>Age</t>
  </si>
  <si>
    <t>0ft</t>
  </si>
  <si>
    <t>5ft</t>
  </si>
  <si>
    <t>10ft</t>
  </si>
  <si>
    <t>15ft</t>
  </si>
  <si>
    <t>20ft</t>
  </si>
  <si>
    <t>25ft</t>
  </si>
  <si>
    <t>30ft</t>
  </si>
  <si>
    <t>35ft</t>
  </si>
  <si>
    <t>40ft</t>
  </si>
  <si>
    <t>45ft</t>
  </si>
  <si>
    <t>50ft</t>
  </si>
  <si>
    <t>55ft</t>
  </si>
  <si>
    <t>60ft</t>
  </si>
  <si>
    <t>65ft</t>
  </si>
  <si>
    <t>70ft</t>
  </si>
  <si>
    <t>75ft</t>
  </si>
  <si>
    <t>80ft</t>
  </si>
  <si>
    <t>85ft</t>
  </si>
  <si>
    <t>90ft</t>
  </si>
  <si>
    <t xml:space="preserve"> Craig, Will</t>
  </si>
  <si>
    <t xml:space="preserve"> PIT</t>
  </si>
  <si>
    <t xml:space="preserve"> Garver, Mitch</t>
  </si>
  <si>
    <t xml:space="preserve"> MIN</t>
  </si>
  <si>
    <t xml:space="preserve"> Stephenson, Tyler</t>
  </si>
  <si>
    <t xml:space="preserve"> CIN</t>
  </si>
  <si>
    <t xml:space="preserve"> Bauers, Jake</t>
  </si>
  <si>
    <t>L</t>
  </si>
  <si>
    <t xml:space="preserve"> SEA</t>
  </si>
  <si>
    <t xml:space="preserve"> Davis, Jonathan</t>
  </si>
  <si>
    <t xml:space="preserve"> NYY</t>
  </si>
  <si>
    <t>CF</t>
  </si>
  <si>
    <t xml:space="preserve"> Reynolds, Bryan</t>
  </si>
  <si>
    <t xml:space="preserve"> Dyson, Jarrod</t>
  </si>
  <si>
    <t xml:space="preserve"> TOR</t>
  </si>
  <si>
    <t xml:space="preserve"> Ohtani, Shohei</t>
  </si>
  <si>
    <t xml:space="preserve"> LAA</t>
  </si>
  <si>
    <t>DH</t>
  </si>
  <si>
    <t>LF</t>
  </si>
  <si>
    <t xml:space="preserve"> Jiménez, Eloy</t>
  </si>
  <si>
    <t xml:space="preserve"> CWS</t>
  </si>
  <si>
    <t xml:space="preserve"> India, Jonathan</t>
  </si>
  <si>
    <t>2B</t>
  </si>
  <si>
    <t xml:space="preserve"> Fletcher, David</t>
  </si>
  <si>
    <t>reaction</t>
  </si>
  <si>
    <t>pickoff reaction 10ft</t>
  </si>
  <si>
    <t>speed (seconds per foot)</t>
  </si>
  <si>
    <t>pickoff time</t>
  </si>
  <si>
    <t>runner reaction</t>
  </si>
  <si>
    <t>throw speed (mph)</t>
  </si>
  <si>
    <t>runner speed (s/ft)</t>
  </si>
  <si>
    <t>throw speed (s/ft)</t>
  </si>
  <si>
    <t>pickoff manuver (s)</t>
  </si>
  <si>
    <t>runner speed (mph)</t>
  </si>
  <si>
    <t>pickoff evade time</t>
  </si>
  <si>
    <t>stdv:</t>
  </si>
  <si>
    <t>awe factor:</t>
  </si>
  <si>
    <t>force factor:</t>
  </si>
  <si>
    <t>timing factor:</t>
  </si>
  <si>
    <t>speed factor:</t>
  </si>
  <si>
    <t>stdv</t>
  </si>
  <si>
    <t>mean:</t>
  </si>
  <si>
    <t>pickoff probability</t>
  </si>
  <si>
    <t>bravery factor:</t>
  </si>
  <si>
    <t>strat factor:</t>
  </si>
  <si>
    <t>const:</t>
  </si>
  <si>
    <t>INVERTER BOX:</t>
  </si>
  <si>
    <t>probability</t>
  </si>
  <si>
    <t>z score</t>
  </si>
  <si>
    <t>stdev:</t>
  </si>
  <si>
    <t>x:</t>
  </si>
  <si>
    <t>GUASS CRUNCHER</t>
  </si>
  <si>
    <t>DOUBLE GAUSS CRUNCHER</t>
  </si>
  <si>
    <t>x</t>
  </si>
  <si>
    <t>prob:</t>
  </si>
  <si>
    <t>targets:</t>
  </si>
  <si>
    <t>diff:</t>
  </si>
  <si>
    <t>fielding fuzzer:</t>
  </si>
  <si>
    <t>Fielding Odds</t>
  </si>
  <si>
    <t>pickoff worth it?</t>
  </si>
  <si>
    <t>Error %</t>
  </si>
  <si>
    <t>Blatant steal time</t>
  </si>
  <si>
    <t>Response speed</t>
  </si>
  <si>
    <t>reaction factor</t>
  </si>
  <si>
    <t>blatant steal probability</t>
  </si>
  <si>
    <t>defense fear</t>
  </si>
  <si>
    <t>quality</t>
  </si>
  <si>
    <t>distance</t>
  </si>
  <si>
    <t>launch</t>
  </si>
  <si>
    <t>field</t>
  </si>
  <si>
    <t>result</t>
  </si>
  <si>
    <t>low</t>
  </si>
  <si>
    <t>high</t>
  </si>
  <si>
    <t>infield ground out</t>
  </si>
  <si>
    <t>single or fielder's choice</t>
  </si>
  <si>
    <t>double line drive</t>
  </si>
  <si>
    <t>foul</t>
  </si>
  <si>
    <t>fly out</t>
  </si>
  <si>
    <t>HR</t>
  </si>
  <si>
    <t>Column52</t>
  </si>
  <si>
    <t>Column53</t>
  </si>
  <si>
    <t>Column54</t>
  </si>
  <si>
    <t>Column55</t>
  </si>
  <si>
    <t>Column56</t>
  </si>
  <si>
    <t>Column57</t>
  </si>
  <si>
    <t>Column58</t>
  </si>
  <si>
    <t>count</t>
  </si>
  <si>
    <t>leadoff + pickoff</t>
  </si>
  <si>
    <t>base stats</t>
  </si>
  <si>
    <t>steals</t>
  </si>
  <si>
    <t>hit intent</t>
  </si>
  <si>
    <t>net count</t>
  </si>
  <si>
    <t>balls</t>
  </si>
  <si>
    <t>strikes</t>
  </si>
  <si>
    <t>balls over</t>
  </si>
  <si>
    <t>ball factor</t>
  </si>
  <si>
    <t>bonus ball</t>
  </si>
  <si>
    <t>desperation</t>
  </si>
  <si>
    <t>player control</t>
  </si>
  <si>
    <t>third base v</t>
  </si>
  <si>
    <t>second base ^</t>
  </si>
  <si>
    <t>first base:</t>
  </si>
  <si>
    <t>base simulator:</t>
  </si>
  <si>
    <t>desp midpoint</t>
  </si>
  <si>
    <t>desp floor</t>
  </si>
  <si>
    <t>modifiers:</t>
  </si>
  <si>
    <t>first</t>
  </si>
  <si>
    <t>second</t>
  </si>
  <si>
    <t>third</t>
  </si>
  <si>
    <t>zero:</t>
  </si>
  <si>
    <t>actual?</t>
  </si>
  <si>
    <t>ideal steer</t>
  </si>
  <si>
    <t>sb mod:</t>
  </si>
  <si>
    <t>control at 0:</t>
  </si>
  <si>
    <t>control at 1:</t>
  </si>
  <si>
    <t>control at 2:</t>
  </si>
  <si>
    <t>scaled control</t>
  </si>
  <si>
    <t>seg 1 offset:</t>
  </si>
  <si>
    <t>seg 1 mult:</t>
  </si>
  <si>
    <t>seg 2 offset:</t>
  </si>
  <si>
    <t>seg 2 mult:</t>
  </si>
  <si>
    <t>base stdev</t>
  </si>
  <si>
    <t>accuracy scalar</t>
  </si>
  <si>
    <t>unmod foul percent 3rd</t>
  </si>
  <si>
    <t>unmod foul percent 1st</t>
  </si>
  <si>
    <t>total unmod foul percent</t>
  </si>
  <si>
    <t>unmod dead center foul%</t>
  </si>
  <si>
    <t>bad control calcs</t>
  </si>
  <si>
    <t>pitch location</t>
  </si>
  <si>
    <t>hitter discipline bias</t>
  </si>
  <si>
    <t>weight:</t>
  </si>
  <si>
    <t>power bias</t>
  </si>
  <si>
    <t>discipline (sample)</t>
  </si>
  <si>
    <t>power (sample)</t>
  </si>
  <si>
    <t>bases loaded</t>
  </si>
  <si>
    <t>number of outs</t>
  </si>
  <si>
    <t>current hitter vs next hitter</t>
  </si>
  <si>
    <t>runners to walk</t>
  </si>
  <si>
    <t>RtW scaled</t>
  </si>
  <si>
    <t>note: negative means inside bias (easier to hit, more strikes)</t>
  </si>
  <si>
    <t>runner on third?</t>
  </si>
  <si>
    <t>Total:</t>
  </si>
  <si>
    <t>outs:</t>
  </si>
  <si>
    <t>scaled:</t>
  </si>
  <si>
    <t>next hitter:</t>
  </si>
  <si>
    <t>first pitch bias</t>
  </si>
  <si>
    <t>called position</t>
  </si>
  <si>
    <t>calling modifier</t>
  </si>
  <si>
    <t>base:</t>
  </si>
  <si>
    <t>sigmoid strike percent</t>
  </si>
  <si>
    <t>width:</t>
  </si>
  <si>
    <t>vert scale</t>
  </si>
  <si>
    <t>min:</t>
  </si>
  <si>
    <t>max:</t>
  </si>
  <si>
    <t>tanh strike percent</t>
  </si>
  <si>
    <t>called pos 0.2 pitch</t>
  </si>
  <si>
    <t>called pos 2 pitch</t>
  </si>
  <si>
    <t>pitch spread modifier</t>
  </si>
  <si>
    <t>pitch spread max stdev</t>
  </si>
  <si>
    <t>the pitch</t>
  </si>
  <si>
    <t>location +1 stdv</t>
  </si>
  <si>
    <t>difficulty</t>
  </si>
  <si>
    <t>min dist to sz 1stdv</t>
  </si>
  <si>
    <t>max dist to sz 1stdv</t>
  </si>
  <si>
    <t>min obscurity</t>
  </si>
  <si>
    <t>max base obsc</t>
  </si>
  <si>
    <t>obsc den factor</t>
  </si>
  <si>
    <t>max obscurity2</t>
  </si>
  <si>
    <t>trickiness factor</t>
  </si>
  <si>
    <t>location -1  stdv</t>
  </si>
  <si>
    <t>ave obscurity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</si>
</sst>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8" x14ac:knownFonts="1">
    <font>
      <sz val="11"/>
      <color theme="1"/>
      <name val="Calibri"/>
      <family val="2"/>
      <scheme val="minor"/>
    </font>
    <font>
      <sz val="10"/>
      <color rgb="FF252C2F"/>
      <name val="Arial"/>
      <family val="2"/>
    </font>
    <font>
      <sz val="11"/>
      <color theme="1"/>
      <name val="Calibri"/>
      <family val="2"/>
      <scheme val="minor"/>
    </font>
    <font>
      <sz val="11"/>
      <color rgb="FF9C6500"/>
      <name val="Calibri"/>
      <family val="2"/>
      <scheme val="minor"/>
    </font>
    <font>
      <sz val="9"/>
      <color indexed="81"/>
      <name val="Tahoma"/>
      <family val="2"/>
    </font>
    <font>
      <b/>
      <sz val="11"/>
      <color theme="1"/>
      <name val="Calibri"/>
      <family val="2"/>
      <scheme val="minor"/>
    </font>
    <font>
      <strike/>
      <sz val="11"/>
      <color theme="1"/>
      <name val="Calibri"/>
      <family val="2"/>
      <scheme val="minor"/>
    </font>
    <font>
      <i/>
      <sz val="11"/>
      <color theme="1"/>
      <name val="Calibri"/>
      <family val="2"/>
      <scheme val="minor"/>
    </font>
  </fonts>
  <fills count="11">
    <fill>
      <patternFill patternType="none"/>
    </fill>
    <fill>
      <patternFill patternType="gray125"/>
    </fill>
    <fill>
      <patternFill patternType="solid">
        <fgColor rgb="FFFFEB9C"/>
      </patternFill>
    </fill>
    <fill>
      <patternFill patternType="solid">
        <fgColor theme="5" tint="0.59999389629810485"/>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9" tint="0.79998168889431442"/>
        <bgColor indexed="64"/>
      </patternFill>
    </fill>
  </fills>
  <borders count="28">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double">
        <color auto="1"/>
      </left>
      <right/>
      <top/>
      <bottom/>
      <diagonal/>
    </border>
    <border>
      <left/>
      <right style="double">
        <color auto="1"/>
      </right>
      <top/>
      <bottom/>
      <diagonal/>
    </border>
    <border>
      <left style="double">
        <color auto="1"/>
      </left>
      <right/>
      <top/>
      <bottom style="double">
        <color auto="1"/>
      </bottom>
      <diagonal/>
    </border>
    <border>
      <left/>
      <right/>
      <top/>
      <bottom style="double">
        <color auto="1"/>
      </bottom>
      <diagonal/>
    </border>
    <border>
      <left/>
      <right style="double">
        <color auto="1"/>
      </right>
      <top/>
      <bottom style="double">
        <color auto="1"/>
      </bottom>
      <diagonal/>
    </border>
    <border>
      <left style="double">
        <color auto="1"/>
      </left>
      <right/>
      <top style="double">
        <color auto="1"/>
      </top>
      <bottom style="medium">
        <color indexed="64"/>
      </bottom>
      <diagonal/>
    </border>
    <border>
      <left/>
      <right/>
      <top style="double">
        <color auto="1"/>
      </top>
      <bottom style="medium">
        <color indexed="64"/>
      </bottom>
      <diagonal/>
    </border>
    <border>
      <left/>
      <right style="double">
        <color auto="1"/>
      </right>
      <top style="double">
        <color auto="1"/>
      </top>
      <bottom style="medium">
        <color indexed="64"/>
      </bottom>
      <diagonal/>
    </border>
    <border>
      <left style="medium">
        <color indexed="64"/>
      </left>
      <right style="medium">
        <color indexed="64"/>
      </right>
      <top style="medium">
        <color indexed="64"/>
      </top>
      <bottom style="double">
        <color auto="1"/>
      </bottom>
      <diagonal/>
    </border>
    <border>
      <left style="medium">
        <color indexed="64"/>
      </left>
      <right style="double">
        <color auto="1"/>
      </right>
      <top style="medium">
        <color indexed="64"/>
      </top>
      <bottom style="double">
        <color auto="1"/>
      </bottom>
      <diagonal/>
    </border>
    <border>
      <left style="double">
        <color auto="1"/>
      </left>
      <right/>
      <top/>
      <bottom style="medium">
        <color indexed="64"/>
      </bottom>
      <diagonal/>
    </border>
    <border>
      <left/>
      <right/>
      <top/>
      <bottom style="medium">
        <color indexed="64"/>
      </bottom>
      <diagonal/>
    </border>
    <border>
      <left/>
      <right style="double">
        <color auto="1"/>
      </right>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s>
  <cellStyleXfs count="3">
    <xf numFmtId="0" fontId="0" fillId="0" borderId="0"/>
    <xf numFmtId="9" fontId="2" fillId="0" borderId="0" applyFont="0" applyFill="0" applyBorder="0" applyAlignment="0" applyProtection="0"/>
    <xf numFmtId="0" fontId="3" fillId="2" borderId="0" applyNumberFormat="0" applyBorder="0" applyAlignment="0" applyProtection="0"/>
  </cellStyleXfs>
  <cellXfs count="140">
    <xf numFmtId="0" fontId="0" fillId="0" borderId="0" xfId="0"/>
    <xf numFmtId="0" fontId="1" fillId="0" borderId="0" xfId="0" applyFont="1"/>
    <xf numFmtId="0" fontId="0" fillId="0" borderId="0" xfId="0" applyAlignment="1">
      <alignment wrapText="1"/>
    </xf>
    <xf numFmtId="0" fontId="0" fillId="3" borderId="0" xfId="0" applyFill="1"/>
    <xf numFmtId="0" fontId="0" fillId="4" borderId="0" xfId="0" applyFill="1"/>
    <xf numFmtId="0" fontId="0" fillId="5" borderId="0" xfId="0" applyFill="1"/>
    <xf numFmtId="0" fontId="0" fillId="6" borderId="0" xfId="0" applyFill="1"/>
    <xf numFmtId="164" fontId="0" fillId="3" borderId="0" xfId="1" applyNumberFormat="1" applyFont="1" applyFill="1"/>
    <xf numFmtId="164" fontId="0" fillId="5" borderId="0" xfId="1" applyNumberFormat="1" applyFont="1" applyFill="1"/>
    <xf numFmtId="164" fontId="0" fillId="6" borderId="0" xfId="1" applyNumberFormat="1" applyFont="1" applyFill="1"/>
    <xf numFmtId="164" fontId="0" fillId="4" borderId="0" xfId="1" applyNumberFormat="1" applyFont="1" applyFill="1"/>
    <xf numFmtId="0" fontId="0" fillId="7" borderId="0" xfId="0" applyFill="1"/>
    <xf numFmtId="164" fontId="0" fillId="7" borderId="0" xfId="1" applyNumberFormat="1" applyFont="1" applyFill="1"/>
    <xf numFmtId="0" fontId="0" fillId="8" borderId="0" xfId="0" applyFill="1"/>
    <xf numFmtId="164" fontId="0" fillId="8" borderId="0" xfId="1" applyNumberFormat="1" applyFont="1" applyFill="1"/>
    <xf numFmtId="0" fontId="0" fillId="9" borderId="0" xfId="0" applyFill="1"/>
    <xf numFmtId="164" fontId="0" fillId="9" borderId="0" xfId="1" applyNumberFormat="1" applyFont="1" applyFill="1"/>
    <xf numFmtId="0" fontId="0" fillId="10" borderId="0" xfId="0" applyFill="1"/>
    <xf numFmtId="164" fontId="0" fillId="10" borderId="0" xfId="1" applyNumberFormat="1" applyFont="1" applyFill="1"/>
    <xf numFmtId="0" fontId="0" fillId="7" borderId="1" xfId="0" applyFill="1" applyBorder="1"/>
    <xf numFmtId="0" fontId="0" fillId="7" borderId="2" xfId="0" applyFill="1" applyBorder="1"/>
    <xf numFmtId="164" fontId="0" fillId="7" borderId="2" xfId="1" applyNumberFormat="1" applyFont="1" applyFill="1" applyBorder="1"/>
    <xf numFmtId="0" fontId="0" fillId="10" borderId="1" xfId="0" applyFill="1" applyBorder="1"/>
    <xf numFmtId="0" fontId="0" fillId="10" borderId="2" xfId="0" applyFill="1" applyBorder="1"/>
    <xf numFmtId="164" fontId="0" fillId="10" borderId="2" xfId="1" applyNumberFormat="1" applyFont="1" applyFill="1" applyBorder="1"/>
    <xf numFmtId="0" fontId="0" fillId="5" borderId="1" xfId="0" applyFill="1" applyBorder="1"/>
    <xf numFmtId="0" fontId="0" fillId="5" borderId="2" xfId="0" applyFill="1" applyBorder="1"/>
    <xf numFmtId="164" fontId="0" fillId="5" borderId="2" xfId="1" applyNumberFormat="1" applyFont="1" applyFill="1" applyBorder="1"/>
    <xf numFmtId="0" fontId="0" fillId="4" borderId="1" xfId="0" applyFill="1" applyBorder="1"/>
    <xf numFmtId="0" fontId="0" fillId="4" borderId="2" xfId="0" applyFill="1" applyBorder="1"/>
    <xf numFmtId="164" fontId="0" fillId="4" borderId="2" xfId="1" applyNumberFormat="1" applyFont="1" applyFill="1" applyBorder="1"/>
    <xf numFmtId="0" fontId="0" fillId="0" borderId="3" xfId="0" applyBorder="1"/>
    <xf numFmtId="0" fontId="0" fillId="0" borderId="0" xfId="0" applyBorder="1"/>
    <xf numFmtId="0" fontId="0" fillId="0" borderId="4" xfId="0" applyBorder="1"/>
    <xf numFmtId="0" fontId="0" fillId="0" borderId="5" xfId="0" applyBorder="1"/>
    <xf numFmtId="0" fontId="0" fillId="0" borderId="6" xfId="0" applyBorder="1"/>
    <xf numFmtId="0" fontId="0" fillId="0" borderId="8" xfId="0" applyBorder="1"/>
    <xf numFmtId="0" fontId="0" fillId="0" borderId="9" xfId="0" applyBorder="1"/>
    <xf numFmtId="0" fontId="0" fillId="0" borderId="10" xfId="0" applyBorder="1"/>
    <xf numFmtId="0" fontId="3" fillId="2" borderId="0" xfId="2" applyBorder="1"/>
    <xf numFmtId="0" fontId="3" fillId="2" borderId="4" xfId="2" applyBorder="1"/>
    <xf numFmtId="0" fontId="0" fillId="0" borderId="11" xfId="0" applyBorder="1"/>
    <xf numFmtId="0" fontId="0" fillId="0" borderId="12" xfId="0" applyBorder="1"/>
    <xf numFmtId="0" fontId="0" fillId="0" borderId="13" xfId="0" applyBorder="1"/>
    <xf numFmtId="10" fontId="0" fillId="0" borderId="14" xfId="1" applyNumberFormat="1" applyFont="1" applyBorder="1"/>
    <xf numFmtId="10" fontId="0" fillId="0" borderId="15" xfId="1" applyNumberFormat="1" applyFont="1" applyBorder="1"/>
    <xf numFmtId="10" fontId="0" fillId="0" borderId="6" xfId="0" applyNumberFormat="1" applyBorder="1"/>
    <xf numFmtId="10" fontId="0" fillId="0" borderId="7" xfId="0" applyNumberFormat="1" applyBorder="1"/>
    <xf numFmtId="10" fontId="0" fillId="4" borderId="2" xfId="1" applyNumberFormat="1" applyFont="1" applyFill="1" applyBorder="1"/>
    <xf numFmtId="10" fontId="0" fillId="3" borderId="0" xfId="1" applyNumberFormat="1" applyFont="1" applyFill="1"/>
    <xf numFmtId="10" fontId="0" fillId="4" borderId="0" xfId="1" applyNumberFormat="1" applyFont="1" applyFill="1"/>
    <xf numFmtId="10" fontId="0" fillId="8" borderId="0" xfId="1" applyNumberFormat="1" applyFont="1" applyFill="1"/>
    <xf numFmtId="10" fontId="0" fillId="5" borderId="2" xfId="1" applyNumberFormat="1" applyFont="1" applyFill="1" applyBorder="1"/>
    <xf numFmtId="10" fontId="0" fillId="5" borderId="0" xfId="1" applyNumberFormat="1" applyFont="1" applyFill="1"/>
    <xf numFmtId="10" fontId="0" fillId="10" borderId="0" xfId="1" applyNumberFormat="1" applyFont="1" applyFill="1"/>
    <xf numFmtId="10" fontId="0" fillId="6" borderId="0" xfId="1" applyNumberFormat="1" applyFont="1" applyFill="1"/>
    <xf numFmtId="10" fontId="0" fillId="10" borderId="2" xfId="1" applyNumberFormat="1" applyFont="1" applyFill="1" applyBorder="1"/>
    <xf numFmtId="10" fontId="0" fillId="9" borderId="0" xfId="1" applyNumberFormat="1" applyFont="1" applyFill="1"/>
    <xf numFmtId="10" fontId="0" fillId="7" borderId="0" xfId="1" applyNumberFormat="1" applyFont="1" applyFill="1"/>
    <xf numFmtId="10" fontId="0" fillId="7" borderId="2" xfId="1" applyNumberFormat="1" applyFont="1" applyFill="1" applyBorder="1"/>
    <xf numFmtId="0" fontId="0" fillId="0" borderId="16" xfId="0" applyBorder="1"/>
    <xf numFmtId="0" fontId="0" fillId="0" borderId="17" xfId="0" applyBorder="1"/>
    <xf numFmtId="0" fontId="0" fillId="0" borderId="18" xfId="0" applyBorder="1"/>
    <xf numFmtId="0" fontId="0" fillId="0" borderId="19" xfId="0" applyBorder="1"/>
    <xf numFmtId="0" fontId="0" fillId="0" borderId="20" xfId="0" applyBorder="1"/>
    <xf numFmtId="0" fontId="0" fillId="0" borderId="21" xfId="0" applyBorder="1"/>
    <xf numFmtId="0" fontId="0" fillId="0" borderId="22" xfId="0" applyBorder="1"/>
    <xf numFmtId="0" fontId="0" fillId="0" borderId="23" xfId="0" applyBorder="1"/>
    <xf numFmtId="0" fontId="0" fillId="0" borderId="24" xfId="0" applyBorder="1"/>
    <xf numFmtId="0" fontId="0" fillId="0" borderId="25" xfId="0" applyBorder="1"/>
    <xf numFmtId="0" fontId="0" fillId="0" borderId="26" xfId="0" applyBorder="1"/>
    <xf numFmtId="0" fontId="0" fillId="0" borderId="22" xfId="0" applyFill="1" applyBorder="1"/>
    <xf numFmtId="0" fontId="0" fillId="0" borderId="0" xfId="0" applyFill="1" applyBorder="1"/>
    <xf numFmtId="0" fontId="0" fillId="0" borderId="1" xfId="0" applyBorder="1"/>
    <xf numFmtId="0" fontId="0" fillId="0" borderId="2" xfId="0" applyBorder="1"/>
    <xf numFmtId="0" fontId="0" fillId="0" borderId="27" xfId="0" applyBorder="1"/>
    <xf numFmtId="0" fontId="0" fillId="0" borderId="19" xfId="0" applyFill="1" applyBorder="1"/>
    <xf numFmtId="0" fontId="5" fillId="0" borderId="26" xfId="0" applyFont="1" applyBorder="1"/>
    <xf numFmtId="0" fontId="6" fillId="0" borderId="0" xfId="0" applyFont="1" applyAlignment="1">
      <alignment wrapText="1"/>
    </xf>
    <xf numFmtId="0" fontId="6" fillId="4" borderId="2" xfId="0" applyFont="1" applyFill="1" applyBorder="1"/>
    <xf numFmtId="9" fontId="6" fillId="4" borderId="2" xfId="1" applyFont="1" applyFill="1" applyBorder="1"/>
    <xf numFmtId="0" fontId="6" fillId="3" borderId="0" xfId="0" applyFont="1" applyFill="1"/>
    <xf numFmtId="9" fontId="6" fillId="3" borderId="0" xfId="1" applyFont="1" applyFill="1"/>
    <xf numFmtId="0" fontId="6" fillId="4" borderId="0" xfId="0" applyFont="1" applyFill="1"/>
    <xf numFmtId="9" fontId="6" fillId="4" borderId="0" xfId="1" applyFont="1" applyFill="1"/>
    <xf numFmtId="0" fontId="6" fillId="8" borderId="0" xfId="0" applyFont="1" applyFill="1"/>
    <xf numFmtId="9" fontId="6" fillId="8" borderId="0" xfId="1" applyFont="1" applyFill="1"/>
    <xf numFmtId="0" fontId="6" fillId="5" borderId="2" xfId="0" applyFont="1" applyFill="1" applyBorder="1"/>
    <xf numFmtId="9" fontId="6" fillId="5" borderId="2" xfId="1" applyFont="1" applyFill="1" applyBorder="1"/>
    <xf numFmtId="0" fontId="6" fillId="5" borderId="0" xfId="0" applyFont="1" applyFill="1"/>
    <xf numFmtId="9" fontId="6" fillId="5" borderId="0" xfId="1" applyFont="1" applyFill="1"/>
    <xf numFmtId="0" fontId="6" fillId="10" borderId="0" xfId="0" applyFont="1" applyFill="1"/>
    <xf numFmtId="9" fontId="6" fillId="10" borderId="0" xfId="1" applyFont="1" applyFill="1"/>
    <xf numFmtId="0" fontId="6" fillId="6" borderId="0" xfId="0" applyFont="1" applyFill="1"/>
    <xf numFmtId="9" fontId="6" fillId="6" borderId="0" xfId="1" applyFont="1" applyFill="1"/>
    <xf numFmtId="0" fontId="6" fillId="10" borderId="2" xfId="0" applyFont="1" applyFill="1" applyBorder="1"/>
    <xf numFmtId="9" fontId="6" fillId="10" borderId="2" xfId="1" applyFont="1" applyFill="1" applyBorder="1"/>
    <xf numFmtId="0" fontId="6" fillId="9" borderId="0" xfId="0" applyFont="1" applyFill="1"/>
    <xf numFmtId="9" fontId="6" fillId="9" borderId="0" xfId="1" applyFont="1" applyFill="1"/>
    <xf numFmtId="0" fontId="6" fillId="7" borderId="0" xfId="0" applyFont="1" applyFill="1"/>
    <xf numFmtId="9" fontId="6" fillId="7" borderId="0" xfId="1" applyFont="1" applyFill="1"/>
    <xf numFmtId="0" fontId="6" fillId="7" borderId="2" xfId="0" applyFont="1" applyFill="1" applyBorder="1"/>
    <xf numFmtId="9" fontId="6" fillId="7" borderId="2" xfId="1" applyFont="1" applyFill="1" applyBorder="1"/>
    <xf numFmtId="0" fontId="7" fillId="0" borderId="20" xfId="0" applyFont="1" applyBorder="1"/>
    <xf numFmtId="9" fontId="0" fillId="4" borderId="2" xfId="1" applyFont="1" applyFill="1" applyBorder="1"/>
    <xf numFmtId="9" fontId="0" fillId="3" borderId="0" xfId="1" applyFont="1" applyFill="1"/>
    <xf numFmtId="9" fontId="0" fillId="4" borderId="0" xfId="1" applyFont="1" applyFill="1"/>
    <xf numFmtId="9" fontId="0" fillId="8" borderId="0" xfId="1" applyFont="1" applyFill="1"/>
    <xf numFmtId="9" fontId="0" fillId="5" borderId="2" xfId="1" applyFont="1" applyFill="1" applyBorder="1"/>
    <xf numFmtId="9" fontId="0" fillId="5" borderId="0" xfId="1" applyFont="1" applyFill="1"/>
    <xf numFmtId="9" fontId="0" fillId="10" borderId="0" xfId="1" applyFont="1" applyFill="1"/>
    <xf numFmtId="9" fontId="0" fillId="6" borderId="0" xfId="1" applyFont="1" applyFill="1"/>
    <xf numFmtId="9" fontId="0" fillId="10" borderId="2" xfId="1" applyFont="1" applyFill="1" applyBorder="1"/>
    <xf numFmtId="9" fontId="0" fillId="9" borderId="0" xfId="1" applyFont="1" applyFill="1"/>
    <xf numFmtId="9" fontId="0" fillId="7" borderId="0" xfId="1" applyFont="1" applyFill="1"/>
    <xf numFmtId="9" fontId="0" fillId="7" borderId="2" xfId="1" applyFont="1" applyFill="1" applyBorder="1"/>
    <xf numFmtId="2" fontId="0" fillId="4" borderId="2" xfId="1" applyNumberFormat="1" applyFont="1" applyFill="1" applyBorder="1"/>
    <xf numFmtId="2" fontId="0" fillId="4" borderId="2" xfId="0" applyNumberFormat="1" applyFill="1" applyBorder="1"/>
    <xf numFmtId="2" fontId="0" fillId="3" borderId="0" xfId="1" applyNumberFormat="1" applyFont="1" applyFill="1"/>
    <xf numFmtId="2" fontId="0" fillId="3" borderId="0" xfId="0" applyNumberFormat="1" applyFill="1"/>
    <xf numFmtId="2" fontId="0" fillId="4" borderId="0" xfId="1" applyNumberFormat="1" applyFont="1" applyFill="1"/>
    <xf numFmtId="2" fontId="0" fillId="4" borderId="0" xfId="0" applyNumberFormat="1" applyFill="1"/>
    <xf numFmtId="2" fontId="0" fillId="8" borderId="0" xfId="1" applyNumberFormat="1" applyFont="1" applyFill="1"/>
    <xf numFmtId="2" fontId="0" fillId="8" borderId="0" xfId="0" applyNumberFormat="1" applyFill="1"/>
    <xf numFmtId="2" fontId="0" fillId="5" borderId="2" xfId="1" applyNumberFormat="1" applyFont="1" applyFill="1" applyBorder="1"/>
    <xf numFmtId="2" fontId="0" fillId="5" borderId="2" xfId="0" applyNumberFormat="1" applyFill="1" applyBorder="1"/>
    <xf numFmtId="2" fontId="0" fillId="5" borderId="0" xfId="1" applyNumberFormat="1" applyFont="1" applyFill="1"/>
    <xf numFmtId="2" fontId="0" fillId="5" borderId="0" xfId="0" applyNumberFormat="1" applyFill="1"/>
    <xf numFmtId="2" fontId="0" fillId="10" borderId="0" xfId="1" applyNumberFormat="1" applyFont="1" applyFill="1"/>
    <xf numFmtId="2" fontId="0" fillId="10" borderId="0" xfId="0" applyNumberFormat="1" applyFill="1"/>
    <xf numFmtId="2" fontId="0" fillId="6" borderId="0" xfId="1" applyNumberFormat="1" applyFont="1" applyFill="1"/>
    <xf numFmtId="2" fontId="0" fillId="6" borderId="0" xfId="0" applyNumberFormat="1" applyFill="1"/>
    <xf numFmtId="2" fontId="0" fillId="10" borderId="2" xfId="1" applyNumberFormat="1" applyFont="1" applyFill="1" applyBorder="1"/>
    <xf numFmtId="2" fontId="0" fillId="10" borderId="2" xfId="0" applyNumberFormat="1" applyFill="1" applyBorder="1"/>
    <xf numFmtId="2" fontId="0" fillId="9" borderId="0" xfId="1" applyNumberFormat="1" applyFont="1" applyFill="1"/>
    <xf numFmtId="2" fontId="0" fillId="9" borderId="0" xfId="0" applyNumberFormat="1" applyFill="1"/>
    <xf numFmtId="2" fontId="0" fillId="7" borderId="0" xfId="1" applyNumberFormat="1" applyFont="1" applyFill="1"/>
    <xf numFmtId="2" fontId="0" fillId="7" borderId="0" xfId="0" applyNumberFormat="1" applyFill="1"/>
    <xf numFmtId="2" fontId="0" fillId="7" borderId="2" xfId="1" applyNumberFormat="1" applyFont="1" applyFill="1" applyBorder="1"/>
    <xf numFmtId="2" fontId="0" fillId="7" borderId="2" xfId="0" applyNumberFormat="1" applyFill="1" applyBorder="1"/>
  </cellXfs>
  <cellStyles count="3">
    <cellStyle name="Neutral" xfId="2" builtinId="28"/>
    <cellStyle name="Normal" xfId="0" builtinId="0"/>
    <cellStyle name="Percent" xfId="1" builtinId="5"/>
  </cellStyles>
  <dxfs count="50">
    <dxf>
      <numFmt numFmtId="2" formatCode="0.00"/>
    </dxf>
    <dxf>
      <numFmt numFmtId="2" formatCode="0.00"/>
    </dxf>
    <dxf>
      <numFmt numFmtId="2" formatCode="0.00"/>
    </dxf>
    <dxf>
      <numFmt numFmtId="2" formatCode="0.00"/>
    </dxf>
    <dxf>
      <font>
        <color rgb="FF9C0006"/>
      </font>
      <fill>
        <patternFill>
          <bgColor rgb="FFFFC7CE"/>
        </patternFill>
      </fill>
    </dxf>
    <dxf>
      <numFmt numFmtId="2" formatCode="0.00"/>
    </dxf>
    <dxf>
      <numFmt numFmtId="2" formatCode="0.00"/>
    </dxf>
    <dxf>
      <numFmt numFmtId="0" formatCode="General"/>
    </dxf>
    <dxf>
      <numFmt numFmtId="0" formatCode="General"/>
    </dxf>
    <dxf>
      <numFmt numFmtId="2" formatCode="0.00"/>
    </dxf>
    <dxf>
      <numFmt numFmtId="2" formatCode="0.00"/>
    </dxf>
    <dxf>
      <numFmt numFmtId="2" formatCode="0.00"/>
    </dxf>
    <dxf>
      <numFmt numFmtId="13" formatCode="0%"/>
    </dxf>
    <dxf>
      <font>
        <b val="0"/>
        <i val="0"/>
        <strike/>
        <outline val="0"/>
        <shadow val="0"/>
        <u val="none"/>
        <vertAlign val="baseline"/>
        <sz val="11"/>
        <color theme="1"/>
        <name val="Calibri"/>
        <family val="2"/>
        <scheme val="minor"/>
      </font>
      <numFmt numFmtId="13" formatCode="0%"/>
    </dxf>
    <dxf>
      <numFmt numFmtId="0" formatCode="General"/>
    </dxf>
    <dxf>
      <numFmt numFmtId="0" formatCode="General"/>
    </dxf>
    <dxf>
      <numFmt numFmtId="0" formatCode="General"/>
    </dxf>
    <dxf>
      <numFmt numFmtId="0" formatCode="General"/>
    </dxf>
    <dxf>
      <numFmt numFmtId="0" formatCode="General"/>
    </dxf>
    <dxf>
      <numFmt numFmtId="0" formatCode="General"/>
    </dxf>
    <dxf>
      <font>
        <b val="0"/>
        <i val="0"/>
        <strike/>
        <outline val="0"/>
        <shadow val="0"/>
        <u val="none"/>
        <vertAlign val="baseline"/>
        <sz val="11"/>
        <color theme="1"/>
        <name val="Calibri"/>
        <family val="2"/>
        <scheme val="minor"/>
      </font>
    </dxf>
    <dxf>
      <font>
        <b val="0"/>
        <i val="0"/>
        <strike/>
        <outline val="0"/>
        <shadow val="0"/>
        <u val="none"/>
        <vertAlign val="baseline"/>
        <sz val="11"/>
        <color theme="1"/>
        <name val="Calibri"/>
        <family val="2"/>
        <scheme val="minor"/>
      </font>
      <numFmt numFmtId="13" formatCode="0%"/>
    </dxf>
    <dxf>
      <font>
        <b val="0"/>
        <i val="0"/>
        <strike/>
        <outline val="0"/>
        <shadow val="0"/>
        <u val="none"/>
        <vertAlign val="baseline"/>
        <sz val="11"/>
        <color theme="1"/>
        <name val="Calibri"/>
        <family val="2"/>
        <scheme val="minor"/>
      </font>
      <numFmt numFmtId="13" formatCode="0%"/>
    </dxf>
    <dxf>
      <font>
        <b val="0"/>
        <i val="0"/>
        <strike/>
        <outline val="0"/>
        <shadow val="0"/>
        <u val="none"/>
        <vertAlign val="baseline"/>
        <sz val="11"/>
        <color theme="1"/>
        <name val="Calibri"/>
        <family val="2"/>
        <scheme val="minor"/>
      </font>
      <numFmt numFmtId="13" formatCode="0%"/>
    </dxf>
    <dxf>
      <font>
        <b val="0"/>
        <i val="0"/>
        <strike/>
        <outline val="0"/>
        <shadow val="0"/>
        <u val="none"/>
        <vertAlign val="baseline"/>
        <sz val="11"/>
        <color theme="1"/>
        <name val="Calibri"/>
        <family val="2"/>
        <scheme val="minor"/>
      </font>
      <numFmt numFmtId="0" formatCode="General"/>
    </dxf>
    <dxf>
      <font>
        <b val="0"/>
        <i val="0"/>
        <strike/>
        <outline val="0"/>
        <shadow val="0"/>
        <u val="none"/>
        <vertAlign val="baseline"/>
        <sz val="11"/>
        <color theme="1"/>
        <name val="Calibri"/>
        <family val="2"/>
        <scheme val="minor"/>
      </font>
      <numFmt numFmtId="0" formatCode="General"/>
    </dxf>
    <dxf>
      <numFmt numFmtId="0" formatCode="General"/>
    </dxf>
    <dxf>
      <numFmt numFmtId="14" formatCode="0.00%"/>
    </dxf>
    <dxf>
      <numFmt numFmtId="0" formatCode="General"/>
    </dxf>
    <dxf>
      <numFmt numFmtId="0" formatCode="General"/>
    </dxf>
    <dxf>
      <numFmt numFmtId="14" formatCode="0.00%"/>
    </dxf>
    <dxf>
      <numFmt numFmtId="0" formatCode="General"/>
    </dxf>
    <dxf>
      <numFmt numFmtId="0" formatCode="General"/>
    </dxf>
    <dxf>
      <numFmt numFmtId="14" formatCode="0.00%"/>
    </dxf>
    <dxf>
      <numFmt numFmtId="0" formatCode="General"/>
    </dxf>
    <dxf>
      <numFmt numFmtId="14" formatCode="0.00%"/>
    </dxf>
    <dxf>
      <numFmt numFmtId="164" formatCode="0.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'run speed'!$G$2:$Y$2</c:f>
              <c:numCache>
                <c:formatCode>General</c:formatCode>
                <c:ptCount val="19"/>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numCache>
            </c:numRef>
          </c:xVal>
          <c:yVal>
            <c:numRef>
              <c:f>'run speed'!$G$3:$Y$3</c:f>
              <c:numCache>
                <c:formatCode>General</c:formatCode>
                <c:ptCount val="19"/>
                <c:pt idx="0">
                  <c:v>0</c:v>
                </c:pt>
                <c:pt idx="1">
                  <c:v>0.59</c:v>
                </c:pt>
                <c:pt idx="2">
                  <c:v>0.94</c:v>
                </c:pt>
                <c:pt idx="3">
                  <c:v>1.23</c:v>
                </c:pt>
                <c:pt idx="4">
                  <c:v>1.5</c:v>
                </c:pt>
                <c:pt idx="5">
                  <c:v>1.75</c:v>
                </c:pt>
                <c:pt idx="6">
                  <c:v>1.99</c:v>
                </c:pt>
                <c:pt idx="7">
                  <c:v>2.2200000000000002</c:v>
                </c:pt>
                <c:pt idx="8">
                  <c:v>2.4500000000000002</c:v>
                </c:pt>
                <c:pt idx="9">
                  <c:v>2.66</c:v>
                </c:pt>
                <c:pt idx="10">
                  <c:v>2.88</c:v>
                </c:pt>
                <c:pt idx="11">
                  <c:v>3.09</c:v>
                </c:pt>
                <c:pt idx="12">
                  <c:v>3.3</c:v>
                </c:pt>
                <c:pt idx="13">
                  <c:v>3.51</c:v>
                </c:pt>
                <c:pt idx="14">
                  <c:v>3.72</c:v>
                </c:pt>
                <c:pt idx="15">
                  <c:v>3.94</c:v>
                </c:pt>
                <c:pt idx="16">
                  <c:v>4.16</c:v>
                </c:pt>
                <c:pt idx="17">
                  <c:v>4.38</c:v>
                </c:pt>
                <c:pt idx="18">
                  <c:v>4.62</c:v>
                </c:pt>
              </c:numCache>
            </c:numRef>
          </c:yVal>
          <c:smooth val="1"/>
          <c:extLst>
            <c:ext xmlns:c16="http://schemas.microsoft.com/office/drawing/2014/chart" uri="{C3380CC4-5D6E-409C-BE32-E72D297353CC}">
              <c16:uniqueId val="{00000000-523C-4E00-8692-DA6581FD0E20}"/>
            </c:ext>
          </c:extLst>
        </c:ser>
        <c:ser>
          <c:idx val="1"/>
          <c:order val="1"/>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'run speed'!$G$2:$Y$2</c:f>
              <c:numCache>
                <c:formatCode>General</c:formatCode>
                <c:ptCount val="19"/>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numCache>
            </c:numRef>
          </c:xVal>
          <c:yVal>
            <c:numRef>
              <c:f>'run speed'!$G$4:$Y$4</c:f>
              <c:numCache>
                <c:formatCode>General</c:formatCode>
                <c:ptCount val="19"/>
                <c:pt idx="0">
                  <c:v>0</c:v>
                </c:pt>
                <c:pt idx="1">
                  <c:v>0.57999999999999996</c:v>
                </c:pt>
                <c:pt idx="2">
                  <c:v>0.93</c:v>
                </c:pt>
                <c:pt idx="3">
                  <c:v>1.22</c:v>
                </c:pt>
                <c:pt idx="4">
                  <c:v>1.48</c:v>
                </c:pt>
                <c:pt idx="5">
                  <c:v>1.73</c:v>
                </c:pt>
                <c:pt idx="6">
                  <c:v>1.96</c:v>
                </c:pt>
                <c:pt idx="7">
                  <c:v>2.19</c:v>
                </c:pt>
                <c:pt idx="8">
                  <c:v>2.4</c:v>
                </c:pt>
                <c:pt idx="9">
                  <c:v>2.61</c:v>
                </c:pt>
                <c:pt idx="10">
                  <c:v>2.82</c:v>
                </c:pt>
                <c:pt idx="11">
                  <c:v>3.02</c:v>
                </c:pt>
                <c:pt idx="12">
                  <c:v>3.23</c:v>
                </c:pt>
                <c:pt idx="13">
                  <c:v>3.42</c:v>
                </c:pt>
                <c:pt idx="14">
                  <c:v>3.62</c:v>
                </c:pt>
                <c:pt idx="15">
                  <c:v>3.82</c:v>
                </c:pt>
                <c:pt idx="16">
                  <c:v>4.0199999999999996</c:v>
                </c:pt>
                <c:pt idx="17">
                  <c:v>4.22</c:v>
                </c:pt>
                <c:pt idx="18">
                  <c:v>4.43</c:v>
                </c:pt>
              </c:numCache>
            </c:numRef>
          </c:yVal>
          <c:smooth val="1"/>
          <c:extLst>
            <c:ext xmlns:c16="http://schemas.microsoft.com/office/drawing/2014/chart" uri="{C3380CC4-5D6E-409C-BE32-E72D297353CC}">
              <c16:uniqueId val="{00000001-523C-4E00-8692-DA6581FD0E20}"/>
            </c:ext>
          </c:extLst>
        </c:ser>
        <c:ser>
          <c:idx val="2"/>
          <c:order val="2"/>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'run speed'!$G$2:$Y$2</c:f>
              <c:numCache>
                <c:formatCode>General</c:formatCode>
                <c:ptCount val="19"/>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numCache>
            </c:numRef>
          </c:xVal>
          <c:yVal>
            <c:numRef>
              <c:f>'run speed'!$G$5:$Y$5</c:f>
              <c:numCache>
                <c:formatCode>General</c:formatCode>
                <c:ptCount val="19"/>
                <c:pt idx="0">
                  <c:v>0</c:v>
                </c:pt>
                <c:pt idx="1">
                  <c:v>0.6</c:v>
                </c:pt>
                <c:pt idx="2">
                  <c:v>0.93</c:v>
                </c:pt>
                <c:pt idx="3">
                  <c:v>1.2</c:v>
                </c:pt>
                <c:pt idx="4">
                  <c:v>1.45</c:v>
                </c:pt>
                <c:pt idx="5">
                  <c:v>1.69</c:v>
                </c:pt>
                <c:pt idx="6">
                  <c:v>1.92</c:v>
                </c:pt>
                <c:pt idx="7">
                  <c:v>2.14</c:v>
                </c:pt>
                <c:pt idx="8">
                  <c:v>2.36</c:v>
                </c:pt>
                <c:pt idx="9">
                  <c:v>2.56</c:v>
                </c:pt>
                <c:pt idx="10">
                  <c:v>2.76</c:v>
                </c:pt>
                <c:pt idx="11">
                  <c:v>2.95</c:v>
                </c:pt>
                <c:pt idx="12">
                  <c:v>3.14</c:v>
                </c:pt>
                <c:pt idx="13">
                  <c:v>3.33</c:v>
                </c:pt>
                <c:pt idx="14">
                  <c:v>3.52</c:v>
                </c:pt>
                <c:pt idx="15">
                  <c:v>3.71</c:v>
                </c:pt>
                <c:pt idx="16">
                  <c:v>3.89</c:v>
                </c:pt>
                <c:pt idx="17">
                  <c:v>4.09</c:v>
                </c:pt>
                <c:pt idx="18">
                  <c:v>4.29</c:v>
                </c:pt>
              </c:numCache>
            </c:numRef>
          </c:yVal>
          <c:smooth val="1"/>
          <c:extLst>
            <c:ext xmlns:c16="http://schemas.microsoft.com/office/drawing/2014/chart" uri="{C3380CC4-5D6E-409C-BE32-E72D297353CC}">
              <c16:uniqueId val="{00000002-523C-4E00-8692-DA6581FD0E20}"/>
            </c:ext>
          </c:extLst>
        </c:ser>
        <c:ser>
          <c:idx val="3"/>
          <c:order val="3"/>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f>'run speed'!$G$2:$Y$2</c:f>
              <c:numCache>
                <c:formatCode>General</c:formatCode>
                <c:ptCount val="19"/>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numCache>
            </c:numRef>
          </c:xVal>
          <c:yVal>
            <c:numRef>
              <c:f>'run speed'!$G$6:$Y$6</c:f>
              <c:numCache>
                <c:formatCode>General</c:formatCode>
                <c:ptCount val="19"/>
                <c:pt idx="0">
                  <c:v>0</c:v>
                </c:pt>
                <c:pt idx="1">
                  <c:v>0.56000000000000005</c:v>
                </c:pt>
                <c:pt idx="2">
                  <c:v>0.9</c:v>
                </c:pt>
                <c:pt idx="3">
                  <c:v>1.18</c:v>
                </c:pt>
                <c:pt idx="4">
                  <c:v>1.43</c:v>
                </c:pt>
                <c:pt idx="5">
                  <c:v>1.67</c:v>
                </c:pt>
                <c:pt idx="6">
                  <c:v>1.89</c:v>
                </c:pt>
                <c:pt idx="7">
                  <c:v>2.1</c:v>
                </c:pt>
                <c:pt idx="8">
                  <c:v>2.31</c:v>
                </c:pt>
                <c:pt idx="9">
                  <c:v>2.5099999999999998</c:v>
                </c:pt>
                <c:pt idx="10">
                  <c:v>2.71</c:v>
                </c:pt>
                <c:pt idx="11">
                  <c:v>2.9</c:v>
                </c:pt>
                <c:pt idx="12">
                  <c:v>3.09</c:v>
                </c:pt>
                <c:pt idx="13">
                  <c:v>3.28</c:v>
                </c:pt>
                <c:pt idx="14">
                  <c:v>3.46</c:v>
                </c:pt>
                <c:pt idx="15">
                  <c:v>3.65</c:v>
                </c:pt>
                <c:pt idx="16">
                  <c:v>3.84</c:v>
                </c:pt>
                <c:pt idx="17">
                  <c:v>4.0199999999999996</c:v>
                </c:pt>
                <c:pt idx="18">
                  <c:v>4.21</c:v>
                </c:pt>
              </c:numCache>
            </c:numRef>
          </c:yVal>
          <c:smooth val="1"/>
          <c:extLst>
            <c:ext xmlns:c16="http://schemas.microsoft.com/office/drawing/2014/chart" uri="{C3380CC4-5D6E-409C-BE32-E72D297353CC}">
              <c16:uniqueId val="{00000003-523C-4E00-8692-DA6581FD0E20}"/>
            </c:ext>
          </c:extLst>
        </c:ser>
        <c:ser>
          <c:idx val="4"/>
          <c:order val="4"/>
          <c:spPr>
            <a:ln w="19050" cap="rnd">
              <a:solidFill>
                <a:schemeClr val="accent5"/>
              </a:solidFill>
              <a:round/>
            </a:ln>
            <a:effectLst/>
          </c:spPr>
          <c:marker>
            <c:symbol val="circle"/>
            <c:size val="5"/>
            <c:spPr>
              <a:solidFill>
                <a:schemeClr val="accent5"/>
              </a:solidFill>
              <a:ln w="9525">
                <a:solidFill>
                  <a:schemeClr val="accent5"/>
                </a:solidFill>
              </a:ln>
              <a:effectLst/>
            </c:spPr>
          </c:marker>
          <c:xVal>
            <c:numRef>
              <c:f>'run speed'!$G$2:$Y$2</c:f>
              <c:numCache>
                <c:formatCode>General</c:formatCode>
                <c:ptCount val="19"/>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numCache>
            </c:numRef>
          </c:xVal>
          <c:yVal>
            <c:numRef>
              <c:f>'run speed'!$G$7:$Y$7</c:f>
              <c:numCache>
                <c:formatCode>General</c:formatCode>
                <c:ptCount val="19"/>
                <c:pt idx="0">
                  <c:v>0</c:v>
                </c:pt>
                <c:pt idx="1">
                  <c:v>0.56000000000000005</c:v>
                </c:pt>
                <c:pt idx="2">
                  <c:v>0.89</c:v>
                </c:pt>
                <c:pt idx="3">
                  <c:v>1.17</c:v>
                </c:pt>
                <c:pt idx="4">
                  <c:v>1.42</c:v>
                </c:pt>
                <c:pt idx="5">
                  <c:v>1.65</c:v>
                </c:pt>
                <c:pt idx="6">
                  <c:v>1.86</c:v>
                </c:pt>
                <c:pt idx="7">
                  <c:v>2.0699999999999998</c:v>
                </c:pt>
                <c:pt idx="8">
                  <c:v>2.27</c:v>
                </c:pt>
                <c:pt idx="9">
                  <c:v>2.4700000000000002</c:v>
                </c:pt>
                <c:pt idx="10">
                  <c:v>2.66</c:v>
                </c:pt>
                <c:pt idx="11">
                  <c:v>2.85</c:v>
                </c:pt>
                <c:pt idx="12">
                  <c:v>3.03</c:v>
                </c:pt>
                <c:pt idx="13">
                  <c:v>3.22</c:v>
                </c:pt>
                <c:pt idx="14">
                  <c:v>3.4</c:v>
                </c:pt>
                <c:pt idx="15">
                  <c:v>3.58</c:v>
                </c:pt>
                <c:pt idx="16">
                  <c:v>3.76</c:v>
                </c:pt>
                <c:pt idx="17">
                  <c:v>3.95</c:v>
                </c:pt>
                <c:pt idx="18">
                  <c:v>4.1500000000000004</c:v>
                </c:pt>
              </c:numCache>
            </c:numRef>
          </c:yVal>
          <c:smooth val="1"/>
          <c:extLst>
            <c:ext xmlns:c16="http://schemas.microsoft.com/office/drawing/2014/chart" uri="{C3380CC4-5D6E-409C-BE32-E72D297353CC}">
              <c16:uniqueId val="{00000004-523C-4E00-8692-DA6581FD0E20}"/>
            </c:ext>
          </c:extLst>
        </c:ser>
        <c:ser>
          <c:idx val="5"/>
          <c:order val="5"/>
          <c:spPr>
            <a:ln w="19050" cap="rnd">
              <a:solidFill>
                <a:schemeClr val="accent6"/>
              </a:solidFill>
              <a:round/>
            </a:ln>
            <a:effectLst/>
          </c:spPr>
          <c:marker>
            <c:symbol val="circle"/>
            <c:size val="5"/>
            <c:spPr>
              <a:solidFill>
                <a:schemeClr val="accent6"/>
              </a:solidFill>
              <a:ln w="9525">
                <a:solidFill>
                  <a:schemeClr val="accent6"/>
                </a:solidFill>
              </a:ln>
              <a:effectLst/>
            </c:spPr>
          </c:marker>
          <c:xVal>
            <c:numRef>
              <c:f>'run speed'!$G$2:$Y$2</c:f>
              <c:numCache>
                <c:formatCode>General</c:formatCode>
                <c:ptCount val="19"/>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numCache>
            </c:numRef>
          </c:xVal>
          <c:yVal>
            <c:numRef>
              <c:f>'run speed'!$G$8:$Y$8</c:f>
              <c:numCache>
                <c:formatCode>General</c:formatCode>
                <c:ptCount val="19"/>
                <c:pt idx="0">
                  <c:v>0</c:v>
                </c:pt>
                <c:pt idx="1">
                  <c:v>0.54</c:v>
                </c:pt>
                <c:pt idx="2">
                  <c:v>0.86</c:v>
                </c:pt>
                <c:pt idx="3">
                  <c:v>1.1299999999999999</c:v>
                </c:pt>
                <c:pt idx="4">
                  <c:v>1.36</c:v>
                </c:pt>
                <c:pt idx="5">
                  <c:v>1.59</c:v>
                </c:pt>
                <c:pt idx="6">
                  <c:v>1.79</c:v>
                </c:pt>
                <c:pt idx="7">
                  <c:v>1.99</c:v>
                </c:pt>
                <c:pt idx="8">
                  <c:v>2.1800000000000002</c:v>
                </c:pt>
                <c:pt idx="9">
                  <c:v>2.37</c:v>
                </c:pt>
                <c:pt idx="10">
                  <c:v>2.56</c:v>
                </c:pt>
                <c:pt idx="11">
                  <c:v>2.74</c:v>
                </c:pt>
                <c:pt idx="12">
                  <c:v>2.92</c:v>
                </c:pt>
                <c:pt idx="13">
                  <c:v>3.1</c:v>
                </c:pt>
                <c:pt idx="14">
                  <c:v>3.27</c:v>
                </c:pt>
                <c:pt idx="15">
                  <c:v>3.44</c:v>
                </c:pt>
                <c:pt idx="16">
                  <c:v>3.62</c:v>
                </c:pt>
                <c:pt idx="17">
                  <c:v>3.79</c:v>
                </c:pt>
                <c:pt idx="18">
                  <c:v>3.98</c:v>
                </c:pt>
              </c:numCache>
            </c:numRef>
          </c:yVal>
          <c:smooth val="1"/>
          <c:extLst>
            <c:ext xmlns:c16="http://schemas.microsoft.com/office/drawing/2014/chart" uri="{C3380CC4-5D6E-409C-BE32-E72D297353CC}">
              <c16:uniqueId val="{00000005-523C-4E00-8692-DA6581FD0E20}"/>
            </c:ext>
          </c:extLst>
        </c:ser>
        <c:ser>
          <c:idx val="6"/>
          <c:order val="6"/>
          <c:spPr>
            <a:ln w="19050"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xVal>
            <c:numRef>
              <c:f>'run speed'!$G$2:$Y$2</c:f>
              <c:numCache>
                <c:formatCode>General</c:formatCode>
                <c:ptCount val="19"/>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numCache>
            </c:numRef>
          </c:xVal>
          <c:yVal>
            <c:numRef>
              <c:f>'run speed'!$G$9:$Y$9</c:f>
              <c:numCache>
                <c:formatCode>General</c:formatCode>
                <c:ptCount val="19"/>
                <c:pt idx="0">
                  <c:v>0</c:v>
                </c:pt>
                <c:pt idx="1">
                  <c:v>0.56999999999999995</c:v>
                </c:pt>
                <c:pt idx="2">
                  <c:v>0.88</c:v>
                </c:pt>
                <c:pt idx="3">
                  <c:v>1.1299999999999999</c:v>
                </c:pt>
                <c:pt idx="4">
                  <c:v>1.37</c:v>
                </c:pt>
                <c:pt idx="5">
                  <c:v>1.58</c:v>
                </c:pt>
                <c:pt idx="6">
                  <c:v>1.78</c:v>
                </c:pt>
                <c:pt idx="7">
                  <c:v>1.97</c:v>
                </c:pt>
                <c:pt idx="8">
                  <c:v>2.16</c:v>
                </c:pt>
                <c:pt idx="9">
                  <c:v>2.35</c:v>
                </c:pt>
                <c:pt idx="10">
                  <c:v>2.52</c:v>
                </c:pt>
                <c:pt idx="11">
                  <c:v>2.7</c:v>
                </c:pt>
                <c:pt idx="12">
                  <c:v>2.88</c:v>
                </c:pt>
                <c:pt idx="13">
                  <c:v>3.06</c:v>
                </c:pt>
                <c:pt idx="14">
                  <c:v>3.23</c:v>
                </c:pt>
                <c:pt idx="15">
                  <c:v>3.39</c:v>
                </c:pt>
                <c:pt idx="16">
                  <c:v>3.56</c:v>
                </c:pt>
                <c:pt idx="17">
                  <c:v>3.73</c:v>
                </c:pt>
                <c:pt idx="18">
                  <c:v>3.91</c:v>
                </c:pt>
              </c:numCache>
            </c:numRef>
          </c:yVal>
          <c:smooth val="1"/>
          <c:extLst>
            <c:ext xmlns:c16="http://schemas.microsoft.com/office/drawing/2014/chart" uri="{C3380CC4-5D6E-409C-BE32-E72D297353CC}">
              <c16:uniqueId val="{00000006-523C-4E00-8692-DA6581FD0E20}"/>
            </c:ext>
          </c:extLst>
        </c:ser>
        <c:ser>
          <c:idx val="7"/>
          <c:order val="7"/>
          <c:spPr>
            <a:ln w="19050" cap="rnd">
              <a:solidFill>
                <a:schemeClr val="accent2">
                  <a:lumMod val="60000"/>
                </a:schemeClr>
              </a:solidFill>
              <a:round/>
            </a:ln>
            <a:effectLst/>
          </c:spPr>
          <c:marker>
            <c:symbol val="circle"/>
            <c:size val="5"/>
            <c:spPr>
              <a:solidFill>
                <a:schemeClr val="accent2">
                  <a:lumMod val="60000"/>
                </a:schemeClr>
              </a:solidFill>
              <a:ln w="9525">
                <a:solidFill>
                  <a:schemeClr val="accent2">
                    <a:lumMod val="60000"/>
                  </a:schemeClr>
                </a:solidFill>
              </a:ln>
              <a:effectLst/>
            </c:spPr>
          </c:marker>
          <c:xVal>
            <c:numRef>
              <c:f>'run speed'!$G$2:$Y$2</c:f>
              <c:numCache>
                <c:formatCode>General</c:formatCode>
                <c:ptCount val="19"/>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numCache>
            </c:numRef>
          </c:xVal>
          <c:yVal>
            <c:numRef>
              <c:f>'run speed'!$G$10:$Y$10</c:f>
              <c:numCache>
                <c:formatCode>General</c:formatCode>
                <c:ptCount val="19"/>
                <c:pt idx="0">
                  <c:v>0</c:v>
                </c:pt>
                <c:pt idx="1">
                  <c:v>0.53</c:v>
                </c:pt>
                <c:pt idx="2">
                  <c:v>0.83</c:v>
                </c:pt>
                <c:pt idx="3">
                  <c:v>1.0900000000000001</c:v>
                </c:pt>
                <c:pt idx="4">
                  <c:v>1.31</c:v>
                </c:pt>
                <c:pt idx="5">
                  <c:v>1.53</c:v>
                </c:pt>
                <c:pt idx="6">
                  <c:v>1.73</c:v>
                </c:pt>
                <c:pt idx="7">
                  <c:v>1.93</c:v>
                </c:pt>
                <c:pt idx="8">
                  <c:v>2.12</c:v>
                </c:pt>
                <c:pt idx="9">
                  <c:v>2.2999999999999998</c:v>
                </c:pt>
                <c:pt idx="10">
                  <c:v>2.48</c:v>
                </c:pt>
                <c:pt idx="11">
                  <c:v>2.66</c:v>
                </c:pt>
                <c:pt idx="12">
                  <c:v>2.84</c:v>
                </c:pt>
                <c:pt idx="13">
                  <c:v>3.01</c:v>
                </c:pt>
                <c:pt idx="14">
                  <c:v>3.18</c:v>
                </c:pt>
                <c:pt idx="15">
                  <c:v>3.35</c:v>
                </c:pt>
                <c:pt idx="16">
                  <c:v>3.52</c:v>
                </c:pt>
                <c:pt idx="17">
                  <c:v>3.7</c:v>
                </c:pt>
                <c:pt idx="18">
                  <c:v>3.9</c:v>
                </c:pt>
              </c:numCache>
            </c:numRef>
          </c:yVal>
          <c:smooth val="1"/>
          <c:extLst>
            <c:ext xmlns:c16="http://schemas.microsoft.com/office/drawing/2014/chart" uri="{C3380CC4-5D6E-409C-BE32-E72D297353CC}">
              <c16:uniqueId val="{00000007-523C-4E00-8692-DA6581FD0E20}"/>
            </c:ext>
          </c:extLst>
        </c:ser>
        <c:ser>
          <c:idx val="8"/>
          <c:order val="8"/>
          <c:spPr>
            <a:ln w="19050" cap="rnd">
              <a:solidFill>
                <a:schemeClr val="accent3">
                  <a:lumMod val="60000"/>
                </a:schemeClr>
              </a:solidFill>
              <a:round/>
            </a:ln>
            <a:effectLst/>
          </c:spPr>
          <c:marker>
            <c:symbol val="circle"/>
            <c:size val="5"/>
            <c:spPr>
              <a:solidFill>
                <a:schemeClr val="accent3">
                  <a:lumMod val="60000"/>
                </a:schemeClr>
              </a:solidFill>
              <a:ln w="9525">
                <a:solidFill>
                  <a:schemeClr val="accent3">
                    <a:lumMod val="60000"/>
                  </a:schemeClr>
                </a:solidFill>
              </a:ln>
              <a:effectLst/>
            </c:spPr>
          </c:marker>
          <c:xVal>
            <c:numRef>
              <c:f>'run speed'!$G$2:$Y$2</c:f>
              <c:numCache>
                <c:formatCode>General</c:formatCode>
                <c:ptCount val="19"/>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numCache>
            </c:numRef>
          </c:xVal>
          <c:yVal>
            <c:numRef>
              <c:f>'run speed'!$G$11:$Y$11</c:f>
              <c:numCache>
                <c:formatCode>General</c:formatCode>
                <c:ptCount val="19"/>
                <c:pt idx="0">
                  <c:v>0</c:v>
                </c:pt>
                <c:pt idx="1">
                  <c:v>0.53</c:v>
                </c:pt>
                <c:pt idx="2">
                  <c:v>0.81</c:v>
                </c:pt>
                <c:pt idx="3">
                  <c:v>1.06</c:v>
                </c:pt>
                <c:pt idx="4">
                  <c:v>1.28</c:v>
                </c:pt>
                <c:pt idx="5">
                  <c:v>1.48</c:v>
                </c:pt>
                <c:pt idx="6">
                  <c:v>1.67</c:v>
                </c:pt>
                <c:pt idx="7">
                  <c:v>1.86</c:v>
                </c:pt>
                <c:pt idx="8">
                  <c:v>2.04</c:v>
                </c:pt>
                <c:pt idx="9">
                  <c:v>2.23</c:v>
                </c:pt>
                <c:pt idx="10">
                  <c:v>2.4</c:v>
                </c:pt>
                <c:pt idx="11">
                  <c:v>2.58</c:v>
                </c:pt>
                <c:pt idx="12">
                  <c:v>2.75</c:v>
                </c:pt>
                <c:pt idx="13">
                  <c:v>2.93</c:v>
                </c:pt>
                <c:pt idx="14">
                  <c:v>3.1</c:v>
                </c:pt>
                <c:pt idx="15">
                  <c:v>3.28</c:v>
                </c:pt>
                <c:pt idx="16">
                  <c:v>3.45</c:v>
                </c:pt>
                <c:pt idx="17">
                  <c:v>3.65</c:v>
                </c:pt>
                <c:pt idx="18">
                  <c:v>3.82</c:v>
                </c:pt>
              </c:numCache>
            </c:numRef>
          </c:yVal>
          <c:smooth val="1"/>
          <c:extLst>
            <c:ext xmlns:c16="http://schemas.microsoft.com/office/drawing/2014/chart" uri="{C3380CC4-5D6E-409C-BE32-E72D297353CC}">
              <c16:uniqueId val="{00000008-523C-4E00-8692-DA6581FD0E20}"/>
            </c:ext>
          </c:extLst>
        </c:ser>
        <c:ser>
          <c:idx val="9"/>
          <c:order val="9"/>
          <c:spPr>
            <a:ln w="19050" cap="rnd">
              <a:solidFill>
                <a:schemeClr val="accent4">
                  <a:lumMod val="60000"/>
                </a:schemeClr>
              </a:solidFill>
              <a:round/>
            </a:ln>
            <a:effectLst/>
          </c:spPr>
          <c:marker>
            <c:symbol val="circle"/>
            <c:size val="5"/>
            <c:spPr>
              <a:solidFill>
                <a:schemeClr val="accent4">
                  <a:lumMod val="60000"/>
                </a:schemeClr>
              </a:solidFill>
              <a:ln w="9525">
                <a:solidFill>
                  <a:schemeClr val="accent4">
                    <a:lumMod val="60000"/>
                  </a:schemeClr>
                </a:solidFill>
              </a:ln>
              <a:effectLst/>
            </c:spPr>
          </c:marker>
          <c:xVal>
            <c:numRef>
              <c:f>'run speed'!$G$2:$Y$2</c:f>
              <c:numCache>
                <c:formatCode>General</c:formatCode>
                <c:ptCount val="19"/>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numCache>
            </c:numRef>
          </c:xVal>
          <c:yVal>
            <c:numRef>
              <c:f>'run speed'!$G$12:$Y$12</c:f>
              <c:numCache>
                <c:formatCode>General</c:formatCode>
                <c:ptCount val="19"/>
                <c:pt idx="0">
                  <c:v>0</c:v>
                </c:pt>
                <c:pt idx="1">
                  <c:v>0.54</c:v>
                </c:pt>
                <c:pt idx="2">
                  <c:v>0.84</c:v>
                </c:pt>
                <c:pt idx="3">
                  <c:v>1.0900000000000001</c:v>
                </c:pt>
                <c:pt idx="4">
                  <c:v>1.32</c:v>
                </c:pt>
                <c:pt idx="5">
                  <c:v>1.53</c:v>
                </c:pt>
                <c:pt idx="6">
                  <c:v>1.74</c:v>
                </c:pt>
                <c:pt idx="7">
                  <c:v>1.93</c:v>
                </c:pt>
                <c:pt idx="8">
                  <c:v>2.12</c:v>
                </c:pt>
                <c:pt idx="9">
                  <c:v>2.2999999999999998</c:v>
                </c:pt>
                <c:pt idx="10">
                  <c:v>2.48</c:v>
                </c:pt>
                <c:pt idx="11">
                  <c:v>2.65</c:v>
                </c:pt>
                <c:pt idx="12">
                  <c:v>2.83</c:v>
                </c:pt>
                <c:pt idx="13">
                  <c:v>3</c:v>
                </c:pt>
                <c:pt idx="14">
                  <c:v>3.17</c:v>
                </c:pt>
                <c:pt idx="15">
                  <c:v>3.33</c:v>
                </c:pt>
                <c:pt idx="16">
                  <c:v>3.5</c:v>
                </c:pt>
                <c:pt idx="17">
                  <c:v>3.67</c:v>
                </c:pt>
                <c:pt idx="18">
                  <c:v>3.86</c:v>
                </c:pt>
              </c:numCache>
            </c:numRef>
          </c:yVal>
          <c:smooth val="1"/>
          <c:extLst>
            <c:ext xmlns:c16="http://schemas.microsoft.com/office/drawing/2014/chart" uri="{C3380CC4-5D6E-409C-BE32-E72D297353CC}">
              <c16:uniqueId val="{00000009-523C-4E00-8692-DA6581FD0E20}"/>
            </c:ext>
          </c:extLst>
        </c:ser>
        <c:ser>
          <c:idx val="10"/>
          <c:order val="10"/>
          <c:spPr>
            <a:ln w="19050" cap="rnd">
              <a:solidFill>
                <a:schemeClr val="accent5">
                  <a:lumMod val="60000"/>
                </a:schemeClr>
              </a:solidFill>
              <a:round/>
            </a:ln>
            <a:effectLst/>
          </c:spPr>
          <c:marker>
            <c:symbol val="circle"/>
            <c:size val="5"/>
            <c:spPr>
              <a:solidFill>
                <a:schemeClr val="accent5">
                  <a:lumMod val="60000"/>
                </a:schemeClr>
              </a:solidFill>
              <a:ln w="9525">
                <a:solidFill>
                  <a:schemeClr val="accent5">
                    <a:lumMod val="60000"/>
                  </a:schemeClr>
                </a:solidFill>
              </a:ln>
              <a:effectLst/>
            </c:spPr>
          </c:marker>
          <c:xVal>
            <c:numRef>
              <c:f>'run speed'!$G$2:$Y$2</c:f>
              <c:numCache>
                <c:formatCode>General</c:formatCode>
                <c:ptCount val="19"/>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numCache>
            </c:numRef>
          </c:xVal>
          <c:yVal>
            <c:numRef>
              <c:f>'run speed'!$G$13:$Y$13</c:f>
              <c:numCache>
                <c:formatCode>General</c:formatCode>
                <c:ptCount val="19"/>
                <c:pt idx="0">
                  <c:v>0</c:v>
                </c:pt>
                <c:pt idx="1">
                  <c:v>0.56999999999999995</c:v>
                </c:pt>
                <c:pt idx="2">
                  <c:v>0.9</c:v>
                </c:pt>
                <c:pt idx="3">
                  <c:v>1.17</c:v>
                </c:pt>
                <c:pt idx="4">
                  <c:v>1.41</c:v>
                </c:pt>
                <c:pt idx="5">
                  <c:v>1.63</c:v>
                </c:pt>
                <c:pt idx="6">
                  <c:v>1.85</c:v>
                </c:pt>
                <c:pt idx="7">
                  <c:v>2.0499999999999998</c:v>
                </c:pt>
                <c:pt idx="8">
                  <c:v>2.25</c:v>
                </c:pt>
                <c:pt idx="9">
                  <c:v>2.44</c:v>
                </c:pt>
                <c:pt idx="10">
                  <c:v>2.62</c:v>
                </c:pt>
                <c:pt idx="11">
                  <c:v>2.8</c:v>
                </c:pt>
                <c:pt idx="12">
                  <c:v>2.97</c:v>
                </c:pt>
                <c:pt idx="13">
                  <c:v>3.15</c:v>
                </c:pt>
                <c:pt idx="14">
                  <c:v>3.32</c:v>
                </c:pt>
                <c:pt idx="15">
                  <c:v>3.5</c:v>
                </c:pt>
                <c:pt idx="16">
                  <c:v>3.67</c:v>
                </c:pt>
                <c:pt idx="17">
                  <c:v>3.85</c:v>
                </c:pt>
                <c:pt idx="18">
                  <c:v>4.03</c:v>
                </c:pt>
              </c:numCache>
            </c:numRef>
          </c:yVal>
          <c:smooth val="1"/>
          <c:extLst>
            <c:ext xmlns:c16="http://schemas.microsoft.com/office/drawing/2014/chart" uri="{C3380CC4-5D6E-409C-BE32-E72D297353CC}">
              <c16:uniqueId val="{0000000A-523C-4E00-8692-DA6581FD0E20}"/>
            </c:ext>
          </c:extLst>
        </c:ser>
        <c:ser>
          <c:idx val="11"/>
          <c:order val="11"/>
          <c:spPr>
            <a:ln w="19050" cap="rnd">
              <a:solidFill>
                <a:schemeClr val="accent6">
                  <a:lumMod val="60000"/>
                </a:schemeClr>
              </a:solidFill>
              <a:round/>
            </a:ln>
            <a:effectLst/>
          </c:spPr>
          <c:marker>
            <c:symbol val="circle"/>
            <c:size val="5"/>
            <c:spPr>
              <a:solidFill>
                <a:schemeClr val="accent6">
                  <a:lumMod val="60000"/>
                </a:schemeClr>
              </a:solidFill>
              <a:ln w="9525">
                <a:solidFill>
                  <a:schemeClr val="accent6">
                    <a:lumMod val="60000"/>
                  </a:schemeClr>
                </a:solidFill>
              </a:ln>
              <a:effectLst/>
            </c:spPr>
          </c:marker>
          <c:xVal>
            <c:numRef>
              <c:f>'run speed'!$G$2:$Y$2</c:f>
              <c:numCache>
                <c:formatCode>General</c:formatCode>
                <c:ptCount val="19"/>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numCache>
            </c:numRef>
          </c:xVal>
          <c:yVal>
            <c:numRef>
              <c:f>'run speed'!$G$14:$Y$14</c:f>
              <c:numCache>
                <c:formatCode>General</c:formatCode>
                <c:ptCount val="19"/>
                <c:pt idx="0">
                  <c:v>0</c:v>
                </c:pt>
                <c:pt idx="1">
                  <c:v>0.56999999999999995</c:v>
                </c:pt>
                <c:pt idx="2">
                  <c:v>0.9</c:v>
                </c:pt>
                <c:pt idx="3">
                  <c:v>1.17</c:v>
                </c:pt>
                <c:pt idx="4">
                  <c:v>1.41</c:v>
                </c:pt>
                <c:pt idx="5">
                  <c:v>1.63</c:v>
                </c:pt>
                <c:pt idx="6">
                  <c:v>1.84</c:v>
                </c:pt>
                <c:pt idx="7">
                  <c:v>2.04</c:v>
                </c:pt>
                <c:pt idx="8">
                  <c:v>2.23</c:v>
                </c:pt>
                <c:pt idx="9">
                  <c:v>2.42</c:v>
                </c:pt>
                <c:pt idx="10">
                  <c:v>2.61</c:v>
                </c:pt>
                <c:pt idx="11">
                  <c:v>2.79</c:v>
                </c:pt>
                <c:pt idx="12">
                  <c:v>2.96</c:v>
                </c:pt>
                <c:pt idx="13">
                  <c:v>3.14</c:v>
                </c:pt>
                <c:pt idx="14">
                  <c:v>3.31</c:v>
                </c:pt>
                <c:pt idx="15">
                  <c:v>3.48</c:v>
                </c:pt>
                <c:pt idx="16">
                  <c:v>3.65</c:v>
                </c:pt>
                <c:pt idx="17">
                  <c:v>3.82</c:v>
                </c:pt>
                <c:pt idx="18">
                  <c:v>4</c:v>
                </c:pt>
              </c:numCache>
            </c:numRef>
          </c:yVal>
          <c:smooth val="1"/>
          <c:extLst>
            <c:ext xmlns:c16="http://schemas.microsoft.com/office/drawing/2014/chart" uri="{C3380CC4-5D6E-409C-BE32-E72D297353CC}">
              <c16:uniqueId val="{0000000B-523C-4E00-8692-DA6581FD0E20}"/>
            </c:ext>
          </c:extLst>
        </c:ser>
        <c:ser>
          <c:idx val="12"/>
          <c:order val="12"/>
          <c:spPr>
            <a:ln w="19050" cap="rnd">
              <a:solidFill>
                <a:schemeClr val="accent1">
                  <a:lumMod val="80000"/>
                  <a:lumOff val="20000"/>
                </a:schemeClr>
              </a:solidFill>
              <a:round/>
            </a:ln>
            <a:effectLst/>
          </c:spPr>
          <c:marker>
            <c:symbol val="circle"/>
            <c:size val="5"/>
            <c:spPr>
              <a:solidFill>
                <a:schemeClr val="accent1">
                  <a:lumMod val="80000"/>
                  <a:lumOff val="20000"/>
                </a:schemeClr>
              </a:solidFill>
              <a:ln w="9525">
                <a:solidFill>
                  <a:schemeClr val="accent1">
                    <a:lumMod val="80000"/>
                    <a:lumOff val="20000"/>
                  </a:schemeClr>
                </a:solidFill>
              </a:ln>
              <a:effectLst/>
            </c:spPr>
          </c:marker>
          <c:xVal>
            <c:numRef>
              <c:f>'run speed'!$G$2:$Y$2</c:f>
              <c:numCache>
                <c:formatCode>General</c:formatCode>
                <c:ptCount val="19"/>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numCache>
            </c:numRef>
          </c:xVal>
          <c:yVal>
            <c:numRef>
              <c:f>'run speed'!$G$15:$Y$15</c:f>
              <c:numCache>
                <c:formatCode>General</c:formatCode>
                <c:ptCount val="19"/>
                <c:pt idx="0">
                  <c:v>0</c:v>
                </c:pt>
                <c:pt idx="1">
                  <c:v>0.56000000000000005</c:v>
                </c:pt>
                <c:pt idx="2">
                  <c:v>0.87</c:v>
                </c:pt>
                <c:pt idx="3">
                  <c:v>1.1399999999999999</c:v>
                </c:pt>
                <c:pt idx="4">
                  <c:v>1.37</c:v>
                </c:pt>
                <c:pt idx="5">
                  <c:v>1.59</c:v>
                </c:pt>
                <c:pt idx="6">
                  <c:v>1.8</c:v>
                </c:pt>
                <c:pt idx="7">
                  <c:v>2</c:v>
                </c:pt>
                <c:pt idx="8">
                  <c:v>2.2000000000000002</c:v>
                </c:pt>
                <c:pt idx="9">
                  <c:v>2.39</c:v>
                </c:pt>
                <c:pt idx="10">
                  <c:v>2.57</c:v>
                </c:pt>
                <c:pt idx="11">
                  <c:v>2.76</c:v>
                </c:pt>
                <c:pt idx="12">
                  <c:v>2.94</c:v>
                </c:pt>
                <c:pt idx="13">
                  <c:v>3.12</c:v>
                </c:pt>
                <c:pt idx="14">
                  <c:v>3.29</c:v>
                </c:pt>
                <c:pt idx="15">
                  <c:v>3.47</c:v>
                </c:pt>
                <c:pt idx="16">
                  <c:v>3.65</c:v>
                </c:pt>
                <c:pt idx="17">
                  <c:v>3.82</c:v>
                </c:pt>
                <c:pt idx="18">
                  <c:v>4.01</c:v>
                </c:pt>
              </c:numCache>
            </c:numRef>
          </c:yVal>
          <c:smooth val="1"/>
          <c:extLst>
            <c:ext xmlns:c16="http://schemas.microsoft.com/office/drawing/2014/chart" uri="{C3380CC4-5D6E-409C-BE32-E72D297353CC}">
              <c16:uniqueId val="{0000000C-523C-4E00-8692-DA6581FD0E20}"/>
            </c:ext>
          </c:extLst>
        </c:ser>
        <c:dLbls>
          <c:showLegendKey val="0"/>
          <c:showVal val="0"/>
          <c:showCatName val="0"/>
          <c:showSerName val="0"/>
          <c:showPercent val="0"/>
          <c:showBubbleSize val="0"/>
        </c:dLbls>
        <c:axId val="514732648"/>
        <c:axId val="514733632"/>
      </c:scatterChart>
      <c:valAx>
        <c:axId val="51473264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4733632"/>
        <c:crosses val="autoZero"/>
        <c:crossBetween val="midCat"/>
      </c:valAx>
      <c:valAx>
        <c:axId val="51473363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4732648"/>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'pitch outcomes'!$B$1</c:f>
              <c:strCache>
                <c:ptCount val="1"/>
                <c:pt idx="0">
                  <c:v>Ball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'pitch outcomes'!$A$2:$A$13</c:f>
              <c:numCache>
                <c:formatCode>General</c:formatCode>
                <c:ptCount val="12"/>
                <c:pt idx="0">
                  <c:v>1988</c:v>
                </c:pt>
                <c:pt idx="1">
                  <c:v>1989</c:v>
                </c:pt>
                <c:pt idx="2">
                  <c:v>1990</c:v>
                </c:pt>
                <c:pt idx="3">
                  <c:v>1991</c:v>
                </c:pt>
                <c:pt idx="4">
                  <c:v>1992</c:v>
                </c:pt>
                <c:pt idx="5">
                  <c:v>1993</c:v>
                </c:pt>
                <c:pt idx="6">
                  <c:v>1994</c:v>
                </c:pt>
                <c:pt idx="7">
                  <c:v>1995</c:v>
                </c:pt>
                <c:pt idx="8">
                  <c:v>1996</c:v>
                </c:pt>
                <c:pt idx="9">
                  <c:v>1997</c:v>
                </c:pt>
                <c:pt idx="10">
                  <c:v>1998</c:v>
                </c:pt>
                <c:pt idx="11">
                  <c:v>1999</c:v>
                </c:pt>
              </c:numCache>
            </c:numRef>
          </c:cat>
          <c:val>
            <c:numRef>
              <c:f>'pitch outcomes'!$B$2:$B$13</c:f>
              <c:numCache>
                <c:formatCode>General</c:formatCode>
                <c:ptCount val="12"/>
                <c:pt idx="0">
                  <c:v>0.4269</c:v>
                </c:pt>
                <c:pt idx="1">
                  <c:v>0.39779999999999999</c:v>
                </c:pt>
                <c:pt idx="2">
                  <c:v>0.38600000000000001</c:v>
                </c:pt>
                <c:pt idx="3">
                  <c:v>0.3528</c:v>
                </c:pt>
                <c:pt idx="4">
                  <c:v>0.31290000000000001</c:v>
                </c:pt>
                <c:pt idx="5">
                  <c:v>0.26369999999999999</c:v>
                </c:pt>
                <c:pt idx="6">
                  <c:v>0.2505</c:v>
                </c:pt>
                <c:pt idx="7">
                  <c:v>0.23499999999999999</c:v>
                </c:pt>
                <c:pt idx="8">
                  <c:v>0.22650000000000001</c:v>
                </c:pt>
                <c:pt idx="9">
                  <c:v>0.21079999999999999</c:v>
                </c:pt>
                <c:pt idx="10">
                  <c:v>0.21149999999999999</c:v>
                </c:pt>
                <c:pt idx="11">
                  <c:v>0.20449999999999999</c:v>
                </c:pt>
              </c:numCache>
            </c:numRef>
          </c:val>
          <c:smooth val="0"/>
          <c:extLst>
            <c:ext xmlns:c16="http://schemas.microsoft.com/office/drawing/2014/chart" uri="{C3380CC4-5D6E-409C-BE32-E72D297353CC}">
              <c16:uniqueId val="{00000000-3918-4B34-9165-7963C2BF81FF}"/>
            </c:ext>
          </c:extLst>
        </c:ser>
        <c:ser>
          <c:idx val="1"/>
          <c:order val="1"/>
          <c:tx>
            <c:strRef>
              <c:f>'pitch outcomes'!$C$1</c:f>
              <c:strCache>
                <c:ptCount val="1"/>
                <c:pt idx="0">
                  <c:v>Strike, Looking</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numRef>
              <c:f>'pitch outcomes'!$A$2:$A$13</c:f>
              <c:numCache>
                <c:formatCode>General</c:formatCode>
                <c:ptCount val="12"/>
                <c:pt idx="0">
                  <c:v>1988</c:v>
                </c:pt>
                <c:pt idx="1">
                  <c:v>1989</c:v>
                </c:pt>
                <c:pt idx="2">
                  <c:v>1990</c:v>
                </c:pt>
                <c:pt idx="3">
                  <c:v>1991</c:v>
                </c:pt>
                <c:pt idx="4">
                  <c:v>1992</c:v>
                </c:pt>
                <c:pt idx="5">
                  <c:v>1993</c:v>
                </c:pt>
                <c:pt idx="6">
                  <c:v>1994</c:v>
                </c:pt>
                <c:pt idx="7">
                  <c:v>1995</c:v>
                </c:pt>
                <c:pt idx="8">
                  <c:v>1996</c:v>
                </c:pt>
                <c:pt idx="9">
                  <c:v>1997</c:v>
                </c:pt>
                <c:pt idx="10">
                  <c:v>1998</c:v>
                </c:pt>
                <c:pt idx="11">
                  <c:v>1999</c:v>
                </c:pt>
              </c:numCache>
            </c:numRef>
          </c:cat>
          <c:val>
            <c:numRef>
              <c:f>'pitch outcomes'!$C$2:$C$13</c:f>
              <c:numCache>
                <c:formatCode>General</c:formatCode>
                <c:ptCount val="12"/>
                <c:pt idx="0">
                  <c:v>0.28660000000000002</c:v>
                </c:pt>
                <c:pt idx="1">
                  <c:v>0.1666</c:v>
                </c:pt>
                <c:pt idx="2">
                  <c:v>0.1285</c:v>
                </c:pt>
                <c:pt idx="3">
                  <c:v>0.11700000000000001</c:v>
                </c:pt>
                <c:pt idx="4">
                  <c:v>7.6700000000000004E-2</c:v>
                </c:pt>
                <c:pt idx="5">
                  <c:v>4.3999999999999997E-2</c:v>
                </c:pt>
                <c:pt idx="6">
                  <c:v>4.0500000000000001E-2</c:v>
                </c:pt>
                <c:pt idx="7">
                  <c:v>3.8199999999999998E-2</c:v>
                </c:pt>
                <c:pt idx="8">
                  <c:v>3.5999999999999997E-2</c:v>
                </c:pt>
                <c:pt idx="9">
                  <c:v>3.2000000000000001E-2</c:v>
                </c:pt>
                <c:pt idx="10">
                  <c:v>3.2500000000000001E-2</c:v>
                </c:pt>
                <c:pt idx="11">
                  <c:v>3.56E-2</c:v>
                </c:pt>
              </c:numCache>
            </c:numRef>
          </c:val>
          <c:smooth val="0"/>
          <c:extLst>
            <c:ext xmlns:c16="http://schemas.microsoft.com/office/drawing/2014/chart" uri="{C3380CC4-5D6E-409C-BE32-E72D297353CC}">
              <c16:uniqueId val="{00000001-3918-4B34-9165-7963C2BF81FF}"/>
            </c:ext>
          </c:extLst>
        </c:ser>
        <c:ser>
          <c:idx val="2"/>
          <c:order val="2"/>
          <c:tx>
            <c:strRef>
              <c:f>'pitch outcomes'!$D$1</c:f>
              <c:strCache>
                <c:ptCount val="1"/>
                <c:pt idx="0">
                  <c:v>Foul</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numRef>
              <c:f>'pitch outcomes'!$A$2:$A$13</c:f>
              <c:numCache>
                <c:formatCode>General</c:formatCode>
                <c:ptCount val="12"/>
                <c:pt idx="0">
                  <c:v>1988</c:v>
                </c:pt>
                <c:pt idx="1">
                  <c:v>1989</c:v>
                </c:pt>
                <c:pt idx="2">
                  <c:v>1990</c:v>
                </c:pt>
                <c:pt idx="3">
                  <c:v>1991</c:v>
                </c:pt>
                <c:pt idx="4">
                  <c:v>1992</c:v>
                </c:pt>
                <c:pt idx="5">
                  <c:v>1993</c:v>
                </c:pt>
                <c:pt idx="6">
                  <c:v>1994</c:v>
                </c:pt>
                <c:pt idx="7">
                  <c:v>1995</c:v>
                </c:pt>
                <c:pt idx="8">
                  <c:v>1996</c:v>
                </c:pt>
                <c:pt idx="9">
                  <c:v>1997</c:v>
                </c:pt>
                <c:pt idx="10">
                  <c:v>1998</c:v>
                </c:pt>
                <c:pt idx="11">
                  <c:v>1999</c:v>
                </c:pt>
              </c:numCache>
            </c:numRef>
          </c:cat>
          <c:val>
            <c:numRef>
              <c:f>'pitch outcomes'!$D$2:$D$13</c:f>
              <c:numCache>
                <c:formatCode>General</c:formatCode>
                <c:ptCount val="12"/>
                <c:pt idx="0">
                  <c:v>0.1007</c:v>
                </c:pt>
                <c:pt idx="1">
                  <c:v>0.1575</c:v>
                </c:pt>
                <c:pt idx="2">
                  <c:v>0.1787</c:v>
                </c:pt>
                <c:pt idx="3">
                  <c:v>0.19789999999999999</c:v>
                </c:pt>
                <c:pt idx="4">
                  <c:v>0.23</c:v>
                </c:pt>
                <c:pt idx="5">
                  <c:v>0.26490000000000002</c:v>
                </c:pt>
                <c:pt idx="6">
                  <c:v>0.27650000000000002</c:v>
                </c:pt>
                <c:pt idx="7">
                  <c:v>0.28849999999999998</c:v>
                </c:pt>
                <c:pt idx="8">
                  <c:v>0.29699999999999999</c:v>
                </c:pt>
                <c:pt idx="9">
                  <c:v>0.314</c:v>
                </c:pt>
                <c:pt idx="10">
                  <c:v>0.31419999999999998</c:v>
                </c:pt>
                <c:pt idx="11">
                  <c:v>0.31430000000000002</c:v>
                </c:pt>
              </c:numCache>
            </c:numRef>
          </c:val>
          <c:smooth val="0"/>
          <c:extLst>
            <c:ext xmlns:c16="http://schemas.microsoft.com/office/drawing/2014/chart" uri="{C3380CC4-5D6E-409C-BE32-E72D297353CC}">
              <c16:uniqueId val="{00000002-3918-4B34-9165-7963C2BF81FF}"/>
            </c:ext>
          </c:extLst>
        </c:ser>
        <c:ser>
          <c:idx val="3"/>
          <c:order val="3"/>
          <c:tx>
            <c:strRef>
              <c:f>'pitch outcomes'!$E$1</c:f>
              <c:strCache>
                <c:ptCount val="1"/>
                <c:pt idx="0">
                  <c:v>Strike, Swinging</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numRef>
              <c:f>'pitch outcomes'!$A$2:$A$13</c:f>
              <c:numCache>
                <c:formatCode>General</c:formatCode>
                <c:ptCount val="12"/>
                <c:pt idx="0">
                  <c:v>1988</c:v>
                </c:pt>
                <c:pt idx="1">
                  <c:v>1989</c:v>
                </c:pt>
                <c:pt idx="2">
                  <c:v>1990</c:v>
                </c:pt>
                <c:pt idx="3">
                  <c:v>1991</c:v>
                </c:pt>
                <c:pt idx="4">
                  <c:v>1992</c:v>
                </c:pt>
                <c:pt idx="5">
                  <c:v>1993</c:v>
                </c:pt>
                <c:pt idx="6">
                  <c:v>1994</c:v>
                </c:pt>
                <c:pt idx="7">
                  <c:v>1995</c:v>
                </c:pt>
                <c:pt idx="8">
                  <c:v>1996</c:v>
                </c:pt>
                <c:pt idx="9">
                  <c:v>1997</c:v>
                </c:pt>
                <c:pt idx="10">
                  <c:v>1998</c:v>
                </c:pt>
                <c:pt idx="11">
                  <c:v>1999</c:v>
                </c:pt>
              </c:numCache>
            </c:numRef>
          </c:cat>
          <c:val>
            <c:numRef>
              <c:f>'pitch outcomes'!$E$2:$E$13</c:f>
              <c:numCache>
                <c:formatCode>General</c:formatCode>
                <c:ptCount val="12"/>
                <c:pt idx="0">
                  <c:v>5.8200000000000002E-2</c:v>
                </c:pt>
                <c:pt idx="1">
                  <c:v>9.0399999999999994E-2</c:v>
                </c:pt>
                <c:pt idx="2">
                  <c:v>9.9400000000000002E-2</c:v>
                </c:pt>
                <c:pt idx="3">
                  <c:v>0.1057</c:v>
                </c:pt>
                <c:pt idx="4">
                  <c:v>0.112</c:v>
                </c:pt>
                <c:pt idx="5">
                  <c:v>0.1154</c:v>
                </c:pt>
                <c:pt idx="6">
                  <c:v>0.1104</c:v>
                </c:pt>
                <c:pt idx="7">
                  <c:v>0.1062</c:v>
                </c:pt>
                <c:pt idx="8">
                  <c:v>0.1031</c:v>
                </c:pt>
                <c:pt idx="9">
                  <c:v>0.1033</c:v>
                </c:pt>
                <c:pt idx="10">
                  <c:v>0.10489999999999999</c:v>
                </c:pt>
                <c:pt idx="11">
                  <c:v>0.10580000000000001</c:v>
                </c:pt>
              </c:numCache>
            </c:numRef>
          </c:val>
          <c:smooth val="0"/>
          <c:extLst>
            <c:ext xmlns:c16="http://schemas.microsoft.com/office/drawing/2014/chart" uri="{C3380CC4-5D6E-409C-BE32-E72D297353CC}">
              <c16:uniqueId val="{00000003-3918-4B34-9165-7963C2BF81FF}"/>
            </c:ext>
          </c:extLst>
        </c:ser>
        <c:ser>
          <c:idx val="4"/>
          <c:order val="4"/>
          <c:tx>
            <c:strRef>
              <c:f>'pitch outcomes'!$F$1</c:f>
              <c:strCache>
                <c:ptCount val="1"/>
                <c:pt idx="0">
                  <c:v>Ball In Play</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numRef>
              <c:f>'pitch outcomes'!$A$2:$A$13</c:f>
              <c:numCache>
                <c:formatCode>General</c:formatCode>
                <c:ptCount val="12"/>
                <c:pt idx="0">
                  <c:v>1988</c:v>
                </c:pt>
                <c:pt idx="1">
                  <c:v>1989</c:v>
                </c:pt>
                <c:pt idx="2">
                  <c:v>1990</c:v>
                </c:pt>
                <c:pt idx="3">
                  <c:v>1991</c:v>
                </c:pt>
                <c:pt idx="4">
                  <c:v>1992</c:v>
                </c:pt>
                <c:pt idx="5">
                  <c:v>1993</c:v>
                </c:pt>
                <c:pt idx="6">
                  <c:v>1994</c:v>
                </c:pt>
                <c:pt idx="7">
                  <c:v>1995</c:v>
                </c:pt>
                <c:pt idx="8">
                  <c:v>1996</c:v>
                </c:pt>
                <c:pt idx="9">
                  <c:v>1997</c:v>
                </c:pt>
                <c:pt idx="10">
                  <c:v>1998</c:v>
                </c:pt>
                <c:pt idx="11">
                  <c:v>1999</c:v>
                </c:pt>
              </c:numCache>
            </c:numRef>
          </c:cat>
          <c:val>
            <c:numRef>
              <c:f>'pitch outcomes'!$F$2:$F$13</c:f>
              <c:numCache>
                <c:formatCode>General</c:formatCode>
                <c:ptCount val="12"/>
                <c:pt idx="0">
                  <c:v>0.12759999999999999</c:v>
                </c:pt>
                <c:pt idx="1">
                  <c:v>0.18770000000000001</c:v>
                </c:pt>
                <c:pt idx="2">
                  <c:v>0.20730000000000001</c:v>
                </c:pt>
                <c:pt idx="3">
                  <c:v>0.2266</c:v>
                </c:pt>
                <c:pt idx="4">
                  <c:v>0.26850000000000002</c:v>
                </c:pt>
                <c:pt idx="5">
                  <c:v>0.31190000000000001</c:v>
                </c:pt>
                <c:pt idx="6">
                  <c:v>0.32200000000000001</c:v>
                </c:pt>
                <c:pt idx="7">
                  <c:v>0.3322</c:v>
                </c:pt>
                <c:pt idx="8">
                  <c:v>0.33739999999999998</c:v>
                </c:pt>
                <c:pt idx="9">
                  <c:v>0.34</c:v>
                </c:pt>
                <c:pt idx="10">
                  <c:v>0.33689999999999998</c:v>
                </c:pt>
                <c:pt idx="11">
                  <c:v>0.33979999999999999</c:v>
                </c:pt>
              </c:numCache>
            </c:numRef>
          </c:val>
          <c:smooth val="0"/>
          <c:extLst>
            <c:ext xmlns:c16="http://schemas.microsoft.com/office/drawing/2014/chart" uri="{C3380CC4-5D6E-409C-BE32-E72D297353CC}">
              <c16:uniqueId val="{00000004-3918-4B34-9165-7963C2BF81FF}"/>
            </c:ext>
          </c:extLst>
        </c:ser>
        <c:dLbls>
          <c:showLegendKey val="0"/>
          <c:showVal val="0"/>
          <c:showCatName val="0"/>
          <c:showSerName val="0"/>
          <c:showPercent val="0"/>
          <c:showBubbleSize val="0"/>
        </c:dLbls>
        <c:marker val="1"/>
        <c:smooth val="0"/>
        <c:axId val="271374992"/>
        <c:axId val="271375320"/>
      </c:lineChart>
      <c:catAx>
        <c:axId val="2713749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1375320"/>
        <c:crosses val="autoZero"/>
        <c:auto val="1"/>
        <c:lblAlgn val="ctr"/>
        <c:lblOffset val="100"/>
        <c:noMultiLvlLbl val="0"/>
      </c:catAx>
      <c:valAx>
        <c:axId val="2713753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137499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EA4F-4A35-B5E6-B71F36E1716A}"/>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EA4F-4A35-B5E6-B71F36E1716A}"/>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EA4F-4A35-B5E6-B71F36E1716A}"/>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EA4F-4A35-B5E6-B71F36E1716A}"/>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EA4F-4A35-B5E6-B71F36E1716A}"/>
              </c:ext>
            </c:extLst>
          </c:dPt>
          <c:cat>
            <c:strRef>
              <c:f>'pitch outcomes'!$B$1:$F$1</c:f>
              <c:strCache>
                <c:ptCount val="5"/>
                <c:pt idx="0">
                  <c:v>Ball</c:v>
                </c:pt>
                <c:pt idx="1">
                  <c:v>Strike, Looking</c:v>
                </c:pt>
                <c:pt idx="2">
                  <c:v>Foul</c:v>
                </c:pt>
                <c:pt idx="3">
                  <c:v>Strike, Swinging</c:v>
                </c:pt>
                <c:pt idx="4">
                  <c:v>Ball In Play</c:v>
                </c:pt>
              </c:strCache>
            </c:strRef>
          </c:cat>
          <c:val>
            <c:numRef>
              <c:f>'pitch outcomes'!$B$17:$F$17</c:f>
              <c:numCache>
                <c:formatCode>General</c:formatCode>
                <c:ptCount val="5"/>
                <c:pt idx="0">
                  <c:v>0.28990833333333332</c:v>
                </c:pt>
                <c:pt idx="1">
                  <c:v>8.6183333333333348E-2</c:v>
                </c:pt>
                <c:pt idx="2">
                  <c:v>0.24451666666666663</c:v>
                </c:pt>
                <c:pt idx="3">
                  <c:v>0.10123333333333333</c:v>
                </c:pt>
                <c:pt idx="4">
                  <c:v>0.27815833333333334</c:v>
                </c:pt>
              </c:numCache>
            </c:numRef>
          </c:val>
          <c:extLst>
            <c:ext xmlns:c16="http://schemas.microsoft.com/office/drawing/2014/chart" uri="{C3380CC4-5D6E-409C-BE32-E72D297353CC}">
              <c16:uniqueId val="{00000000-A7F3-4FBF-9343-F144DCC8B97A}"/>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3</xdr:col>
      <xdr:colOff>47624</xdr:colOff>
      <xdr:row>18</xdr:row>
      <xdr:rowOff>38100</xdr:rowOff>
    </xdr:from>
    <xdr:to>
      <xdr:col>22</xdr:col>
      <xdr:colOff>219075</xdr:colOff>
      <xdr:row>59</xdr:row>
      <xdr:rowOff>152400</xdr:rowOff>
    </xdr:to>
    <xdr:graphicFrame macro="">
      <xdr:nvGraphicFramePr>
        <xdr:cNvPr id="3" name="Chart 2">
          <a:extLst>
            <a:ext uri="{FF2B5EF4-FFF2-40B4-BE49-F238E27FC236}">
              <a16:creationId xmlns:a16="http://schemas.microsoft.com/office/drawing/2014/main" id="{00000000-0008-0000-03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9</xdr:col>
      <xdr:colOff>200024</xdr:colOff>
      <xdr:row>1</xdr:row>
      <xdr:rowOff>38100</xdr:rowOff>
    </xdr:from>
    <xdr:to>
      <xdr:col>19</xdr:col>
      <xdr:colOff>228599</xdr:colOff>
      <xdr:row>25</xdr:row>
      <xdr:rowOff>85725</xdr:rowOff>
    </xdr:to>
    <xdr:graphicFrame macro="">
      <xdr:nvGraphicFramePr>
        <xdr:cNvPr id="3" name="Chart 2">
          <a:extLst>
            <a:ext uri="{FF2B5EF4-FFF2-40B4-BE49-F238E27FC236}">
              <a16:creationId xmlns:a16="http://schemas.microsoft.com/office/drawing/2014/main" id="{00000000-0008-0000-04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19</xdr:col>
      <xdr:colOff>514350</xdr:colOff>
      <xdr:row>2</xdr:row>
      <xdr:rowOff>47625</xdr:rowOff>
    </xdr:from>
    <xdr:to>
      <xdr:col>26</xdr:col>
      <xdr:colOff>361950</xdr:colOff>
      <xdr:row>25</xdr:row>
      <xdr:rowOff>9525</xdr:rowOff>
    </xdr:to>
    <xdr:graphicFrame macro="">
      <xdr:nvGraphicFramePr>
        <xdr:cNvPr id="4" name="Chart 3">
          <a:extLst>
            <a:ext uri="{FF2B5EF4-FFF2-40B4-BE49-F238E27FC236}">
              <a16:creationId xmlns:a16="http://schemas.microsoft.com/office/drawing/2014/main" id="{00000000-0008-0000-04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3" displayName="Table3" ref="A6:BE22" totalsRowShown="0" headerRowDxfId="49">
  <autoFilter ref="A6:BE22" xr:uid="{00000000-0009-0000-0100-000003000000}"/>
  <tableColumns count="57">
    <tableColumn id="1" xr3:uid="{00000000-0010-0000-0000-000001000000}" name="Rep #">
      <calculatedColumnFormula>ROW()-ROW(home)</calculatedColumnFormula>
    </tableColumn>
    <tableColumn id="2" xr3:uid="{00000000-0010-0000-0000-000002000000}" name="offense" dataDxfId="48">
      <calculatedColumnFormula>INDEX(oratings, 1, 1+MOD(Table3[[#This Row],[Rep '#]]-1, COUNT(oratings)))</calculatedColumnFormula>
    </tableColumn>
    <tableColumn id="3" xr3:uid="{00000000-0010-0000-0000-000003000000}" name="defense" dataDxfId="47">
      <calculatedColumnFormula>INDEX(dratings, 1, MOD(FLOOR( (Table3[[#This Row],[Rep '#]]-1) / COUNT(oratings), 1), COUNT(dratings))+1)</calculatedColumnFormula>
    </tableColumn>
    <tableColumn id="4" xr3:uid="{00000000-0010-0000-0000-000004000000}" name="base leadoff" dataDxfId="46">
      <calculatedColumnFormula>Table3[[#This Row],[offense]]*$D$26+0.05</calculatedColumnFormula>
    </tableColumn>
    <tableColumn id="5" xr3:uid="{00000000-0010-0000-0000-000005000000}" name="leadoff modifier" dataDxfId="8">
      <calculatedColumnFormula>((2*Table3[[#This Row],[defense]]+1*Table3[[#This Row],[defense]])-1.5)*Table3[[#This Row],[offense]]*$E$26</calculatedColumnFormula>
    </tableColumn>
    <tableColumn id="6" xr3:uid="{00000000-0010-0000-0000-000006000000}" name="total leadoff (ft)" dataDxfId="45">
      <calculatedColumnFormula>MAX(Table3[[#This Row],[base leadoff]]*(1-Table3[[#This Row],[leadoff modifier]]) * 90, 0)</calculatedColumnFormula>
    </tableColumn>
    <tableColumn id="7" xr3:uid="{00000000-0010-0000-0000-000007000000}" name="pickoff manuver (s)" dataDxfId="44">
      <calculatedColumnFormula>1.1 - Table3[[#This Row],[defense]]*0.1</calculatedColumnFormula>
    </tableColumn>
    <tableColumn id="8" xr3:uid="{00000000-0010-0000-0000-000008000000}" name="throw speed (s/ft)" dataDxfId="43">
      <calculatedColumnFormula xml:space="preserve"> 0.01 - 0.0025 *  Table3[[#This Row],[defense]]</calculatedColumnFormula>
    </tableColumn>
    <tableColumn id="32" xr3:uid="{00000000-0010-0000-0000-000020000000}" name="throw speed (mph)" dataDxfId="42">
      <calculatedColumnFormula>1 / Table3[[#This Row],[throw speed (s/ft)]] * ((60 * 60)/5280)</calculatedColumnFormula>
    </tableColumn>
    <tableColumn id="9" xr3:uid="{00000000-0010-0000-0000-000009000000}" name="pickoff time" dataDxfId="41">
      <calculatedColumnFormula>Table3[[#This Row],[pickoff manuver (s)]]+60*Table3[[#This Row],[throw speed (s/ft)]]</calculatedColumnFormula>
    </tableColumn>
    <tableColumn id="10" xr3:uid="{00000000-0010-0000-0000-00000A000000}" name="runner reaction" dataDxfId="40">
      <calculatedColumnFormula>$K$28-$K$26*Table3[[#This Row],[offense]]</calculatedColumnFormula>
    </tableColumn>
    <tableColumn id="11" xr3:uid="{00000000-0010-0000-0000-00000B000000}" name="runner speed (s/ft)" dataDxfId="39">
      <calculatedColumnFormula>0.05 - Table3[[#This Row],[offense]]*$L$26</calculatedColumnFormula>
    </tableColumn>
    <tableColumn id="12" xr3:uid="{00000000-0010-0000-0000-00000C000000}" name="runner speed (mph)" dataDxfId="38">
      <calculatedColumnFormula>1 / Table3[[#This Row],[runner speed (s/ft)]] * ((60 * 60)/5280)</calculatedColumnFormula>
    </tableColumn>
    <tableColumn id="13" xr3:uid="{00000000-0010-0000-0000-00000D000000}" name="pickoff evade time" dataDxfId="37">
      <calculatedColumnFormula>Table3[[#This Row],[runner reaction]]+Table3[[#This Row],[runner speed (s/ft)]]*Table3[[#This Row],[total leadoff (ft)]]</calculatedColumnFormula>
    </tableColumn>
    <tableColumn id="14" xr3:uid="{00000000-0010-0000-0000-00000E000000}" name="pickoff probability" dataDxfId="36" dataCellStyle="Percent">
      <calculatedColumnFormula>1 - _xlfn.NORM.DIST(Table3[[#This Row],[pickoff time]], Table3[[#This Row],[pickoff evade time]], $O$4, TRUE)</calculatedColumnFormula>
    </tableColumn>
    <tableColumn id="17" xr3:uid="{00000000-0010-0000-0000-000011000000}" name="Fielding Odds" dataDxfId="35" dataCellStyle="Percent">
      <calculatedColumnFormula>_xlfn.NORM.DIST(Table3[[#This Row],[defense]], $P$26, $P$27, TRUE)</calculatedColumnFormula>
    </tableColumn>
    <tableColumn id="18" xr3:uid="{00000000-0010-0000-0000-000012000000}" name="pickoff worth it?" dataDxfId="34">
      <calculatedColumnFormula>Table3[[#This Row],[pickoff probability]] &gt; 1-Table3[[#This Row],[Fielding Odds]]</calculatedColumnFormula>
    </tableColumn>
    <tableColumn id="19" xr3:uid="{00000000-0010-0000-0000-000013000000}" name="Error %" dataDxfId="33" dataCellStyle="Percent">
      <calculatedColumnFormula>1-Table3[[#This Row],[Fielding Odds]]</calculatedColumnFormula>
    </tableColumn>
    <tableColumn id="20" xr3:uid="{00000000-0010-0000-0000-000014000000}" name="Blatant steal time" dataDxfId="32">
      <calculatedColumnFormula>(90-Table3[[#This Row],[total leadoff (ft)]])*Table3[[#This Row],[runner speed (s/ft)]]</calculatedColumnFormula>
    </tableColumn>
    <tableColumn id="21" xr3:uid="{00000000-0010-0000-0000-000015000000}" name="Response speed" dataDxfId="31">
      <calculatedColumnFormula>$T$26*(2-Table3[[#This Row],[defense]]) + Table3[[#This Row],[pickoff time]]</calculatedColumnFormula>
    </tableColumn>
    <tableColumn id="22" xr3:uid="{00000000-0010-0000-0000-000016000000}" name="blatant steal probability" dataDxfId="30" dataCellStyle="Percent">
      <calculatedColumnFormula>_xlfn.NORM.DIST(Table3[[#This Row],[Response speed]], Table3[[#This Row],[Blatant steal time]], $U$4, TRUE)</calculatedColumnFormula>
    </tableColumn>
    <tableColumn id="23" xr3:uid="{00000000-0010-0000-0000-000017000000}" name="defense fear" dataDxfId="29">
      <calculatedColumnFormula>Table3[[#This Row],[defense]]+Table3[[#This Row],[defense]]*Table3[[#This Row],[offense]]*$E$26</calculatedColumnFormula>
    </tableColumn>
    <tableColumn id="24" xr3:uid="{00000000-0010-0000-0000-000018000000}" name="ball factor" dataDxfId="28">
      <calculatedColumnFormula>(1-$W$32)</calculatedColumnFormula>
    </tableColumn>
    <tableColumn id="25" xr3:uid="{00000000-0010-0000-0000-000019000000}" name="desperation" dataDxfId="27" dataCellStyle="Percent">
      <calculatedColumnFormula>Table3[[#This Row],[ball factor]]/$X$32*(1-$X$34)+$X$34</calculatedColumnFormula>
    </tableColumn>
    <tableColumn id="26" xr3:uid="{00000000-0010-0000-0000-00001A000000}" name="player control" dataDxfId="26">
      <calculatedColumnFormula>Table3[[#This Row],[offense]]</calculatedColumnFormula>
    </tableColumn>
    <tableColumn id="27" xr3:uid="{00000000-0010-0000-0000-00001B000000}" name="ideal steer" dataDxfId="25">
      <calculatedColumnFormula>$AA$33</calculatedColumnFormula>
    </tableColumn>
    <tableColumn id="28" xr3:uid="{00000000-0010-0000-0000-00001C000000}" name="scaled control" dataDxfId="24">
      <calculatedColumnFormula>IF(Table3[[#This Row],[player control]]&gt;1,Table3[[#This Row],[player control]]*$AA$41+$AA$40,Table3[[#This Row],[player control]]*$AA$39+$AA$38)</calculatedColumnFormula>
    </tableColumn>
    <tableColumn id="29" xr3:uid="{00000000-0010-0000-0000-00001D000000}" name="unmod foul percent 3rd" dataDxfId="23" dataCellStyle="Percent">
      <calculatedColumnFormula>_xlfn.NORM.DIST(-1,Table3[[#This Row],[ideal steer]],($AB$25-Table3[[#This Row],[scaled control]])*$AB$27,TRUE)</calculatedColumnFormula>
    </tableColumn>
    <tableColumn id="30" xr3:uid="{00000000-0010-0000-0000-00001E000000}" name="unmod foul percent 1st" dataDxfId="22" dataCellStyle="Percent">
      <calculatedColumnFormula>1-_xlfn.NORM.DIST(1,Table3[[#This Row],[ideal steer]],($AB$25-Table3[[#This Row],[scaled control]])*$AB$27,TRUE)</calculatedColumnFormula>
    </tableColumn>
    <tableColumn id="31" xr3:uid="{00000000-0010-0000-0000-00001F000000}" name="total unmod foul percent" dataDxfId="21" dataCellStyle="Percent">
      <calculatedColumnFormula>1-(1-Table3[[#This Row],[unmod foul percent 3rd]])*(1-Table3[[#This Row],[unmod foul percent 1st]])</calculatedColumnFormula>
    </tableColumn>
    <tableColumn id="15" xr3:uid="{00000000-0010-0000-0000-00000F000000}" name="unmod dead center foul%" dataDxfId="20" dataCellStyle="Percent">
      <calculatedColumnFormula>1-((1-_xlfn.NORM.DIST(-1,0,($AB$25-Table3[[#This Row],[scaled control]])*$AB$27,TRUE))*_xlfn.NORM.DIST(1,0,($AB$25-Table3[[#This Row],[scaled control]])*$AB$27,TRUE))</calculatedColumnFormula>
    </tableColumn>
    <tableColumn id="16" xr3:uid="{00000000-0010-0000-0000-000010000000}" name="count" dataDxfId="19">
      <calculatedColumnFormula>$AF$34*$AF$25</calculatedColumnFormula>
    </tableColumn>
    <tableColumn id="33" xr3:uid="{00000000-0010-0000-0000-000021000000}" name="hitter discipline bias" dataDxfId="18">
      <calculatedColumnFormula>$AG$25*($AG$34*Table3[[#This Row],[offense]])</calculatedColumnFormula>
    </tableColumn>
    <tableColumn id="34" xr3:uid="{00000000-0010-0000-0000-000022000000}" name="bases loaded" dataDxfId="17">
      <calculatedColumnFormula>$AH$25*$AH$34</calculatedColumnFormula>
    </tableColumn>
    <tableColumn id="35" xr3:uid="{00000000-0010-0000-0000-000023000000}" name="number of outs" dataDxfId="16">
      <calculatedColumnFormula>$AI$34*$AI$25</calculatedColumnFormula>
    </tableColumn>
    <tableColumn id="36" xr3:uid="{00000000-0010-0000-0000-000024000000}" name="current hitter vs next hitter" dataDxfId="15">
      <calculatedColumnFormula>$AJ$25*(Table3[[#This Row],[offense]]-$AJ$27)</calculatedColumnFormula>
    </tableColumn>
    <tableColumn id="37" xr3:uid="{00000000-0010-0000-0000-000025000000}" name="calling modifier" dataDxfId="14">
      <calculatedColumnFormula array="1">SUM(Table3[[#This Row],[count]:[current hitter vs next hitter]]*MIN(1, Table3[[#This Row],[defense]]))</calculatedColumnFormula>
    </tableColumn>
    <tableColumn id="38" xr3:uid="{00000000-0010-0000-0000-000026000000}" name="sigmoid strike percent" dataDxfId="13" dataCellStyle="Percent">
      <calculatedColumnFormula>$AL$25-(Table3[[#This Row],[calling modifier]]/(ABS(Table3[[#This Row],[calling modifier]])+$AL$29)*$AL$27)</calculatedColumnFormula>
    </tableColumn>
    <tableColumn id="39" xr3:uid="{00000000-0010-0000-0000-000027000000}" name="tanh strike percent" dataDxfId="12" dataCellStyle="Percent">
      <calculatedColumnFormula>$AL$25-$AL$27*TANH(Table3[[#This Row],[calling modifier]]/$AM$29)</calculatedColumnFormula>
    </tableColumn>
    <tableColumn id="40" xr3:uid="{00000000-0010-0000-0000-000028000000}" name="called position" dataDxfId="11" dataCellStyle="Percent">
      <calculatedColumnFormula>MAX(0, 1-_xlfn.NORM.S.INV(Table3[[#This Row],[tanh strike percent]])*($AN$25*($AN$27-Table3[[#This Row],[defense]])))</calculatedColumnFormula>
    </tableColumn>
    <tableColumn id="41" xr3:uid="{00000000-0010-0000-0000-000029000000}" name="called pos 0.2 pitch" dataDxfId="10">
      <calculatedColumnFormula>MAX(0, 1-_xlfn.NORM.S.INV(Table3[[#This Row],[tanh strike percent]])*($AN$25*($AN$27-0.2)))</calculatedColumnFormula>
    </tableColumn>
    <tableColumn id="42" xr3:uid="{00000000-0010-0000-0000-00002A000000}" name="called pos 2 pitch" dataDxfId="9">
      <calculatedColumnFormula>MAX(0, 1-_xlfn.NORM.S.INV(Table3[[#This Row],[tanh strike percent]])*($AN$25*($AN$27-2)))</calculatedColumnFormula>
    </tableColumn>
    <tableColumn id="43" xr3:uid="{00000000-0010-0000-0000-00002B000000}" name="location -1  stdv" dataDxfId="5">
      <calculatedColumnFormula>Table3[[#This Row],[called position]]-pitchmod*(pitchstdv-Table3[[#This Row],[defense]])</calculatedColumnFormula>
    </tableColumn>
    <tableColumn id="44" xr3:uid="{00000000-0010-0000-0000-00002C000000}" name="location +1 stdv" dataDxfId="6">
      <calculatedColumnFormula>ABS(Table3[[#This Row],[called position]]+pitchmod*(pitchstdv-Table3[[#This Row],[defense]]))</calculatedColumnFormula>
    </tableColumn>
    <tableColumn id="45" xr3:uid="{00000000-0010-0000-0000-00002D000000}" name="difficulty" dataDxfId="7">
      <calculatedColumnFormula>Table3[[#This Row],[defense]]</calculatedColumnFormula>
    </tableColumn>
    <tableColumn id="46" xr3:uid="{00000000-0010-0000-0000-00002E000000}" name="min dist to sz 1stdv" dataDxfId="2">
      <calculatedColumnFormula>IF(AND(Table3[[#This Row],[location -1  stdv]]&lt;1, Table3[[#This Row],[location +1 stdv]]&gt;1),0, MIN(Table3[[#This Row],[location -1  stdv]]+1, 1-Table3[[#This Row],[location +1 stdv]]))</calculatedColumnFormula>
    </tableColumn>
    <tableColumn id="47" xr3:uid="{00000000-0010-0000-0000-00002F000000}" name="max dist to sz 1stdv" dataDxfId="1">
      <calculatedColumnFormula>IF(AND(Table3[[#This Row],[location -1  stdv]]&lt;0, Table3[[#This Row],[location +1 stdv]]&gt;0),1, MAX(1-ABS(Table3[[#This Row],[location -1  stdv]]), Table3[[#This Row],[location +1 stdv]]-1))</calculatedColumnFormula>
    </tableColumn>
    <tableColumn id="48" xr3:uid="{00000000-0010-0000-0000-000030000000}" name="ave obscurity" dataDxfId="0">
      <calculatedColumnFormula>1/(ABS(Table3[[#This Row],[called position]]-1)+$AV$27)+$AV$30*Table3[[#This Row],[defense]]</calculatedColumnFormula>
    </tableColumn>
    <tableColumn id="49" xr3:uid="{00000000-0010-0000-0000-000031000000}" name="max obscurity2" dataDxfId="3">
      <calculatedColumnFormula>1/(Table3[[#This Row],[min dist to sz 1stdv]]+$AV$27)+$AV$30*Table3[[#This Row],[defense]]</calculatedColumnFormula>
    </tableColumn>
    <tableColumn id="50" xr3:uid="{00000000-0010-0000-0000-000032000000}" name="min obscurity">
      <calculatedColumnFormula>1/(Table3[[#This Row],[max dist to sz 1stdv]]+$AV$27)+$AV$30*Table3[[#This Row],[defense]]</calculatedColumnFormula>
    </tableColumn>
    <tableColumn id="51" xr3:uid="{00000000-0010-0000-0000-000033000000}" name="Column52"/>
    <tableColumn id="52" xr3:uid="{00000000-0010-0000-0000-000034000000}" name="Column53"/>
    <tableColumn id="53" xr3:uid="{00000000-0010-0000-0000-000035000000}" name="Column54"/>
    <tableColumn id="54" xr3:uid="{00000000-0010-0000-0000-000036000000}" name="Column55"/>
    <tableColumn id="55" xr3:uid="{00000000-0010-0000-0000-000037000000}" name="Column56"/>
    <tableColumn id="56" xr3:uid="{00000000-0010-0000-0000-000038000000}" name="Column57"/>
    <tableColumn id="57" xr3:uid="{00000000-0010-0000-0000-000039000000}" name="Column58"/>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E41"/>
  <sheetViews>
    <sheetView tabSelected="1" topLeftCell="AI1" zoomScaleNormal="100" workbookViewId="0">
      <selection activeCell="AR31" sqref="AR31"/>
    </sheetView>
  </sheetViews>
  <sheetFormatPr defaultColWidth="14.28515625" defaultRowHeight="15" x14ac:dyDescent="0.25"/>
  <sheetData>
    <row r="1" spans="1:57" x14ac:dyDescent="0.25">
      <c r="A1" t="s">
        <v>5</v>
      </c>
      <c r="B1">
        <v>0.1</v>
      </c>
      <c r="C1">
        <v>0.5</v>
      </c>
      <c r="D1">
        <v>1</v>
      </c>
      <c r="E1">
        <v>2</v>
      </c>
    </row>
    <row r="2" spans="1:57" x14ac:dyDescent="0.25">
      <c r="A2" t="s">
        <v>6</v>
      </c>
      <c r="B2">
        <v>0.1</v>
      </c>
      <c r="C2">
        <v>0.5</v>
      </c>
      <c r="D2">
        <v>1</v>
      </c>
      <c r="E2">
        <v>2</v>
      </c>
    </row>
    <row r="3" spans="1:57" x14ac:dyDescent="0.25">
      <c r="A3" t="s">
        <v>7</v>
      </c>
      <c r="B3">
        <f>COUNT(oratings)*COUNT(dratings)</f>
        <v>16</v>
      </c>
      <c r="O3" t="s">
        <v>81</v>
      </c>
      <c r="U3" t="s">
        <v>86</v>
      </c>
    </row>
    <row r="4" spans="1:57" x14ac:dyDescent="0.25">
      <c r="O4">
        <v>0.2</v>
      </c>
      <c r="U4">
        <v>0.6</v>
      </c>
    </row>
    <row r="5" spans="1:57" x14ac:dyDescent="0.25">
      <c r="A5" s="73" t="s">
        <v>134</v>
      </c>
      <c r="B5" s="74"/>
      <c r="C5" s="75"/>
      <c r="D5" s="73" t="s">
        <v>133</v>
      </c>
      <c r="E5" s="74"/>
      <c r="F5" s="74"/>
      <c r="G5" s="74"/>
      <c r="H5" s="74"/>
      <c r="I5" s="74"/>
      <c r="J5" s="74"/>
      <c r="K5" s="74"/>
      <c r="L5" s="74"/>
      <c r="M5" s="74"/>
      <c r="N5" s="74"/>
      <c r="O5" s="74"/>
      <c r="P5" s="74"/>
      <c r="Q5" s="74"/>
      <c r="R5" s="75"/>
      <c r="S5" s="73" t="s">
        <v>135</v>
      </c>
      <c r="T5" s="74"/>
      <c r="U5" s="74"/>
      <c r="V5" s="75"/>
      <c r="W5" s="73" t="s">
        <v>136</v>
      </c>
      <c r="X5" s="75"/>
      <c r="Y5" s="73" t="s">
        <v>173</v>
      </c>
      <c r="Z5" s="74"/>
      <c r="AA5" s="74"/>
      <c r="AB5" s="74"/>
      <c r="AC5" s="74"/>
      <c r="AD5" s="74"/>
      <c r="AE5" s="75"/>
      <c r="AF5" s="73" t="s">
        <v>174</v>
      </c>
      <c r="AG5" s="74"/>
      <c r="AH5" s="74"/>
      <c r="AI5" s="74"/>
      <c r="AJ5" s="74"/>
      <c r="AK5" s="74"/>
      <c r="AL5" s="74"/>
      <c r="AM5" s="74"/>
      <c r="AN5" s="75"/>
      <c r="AO5" s="73"/>
      <c r="AP5" s="75"/>
      <c r="AQ5" t="s">
        <v>205</v>
      </c>
    </row>
    <row r="6" spans="1:57" s="2" customFormat="1" ht="30" x14ac:dyDescent="0.25">
      <c r="A6" s="2" t="s">
        <v>8</v>
      </c>
      <c r="B6" s="2" t="s">
        <v>9</v>
      </c>
      <c r="C6" s="2" t="s">
        <v>10</v>
      </c>
      <c r="D6" s="2" t="s">
        <v>11</v>
      </c>
      <c r="E6" s="2" t="s">
        <v>12</v>
      </c>
      <c r="F6" s="2" t="s">
        <v>13</v>
      </c>
      <c r="G6" s="2" t="s">
        <v>78</v>
      </c>
      <c r="H6" s="2" t="s">
        <v>77</v>
      </c>
      <c r="I6" s="2" t="s">
        <v>75</v>
      </c>
      <c r="J6" s="2" t="s">
        <v>73</v>
      </c>
      <c r="K6" s="2" t="s">
        <v>74</v>
      </c>
      <c r="L6" s="2" t="s">
        <v>76</v>
      </c>
      <c r="M6" s="2" t="s">
        <v>79</v>
      </c>
      <c r="N6" s="2" t="s">
        <v>80</v>
      </c>
      <c r="O6" s="2" t="s">
        <v>88</v>
      </c>
      <c r="P6" s="2" t="s">
        <v>104</v>
      </c>
      <c r="Q6" s="2" t="s">
        <v>105</v>
      </c>
      <c r="R6" s="2" t="s">
        <v>106</v>
      </c>
      <c r="S6" s="2" t="s">
        <v>107</v>
      </c>
      <c r="T6" s="2" t="s">
        <v>108</v>
      </c>
      <c r="U6" s="2" t="s">
        <v>110</v>
      </c>
      <c r="V6" s="2" t="s">
        <v>111</v>
      </c>
      <c r="W6" s="2" t="s">
        <v>141</v>
      </c>
      <c r="X6" s="2" t="s">
        <v>143</v>
      </c>
      <c r="Y6" s="2" t="s">
        <v>144</v>
      </c>
      <c r="Z6" s="78" t="s">
        <v>157</v>
      </c>
      <c r="AA6" s="78" t="s">
        <v>162</v>
      </c>
      <c r="AB6" s="78" t="s">
        <v>169</v>
      </c>
      <c r="AC6" s="78" t="s">
        <v>170</v>
      </c>
      <c r="AD6" s="78" t="s">
        <v>171</v>
      </c>
      <c r="AE6" s="78" t="s">
        <v>172</v>
      </c>
      <c r="AF6" s="2" t="s">
        <v>132</v>
      </c>
      <c r="AG6" s="2" t="s">
        <v>175</v>
      </c>
      <c r="AH6" s="2" t="s">
        <v>180</v>
      </c>
      <c r="AI6" s="2" t="s">
        <v>181</v>
      </c>
      <c r="AJ6" s="2" t="s">
        <v>182</v>
      </c>
      <c r="AK6" s="2" t="s">
        <v>193</v>
      </c>
      <c r="AL6" s="78" t="s">
        <v>195</v>
      </c>
      <c r="AM6" s="2" t="s">
        <v>200</v>
      </c>
      <c r="AN6" s="2" t="s">
        <v>192</v>
      </c>
      <c r="AO6" s="2" t="s">
        <v>201</v>
      </c>
      <c r="AP6" s="2" t="s">
        <v>202</v>
      </c>
      <c r="AQ6" s="2" t="s">
        <v>215</v>
      </c>
      <c r="AR6" s="2" t="s">
        <v>206</v>
      </c>
      <c r="AS6" s="2" t="s">
        <v>207</v>
      </c>
      <c r="AT6" s="2" t="s">
        <v>208</v>
      </c>
      <c r="AU6" s="2" t="s">
        <v>209</v>
      </c>
      <c r="AV6" s="2" t="s">
        <v>216</v>
      </c>
      <c r="AW6" s="2" t="s">
        <v>213</v>
      </c>
      <c r="AX6" s="2" t="s">
        <v>210</v>
      </c>
      <c r="AY6" s="2" t="s">
        <v>125</v>
      </c>
      <c r="AZ6" s="2" t="s">
        <v>126</v>
      </c>
      <c r="BA6" s="2" t="s">
        <v>127</v>
      </c>
      <c r="BB6" s="2" t="s">
        <v>128</v>
      </c>
      <c r="BC6" s="2" t="s">
        <v>129</v>
      </c>
      <c r="BD6" s="2" t="s">
        <v>130</v>
      </c>
      <c r="BE6" s="2" t="s">
        <v>131</v>
      </c>
    </row>
    <row r="7" spans="1:57" s="29" customFormat="1" x14ac:dyDescent="0.25">
      <c r="A7" s="28">
        <f t="shared" ref="A7:A22" si="0">ROW()-ROW(home)</f>
        <v>1</v>
      </c>
      <c r="B7" s="29">
        <f>INDEX(oratings, 1, 1+MOD(Table3[[#This Row],[Rep '#]]-1, COUNT(oratings)))</f>
        <v>0.1</v>
      </c>
      <c r="C7" s="29">
        <f>INDEX(dratings, 1, MOD(FLOOR( (Table3[[#This Row],[Rep '#]]-1) / COUNT(oratings), 1), COUNT(dratings))+1)</f>
        <v>0.1</v>
      </c>
      <c r="D7" s="29">
        <f>Table3[[#This Row],[offense]]*$D$26+0.05</f>
        <v>6.0000000000000005E-2</v>
      </c>
      <c r="E7" s="29">
        <f>((2*Table3[[#This Row],[defense]]+1*Table3[[#This Row],[defense]])-1.5)*$E$26</f>
        <v>-0.12</v>
      </c>
      <c r="F7" s="29">
        <f>MAX(Table3[[#This Row],[base leadoff]]*(1-Table3[[#This Row],[leadoff modifier]]) * 90, 0)</f>
        <v>6.0480000000000009</v>
      </c>
      <c r="G7" s="29">
        <f>1.1 - Table3[[#This Row],[defense]]*0.1</f>
        <v>1.0900000000000001</v>
      </c>
      <c r="H7" s="29">
        <f xml:space="preserve"> 0.01 - 0.0025 *  Table3[[#This Row],[defense]]</f>
        <v>9.75E-3</v>
      </c>
      <c r="I7" s="29">
        <f>1 / Table3[[#This Row],[throw speed (s/ft)]] * ((60 * 60)/5280)</f>
        <v>69.930069930069934</v>
      </c>
      <c r="J7" s="29">
        <f>Table3[[#This Row],[pickoff manuver (s)]]+60*Table3[[#This Row],[throw speed (s/ft)]]</f>
        <v>1.675</v>
      </c>
      <c r="K7" s="29">
        <f>$K$28-$K$26*Table3[[#This Row],[offense]]</f>
        <v>0.88</v>
      </c>
      <c r="L7" s="29">
        <f>0.05 - Table3[[#This Row],[offense]]*$L$26</f>
        <v>4.9000000000000002E-2</v>
      </c>
      <c r="M7" s="29">
        <f>1 / Table3[[#This Row],[runner speed (s/ft)]] * ((60 * 60)/5280)</f>
        <v>13.914656771799628</v>
      </c>
      <c r="N7" s="29">
        <f>Table3[[#This Row],[runner reaction]]+Table3[[#This Row],[runner speed (s/ft)]]*Table3[[#This Row],[total leadoff (ft)]]</f>
        <v>1.1763520000000001</v>
      </c>
      <c r="O7" s="30">
        <f>1 - _xlfn.NORM.DIST(Table3[[#This Row],[pickoff time]], Table3[[#This Row],[pickoff evade time]], $O$4, TRUE)</f>
        <v>6.3291626390171718E-3</v>
      </c>
      <c r="P7" s="48">
        <f>_xlfn.NORM.DIST(Table3[[#This Row],[defense]], $P$26, $P$27, TRUE)</f>
        <v>0.96588837667724492</v>
      </c>
      <c r="Q7" s="29" t="b">
        <f>Table3[[#This Row],[pickoff probability]] &gt; 1-Table3[[#This Row],[Fielding Odds]]</f>
        <v>0</v>
      </c>
      <c r="R7" s="48">
        <f>1-Table3[[#This Row],[Fielding Odds]]</f>
        <v>3.411162332275508E-2</v>
      </c>
      <c r="S7" s="29">
        <f>(90-Table3[[#This Row],[total leadoff (ft)]])*Table3[[#This Row],[runner speed (s/ft)]]</f>
        <v>4.1136480000000004</v>
      </c>
      <c r="T7" s="29">
        <f>$T$26*(2-Table3[[#This Row],[defense]]) + Table3[[#This Row],[pickoff time]]</f>
        <v>2.0550000000000002</v>
      </c>
      <c r="U7" s="48">
        <f>_xlfn.NORM.DIST(Table3[[#This Row],[Response speed]], Table3[[#This Row],[Blatant steal time]], $U$4, TRUE)</f>
        <v>3.005916388905331E-4</v>
      </c>
      <c r="V7" s="29">
        <f>Table3[[#This Row],[defense]]+Table3[[#This Row],[defense]]*Table3[[#This Row],[offense]]*$E$26</f>
        <v>0.10100000000000001</v>
      </c>
      <c r="W7" s="29">
        <f>(1-$W$32)</f>
        <v>0.5714285714285714</v>
      </c>
      <c r="X7" s="48">
        <f>Table3[[#This Row],[ball factor]]/$X$32*(1-$X$34)+$X$34</f>
        <v>0.73781512605042021</v>
      </c>
      <c r="Y7" s="29">
        <f>Table3[[#This Row],[offense]]</f>
        <v>0.1</v>
      </c>
      <c r="Z7" s="79">
        <f t="shared" ref="Z7:Z22" si="1">$AA$33</f>
        <v>-0.90000000000000013</v>
      </c>
      <c r="AA7" s="79">
        <f>IF(Table3[[#This Row],[player control]]&gt;1,Table3[[#This Row],[player control]]*$AA$41+$AA$40,Table3[[#This Row],[player control]]*$AA$39+$AA$38)</f>
        <v>-0.14000000000000001</v>
      </c>
      <c r="AB7" s="80">
        <f>_xlfn.NORM.DIST(-1,Table3[[#This Row],[ideal steer]],($AB$25-Table3[[#This Row],[scaled control]])*$AB$27,TRUE)</f>
        <v>0.40456602559459909</v>
      </c>
      <c r="AC7" s="80">
        <f>1-_xlfn.NORM.DIST(1,Table3[[#This Row],[ideal steer]],($AB$25-Table3[[#This Row],[scaled control]])*$AB$27,TRUE)</f>
        <v>2.2229077858426649E-6</v>
      </c>
      <c r="AD7" s="80">
        <f>1-(1-Table3[[#This Row],[unmod foul percent 3rd]])*(1-Table3[[#This Row],[unmod foul percent 1st]])</f>
        <v>0.40456734918941673</v>
      </c>
      <c r="AE7" s="80">
        <f>1-((1-_xlfn.NORM.DIST(-1,0,($AB$25-Table3[[#This Row],[scaled control]])*$AB$27,TRUE))*_xlfn.NORM.DIST(1,0,($AB$25-Table3[[#This Row],[scaled control]])*$AB$27,TRUE))</f>
        <v>1.5653650964326582E-2</v>
      </c>
      <c r="AF7" s="29">
        <f>$AF$34*$AF$25</f>
        <v>-20</v>
      </c>
      <c r="AG7" s="29">
        <f>$AG$25*($AG$34*Table3[[#This Row],[offense]])</f>
        <v>0</v>
      </c>
      <c r="AH7" s="29">
        <f t="shared" ref="AH7:AH22" si="2">$AH$25*$AH$34</f>
        <v>0</v>
      </c>
      <c r="AI7" s="29">
        <f>$AI$34*$AI$25</f>
        <v>0</v>
      </c>
      <c r="AJ7" s="29">
        <f>$AJ$25*(Table3[[#This Row],[offense]]-$AJ$27)</f>
        <v>-0.9</v>
      </c>
      <c r="AK7" s="29" cm="1">
        <f t="array" ref="AK7">SUM(Table3[[#This Row],[count]:[current hitter vs next hitter]]*MIN(1, Table3[[#This Row],[defense]]))</f>
        <v>-2.09</v>
      </c>
      <c r="AL7" s="80">
        <f>$AL$25-(Table3[[#This Row],[calling modifier]]/(ABS(Table3[[#This Row],[calling modifier]])+$AL$29)*$AL$27)</f>
        <v>0.63784517881394298</v>
      </c>
      <c r="AM7" s="104">
        <f>$AL$25-$AL$27*TANH(Table3[[#This Row],[calling modifier]]/$AM$29)</f>
        <v>0.64164850622224268</v>
      </c>
      <c r="AN7" s="116">
        <f>MAX(0, 1-_xlfn.NORM.S.INV(Table3[[#This Row],[tanh strike percent]])*($AN$25*($AN$27-Table3[[#This Row],[defense]])))</f>
        <v>0.57907233656026214</v>
      </c>
      <c r="AO7" s="117">
        <f>MAX(0, 1-_xlfn.NORM.S.INV(Table3[[#This Row],[tanh strike percent]])*($AN$25*($AN$27-0.2)))</f>
        <v>0.59358708357542556</v>
      </c>
      <c r="AP7" s="117">
        <f>MAX(0, 1-_xlfn.NORM.S.INV(Table3[[#This Row],[tanh strike percent]])*($AN$25*($AN$27-2)))</f>
        <v>0.85485252984836624</v>
      </c>
      <c r="AQ7" s="117">
        <f>Table3[[#This Row],[called position]]-pitchmod*(pitchstdv-Table3[[#This Row],[defense]])</f>
        <v>-0.58092766343973778</v>
      </c>
      <c r="AR7" s="117">
        <f>ABS(Table3[[#This Row],[called position]]+pitchmod*(pitchstdv-Table3[[#This Row],[defense]]))</f>
        <v>1.7390723365602621</v>
      </c>
      <c r="AS7" s="29">
        <f>Table3[[#This Row],[defense]]</f>
        <v>0.1</v>
      </c>
      <c r="AT7" s="117">
        <f>IF(AND(Table3[[#This Row],[location -1  stdv]]&lt;1, Table3[[#This Row],[location +1 stdv]]&gt;1),0, MIN(Table3[[#This Row],[location -1  stdv]]+1, 1-Table3[[#This Row],[location +1 stdv]]))</f>
        <v>0</v>
      </c>
      <c r="AU7" s="117">
        <f>IF(AND(Table3[[#This Row],[location -1  stdv]]&lt;0, Table3[[#This Row],[location +1 stdv]]&gt;0),1, MAX(1-ABS(Table3[[#This Row],[location -1  stdv]]), Table3[[#This Row],[location +1 stdv]]-1))</f>
        <v>1</v>
      </c>
      <c r="AV7" s="117">
        <f>1/(ABS(Table3[[#This Row],[called position]]-1)+$AV$27)+$AV$30*Table3[[#This Row],[defense]]</f>
        <v>2.1196523244645893</v>
      </c>
      <c r="AW7" s="117">
        <f>1/(Table3[[#This Row],[min dist to sz 1stdv]]+$AV$27)+$AV$30*Table3[[#This Row],[defense]]</f>
        <v>10.199999999999999</v>
      </c>
      <c r="AX7" s="117">
        <f>1/(Table3[[#This Row],[max dist to sz 1stdv]]+$AV$27)+$AV$30*Table3[[#This Row],[defense]]</f>
        <v>1.1090909090909091</v>
      </c>
    </row>
    <row r="8" spans="1:57" s="3" customFormat="1" x14ac:dyDescent="0.25">
      <c r="A8" s="3">
        <f t="shared" si="0"/>
        <v>2</v>
      </c>
      <c r="B8" s="3">
        <f>INDEX(oratings, 1, 1+MOD(Table3[[#This Row],[Rep '#]]-1, COUNT(oratings)))</f>
        <v>0.5</v>
      </c>
      <c r="C8" s="3">
        <f>INDEX(dratings, 1, MOD(FLOOR( (Table3[[#This Row],[Rep '#]]-1) / COUNT(oratings), 1), COUNT(dratings))+1)</f>
        <v>0.1</v>
      </c>
      <c r="D8" s="3">
        <f>Table3[[#This Row],[offense]]*$D$26+0.05</f>
        <v>0.1</v>
      </c>
      <c r="E8" s="3">
        <f>((2*Table3[[#This Row],[defense]]+1*Table3[[#This Row],[defense]])-1.5)*Table3[[#This Row],[offense]]*$E$26</f>
        <v>-0.06</v>
      </c>
      <c r="F8" s="3">
        <f>MAX(Table3[[#This Row],[base leadoff]]*(1-Table3[[#This Row],[leadoff modifier]]) * 90, 0)</f>
        <v>9.5400000000000009</v>
      </c>
      <c r="G8" s="3">
        <f>1.1 - Table3[[#This Row],[defense]]*0.1</f>
        <v>1.0900000000000001</v>
      </c>
      <c r="H8" s="3">
        <f xml:space="preserve"> 0.01 - 0.0025 *  Table3[[#This Row],[defense]]</f>
        <v>9.75E-3</v>
      </c>
      <c r="I8" s="3">
        <f>1 / Table3[[#This Row],[throw speed (s/ft)]] * ((60 * 60)/5280)</f>
        <v>69.930069930069934</v>
      </c>
      <c r="J8" s="3">
        <f>Table3[[#This Row],[pickoff manuver (s)]]+60*Table3[[#This Row],[throw speed (s/ft)]]</f>
        <v>1.675</v>
      </c>
      <c r="K8" s="3">
        <f>$K$28-$K$26*Table3[[#This Row],[offense]]</f>
        <v>0.8</v>
      </c>
      <c r="L8" s="3">
        <f>0.05 - Table3[[#This Row],[offense]]*$L$26</f>
        <v>4.5000000000000005E-2</v>
      </c>
      <c r="M8" s="3">
        <f>1 / Table3[[#This Row],[runner speed (s/ft)]] * ((60 * 60)/5280)</f>
        <v>15.151515151515147</v>
      </c>
      <c r="N8" s="3">
        <f>Table3[[#This Row],[runner reaction]]+Table3[[#This Row],[runner speed (s/ft)]]*Table3[[#This Row],[total leadoff (ft)]]</f>
        <v>1.2293000000000001</v>
      </c>
      <c r="O8" s="7">
        <f>1 - _xlfn.NORM.DIST(Table3[[#This Row],[pickoff time]], Table3[[#This Row],[pickoff evade time]], $O$4, TRUE)</f>
        <v>1.2923595669015353E-2</v>
      </c>
      <c r="P8" s="49">
        <f>_xlfn.NORM.DIST(Table3[[#This Row],[defense]], $P$26, $P$27, TRUE)</f>
        <v>0.96588837667724492</v>
      </c>
      <c r="Q8" s="3" t="b">
        <f>Table3[[#This Row],[pickoff probability]] &gt; 1-Table3[[#This Row],[Fielding Odds]]</f>
        <v>0</v>
      </c>
      <c r="R8" s="49">
        <f>1-Table3[[#This Row],[Fielding Odds]]</f>
        <v>3.411162332275508E-2</v>
      </c>
      <c r="S8" s="3">
        <f>(90-Table3[[#This Row],[total leadoff (ft)]])*Table3[[#This Row],[runner speed (s/ft)]]</f>
        <v>3.6207000000000003</v>
      </c>
      <c r="T8" s="3">
        <f>$T$26*(2-Table3[[#This Row],[defense]]) + Table3[[#This Row],[pickoff time]]</f>
        <v>2.0550000000000002</v>
      </c>
      <c r="U8" s="49">
        <f>_xlfn.NORM.DIST(Table3[[#This Row],[Response speed]], Table3[[#This Row],[Blatant steal time]], $U$4, TRUE)</f>
        <v>4.5337323029872069E-3</v>
      </c>
      <c r="V8" s="3">
        <f>Table3[[#This Row],[defense]]+Table3[[#This Row],[defense]]*Table3[[#This Row],[offense]]*$E$26</f>
        <v>0.10500000000000001</v>
      </c>
      <c r="W8" s="3">
        <f t="shared" ref="W8:W22" si="3">(1-$W$32)</f>
        <v>0.5714285714285714</v>
      </c>
      <c r="X8" s="49">
        <f>Table3[[#This Row],[ball factor]]/$X$32*(1-$X$34)+$X$34</f>
        <v>0.73781512605042021</v>
      </c>
      <c r="Y8" s="3">
        <f>Table3[[#This Row],[offense]]</f>
        <v>0.5</v>
      </c>
      <c r="Z8" s="81">
        <f t="shared" si="1"/>
        <v>-0.90000000000000013</v>
      </c>
      <c r="AA8" s="81">
        <f>IF(Table3[[#This Row],[player control]]&gt;1,Table3[[#This Row],[player control]]*$AA$41+$AA$40,Table3[[#This Row],[player control]]*$AA$39+$AA$38)</f>
        <v>0.10000000000000003</v>
      </c>
      <c r="AB8" s="82">
        <f>_xlfn.NORM.DIST(-1,Table3[[#This Row],[ideal steer]],($AB$25-Table3[[#This Row],[scaled control]])*$AB$27,TRUE)</f>
        <v>0.39881703452798722</v>
      </c>
      <c r="AC8" s="82">
        <f>1-_xlfn.NORM.DIST(1,Table3[[#This Row],[ideal steer]],($AB$25-Table3[[#This Row],[scaled control]])*$AB$27,TRUE)</f>
        <v>5.5294477940837083E-7</v>
      </c>
      <c r="AD8" s="82">
        <f>1-(1-Table3[[#This Row],[unmod foul percent 3rd]])*(1-Table3[[#This Row],[unmod foul percent 1st]])</f>
        <v>0.39881736694896941</v>
      </c>
      <c r="AE8" s="82">
        <f>1-((1-_xlfn.NORM.DIST(-1,0,($AB$25-Table3[[#This Row],[scaled control]])*$AB$27,TRUE))*_xlfn.NORM.DIST(1,0,($AB$25-Table3[[#This Row],[scaled control]])*$AB$27,TRUE))</f>
        <v>1.0317546081842099E-2</v>
      </c>
      <c r="AF8" s="3">
        <f>$AF$34*$AF$25</f>
        <v>-20</v>
      </c>
      <c r="AG8" s="3">
        <f>$AG$25*($AG$34*Table3[[#This Row],[offense]])</f>
        <v>0</v>
      </c>
      <c r="AH8" s="3">
        <f t="shared" si="2"/>
        <v>0</v>
      </c>
      <c r="AI8" s="3">
        <f>$AI$34*$AI$25</f>
        <v>0</v>
      </c>
      <c r="AJ8" s="3">
        <f>$AJ$25*(Table3[[#This Row],[offense]]-$AJ$27)</f>
        <v>-0.5</v>
      </c>
      <c r="AK8" s="3" cm="1">
        <f t="array" ref="AK8">SUM(Table3[[#This Row],[count]:[current hitter vs next hitter]]*MIN(1, Table3[[#This Row],[defense]]))</f>
        <v>-2.0499999999999998</v>
      </c>
      <c r="AL8" s="82">
        <f>$AL$25-(Table3[[#This Row],[calling modifier]]/(ABS(Table3[[#This Row],[calling modifier]])+$AL$29)*$AL$27)</f>
        <v>0.63718820861678005</v>
      </c>
      <c r="AM8" s="105">
        <f>$AL$25-$AL$27*TANH(Table3[[#This Row],[calling modifier]]/$AM$29)</f>
        <v>0.64085701544587359</v>
      </c>
      <c r="AN8" s="118">
        <f>MAX(0, 1-_xlfn.NORM.S.INV(Table3[[#This Row],[tanh strike percent]])*($AN$25*($AN$27-Table3[[#This Row],[defense]])))</f>
        <v>0.58152941922290857</v>
      </c>
      <c r="AO8" s="119">
        <f>MAX(0, 1-_xlfn.NORM.S.INV(Table3[[#This Row],[tanh strike percent]])*($AN$25*($AN$27-0.2)))</f>
        <v>0.59595943924970474</v>
      </c>
      <c r="AP8" s="119">
        <f>MAX(0, 1-_xlfn.NORM.S.INV(Table3[[#This Row],[tanh strike percent]])*($AN$25*($AN$27-2)))</f>
        <v>0.85569979973203736</v>
      </c>
      <c r="AQ8" s="119">
        <f>Table3[[#This Row],[called position]]-pitchmod*(pitchstdv-Table3[[#This Row],[defense]])</f>
        <v>-0.57847058077709135</v>
      </c>
      <c r="AR8" s="119">
        <f>ABS(Table3[[#This Row],[called position]]+pitchmod*(pitchstdv-Table3[[#This Row],[defense]]))</f>
        <v>1.7415294192229085</v>
      </c>
      <c r="AS8" s="3">
        <f>Table3[[#This Row],[defense]]</f>
        <v>0.1</v>
      </c>
      <c r="AT8" s="119">
        <f>IF(AND(Table3[[#This Row],[location -1  stdv]]&lt;1, Table3[[#This Row],[location +1 stdv]]&gt;1),0, MIN(Table3[[#This Row],[location -1  stdv]]+1, 1-Table3[[#This Row],[location +1 stdv]]))</f>
        <v>0</v>
      </c>
      <c r="AU8" s="119">
        <f>IF(AND(Table3[[#This Row],[location -1  stdv]]&lt;0, Table3[[#This Row],[location +1 stdv]]&gt;0),1, MAX(1-ABS(Table3[[#This Row],[location -1  stdv]]), Table3[[#This Row],[location +1 stdv]]-1))</f>
        <v>1</v>
      </c>
      <c r="AV8" s="119">
        <f>1/(ABS(Table3[[#This Row],[called position]]-1)+$AV$27)+$AV$30*Table3[[#This Row],[defense]]</f>
        <v>2.1287497441054133</v>
      </c>
      <c r="AW8" s="119">
        <f>1/(Table3[[#This Row],[min dist to sz 1stdv]]+$AV$27)+$AV$30*Table3[[#This Row],[defense]]</f>
        <v>10.199999999999999</v>
      </c>
      <c r="AX8" s="119">
        <f>1/(Table3[[#This Row],[max dist to sz 1stdv]]+$AV$27)+$AV$30*Table3[[#This Row],[defense]]</f>
        <v>1.1090909090909091</v>
      </c>
    </row>
    <row r="9" spans="1:57" s="4" customFormat="1" x14ac:dyDescent="0.25">
      <c r="A9" s="4">
        <f t="shared" si="0"/>
        <v>3</v>
      </c>
      <c r="B9" s="4">
        <f>INDEX(oratings, 1, 1+MOD(Table3[[#This Row],[Rep '#]]-1, COUNT(oratings)))</f>
        <v>1</v>
      </c>
      <c r="C9" s="4">
        <f>INDEX(dratings, 1, MOD(FLOOR( (Table3[[#This Row],[Rep '#]]-1) / COUNT(oratings), 1), COUNT(dratings))+1)</f>
        <v>0.1</v>
      </c>
      <c r="D9" s="4">
        <f>Table3[[#This Row],[offense]]*$D$26+0.05</f>
        <v>0.15000000000000002</v>
      </c>
      <c r="E9" s="4">
        <f>((2*Table3[[#This Row],[defense]]+1*Table3[[#This Row],[defense]])-1.5)*Table3[[#This Row],[offense]]*$E$26</f>
        <v>-0.12</v>
      </c>
      <c r="F9" s="4">
        <f>MAX(Table3[[#This Row],[base leadoff]]*(1-Table3[[#This Row],[leadoff modifier]]) * 90, 0)</f>
        <v>15.120000000000003</v>
      </c>
      <c r="G9" s="4">
        <f>1.1 - Table3[[#This Row],[defense]]*0.1</f>
        <v>1.0900000000000001</v>
      </c>
      <c r="H9" s="4">
        <f xml:space="preserve"> 0.01 - 0.0025 *  Table3[[#This Row],[defense]]</f>
        <v>9.75E-3</v>
      </c>
      <c r="I9" s="4">
        <f>1 / Table3[[#This Row],[throw speed (s/ft)]] * ((60 * 60)/5280)</f>
        <v>69.930069930069934</v>
      </c>
      <c r="J9" s="4">
        <f>Table3[[#This Row],[pickoff manuver (s)]]+60*Table3[[#This Row],[throw speed (s/ft)]]</f>
        <v>1.675</v>
      </c>
      <c r="K9" s="4">
        <f>$K$28-$K$26*Table3[[#This Row],[offense]]</f>
        <v>0.7</v>
      </c>
      <c r="L9" s="4">
        <f>0.05 - Table3[[#This Row],[offense]]*$L$26</f>
        <v>0.04</v>
      </c>
      <c r="M9" s="4">
        <f>1 / Table3[[#This Row],[runner speed (s/ft)]] * ((60 * 60)/5280)</f>
        <v>17.045454545454543</v>
      </c>
      <c r="N9" s="4">
        <f>Table3[[#This Row],[runner reaction]]+Table3[[#This Row],[runner speed (s/ft)]]*Table3[[#This Row],[total leadoff (ft)]]</f>
        <v>1.3048000000000002</v>
      </c>
      <c r="O9" s="10">
        <f>1 - _xlfn.NORM.DIST(Table3[[#This Row],[pickoff time]], Table3[[#This Row],[pickoff evade time]], $O$4, TRUE)</f>
        <v>3.208477655219244E-2</v>
      </c>
      <c r="P9" s="50">
        <f>_xlfn.NORM.DIST(Table3[[#This Row],[defense]], $P$26, $P$27, TRUE)</f>
        <v>0.96588837667724492</v>
      </c>
      <c r="Q9" s="4" t="b">
        <f>Table3[[#This Row],[pickoff probability]] &gt; 1-Table3[[#This Row],[Fielding Odds]]</f>
        <v>0</v>
      </c>
      <c r="R9" s="50">
        <f>1-Table3[[#This Row],[Fielding Odds]]</f>
        <v>3.411162332275508E-2</v>
      </c>
      <c r="S9" s="4">
        <f>(90-Table3[[#This Row],[total leadoff (ft)]])*Table3[[#This Row],[runner speed (s/ft)]]</f>
        <v>2.9952000000000001</v>
      </c>
      <c r="T9" s="4">
        <f>$T$26*(2-Table3[[#This Row],[defense]]) + Table3[[#This Row],[pickoff time]]</f>
        <v>2.0550000000000002</v>
      </c>
      <c r="U9" s="50">
        <f>_xlfn.NORM.DIST(Table3[[#This Row],[Response speed]], Table3[[#This Row],[Blatant steal time]], $U$4, TRUE)</f>
        <v>5.8557345807363756E-2</v>
      </c>
      <c r="V9" s="4">
        <f>Table3[[#This Row],[defense]]+Table3[[#This Row],[defense]]*Table3[[#This Row],[offense]]*$E$26</f>
        <v>0.11000000000000001</v>
      </c>
      <c r="W9" s="4">
        <f t="shared" si="3"/>
        <v>0.5714285714285714</v>
      </c>
      <c r="X9" s="50">
        <f>Table3[[#This Row],[ball factor]]/$X$32*(1-$X$34)+$X$34</f>
        <v>0.73781512605042021</v>
      </c>
      <c r="Y9" s="4">
        <f>Table3[[#This Row],[offense]]</f>
        <v>1</v>
      </c>
      <c r="Z9" s="83">
        <f t="shared" si="1"/>
        <v>-0.90000000000000013</v>
      </c>
      <c r="AA9" s="83">
        <f>IF(Table3[[#This Row],[player control]]&gt;1,Table3[[#This Row],[player control]]*$AA$41+$AA$40,Table3[[#This Row],[player control]]*$AA$39+$AA$38)</f>
        <v>0.40000000000000008</v>
      </c>
      <c r="AB9" s="84">
        <f>_xlfn.NORM.DIST(-1,Table3[[#This Row],[ideal steer]],($AB$25-Table3[[#This Row],[scaled control]])*$AB$27,TRUE)</f>
        <v>0.39059147543357509</v>
      </c>
      <c r="AC9" s="84">
        <f>1-_xlfn.NORM.DIST(1,Table3[[#This Row],[ideal steer]],($AB$25-Table3[[#This Row],[scaled control]])*$AB$27,TRUE)</f>
        <v>6.5379949898414225E-8</v>
      </c>
      <c r="AD9" s="84">
        <f>1-(1-Table3[[#This Row],[unmod foul percent 3rd]])*(1-Table3[[#This Row],[unmod foul percent 1st]])</f>
        <v>0.39059151527667391</v>
      </c>
      <c r="AE9" s="84">
        <f>1-((1-_xlfn.NORM.DIST(-1,0,($AB$25-Table3[[#This Row],[scaled control]])*$AB$27,TRUE))*_xlfn.NORM.DIST(1,0,($AB$25-Table3[[#This Row],[scaled control]])*$AB$27,TRUE))</f>
        <v>5.465714583151815E-3</v>
      </c>
      <c r="AF9" s="4">
        <f>$AF$34*$AF$25</f>
        <v>-20</v>
      </c>
      <c r="AG9" s="4">
        <f>$AG$25*($AG$34*Table3[[#This Row],[offense]])</f>
        <v>0</v>
      </c>
      <c r="AH9" s="4">
        <f t="shared" si="2"/>
        <v>0</v>
      </c>
      <c r="AI9" s="4">
        <f>$AI$34*$AI$25</f>
        <v>0</v>
      </c>
      <c r="AJ9" s="4">
        <f>$AJ$25*(Table3[[#This Row],[offense]]-$AJ$27)</f>
        <v>0</v>
      </c>
      <c r="AK9" s="4" cm="1">
        <f t="array" ref="AK9">SUM(Table3[[#This Row],[count]:[current hitter vs next hitter]]*MIN(1, Table3[[#This Row],[defense]]))</f>
        <v>-2</v>
      </c>
      <c r="AL9" s="84">
        <f>$AL$25-(Table3[[#This Row],[calling modifier]]/(ABS(Table3[[#This Row],[calling modifier]])+$AL$29)*$AL$27)</f>
        <v>0.63636363636363635</v>
      </c>
      <c r="AM9" s="106">
        <f>$AL$25-$AL$27*TANH(Table3[[#This Row],[calling modifier]]/$AM$29)</f>
        <v>0.63986719784998236</v>
      </c>
      <c r="AN9" s="120">
        <f>MAX(0, 1-_xlfn.NORM.S.INV(Table3[[#This Row],[tanh strike percent]])*($AN$25*($AN$27-Table3[[#This Row],[defense]])))</f>
        <v>0.58459954379728118</v>
      </c>
      <c r="AO9" s="121">
        <f>MAX(0, 1-_xlfn.NORM.S.INV(Table3[[#This Row],[tanh strike percent]])*($AN$25*($AN$27-0.2)))</f>
        <v>0.59892369745944385</v>
      </c>
      <c r="AP9" s="121">
        <f>MAX(0, 1-_xlfn.NORM.S.INV(Table3[[#This Row],[tanh strike percent]])*($AN$25*($AN$27-2)))</f>
        <v>0.8567584633783728</v>
      </c>
      <c r="AQ9" s="121">
        <f>Table3[[#This Row],[called position]]-pitchmod*(pitchstdv-Table3[[#This Row],[defense]])</f>
        <v>-0.57540045620271874</v>
      </c>
      <c r="AR9" s="121">
        <f>ABS(Table3[[#This Row],[called position]]+pitchmod*(pitchstdv-Table3[[#This Row],[defense]]))</f>
        <v>1.744599543797281</v>
      </c>
      <c r="AS9" s="4">
        <f>Table3[[#This Row],[defense]]</f>
        <v>0.1</v>
      </c>
      <c r="AT9" s="121">
        <f>IF(AND(Table3[[#This Row],[location -1  stdv]]&lt;1, Table3[[#This Row],[location +1 stdv]]&gt;1),0, MIN(Table3[[#This Row],[location -1  stdv]]+1, 1-Table3[[#This Row],[location +1 stdv]]))</f>
        <v>0</v>
      </c>
      <c r="AU9" s="121">
        <f>IF(AND(Table3[[#This Row],[location -1  stdv]]&lt;0, Table3[[#This Row],[location +1 stdv]]&gt;0),1, MAX(1-ABS(Table3[[#This Row],[location -1  stdv]]), Table3[[#This Row],[location +1 stdv]]-1))</f>
        <v>1</v>
      </c>
      <c r="AV9" s="121">
        <f>1/(ABS(Table3[[#This Row],[called position]]-1)+$AV$27)+$AV$30*Table3[[#This Row],[defense]]</f>
        <v>2.1402388724442205</v>
      </c>
      <c r="AW9" s="121">
        <f>1/(Table3[[#This Row],[min dist to sz 1stdv]]+$AV$27)+$AV$30*Table3[[#This Row],[defense]]</f>
        <v>10.199999999999999</v>
      </c>
      <c r="AX9" s="121">
        <f>1/(Table3[[#This Row],[max dist to sz 1stdv]]+$AV$27)+$AV$30*Table3[[#This Row],[defense]]</f>
        <v>1.1090909090909091</v>
      </c>
    </row>
    <row r="10" spans="1:57" s="3" customFormat="1" x14ac:dyDescent="0.25">
      <c r="A10" s="3">
        <f t="shared" si="0"/>
        <v>4</v>
      </c>
      <c r="B10" s="3">
        <f>INDEX(oratings, 1, 1+MOD(Table3[[#This Row],[Rep '#]]-1, COUNT(oratings)))</f>
        <v>2</v>
      </c>
      <c r="C10" s="3">
        <f>INDEX(dratings, 1, MOD(FLOOR( (Table3[[#This Row],[Rep '#]]-1) / COUNT(oratings), 1), COUNT(dratings))+1)</f>
        <v>0.1</v>
      </c>
      <c r="D10" s="3">
        <f>Table3[[#This Row],[offense]]*$D$26+0.05</f>
        <v>0.25</v>
      </c>
      <c r="E10" s="3">
        <f>((2*Table3[[#This Row],[defense]]+1*Table3[[#This Row],[defense]])-1.5)*Table3[[#This Row],[offense]]*$E$26</f>
        <v>-0.24</v>
      </c>
      <c r="F10" s="3">
        <f>MAX(Table3[[#This Row],[base leadoff]]*(1-Table3[[#This Row],[leadoff modifier]]) * 90, 0)</f>
        <v>27.9</v>
      </c>
      <c r="G10" s="3">
        <f>1.1 - Table3[[#This Row],[defense]]*0.1</f>
        <v>1.0900000000000001</v>
      </c>
      <c r="H10" s="3">
        <f xml:space="preserve"> 0.01 - 0.0025 *  Table3[[#This Row],[defense]]</f>
        <v>9.75E-3</v>
      </c>
      <c r="I10" s="3">
        <f>1 / Table3[[#This Row],[throw speed (s/ft)]] * ((60 * 60)/5280)</f>
        <v>69.930069930069934</v>
      </c>
      <c r="J10" s="3">
        <f>Table3[[#This Row],[pickoff manuver (s)]]+60*Table3[[#This Row],[throw speed (s/ft)]]</f>
        <v>1.675</v>
      </c>
      <c r="K10" s="3">
        <f>$K$28-$K$26*Table3[[#This Row],[offense]]</f>
        <v>0.5</v>
      </c>
      <c r="L10" s="3">
        <f>0.05 - Table3[[#This Row],[offense]]*$L$26</f>
        <v>3.0000000000000002E-2</v>
      </c>
      <c r="M10" s="3">
        <f>1 / Table3[[#This Row],[runner speed (s/ft)]] * ((60 * 60)/5280)</f>
        <v>22.727272727272723</v>
      </c>
      <c r="N10" s="3">
        <f>Table3[[#This Row],[runner reaction]]+Table3[[#This Row],[runner speed (s/ft)]]*Table3[[#This Row],[total leadoff (ft)]]</f>
        <v>1.3370000000000002</v>
      </c>
      <c r="O10" s="7">
        <f>1 - _xlfn.NORM.DIST(Table3[[#This Row],[pickoff time]], Table3[[#This Row],[pickoff evade time]], $O$4, TRUE)</f>
        <v>4.5513977321549826E-2</v>
      </c>
      <c r="P10" s="49">
        <f>_xlfn.NORM.DIST(Table3[[#This Row],[defense]], $P$26, $P$27, TRUE)</f>
        <v>0.96588837667724492</v>
      </c>
      <c r="Q10" s="3" t="b">
        <f>Table3[[#This Row],[pickoff probability]] &gt; 1-Table3[[#This Row],[Fielding Odds]]</f>
        <v>1</v>
      </c>
      <c r="R10" s="49">
        <f>1-Table3[[#This Row],[Fielding Odds]]</f>
        <v>3.411162332275508E-2</v>
      </c>
      <c r="S10" s="3">
        <f>(90-Table3[[#This Row],[total leadoff (ft)]])*Table3[[#This Row],[runner speed (s/ft)]]</f>
        <v>1.8630000000000002</v>
      </c>
      <c r="T10" s="3">
        <f>$T$26*(2-Table3[[#This Row],[defense]]) + Table3[[#This Row],[pickoff time]]</f>
        <v>2.0550000000000002</v>
      </c>
      <c r="U10" s="49">
        <f>_xlfn.NORM.DIST(Table3[[#This Row],[Response speed]], Table3[[#This Row],[Blatant steal time]], $U$4, TRUE)</f>
        <v>0.62551583472332006</v>
      </c>
      <c r="V10" s="3">
        <f>Table3[[#This Row],[defense]]+Table3[[#This Row],[defense]]*Table3[[#This Row],[offense]]*$E$26</f>
        <v>0.12000000000000001</v>
      </c>
      <c r="W10" s="3">
        <f t="shared" si="3"/>
        <v>0.5714285714285714</v>
      </c>
      <c r="X10" s="49">
        <f>Table3[[#This Row],[ball factor]]/$X$32*(1-$X$34)+$X$34</f>
        <v>0.73781512605042021</v>
      </c>
      <c r="Y10" s="3">
        <f>Table3[[#This Row],[offense]]</f>
        <v>2</v>
      </c>
      <c r="Z10" s="81">
        <f t="shared" si="1"/>
        <v>-0.90000000000000013</v>
      </c>
      <c r="AA10" s="81">
        <f>IF(Table3[[#This Row],[player control]]&gt;1,Table3[[#This Row],[player control]]*$AA$41+$AA$40,Table3[[#This Row],[player control]]*$AA$39+$AA$38)</f>
        <v>2</v>
      </c>
      <c r="AB10" s="82">
        <f>_xlfn.NORM.DIST(-1,Table3[[#This Row],[ideal steer]],($AB$25-Table3[[#This Row],[scaled control]])*$AB$27,TRUE)</f>
        <v>0.3085375387259871</v>
      </c>
      <c r="AC10" s="82">
        <f>1-_xlfn.NORM.DIST(1,Table3[[#This Row],[ideal steer]],($AB$25-Table3[[#This Row],[scaled control]])*$AB$27,TRUE)</f>
        <v>0</v>
      </c>
      <c r="AD10" s="82">
        <f>1-(1-Table3[[#This Row],[unmod foul percent 3rd]])*(1-Table3[[#This Row],[unmod foul percent 1st]])</f>
        <v>0.3085375387259871</v>
      </c>
      <c r="AE10" s="82">
        <f>1-((1-_xlfn.NORM.DIST(-1,0,($AB$25-Table3[[#This Row],[scaled control]])*$AB$27,TRUE))*_xlfn.NORM.DIST(1,0,($AB$25-Table3[[#This Row],[scaled control]])*$AB$27,TRUE))</f>
        <v>5.7330306169056655E-7</v>
      </c>
      <c r="AF10" s="3">
        <f>$AF$34*$AF$25</f>
        <v>-20</v>
      </c>
      <c r="AG10" s="3">
        <f>$AG$25*($AG$34*Table3[[#This Row],[offense]])</f>
        <v>0</v>
      </c>
      <c r="AH10" s="3">
        <f t="shared" si="2"/>
        <v>0</v>
      </c>
      <c r="AI10" s="3">
        <f>$AI$34*$AI$25</f>
        <v>0</v>
      </c>
      <c r="AJ10" s="3">
        <f>$AJ$25*(Table3[[#This Row],[offense]]-$AJ$27)</f>
        <v>1</v>
      </c>
      <c r="AK10" s="3" cm="1">
        <f t="array" ref="AK10">SUM(Table3[[#This Row],[count]:[current hitter vs next hitter]]*MIN(1, Table3[[#This Row],[defense]]))</f>
        <v>-1.9</v>
      </c>
      <c r="AL10" s="82">
        <f>$AL$25-(Table3[[#This Row],[calling modifier]]/(ABS(Table3[[#This Row],[calling modifier]])+$AL$29)*$AL$27)</f>
        <v>0.63470319634703198</v>
      </c>
      <c r="AM10" s="105">
        <f>$AL$25-$AL$27*TANH(Table3[[#This Row],[calling modifier]]/$AM$29)</f>
        <v>0.63788609451447142</v>
      </c>
      <c r="AN10" s="118">
        <f>MAX(0, 1-_xlfn.NORM.S.INV(Table3[[#This Row],[tanh strike percent]])*($AN$25*($AN$27-Table3[[#This Row],[defense]])))</f>
        <v>0.59073564174578364</v>
      </c>
      <c r="AO10" s="119">
        <f>MAX(0, 1-_xlfn.NORM.S.INV(Table3[[#This Row],[tanh strike percent]])*($AN$25*($AN$27-0.2)))</f>
        <v>0.60484820582351528</v>
      </c>
      <c r="AP10" s="119">
        <f>MAX(0, 1-_xlfn.NORM.S.INV(Table3[[#This Row],[tanh strike percent]])*($AN$25*($AN$27-2)))</f>
        <v>0.85887435922268396</v>
      </c>
      <c r="AQ10" s="119">
        <f>Table3[[#This Row],[called position]]-pitchmod*(pitchstdv-Table3[[#This Row],[defense]])</f>
        <v>-0.56926435825421629</v>
      </c>
      <c r="AR10" s="119">
        <f>ABS(Table3[[#This Row],[called position]]+pitchmod*(pitchstdv-Table3[[#This Row],[defense]]))</f>
        <v>1.7507356417457836</v>
      </c>
      <c r="AS10" s="3">
        <f>Table3[[#This Row],[defense]]</f>
        <v>0.1</v>
      </c>
      <c r="AT10" s="119">
        <f>IF(AND(Table3[[#This Row],[location -1  stdv]]&lt;1, Table3[[#This Row],[location +1 stdv]]&gt;1),0, MIN(Table3[[#This Row],[location -1  stdv]]+1, 1-Table3[[#This Row],[location +1 stdv]]))</f>
        <v>0</v>
      </c>
      <c r="AU10" s="119">
        <f>IF(AND(Table3[[#This Row],[location -1  stdv]]&lt;0, Table3[[#This Row],[location +1 stdv]]&gt;0),1, MAX(1-ABS(Table3[[#This Row],[location -1  stdv]]), Table3[[#This Row],[location +1 stdv]]-1))</f>
        <v>1</v>
      </c>
      <c r="AV10" s="119">
        <f>1/(ABS(Table3[[#This Row],[called position]]-1)+$AV$27)+$AV$30*Table3[[#This Row],[defense]]</f>
        <v>2.1636167027829121</v>
      </c>
      <c r="AW10" s="119">
        <f>1/(Table3[[#This Row],[min dist to sz 1stdv]]+$AV$27)+$AV$30*Table3[[#This Row],[defense]]</f>
        <v>10.199999999999999</v>
      </c>
      <c r="AX10" s="119">
        <f>1/(Table3[[#This Row],[max dist to sz 1stdv]]+$AV$27)+$AV$30*Table3[[#This Row],[defense]]</f>
        <v>1.1090909090909091</v>
      </c>
    </row>
    <row r="11" spans="1:57" s="13" customFormat="1" x14ac:dyDescent="0.25">
      <c r="A11" s="13">
        <f t="shared" si="0"/>
        <v>5</v>
      </c>
      <c r="B11" s="13">
        <f>INDEX(oratings, 1, 1+MOD(Table3[[#This Row],[Rep '#]]-1, COUNT(oratings)))</f>
        <v>0.1</v>
      </c>
      <c r="C11" s="13">
        <f>INDEX(dratings, 1, MOD(FLOOR( (Table3[[#This Row],[Rep '#]]-1) / COUNT(oratings), 1), COUNT(dratings))+1)</f>
        <v>0.5</v>
      </c>
      <c r="D11" s="13">
        <f>Table3[[#This Row],[offense]]*$D$26+0.05</f>
        <v>6.0000000000000005E-2</v>
      </c>
      <c r="E11" s="13">
        <f>((2*Table3[[#This Row],[defense]]+1*Table3[[#This Row],[defense]])-1.5)*Table3[[#This Row],[offense]]*$E$26</f>
        <v>0</v>
      </c>
      <c r="F11" s="13">
        <f>MAX(Table3[[#This Row],[base leadoff]]*(1-Table3[[#This Row],[leadoff modifier]]) * 90, 0)</f>
        <v>5.4</v>
      </c>
      <c r="G11" s="13">
        <f>1.1 - Table3[[#This Row],[defense]]*0.1</f>
        <v>1.05</v>
      </c>
      <c r="H11" s="13">
        <f xml:space="preserve"> 0.01 - 0.0025 *  Table3[[#This Row],[defense]]</f>
        <v>8.7500000000000008E-3</v>
      </c>
      <c r="I11" s="13">
        <f>1 / Table3[[#This Row],[throw speed (s/ft)]] * ((60 * 60)/5280)</f>
        <v>77.922077922077918</v>
      </c>
      <c r="J11" s="13">
        <f>Table3[[#This Row],[pickoff manuver (s)]]+60*Table3[[#This Row],[throw speed (s/ft)]]</f>
        <v>1.5750000000000002</v>
      </c>
      <c r="K11" s="13">
        <f>$K$28-$K$26*Table3[[#This Row],[offense]]</f>
        <v>0.88</v>
      </c>
      <c r="L11" s="13">
        <f>0.05 - Table3[[#This Row],[offense]]*$L$26</f>
        <v>4.9000000000000002E-2</v>
      </c>
      <c r="M11" s="13">
        <f>1 / Table3[[#This Row],[runner speed (s/ft)]] * ((60 * 60)/5280)</f>
        <v>13.914656771799628</v>
      </c>
      <c r="N11" s="13">
        <f>Table3[[#This Row],[runner reaction]]+Table3[[#This Row],[runner speed (s/ft)]]*Table3[[#This Row],[total leadoff (ft)]]</f>
        <v>1.1446000000000001</v>
      </c>
      <c r="O11" s="14">
        <f>1 - _xlfn.NORM.DIST(Table3[[#This Row],[pickoff time]], Table3[[#This Row],[pickoff evade time]], $O$4, TRUE)</f>
        <v>1.5698677182155896E-2</v>
      </c>
      <c r="P11" s="51">
        <f>_xlfn.NORM.DIST(Table3[[#This Row],[defense]], $P$26, $P$27, TRUE)</f>
        <v>0.98024442661121902</v>
      </c>
      <c r="Q11" s="13" t="b">
        <f>Table3[[#This Row],[pickoff probability]] &gt; 1-Table3[[#This Row],[Fielding Odds]]</f>
        <v>0</v>
      </c>
      <c r="R11" s="51">
        <f>1-Table3[[#This Row],[Fielding Odds]]</f>
        <v>1.9755573388780978E-2</v>
      </c>
      <c r="S11" s="13">
        <f>(90-Table3[[#This Row],[total leadoff (ft)]])*Table3[[#This Row],[runner speed (s/ft)]]</f>
        <v>4.1453999999999995</v>
      </c>
      <c r="T11" s="13">
        <f>$T$26*(2-Table3[[#This Row],[defense]]) + Table3[[#This Row],[pickoff time]]</f>
        <v>1.8750000000000002</v>
      </c>
      <c r="U11" s="51">
        <f>_xlfn.NORM.DIST(Table3[[#This Row],[Response speed]], Table3[[#This Row],[Blatant steal time]], $U$4, TRUE)</f>
        <v>7.7163911324126927E-5</v>
      </c>
      <c r="V11" s="13">
        <f>Table3[[#This Row],[defense]]+Table3[[#This Row],[defense]]*Table3[[#This Row],[offense]]*$E$26</f>
        <v>0.505</v>
      </c>
      <c r="W11" s="13">
        <f t="shared" si="3"/>
        <v>0.5714285714285714</v>
      </c>
      <c r="X11" s="51">
        <f>Table3[[#This Row],[ball factor]]/$X$32*(1-$X$34)+$X$34</f>
        <v>0.73781512605042021</v>
      </c>
      <c r="Y11" s="13">
        <f>Table3[[#This Row],[offense]]</f>
        <v>0.1</v>
      </c>
      <c r="Z11" s="85">
        <f t="shared" si="1"/>
        <v>-0.90000000000000013</v>
      </c>
      <c r="AA11" s="85">
        <f>IF(Table3[[#This Row],[player control]]&gt;1,Table3[[#This Row],[player control]]*$AA$41+$AA$40,Table3[[#This Row],[player control]]*$AA$39+$AA$38)</f>
        <v>-0.14000000000000001</v>
      </c>
      <c r="AB11" s="86">
        <f>_xlfn.NORM.DIST(-1,Table3[[#This Row],[ideal steer]],($AB$25-Table3[[#This Row],[scaled control]])*$AB$27,TRUE)</f>
        <v>0.40456602559459909</v>
      </c>
      <c r="AC11" s="86">
        <f>1-_xlfn.NORM.DIST(1,Table3[[#This Row],[ideal steer]],($AB$25-Table3[[#This Row],[scaled control]])*$AB$27,TRUE)</f>
        <v>2.2229077858426649E-6</v>
      </c>
      <c r="AD11" s="86">
        <f>1-(1-Table3[[#This Row],[unmod foul percent 3rd]])*(1-Table3[[#This Row],[unmod foul percent 1st]])</f>
        <v>0.40456734918941673</v>
      </c>
      <c r="AE11" s="86">
        <f>1-((1-_xlfn.NORM.DIST(-1,0,($AB$25-Table3[[#This Row],[scaled control]])*$AB$27,TRUE))*_xlfn.NORM.DIST(1,0,($AB$25-Table3[[#This Row],[scaled control]])*$AB$27,TRUE))</f>
        <v>1.5653650964326582E-2</v>
      </c>
      <c r="AF11" s="13">
        <f>$AF$34*$AF$25</f>
        <v>-20</v>
      </c>
      <c r="AG11" s="13">
        <f>$AG$25*($AG$34*Table3[[#This Row],[offense]])</f>
        <v>0</v>
      </c>
      <c r="AH11" s="13">
        <f t="shared" si="2"/>
        <v>0</v>
      </c>
      <c r="AI11" s="13">
        <f>$AI$34*$AI$25</f>
        <v>0</v>
      </c>
      <c r="AJ11" s="13">
        <f>$AJ$25*(Table3[[#This Row],[offense]]-$AJ$27)</f>
        <v>-0.9</v>
      </c>
      <c r="AK11" s="13" cm="1">
        <f t="array" ref="AK11">SUM(Table3[[#This Row],[count]:[current hitter vs next hitter]]*MIN(1, Table3[[#This Row],[defense]]))</f>
        <v>-10.45</v>
      </c>
      <c r="AL11" s="86">
        <f>$AL$25-(Table3[[#This Row],[calling modifier]]/(ABS(Table3[[#This Row],[calling modifier]])+$AL$29)*$AL$27)</f>
        <v>0.73727422003284071</v>
      </c>
      <c r="AM11" s="107">
        <f>$AL$25-$AL$27*TANH(Table3[[#This Row],[calling modifier]]/$AM$29)</f>
        <v>0.79185088533575021</v>
      </c>
      <c r="AN11" s="122">
        <f>MAX(0, 1-_xlfn.NORM.S.INV(Table3[[#This Row],[tanh strike percent]])*($AN$25*($AN$27-Table3[[#This Row],[defense]])))</f>
        <v>0.18713982377703142</v>
      </c>
      <c r="AO11" s="123">
        <f>MAX(0, 1-_xlfn.NORM.S.INV(Table3[[#This Row],[tanh strike percent]])*($AN$25*($AN$27-0.2)))</f>
        <v>8.9596602630275246E-2</v>
      </c>
      <c r="AP11" s="123">
        <f>MAX(0, 1-_xlfn.NORM.S.INV(Table3[[#This Row],[tanh strike percent]])*($AN$25*($AN$27-2)))</f>
        <v>0.67485592951081252</v>
      </c>
      <c r="AQ11" s="123">
        <f>Table3[[#This Row],[called position]]-pitchmod*(pitchstdv-Table3[[#This Row],[defense]])</f>
        <v>-0.81286017622296858</v>
      </c>
      <c r="AR11" s="123">
        <f>ABS(Table3[[#This Row],[called position]]+pitchmod*(pitchstdv-Table3[[#This Row],[defense]]))</f>
        <v>1.1871398237770314</v>
      </c>
      <c r="AS11" s="13">
        <f>Table3[[#This Row],[defense]]</f>
        <v>0.5</v>
      </c>
      <c r="AT11" s="123">
        <f>IF(AND(Table3[[#This Row],[location -1  stdv]]&lt;1, Table3[[#This Row],[location +1 stdv]]&gt;1),0, MIN(Table3[[#This Row],[location -1  stdv]]+1, 1-Table3[[#This Row],[location +1 stdv]]))</f>
        <v>0</v>
      </c>
      <c r="AU11" s="123">
        <f>IF(AND(Table3[[#This Row],[location -1  stdv]]&lt;0, Table3[[#This Row],[location +1 stdv]]&gt;0),1, MAX(1-ABS(Table3[[#This Row],[location -1  stdv]]), Table3[[#This Row],[location +1 stdv]]-1))</f>
        <v>1</v>
      </c>
      <c r="AV11" s="123">
        <f>1/(ABS(Table3[[#This Row],[called position]]-1)+$AV$27)+$AV$30*Table3[[#This Row],[defense]]</f>
        <v>2.0954580187050982</v>
      </c>
      <c r="AW11" s="123">
        <f>1/(Table3[[#This Row],[min dist to sz 1stdv]]+$AV$27)+$AV$30*Table3[[#This Row],[defense]]</f>
        <v>11</v>
      </c>
      <c r="AX11" s="123">
        <f>1/(Table3[[#This Row],[max dist to sz 1stdv]]+$AV$27)+$AV$30*Table3[[#This Row],[defense]]</f>
        <v>1.9090909090909092</v>
      </c>
    </row>
    <row r="12" spans="1:57" s="26" customFormat="1" x14ac:dyDescent="0.25">
      <c r="A12" s="25">
        <f t="shared" si="0"/>
        <v>6</v>
      </c>
      <c r="B12" s="26">
        <f>INDEX(oratings, 1, 1+MOD(Table3[[#This Row],[Rep '#]]-1, COUNT(oratings)))</f>
        <v>0.5</v>
      </c>
      <c r="C12" s="26">
        <f>INDEX(dratings, 1, MOD(FLOOR( (Table3[[#This Row],[Rep '#]]-1) / COUNT(oratings), 1), COUNT(dratings))+1)</f>
        <v>0.5</v>
      </c>
      <c r="D12" s="26">
        <f>Table3[[#This Row],[offense]]*$D$26+0.05</f>
        <v>0.1</v>
      </c>
      <c r="E12" s="26">
        <f>((2*Table3[[#This Row],[defense]]+1*Table3[[#This Row],[defense]])-1.5)*Table3[[#This Row],[offense]]*$E$26</f>
        <v>0</v>
      </c>
      <c r="F12" s="26">
        <f>MAX(Table3[[#This Row],[base leadoff]]*(1-Table3[[#This Row],[leadoff modifier]]) * 90, 0)</f>
        <v>9</v>
      </c>
      <c r="G12" s="26">
        <f>1.1 - Table3[[#This Row],[defense]]*0.1</f>
        <v>1.05</v>
      </c>
      <c r="H12" s="26">
        <f xml:space="preserve"> 0.01 - 0.0025 *  Table3[[#This Row],[defense]]</f>
        <v>8.7500000000000008E-3</v>
      </c>
      <c r="I12" s="26">
        <f>1 / Table3[[#This Row],[throw speed (s/ft)]] * ((60 * 60)/5280)</f>
        <v>77.922077922077918</v>
      </c>
      <c r="J12" s="26">
        <f>Table3[[#This Row],[pickoff manuver (s)]]+60*Table3[[#This Row],[throw speed (s/ft)]]</f>
        <v>1.5750000000000002</v>
      </c>
      <c r="K12" s="26">
        <f>$K$28-$K$26*Table3[[#This Row],[offense]]</f>
        <v>0.8</v>
      </c>
      <c r="L12" s="26">
        <f>0.05 - Table3[[#This Row],[offense]]*$L$26</f>
        <v>4.5000000000000005E-2</v>
      </c>
      <c r="M12" s="26">
        <f>1 / Table3[[#This Row],[runner speed (s/ft)]] * ((60 * 60)/5280)</f>
        <v>15.151515151515147</v>
      </c>
      <c r="N12" s="26">
        <f>Table3[[#This Row],[runner reaction]]+Table3[[#This Row],[runner speed (s/ft)]]*Table3[[#This Row],[total leadoff (ft)]]</f>
        <v>1.2050000000000001</v>
      </c>
      <c r="O12" s="27">
        <f>1 - _xlfn.NORM.DIST(Table3[[#This Row],[pickoff time]], Table3[[#This Row],[pickoff evade time]], $O$4, TRUE)</f>
        <v>3.215677479561363E-2</v>
      </c>
      <c r="P12" s="52">
        <f>_xlfn.NORM.DIST(Table3[[#This Row],[defense]], $P$26, $P$27, TRUE)</f>
        <v>0.98024442661121902</v>
      </c>
      <c r="Q12" s="26" t="b">
        <f>Table3[[#This Row],[pickoff probability]] &gt; 1-Table3[[#This Row],[Fielding Odds]]</f>
        <v>1</v>
      </c>
      <c r="R12" s="52">
        <f>1-Table3[[#This Row],[Fielding Odds]]</f>
        <v>1.9755573388780978E-2</v>
      </c>
      <c r="S12" s="26">
        <f>(90-Table3[[#This Row],[total leadoff (ft)]])*Table3[[#This Row],[runner speed (s/ft)]]</f>
        <v>3.6450000000000005</v>
      </c>
      <c r="T12" s="26">
        <f>$T$26*(2-Table3[[#This Row],[defense]]) + Table3[[#This Row],[pickoff time]]</f>
        <v>1.8750000000000002</v>
      </c>
      <c r="U12" s="52">
        <f>_xlfn.NORM.DIST(Table3[[#This Row],[Response speed]], Table3[[#This Row],[Blatant steal time]], $U$4, TRUE)</f>
        <v>1.5888696473648632E-3</v>
      </c>
      <c r="V12" s="26">
        <f>Table3[[#This Row],[defense]]+Table3[[#This Row],[defense]]*Table3[[#This Row],[offense]]*$E$26</f>
        <v>0.52500000000000002</v>
      </c>
      <c r="W12" s="26">
        <f t="shared" si="3"/>
        <v>0.5714285714285714</v>
      </c>
      <c r="X12" s="52">
        <f>Table3[[#This Row],[ball factor]]/$X$32*(1-$X$34)+$X$34</f>
        <v>0.73781512605042021</v>
      </c>
      <c r="Y12" s="26">
        <f>Table3[[#This Row],[offense]]</f>
        <v>0.5</v>
      </c>
      <c r="Z12" s="87">
        <f t="shared" si="1"/>
        <v>-0.90000000000000013</v>
      </c>
      <c r="AA12" s="87">
        <f>IF(Table3[[#This Row],[player control]]&gt;1,Table3[[#This Row],[player control]]*$AA$41+$AA$40,Table3[[#This Row],[player control]]*$AA$39+$AA$38)</f>
        <v>0.10000000000000003</v>
      </c>
      <c r="AB12" s="88">
        <f>_xlfn.NORM.DIST(-1,Table3[[#This Row],[ideal steer]],($AB$25-Table3[[#This Row],[scaled control]])*$AB$27,TRUE)</f>
        <v>0.39881703452798722</v>
      </c>
      <c r="AC12" s="88">
        <f>1-_xlfn.NORM.DIST(1,Table3[[#This Row],[ideal steer]],($AB$25-Table3[[#This Row],[scaled control]])*$AB$27,TRUE)</f>
        <v>5.5294477940837083E-7</v>
      </c>
      <c r="AD12" s="88">
        <f>1-(1-Table3[[#This Row],[unmod foul percent 3rd]])*(1-Table3[[#This Row],[unmod foul percent 1st]])</f>
        <v>0.39881736694896941</v>
      </c>
      <c r="AE12" s="88">
        <f>1-((1-_xlfn.NORM.DIST(-1,0,($AB$25-Table3[[#This Row],[scaled control]])*$AB$27,TRUE))*_xlfn.NORM.DIST(1,0,($AB$25-Table3[[#This Row],[scaled control]])*$AB$27,TRUE))</f>
        <v>1.0317546081842099E-2</v>
      </c>
      <c r="AF12" s="26">
        <f>$AF$34*$AF$25</f>
        <v>-20</v>
      </c>
      <c r="AG12" s="26">
        <f>$AG$25*($AG$34*Table3[[#This Row],[offense]])</f>
        <v>0</v>
      </c>
      <c r="AH12" s="26">
        <f t="shared" si="2"/>
        <v>0</v>
      </c>
      <c r="AI12" s="26">
        <f>$AI$34*$AI$25</f>
        <v>0</v>
      </c>
      <c r="AJ12" s="26">
        <f>$AJ$25*(Table3[[#This Row],[offense]]-$AJ$27)</f>
        <v>-0.5</v>
      </c>
      <c r="AK12" s="26" cm="1">
        <f t="array" ref="AK12">SUM(Table3[[#This Row],[count]:[current hitter vs next hitter]]*MIN(1, Table3[[#This Row],[defense]]))</f>
        <v>-10.25</v>
      </c>
      <c r="AL12" s="88">
        <f>$AL$25-(Table3[[#This Row],[calling modifier]]/(ABS(Table3[[#This Row],[calling modifier]])+$AL$29)*$AL$27)</f>
        <v>0.73553719008264462</v>
      </c>
      <c r="AM12" s="108">
        <f>$AL$25-$AL$27*TANH(Table3[[#This Row],[calling modifier]]/$AM$29)</f>
        <v>0.78875631514171873</v>
      </c>
      <c r="AN12" s="124">
        <f>MAX(0, 1-_xlfn.NORM.S.INV(Table3[[#This Row],[tanh strike percent]])*($AN$25*($AN$27-Table3[[#This Row],[defense]])))</f>
        <v>0.19788660926907975</v>
      </c>
      <c r="AO12" s="125">
        <f>MAX(0, 1-_xlfn.NORM.S.INV(Table3[[#This Row],[tanh strike percent]])*($AN$25*($AN$27-0.2)))</f>
        <v>0.10163300238136941</v>
      </c>
      <c r="AP12" s="125">
        <f>MAX(0, 1-_xlfn.NORM.S.INV(Table3[[#This Row],[tanh strike percent]])*($AN$25*($AN$27-2)))</f>
        <v>0.6791546437076319</v>
      </c>
      <c r="AQ12" s="125">
        <f>Table3[[#This Row],[called position]]-pitchmod*(pitchstdv-Table3[[#This Row],[defense]])</f>
        <v>-0.80211339073092025</v>
      </c>
      <c r="AR12" s="125">
        <f>ABS(Table3[[#This Row],[called position]]+pitchmod*(pitchstdv-Table3[[#This Row],[defense]]))</f>
        <v>1.1978866092690796</v>
      </c>
      <c r="AS12" s="26">
        <f>Table3[[#This Row],[defense]]</f>
        <v>0.5</v>
      </c>
      <c r="AT12" s="125">
        <f>IF(AND(Table3[[#This Row],[location -1  stdv]]&lt;1, Table3[[#This Row],[location +1 stdv]]&gt;1),0, MIN(Table3[[#This Row],[location -1  stdv]]+1, 1-Table3[[#This Row],[location +1 stdv]]))</f>
        <v>0</v>
      </c>
      <c r="AU12" s="125">
        <f>IF(AND(Table3[[#This Row],[location -1  stdv]]&lt;0, Table3[[#This Row],[location +1 stdv]]&gt;0),1, MAX(1-ABS(Table3[[#This Row],[location -1  stdv]]), Table3[[#This Row],[location +1 stdv]]-1))</f>
        <v>1</v>
      </c>
      <c r="AV12" s="125">
        <f>1/(ABS(Table3[[#This Row],[called position]]-1)+$AV$27)+$AV$30*Table3[[#This Row],[defense]]</f>
        <v>2.1085080991756135</v>
      </c>
      <c r="AW12" s="125">
        <f>1/(Table3[[#This Row],[min dist to sz 1stdv]]+$AV$27)+$AV$30*Table3[[#This Row],[defense]]</f>
        <v>11</v>
      </c>
      <c r="AX12" s="125">
        <f>1/(Table3[[#This Row],[max dist to sz 1stdv]]+$AV$27)+$AV$30*Table3[[#This Row],[defense]]</f>
        <v>1.9090909090909092</v>
      </c>
    </row>
    <row r="13" spans="1:57" s="13" customFormat="1" x14ac:dyDescent="0.25">
      <c r="A13" s="13">
        <f t="shared" si="0"/>
        <v>7</v>
      </c>
      <c r="B13" s="13">
        <f>INDEX(oratings, 1, 1+MOD(Table3[[#This Row],[Rep '#]]-1, COUNT(oratings)))</f>
        <v>1</v>
      </c>
      <c r="C13" s="13">
        <f>INDEX(dratings, 1, MOD(FLOOR( (Table3[[#This Row],[Rep '#]]-1) / COUNT(oratings), 1), COUNT(dratings))+1)</f>
        <v>0.5</v>
      </c>
      <c r="D13" s="13">
        <f>Table3[[#This Row],[offense]]*$D$26+0.05</f>
        <v>0.15000000000000002</v>
      </c>
      <c r="E13" s="13">
        <f>((2*Table3[[#This Row],[defense]]+1*Table3[[#This Row],[defense]])-1.5)*Table3[[#This Row],[offense]]*$E$26</f>
        <v>0</v>
      </c>
      <c r="F13" s="13">
        <f>MAX(Table3[[#This Row],[base leadoff]]*(1-Table3[[#This Row],[leadoff modifier]]) * 90, 0)</f>
        <v>13.500000000000002</v>
      </c>
      <c r="G13" s="13">
        <f>1.1 - Table3[[#This Row],[defense]]*0.1</f>
        <v>1.05</v>
      </c>
      <c r="H13" s="13">
        <f xml:space="preserve"> 0.01 - 0.0025 *  Table3[[#This Row],[defense]]</f>
        <v>8.7500000000000008E-3</v>
      </c>
      <c r="I13" s="13">
        <f>1 / Table3[[#This Row],[throw speed (s/ft)]] * ((60 * 60)/5280)</f>
        <v>77.922077922077918</v>
      </c>
      <c r="J13" s="13">
        <f>Table3[[#This Row],[pickoff manuver (s)]]+60*Table3[[#This Row],[throw speed (s/ft)]]</f>
        <v>1.5750000000000002</v>
      </c>
      <c r="K13" s="13">
        <f>$K$28-$K$26*Table3[[#This Row],[offense]]</f>
        <v>0.7</v>
      </c>
      <c r="L13" s="13">
        <f>0.05 - Table3[[#This Row],[offense]]*$L$26</f>
        <v>0.04</v>
      </c>
      <c r="M13" s="13">
        <f>1 / Table3[[#This Row],[runner speed (s/ft)]] * ((60 * 60)/5280)</f>
        <v>17.045454545454543</v>
      </c>
      <c r="N13" s="13">
        <f>Table3[[#This Row],[runner reaction]]+Table3[[#This Row],[runner speed (s/ft)]]*Table3[[#This Row],[total leadoff (ft)]]</f>
        <v>1.24</v>
      </c>
      <c r="O13" s="14">
        <f>1 - _xlfn.NORM.DIST(Table3[[#This Row],[pickoff time]], Table3[[#This Row],[pickoff evade time]], $O$4, TRUE)</f>
        <v>4.6967115830745643E-2</v>
      </c>
      <c r="P13" s="51">
        <f>_xlfn.NORM.DIST(Table3[[#This Row],[defense]], $P$26, $P$27, TRUE)</f>
        <v>0.98024442661121902</v>
      </c>
      <c r="Q13" s="13" t="b">
        <f>Table3[[#This Row],[pickoff probability]] &gt; 1-Table3[[#This Row],[Fielding Odds]]</f>
        <v>1</v>
      </c>
      <c r="R13" s="51">
        <f>1-Table3[[#This Row],[Fielding Odds]]</f>
        <v>1.9755573388780978E-2</v>
      </c>
      <c r="S13" s="13">
        <f>(90-Table3[[#This Row],[total leadoff (ft)]])*Table3[[#This Row],[runner speed (s/ft)]]</f>
        <v>3.06</v>
      </c>
      <c r="T13" s="13">
        <f>$T$26*(2-Table3[[#This Row],[defense]]) + Table3[[#This Row],[pickoff time]]</f>
        <v>1.8750000000000002</v>
      </c>
      <c r="U13" s="51">
        <f>_xlfn.NORM.DIST(Table3[[#This Row],[Response speed]], Table3[[#This Row],[Blatant steal time]], $U$4, TRUE)</f>
        <v>2.4134074004724768E-2</v>
      </c>
      <c r="V13" s="13">
        <f>Table3[[#This Row],[defense]]+Table3[[#This Row],[defense]]*Table3[[#This Row],[offense]]*$E$26</f>
        <v>0.55000000000000004</v>
      </c>
      <c r="W13" s="13">
        <f t="shared" si="3"/>
        <v>0.5714285714285714</v>
      </c>
      <c r="X13" s="51">
        <f>Table3[[#This Row],[ball factor]]/$X$32*(1-$X$34)+$X$34</f>
        <v>0.73781512605042021</v>
      </c>
      <c r="Y13" s="13">
        <f>Table3[[#This Row],[offense]]</f>
        <v>1</v>
      </c>
      <c r="Z13" s="85">
        <f t="shared" si="1"/>
        <v>-0.90000000000000013</v>
      </c>
      <c r="AA13" s="85">
        <f>IF(Table3[[#This Row],[player control]]&gt;1,Table3[[#This Row],[player control]]*$AA$41+$AA$40,Table3[[#This Row],[player control]]*$AA$39+$AA$38)</f>
        <v>0.40000000000000008</v>
      </c>
      <c r="AB13" s="86">
        <f>_xlfn.NORM.DIST(-1,Table3[[#This Row],[ideal steer]],($AB$25-Table3[[#This Row],[scaled control]])*$AB$27,TRUE)</f>
        <v>0.39059147543357509</v>
      </c>
      <c r="AC13" s="86">
        <f>1-_xlfn.NORM.DIST(1,Table3[[#This Row],[ideal steer]],($AB$25-Table3[[#This Row],[scaled control]])*$AB$27,TRUE)</f>
        <v>6.5379949898414225E-8</v>
      </c>
      <c r="AD13" s="86">
        <f>1-(1-Table3[[#This Row],[unmod foul percent 3rd]])*(1-Table3[[#This Row],[unmod foul percent 1st]])</f>
        <v>0.39059151527667391</v>
      </c>
      <c r="AE13" s="86">
        <f>1-((1-_xlfn.NORM.DIST(-1,0,($AB$25-Table3[[#This Row],[scaled control]])*$AB$27,TRUE))*_xlfn.NORM.DIST(1,0,($AB$25-Table3[[#This Row],[scaled control]])*$AB$27,TRUE))</f>
        <v>5.465714583151815E-3</v>
      </c>
      <c r="AF13" s="13">
        <f>$AF$34*$AF$25</f>
        <v>-20</v>
      </c>
      <c r="AG13" s="13">
        <f>$AG$25*($AG$34*Table3[[#This Row],[offense]])</f>
        <v>0</v>
      </c>
      <c r="AH13" s="13">
        <f t="shared" si="2"/>
        <v>0</v>
      </c>
      <c r="AI13" s="13">
        <f>$AI$34*$AI$25</f>
        <v>0</v>
      </c>
      <c r="AJ13" s="13">
        <f>$AJ$25*(Table3[[#This Row],[offense]]-$AJ$27)</f>
        <v>0</v>
      </c>
      <c r="AK13" s="13" cm="1">
        <f t="array" ref="AK13">SUM(Table3[[#This Row],[count]:[current hitter vs next hitter]]*MIN(1, Table3[[#This Row],[defense]]))</f>
        <v>-10</v>
      </c>
      <c r="AL13" s="86">
        <f>$AL$25-(Table3[[#This Row],[calling modifier]]/(ABS(Table3[[#This Row],[calling modifier]])+$AL$29)*$AL$27)</f>
        <v>0.73333333333333328</v>
      </c>
      <c r="AM13" s="107">
        <f>$AL$25-$AL$27*TANH(Table3[[#This Row],[calling modifier]]/$AM$29)</f>
        <v>0.78484686290400396</v>
      </c>
      <c r="AN13" s="122">
        <f>MAX(0, 1-_xlfn.NORM.S.INV(Table3[[#This Row],[tanh strike percent]])*($AN$25*($AN$27-Table3[[#This Row],[defense]])))</f>
        <v>0.21133233970562049</v>
      </c>
      <c r="AO13" s="123">
        <f>MAX(0, 1-_xlfn.NORM.S.INV(Table3[[#This Row],[tanh strike percent]])*($AN$25*($AN$27-0.2)))</f>
        <v>0.11669222047029504</v>
      </c>
      <c r="AP13" s="123">
        <f>MAX(0, 1-_xlfn.NORM.S.INV(Table3[[#This Row],[tanh strike percent]])*($AN$25*($AN$27-2)))</f>
        <v>0.68453293588224817</v>
      </c>
      <c r="AQ13" s="123">
        <f>Table3[[#This Row],[called position]]-pitchmod*(pitchstdv-Table3[[#This Row],[defense]])</f>
        <v>-0.78866766029437951</v>
      </c>
      <c r="AR13" s="123">
        <f>ABS(Table3[[#This Row],[called position]]+pitchmod*(pitchstdv-Table3[[#This Row],[defense]]))</f>
        <v>1.2113323397056206</v>
      </c>
      <c r="AS13" s="13">
        <f>Table3[[#This Row],[defense]]</f>
        <v>0.5</v>
      </c>
      <c r="AT13" s="123">
        <f>IF(AND(Table3[[#This Row],[location -1  stdv]]&lt;1, Table3[[#This Row],[location +1 stdv]]&gt;1),0, MIN(Table3[[#This Row],[location -1  stdv]]+1, 1-Table3[[#This Row],[location +1 stdv]]))</f>
        <v>0</v>
      </c>
      <c r="AU13" s="123">
        <f>IF(AND(Table3[[#This Row],[location -1  stdv]]&lt;0, Table3[[#This Row],[location +1 stdv]]&gt;0),1, MAX(1-ABS(Table3[[#This Row],[location -1  stdv]]), Table3[[#This Row],[location +1 stdv]]-1))</f>
        <v>1</v>
      </c>
      <c r="AV13" s="123">
        <f>1/(ABS(Table3[[#This Row],[called position]]-1)+$AV$27)+$AV$30*Table3[[#This Row],[defense]]</f>
        <v>2.1252800621423993</v>
      </c>
      <c r="AW13" s="123">
        <f>1/(Table3[[#This Row],[min dist to sz 1stdv]]+$AV$27)+$AV$30*Table3[[#This Row],[defense]]</f>
        <v>11</v>
      </c>
      <c r="AX13" s="123">
        <f>1/(Table3[[#This Row],[max dist to sz 1stdv]]+$AV$27)+$AV$30*Table3[[#This Row],[defense]]</f>
        <v>1.9090909090909092</v>
      </c>
    </row>
    <row r="14" spans="1:57" s="5" customFormat="1" x14ac:dyDescent="0.25">
      <c r="A14" s="5">
        <f t="shared" si="0"/>
        <v>8</v>
      </c>
      <c r="B14" s="5">
        <f>INDEX(oratings, 1, 1+MOD(Table3[[#This Row],[Rep '#]]-1, COUNT(oratings)))</f>
        <v>2</v>
      </c>
      <c r="C14" s="5">
        <f>INDEX(dratings, 1, MOD(FLOOR( (Table3[[#This Row],[Rep '#]]-1) / COUNT(oratings), 1), COUNT(dratings))+1)</f>
        <v>0.5</v>
      </c>
      <c r="D14" s="5">
        <f>Table3[[#This Row],[offense]]*$D$26+0.05</f>
        <v>0.25</v>
      </c>
      <c r="E14" s="5">
        <f>((2*Table3[[#This Row],[defense]]+1*Table3[[#This Row],[defense]])-1.5)*Table3[[#This Row],[offense]]*$E$26</f>
        <v>0</v>
      </c>
      <c r="F14" s="5">
        <f>MAX(Table3[[#This Row],[base leadoff]]*(1-Table3[[#This Row],[leadoff modifier]]) * 90, 0)</f>
        <v>22.5</v>
      </c>
      <c r="G14" s="5">
        <f>1.1 - Table3[[#This Row],[defense]]*0.1</f>
        <v>1.05</v>
      </c>
      <c r="H14" s="5">
        <f xml:space="preserve"> 0.01 - 0.0025 *  Table3[[#This Row],[defense]]</f>
        <v>8.7500000000000008E-3</v>
      </c>
      <c r="I14" s="5">
        <f>1 / Table3[[#This Row],[throw speed (s/ft)]] * ((60 * 60)/5280)</f>
        <v>77.922077922077918</v>
      </c>
      <c r="J14" s="5">
        <f>Table3[[#This Row],[pickoff manuver (s)]]+60*Table3[[#This Row],[throw speed (s/ft)]]</f>
        <v>1.5750000000000002</v>
      </c>
      <c r="K14" s="5">
        <f>$K$28-$K$26*Table3[[#This Row],[offense]]</f>
        <v>0.5</v>
      </c>
      <c r="L14" s="5">
        <f>0.05 - Table3[[#This Row],[offense]]*$L$26</f>
        <v>3.0000000000000002E-2</v>
      </c>
      <c r="M14" s="5">
        <f>1 / Table3[[#This Row],[runner speed (s/ft)]] * ((60 * 60)/5280)</f>
        <v>22.727272727272723</v>
      </c>
      <c r="N14" s="5">
        <f>Table3[[#This Row],[runner reaction]]+Table3[[#This Row],[runner speed (s/ft)]]*Table3[[#This Row],[total leadoff (ft)]]</f>
        <v>1.175</v>
      </c>
      <c r="O14" s="8">
        <f>1 - _xlfn.NORM.DIST(Table3[[#This Row],[pickoff time]], Table3[[#This Row],[pickoff evade time]], $O$4, TRUE)</f>
        <v>2.2750131948179209E-2</v>
      </c>
      <c r="P14" s="53">
        <f>_xlfn.NORM.DIST(Table3[[#This Row],[defense]], $P$26, $P$27, TRUE)</f>
        <v>0.98024442661121902</v>
      </c>
      <c r="Q14" s="5" t="b">
        <f>Table3[[#This Row],[pickoff probability]] &gt; 1-Table3[[#This Row],[Fielding Odds]]</f>
        <v>1</v>
      </c>
      <c r="R14" s="53">
        <f>1-Table3[[#This Row],[Fielding Odds]]</f>
        <v>1.9755573388780978E-2</v>
      </c>
      <c r="S14" s="5">
        <f>(90-Table3[[#This Row],[total leadoff (ft)]])*Table3[[#This Row],[runner speed (s/ft)]]</f>
        <v>2.0250000000000004</v>
      </c>
      <c r="T14" s="5">
        <f>$T$26*(2-Table3[[#This Row],[defense]]) + Table3[[#This Row],[pickoff time]]</f>
        <v>1.8750000000000002</v>
      </c>
      <c r="U14" s="53">
        <f>_xlfn.NORM.DIST(Table3[[#This Row],[Response speed]], Table3[[#This Row],[Blatant steal time]], $U$4, TRUE)</f>
        <v>0.40129367431707619</v>
      </c>
      <c r="V14" s="5">
        <f>Table3[[#This Row],[defense]]+Table3[[#This Row],[defense]]*Table3[[#This Row],[offense]]*$E$26</f>
        <v>0.6</v>
      </c>
      <c r="W14" s="5">
        <f t="shared" si="3"/>
        <v>0.5714285714285714</v>
      </c>
      <c r="X14" s="53">
        <f>Table3[[#This Row],[ball factor]]/$X$32*(1-$X$34)+$X$34</f>
        <v>0.73781512605042021</v>
      </c>
      <c r="Y14" s="5">
        <f>Table3[[#This Row],[offense]]</f>
        <v>2</v>
      </c>
      <c r="Z14" s="89">
        <f t="shared" si="1"/>
        <v>-0.90000000000000013</v>
      </c>
      <c r="AA14" s="89">
        <f>IF(Table3[[#This Row],[player control]]&gt;1,Table3[[#This Row],[player control]]*$AA$41+$AA$40,Table3[[#This Row],[player control]]*$AA$39+$AA$38)</f>
        <v>2</v>
      </c>
      <c r="AB14" s="90">
        <f>_xlfn.NORM.DIST(-1,Table3[[#This Row],[ideal steer]],($AB$25-Table3[[#This Row],[scaled control]])*$AB$27,TRUE)</f>
        <v>0.3085375387259871</v>
      </c>
      <c r="AC14" s="90">
        <f>1-_xlfn.NORM.DIST(1,Table3[[#This Row],[ideal steer]],($AB$25-Table3[[#This Row],[scaled control]])*$AB$27,TRUE)</f>
        <v>0</v>
      </c>
      <c r="AD14" s="90">
        <f>1-(1-Table3[[#This Row],[unmod foul percent 3rd]])*(1-Table3[[#This Row],[unmod foul percent 1st]])</f>
        <v>0.3085375387259871</v>
      </c>
      <c r="AE14" s="90">
        <f>1-((1-_xlfn.NORM.DIST(-1,0,($AB$25-Table3[[#This Row],[scaled control]])*$AB$27,TRUE))*_xlfn.NORM.DIST(1,0,($AB$25-Table3[[#This Row],[scaled control]])*$AB$27,TRUE))</f>
        <v>5.7330306169056655E-7</v>
      </c>
      <c r="AF14" s="5">
        <f>$AF$34*$AF$25</f>
        <v>-20</v>
      </c>
      <c r="AG14" s="5">
        <f>$AG$25*($AG$34*Table3[[#This Row],[offense]])</f>
        <v>0</v>
      </c>
      <c r="AH14" s="5">
        <f t="shared" si="2"/>
        <v>0</v>
      </c>
      <c r="AI14" s="5">
        <f>$AI$34*$AI$25</f>
        <v>0</v>
      </c>
      <c r="AJ14" s="5">
        <f>$AJ$25*(Table3[[#This Row],[offense]]-$AJ$27)</f>
        <v>1</v>
      </c>
      <c r="AK14" s="5" cm="1">
        <f t="array" ref="AK14">SUM(Table3[[#This Row],[count]:[current hitter vs next hitter]]*MIN(1, Table3[[#This Row],[defense]]))</f>
        <v>-9.5</v>
      </c>
      <c r="AL14" s="90">
        <f>$AL$25-(Table3[[#This Row],[calling modifier]]/(ABS(Table3[[#This Row],[calling modifier]])+$AL$29)*$AL$27)</f>
        <v>0.72881355932203384</v>
      </c>
      <c r="AM14" s="109">
        <f>$AL$25-$AL$27*TANH(Table3[[#This Row],[calling modifier]]/$AM$29)</f>
        <v>0.77689214241829041</v>
      </c>
      <c r="AN14" s="126">
        <f>MAX(0, 1-_xlfn.NORM.S.INV(Table3[[#This Row],[tanh strike percent]])*($AN$25*($AN$27-Table3[[#This Row],[defense]])))</f>
        <v>0.23826086830924254</v>
      </c>
      <c r="AO14" s="127">
        <f>MAX(0, 1-_xlfn.NORM.S.INV(Table3[[#This Row],[tanh strike percent]])*($AN$25*($AN$27-0.2)))</f>
        <v>0.14685217250635174</v>
      </c>
      <c r="AP14" s="127">
        <f>MAX(0, 1-_xlfn.NORM.S.INV(Table3[[#This Row],[tanh strike percent]])*($AN$25*($AN$27-2)))</f>
        <v>0.69530434732369706</v>
      </c>
      <c r="AQ14" s="127">
        <f>Table3[[#This Row],[called position]]-pitchmod*(pitchstdv-Table3[[#This Row],[defense]])</f>
        <v>-0.76173913169075746</v>
      </c>
      <c r="AR14" s="127">
        <f>ABS(Table3[[#This Row],[called position]]+pitchmod*(pitchstdv-Table3[[#This Row],[defense]]))</f>
        <v>1.2382608683092426</v>
      </c>
      <c r="AS14" s="5">
        <f>Table3[[#This Row],[defense]]</f>
        <v>0.5</v>
      </c>
      <c r="AT14" s="127">
        <f>IF(AND(Table3[[#This Row],[location -1  stdv]]&lt;1, Table3[[#This Row],[location +1 stdv]]&gt;1),0, MIN(Table3[[#This Row],[location -1  stdv]]+1, 1-Table3[[#This Row],[location +1 stdv]]))</f>
        <v>0</v>
      </c>
      <c r="AU14" s="127">
        <f>IF(AND(Table3[[#This Row],[location -1  stdv]]&lt;0, Table3[[#This Row],[location +1 stdv]]&gt;0),1, MAX(1-ABS(Table3[[#This Row],[location -1  stdv]]), Table3[[#This Row],[location +1 stdv]]-1))</f>
        <v>1</v>
      </c>
      <c r="AV14" s="127">
        <f>1/(ABS(Table3[[#This Row],[called position]]-1)+$AV$27)+$AV$30*Table3[[#This Row],[defense]]</f>
        <v>2.160443994272339</v>
      </c>
      <c r="AW14" s="127">
        <f>1/(Table3[[#This Row],[min dist to sz 1stdv]]+$AV$27)+$AV$30*Table3[[#This Row],[defense]]</f>
        <v>11</v>
      </c>
      <c r="AX14" s="127">
        <f>1/(Table3[[#This Row],[max dist to sz 1stdv]]+$AV$27)+$AV$30*Table3[[#This Row],[defense]]</f>
        <v>1.9090909090909092</v>
      </c>
    </row>
    <row r="15" spans="1:57" s="17" customFormat="1" x14ac:dyDescent="0.25">
      <c r="A15" s="17">
        <f t="shared" si="0"/>
        <v>9</v>
      </c>
      <c r="B15" s="17">
        <f>INDEX(oratings, 1, 1+MOD(Table3[[#This Row],[Rep '#]]-1, COUNT(oratings)))</f>
        <v>0.1</v>
      </c>
      <c r="C15" s="17">
        <f>INDEX(dratings, 1, MOD(FLOOR( (Table3[[#This Row],[Rep '#]]-1) / COUNT(oratings), 1), COUNT(dratings))+1)</f>
        <v>1</v>
      </c>
      <c r="D15" s="17">
        <f>Table3[[#This Row],[offense]]*$D$26+0.05</f>
        <v>6.0000000000000005E-2</v>
      </c>
      <c r="E15" s="17">
        <f>((2*Table3[[#This Row],[defense]]+1*Table3[[#This Row],[defense]])-1.5)*Table3[[#This Row],[offense]]*$E$26</f>
        <v>1.5000000000000003E-2</v>
      </c>
      <c r="F15" s="17">
        <f>MAX(Table3[[#This Row],[base leadoff]]*(1-Table3[[#This Row],[leadoff modifier]]) * 90, 0)</f>
        <v>5.3190000000000008</v>
      </c>
      <c r="G15" s="17">
        <f>1.1 - Table3[[#This Row],[defense]]*0.1</f>
        <v>1</v>
      </c>
      <c r="H15" s="17">
        <f xml:space="preserve"> 0.01 - 0.0025 *  Table3[[#This Row],[defense]]</f>
        <v>7.4999999999999997E-3</v>
      </c>
      <c r="I15" s="17">
        <f>1 / Table3[[#This Row],[throw speed (s/ft)]] * ((60 * 60)/5280)</f>
        <v>90.909090909090907</v>
      </c>
      <c r="J15" s="17">
        <f>Table3[[#This Row],[pickoff manuver (s)]]+60*Table3[[#This Row],[throw speed (s/ft)]]</f>
        <v>1.45</v>
      </c>
      <c r="K15" s="17">
        <f>$K$28-$K$26*Table3[[#This Row],[offense]]</f>
        <v>0.88</v>
      </c>
      <c r="L15" s="17">
        <f>0.05 - Table3[[#This Row],[offense]]*$L$26</f>
        <v>4.9000000000000002E-2</v>
      </c>
      <c r="M15" s="17">
        <f>1 / Table3[[#This Row],[runner speed (s/ft)]] * ((60 * 60)/5280)</f>
        <v>13.914656771799628</v>
      </c>
      <c r="N15" s="17">
        <f>Table3[[#This Row],[runner reaction]]+Table3[[#This Row],[runner speed (s/ft)]]*Table3[[#This Row],[total leadoff (ft)]]</f>
        <v>1.140631</v>
      </c>
      <c r="O15" s="18">
        <f>1 - _xlfn.NORM.DIST(Table3[[#This Row],[pickoff time]], Table3[[#This Row],[pickoff evade time]], $O$4, TRUE)</f>
        <v>6.0950313073531937E-2</v>
      </c>
      <c r="P15" s="54">
        <f>_xlfn.NORM.DIST(Table3[[#This Row],[defense]], $P$26, $P$27, TRUE)</f>
        <v>0.99068720985629855</v>
      </c>
      <c r="Q15" s="17" t="b">
        <f>Table3[[#This Row],[pickoff probability]] &gt; 1-Table3[[#This Row],[Fielding Odds]]</f>
        <v>1</v>
      </c>
      <c r="R15" s="54">
        <f>1-Table3[[#This Row],[Fielding Odds]]</f>
        <v>9.3127901437014549E-3</v>
      </c>
      <c r="S15" s="17">
        <f>(90-Table3[[#This Row],[total leadoff (ft)]])*Table3[[#This Row],[runner speed (s/ft)]]</f>
        <v>4.1493690000000001</v>
      </c>
      <c r="T15" s="17">
        <f>$T$26*(2-Table3[[#This Row],[defense]]) + Table3[[#This Row],[pickoff time]]</f>
        <v>1.65</v>
      </c>
      <c r="U15" s="54">
        <f>_xlfn.NORM.DIST(Table3[[#This Row],[Response speed]], Table3[[#This Row],[Blatant steal time]], $U$4, TRUE)</f>
        <v>1.5525717333822399E-5</v>
      </c>
      <c r="V15" s="17">
        <f>Table3[[#This Row],[defense]]+Table3[[#This Row],[defense]]*Table3[[#This Row],[offense]]*$E$26</f>
        <v>1.01</v>
      </c>
      <c r="W15" s="17">
        <f t="shared" si="3"/>
        <v>0.5714285714285714</v>
      </c>
      <c r="X15" s="54">
        <f>Table3[[#This Row],[ball factor]]/$X$32*(1-$X$34)+$X$34</f>
        <v>0.73781512605042021</v>
      </c>
      <c r="Y15" s="17">
        <f>Table3[[#This Row],[offense]]</f>
        <v>0.1</v>
      </c>
      <c r="Z15" s="91">
        <f t="shared" si="1"/>
        <v>-0.90000000000000013</v>
      </c>
      <c r="AA15" s="91">
        <f>IF(Table3[[#This Row],[player control]]&gt;1,Table3[[#This Row],[player control]]*$AA$41+$AA$40,Table3[[#This Row],[player control]]*$AA$39+$AA$38)</f>
        <v>-0.14000000000000001</v>
      </c>
      <c r="AB15" s="92">
        <f>_xlfn.NORM.DIST(-1,Table3[[#This Row],[ideal steer]],($AB$25-Table3[[#This Row],[scaled control]])*$AB$27,TRUE)</f>
        <v>0.40456602559459909</v>
      </c>
      <c r="AC15" s="92">
        <f>1-_xlfn.NORM.DIST(1,Table3[[#This Row],[ideal steer]],($AB$25-Table3[[#This Row],[scaled control]])*$AB$27,TRUE)</f>
        <v>2.2229077858426649E-6</v>
      </c>
      <c r="AD15" s="92">
        <f>1-(1-Table3[[#This Row],[unmod foul percent 3rd]])*(1-Table3[[#This Row],[unmod foul percent 1st]])</f>
        <v>0.40456734918941673</v>
      </c>
      <c r="AE15" s="92">
        <f>1-((1-_xlfn.NORM.DIST(-1,0,($AB$25-Table3[[#This Row],[scaled control]])*$AB$27,TRUE))*_xlfn.NORM.DIST(1,0,($AB$25-Table3[[#This Row],[scaled control]])*$AB$27,TRUE))</f>
        <v>1.5653650964326582E-2</v>
      </c>
      <c r="AF15" s="17">
        <f>$AF$34*$AF$25</f>
        <v>-20</v>
      </c>
      <c r="AG15" s="17">
        <f>$AG$25*($AG$34*Table3[[#This Row],[offense]])</f>
        <v>0</v>
      </c>
      <c r="AH15" s="17">
        <f t="shared" si="2"/>
        <v>0</v>
      </c>
      <c r="AI15" s="17">
        <f>$AI$34*$AI$25</f>
        <v>0</v>
      </c>
      <c r="AJ15" s="17">
        <f>$AJ$25*(Table3[[#This Row],[offense]]-$AJ$27)</f>
        <v>-0.9</v>
      </c>
      <c r="AK15" s="17" cm="1">
        <f t="array" ref="AK15">SUM(Table3[[#This Row],[count]:[current hitter vs next hitter]]*MIN(1, Table3[[#This Row],[defense]]))</f>
        <v>-20.9</v>
      </c>
      <c r="AL15" s="92">
        <f>$AL$25-(Table3[[#This Row],[calling modifier]]/(ABS(Table3[[#This Row],[calling modifier]])+$AL$29)*$AL$27)</f>
        <v>0.80440097799511001</v>
      </c>
      <c r="AM15" s="110">
        <f>$AL$25-$AL$27*TANH(Table3[[#This Row],[calling modifier]]/$AM$29)</f>
        <v>0.91194194050999755</v>
      </c>
      <c r="AN15" s="128">
        <f>MAX(0, 1-_xlfn.NORM.S.INV(Table3[[#This Row],[tanh strike percent]])*($AN$25*($AN$27-Table3[[#This Row],[defense]])))</f>
        <v>0</v>
      </c>
      <c r="AO15" s="129">
        <f>MAX(0, 1-_xlfn.NORM.S.INV(Table3[[#This Row],[tanh strike percent]])*($AN$25*($AN$27-0.2)))</f>
        <v>0</v>
      </c>
      <c r="AP15" s="129">
        <f>MAX(0, 1-_xlfn.NORM.S.INV(Table3[[#This Row],[tanh strike percent]])*($AN$25*($AN$27-2)))</f>
        <v>0.45887572678899413</v>
      </c>
      <c r="AQ15" s="129">
        <f>Table3[[#This Row],[called position]]-pitchmod*(pitchstdv-Table3[[#This Row],[defense]])</f>
        <v>-0.8</v>
      </c>
      <c r="AR15" s="129">
        <f>ABS(Table3[[#This Row],[called position]]+pitchmod*(pitchstdv-Table3[[#This Row],[defense]]))</f>
        <v>0.8</v>
      </c>
      <c r="AS15" s="17">
        <f>Table3[[#This Row],[defense]]</f>
        <v>1</v>
      </c>
      <c r="AT15" s="129">
        <f>IF(AND(Table3[[#This Row],[location -1  stdv]]&lt;1, Table3[[#This Row],[location +1 stdv]]&gt;1),0, MIN(Table3[[#This Row],[location -1  stdv]]+1, 1-Table3[[#This Row],[location +1 stdv]]))</f>
        <v>0.19999999999999996</v>
      </c>
      <c r="AU15" s="129">
        <f>IF(AND(Table3[[#This Row],[location -1  stdv]]&lt;0, Table3[[#This Row],[location +1 stdv]]&gt;0),1, MAX(1-ABS(Table3[[#This Row],[location -1  stdv]]), Table3[[#This Row],[location +1 stdv]]-1))</f>
        <v>1</v>
      </c>
      <c r="AV15" s="129">
        <f>1/(ABS(Table3[[#This Row],[called position]]-1)+$AV$27)+$AV$30*Table3[[#This Row],[defense]]</f>
        <v>2.9090909090909092</v>
      </c>
      <c r="AW15" s="129">
        <f>1/(Table3[[#This Row],[min dist to sz 1stdv]]+$AV$27)+$AV$30*Table3[[#This Row],[defense]]</f>
        <v>5.3333333333333339</v>
      </c>
      <c r="AX15" s="129">
        <f>1/(Table3[[#This Row],[max dist to sz 1stdv]]+$AV$27)+$AV$30*Table3[[#This Row],[defense]]</f>
        <v>2.9090909090909092</v>
      </c>
    </row>
    <row r="16" spans="1:57" s="6" customFormat="1" x14ac:dyDescent="0.25">
      <c r="A16" s="6">
        <f t="shared" si="0"/>
        <v>10</v>
      </c>
      <c r="B16" s="6">
        <f>INDEX(oratings, 1, 1+MOD(Table3[[#This Row],[Rep '#]]-1, COUNT(oratings)))</f>
        <v>0.5</v>
      </c>
      <c r="C16" s="6">
        <f>INDEX(dratings, 1, MOD(FLOOR( (Table3[[#This Row],[Rep '#]]-1) / COUNT(oratings), 1), COUNT(dratings))+1)</f>
        <v>1</v>
      </c>
      <c r="D16" s="6">
        <f>Table3[[#This Row],[offense]]*$D$26+0.05</f>
        <v>0.1</v>
      </c>
      <c r="E16" s="6">
        <f>((2*Table3[[#This Row],[defense]]+1*Table3[[#This Row],[defense]])-1.5)*Table3[[#This Row],[offense]]*$E$26</f>
        <v>7.5000000000000011E-2</v>
      </c>
      <c r="F16" s="6">
        <f>MAX(Table3[[#This Row],[base leadoff]]*(1-Table3[[#This Row],[leadoff modifier]]) * 90, 0)</f>
        <v>8.3250000000000011</v>
      </c>
      <c r="G16" s="6">
        <f>1.1 - Table3[[#This Row],[defense]]*0.1</f>
        <v>1</v>
      </c>
      <c r="H16" s="6">
        <f xml:space="preserve"> 0.01 - 0.0025 *  Table3[[#This Row],[defense]]</f>
        <v>7.4999999999999997E-3</v>
      </c>
      <c r="I16" s="6">
        <f>1 / Table3[[#This Row],[throw speed (s/ft)]] * ((60 * 60)/5280)</f>
        <v>90.909090909090907</v>
      </c>
      <c r="J16" s="6">
        <f>Table3[[#This Row],[pickoff manuver (s)]]+60*Table3[[#This Row],[throw speed (s/ft)]]</f>
        <v>1.45</v>
      </c>
      <c r="K16" s="6">
        <f>$K$28-$K$26*Table3[[#This Row],[offense]]</f>
        <v>0.8</v>
      </c>
      <c r="L16" s="6">
        <f>0.05 - Table3[[#This Row],[offense]]*$L$26</f>
        <v>4.5000000000000005E-2</v>
      </c>
      <c r="M16" s="6">
        <f>1 / Table3[[#This Row],[runner speed (s/ft)]] * ((60 * 60)/5280)</f>
        <v>15.151515151515147</v>
      </c>
      <c r="N16" s="6">
        <f>Table3[[#This Row],[runner reaction]]+Table3[[#This Row],[runner speed (s/ft)]]*Table3[[#This Row],[total leadoff (ft)]]</f>
        <v>1.1746250000000003</v>
      </c>
      <c r="O16" s="9">
        <f>1 - _xlfn.NORM.DIST(Table3[[#This Row],[pickoff time]], Table3[[#This Row],[pickoff evade time]], $O$4, TRUE)</f>
        <v>8.4275448865239744E-2</v>
      </c>
      <c r="P16" s="55">
        <f>_xlfn.NORM.DIST(Table3[[#This Row],[defense]], $P$26, $P$27, TRUE)</f>
        <v>0.99068720985629855</v>
      </c>
      <c r="Q16" s="6" t="b">
        <f>Table3[[#This Row],[pickoff probability]] &gt; 1-Table3[[#This Row],[Fielding Odds]]</f>
        <v>1</v>
      </c>
      <c r="R16" s="55">
        <f>1-Table3[[#This Row],[Fielding Odds]]</f>
        <v>9.3127901437014549E-3</v>
      </c>
      <c r="S16" s="6">
        <f>(90-Table3[[#This Row],[total leadoff (ft)]])*Table3[[#This Row],[runner speed (s/ft)]]</f>
        <v>3.6753750000000003</v>
      </c>
      <c r="T16" s="6">
        <f>$T$26*(2-Table3[[#This Row],[defense]]) + Table3[[#This Row],[pickoff time]]</f>
        <v>1.65</v>
      </c>
      <c r="U16" s="55">
        <f>_xlfn.NORM.DIST(Table3[[#This Row],[Response speed]], Table3[[#This Row],[Blatant steal time]], $U$4, TRUE)</f>
        <v>3.682411384506767E-4</v>
      </c>
      <c r="V16" s="6">
        <f>Table3[[#This Row],[defense]]+Table3[[#This Row],[defense]]*Table3[[#This Row],[offense]]*$E$26</f>
        <v>1.05</v>
      </c>
      <c r="W16" s="6">
        <f t="shared" si="3"/>
        <v>0.5714285714285714</v>
      </c>
      <c r="X16" s="55">
        <f>Table3[[#This Row],[ball factor]]/$X$32*(1-$X$34)+$X$34</f>
        <v>0.73781512605042021</v>
      </c>
      <c r="Y16" s="6">
        <f>Table3[[#This Row],[offense]]</f>
        <v>0.5</v>
      </c>
      <c r="Z16" s="93">
        <f t="shared" si="1"/>
        <v>-0.90000000000000013</v>
      </c>
      <c r="AA16" s="93">
        <f>IF(Table3[[#This Row],[player control]]&gt;1,Table3[[#This Row],[player control]]*$AA$41+$AA$40,Table3[[#This Row],[player control]]*$AA$39+$AA$38)</f>
        <v>0.10000000000000003</v>
      </c>
      <c r="AB16" s="94">
        <f>_xlfn.NORM.DIST(-1,Table3[[#This Row],[ideal steer]],($AB$25-Table3[[#This Row],[scaled control]])*$AB$27,TRUE)</f>
        <v>0.39881703452798722</v>
      </c>
      <c r="AC16" s="94">
        <f>1-_xlfn.NORM.DIST(1,Table3[[#This Row],[ideal steer]],($AB$25-Table3[[#This Row],[scaled control]])*$AB$27,TRUE)</f>
        <v>5.5294477940837083E-7</v>
      </c>
      <c r="AD16" s="94">
        <f>1-(1-Table3[[#This Row],[unmod foul percent 3rd]])*(1-Table3[[#This Row],[unmod foul percent 1st]])</f>
        <v>0.39881736694896941</v>
      </c>
      <c r="AE16" s="94">
        <f>1-((1-_xlfn.NORM.DIST(-1,0,($AB$25-Table3[[#This Row],[scaled control]])*$AB$27,TRUE))*_xlfn.NORM.DIST(1,0,($AB$25-Table3[[#This Row],[scaled control]])*$AB$27,TRUE))</f>
        <v>1.0317546081842099E-2</v>
      </c>
      <c r="AF16" s="6">
        <f>$AF$34*$AF$25</f>
        <v>-20</v>
      </c>
      <c r="AG16" s="6">
        <f>$AG$25*($AG$34*Table3[[#This Row],[offense]])</f>
        <v>0</v>
      </c>
      <c r="AH16" s="6">
        <f t="shared" si="2"/>
        <v>0</v>
      </c>
      <c r="AI16" s="6">
        <f>$AI$34*$AI$25</f>
        <v>0</v>
      </c>
      <c r="AJ16" s="6">
        <f>$AJ$25*(Table3[[#This Row],[offense]]-$AJ$27)</f>
        <v>-0.5</v>
      </c>
      <c r="AK16" s="6" cm="1">
        <f t="array" ref="AK16">SUM(Table3[[#This Row],[count]:[current hitter vs next hitter]]*MIN(1, Table3[[#This Row],[defense]]))</f>
        <v>-20.5</v>
      </c>
      <c r="AL16" s="94">
        <f>$AL$25-(Table3[[#This Row],[calling modifier]]/(ABS(Table3[[#This Row],[calling modifier]])+$AL$29)*$AL$27)</f>
        <v>0.80246913580246915</v>
      </c>
      <c r="AM16" s="111">
        <f>$AL$25-$AL$27*TANH(Table3[[#This Row],[calling modifier]]/$AM$29)</f>
        <v>0.90875809497616733</v>
      </c>
      <c r="AN16" s="130">
        <f>MAX(0, 1-_xlfn.NORM.S.INV(Table3[[#This Row],[tanh strike percent]])*($AN$25*($AN$27-Table3[[#This Row],[defense]])))</f>
        <v>0</v>
      </c>
      <c r="AO16" s="131">
        <f>MAX(0, 1-_xlfn.NORM.S.INV(Table3[[#This Row],[tanh strike percent]])*($AN$25*($AN$27-0.2)))</f>
        <v>0</v>
      </c>
      <c r="AP16" s="131">
        <f>MAX(0, 1-_xlfn.NORM.S.INV(Table3[[#This Row],[tanh strike percent]])*($AN$25*($AN$27-2)))</f>
        <v>0.46674149492702643</v>
      </c>
      <c r="AQ16" s="131">
        <f>Table3[[#This Row],[called position]]-pitchmod*(pitchstdv-Table3[[#This Row],[defense]])</f>
        <v>-0.8</v>
      </c>
      <c r="AR16" s="131">
        <f>ABS(Table3[[#This Row],[called position]]+pitchmod*(pitchstdv-Table3[[#This Row],[defense]]))</f>
        <v>0.8</v>
      </c>
      <c r="AS16" s="6">
        <f>Table3[[#This Row],[defense]]</f>
        <v>1</v>
      </c>
      <c r="AT16" s="131">
        <f>IF(AND(Table3[[#This Row],[location -1  stdv]]&lt;1, Table3[[#This Row],[location +1 stdv]]&gt;1),0, MIN(Table3[[#This Row],[location -1  stdv]]+1, 1-Table3[[#This Row],[location +1 stdv]]))</f>
        <v>0.19999999999999996</v>
      </c>
      <c r="AU16" s="131">
        <f>IF(AND(Table3[[#This Row],[location -1  stdv]]&lt;0, Table3[[#This Row],[location +1 stdv]]&gt;0),1, MAX(1-ABS(Table3[[#This Row],[location -1  stdv]]), Table3[[#This Row],[location +1 stdv]]-1))</f>
        <v>1</v>
      </c>
      <c r="AV16" s="131">
        <f>1/(ABS(Table3[[#This Row],[called position]]-1)+$AV$27)+$AV$30*Table3[[#This Row],[defense]]</f>
        <v>2.9090909090909092</v>
      </c>
      <c r="AW16" s="131">
        <f>1/(Table3[[#This Row],[min dist to sz 1stdv]]+$AV$27)+$AV$30*Table3[[#This Row],[defense]]</f>
        <v>5.3333333333333339</v>
      </c>
      <c r="AX16" s="131">
        <f>1/(Table3[[#This Row],[max dist to sz 1stdv]]+$AV$27)+$AV$30*Table3[[#This Row],[defense]]</f>
        <v>2.9090909090909092</v>
      </c>
    </row>
    <row r="17" spans="1:50" s="23" customFormat="1" x14ac:dyDescent="0.25">
      <c r="A17" s="22">
        <f t="shared" si="0"/>
        <v>11</v>
      </c>
      <c r="B17" s="23">
        <f>INDEX(oratings, 1, 1+MOD(Table3[[#This Row],[Rep '#]]-1, COUNT(oratings)))</f>
        <v>1</v>
      </c>
      <c r="C17" s="23">
        <f>INDEX(dratings, 1, MOD(FLOOR( (Table3[[#This Row],[Rep '#]]-1) / COUNT(oratings), 1), COUNT(dratings))+1)</f>
        <v>1</v>
      </c>
      <c r="D17" s="23">
        <f>Table3[[#This Row],[offense]]*$D$26+0.05</f>
        <v>0.15000000000000002</v>
      </c>
      <c r="E17" s="23">
        <f>((2*Table3[[#This Row],[defense]]+1*Table3[[#This Row],[defense]])-1.5)*Table3[[#This Row],[offense]]*$E$26</f>
        <v>0.15000000000000002</v>
      </c>
      <c r="F17" s="23">
        <f>MAX(Table3[[#This Row],[base leadoff]]*(1-Table3[[#This Row],[leadoff modifier]]) * 90, 0)</f>
        <v>11.475</v>
      </c>
      <c r="G17" s="23">
        <f>1.1 - Table3[[#This Row],[defense]]*0.1</f>
        <v>1</v>
      </c>
      <c r="H17" s="23">
        <f xml:space="preserve"> 0.01 - 0.0025 *  Table3[[#This Row],[defense]]</f>
        <v>7.4999999999999997E-3</v>
      </c>
      <c r="I17" s="23">
        <f>1 / Table3[[#This Row],[throw speed (s/ft)]] * ((60 * 60)/5280)</f>
        <v>90.909090909090907</v>
      </c>
      <c r="J17" s="23">
        <f>Table3[[#This Row],[pickoff manuver (s)]]+60*Table3[[#This Row],[throw speed (s/ft)]]</f>
        <v>1.45</v>
      </c>
      <c r="K17" s="23">
        <f>$K$28-$K$26*Table3[[#This Row],[offense]]</f>
        <v>0.7</v>
      </c>
      <c r="L17" s="23">
        <f>0.05 - Table3[[#This Row],[offense]]*$L$26</f>
        <v>0.04</v>
      </c>
      <c r="M17" s="23">
        <f>1 / Table3[[#This Row],[runner speed (s/ft)]] * ((60 * 60)/5280)</f>
        <v>17.045454545454543</v>
      </c>
      <c r="N17" s="23">
        <f>Table3[[#This Row],[runner reaction]]+Table3[[#This Row],[runner speed (s/ft)]]*Table3[[#This Row],[total leadoff (ft)]]</f>
        <v>1.159</v>
      </c>
      <c r="O17" s="24">
        <f>1 - _xlfn.NORM.DIST(Table3[[#This Row],[pickoff time]], Table3[[#This Row],[pickoff evade time]], $O$4, TRUE)</f>
        <v>7.2834630749186058E-2</v>
      </c>
      <c r="P17" s="56">
        <f>_xlfn.NORM.DIST(Table3[[#This Row],[defense]], $P$26, $P$27, TRUE)</f>
        <v>0.99068720985629855</v>
      </c>
      <c r="Q17" s="23" t="b">
        <f>Table3[[#This Row],[pickoff probability]] &gt; 1-Table3[[#This Row],[Fielding Odds]]</f>
        <v>1</v>
      </c>
      <c r="R17" s="56">
        <f>1-Table3[[#This Row],[Fielding Odds]]</f>
        <v>9.3127901437014549E-3</v>
      </c>
      <c r="S17" s="23">
        <f>(90-Table3[[#This Row],[total leadoff (ft)]])*Table3[[#This Row],[runner speed (s/ft)]]</f>
        <v>3.1410000000000005</v>
      </c>
      <c r="T17" s="23">
        <f>$T$26*(2-Table3[[#This Row],[defense]]) + Table3[[#This Row],[pickoff time]]</f>
        <v>1.65</v>
      </c>
      <c r="U17" s="56">
        <f>_xlfn.NORM.DIST(Table3[[#This Row],[Response speed]], Table3[[#This Row],[Blatant steal time]], $U$4, TRUE)</f>
        <v>6.4775717318678221E-3</v>
      </c>
      <c r="V17" s="23">
        <f>Table3[[#This Row],[defense]]+Table3[[#This Row],[defense]]*Table3[[#This Row],[offense]]*$E$26</f>
        <v>1.1000000000000001</v>
      </c>
      <c r="W17" s="23">
        <f t="shared" si="3"/>
        <v>0.5714285714285714</v>
      </c>
      <c r="X17" s="56">
        <f>Table3[[#This Row],[ball factor]]/$X$32*(1-$X$34)+$X$34</f>
        <v>0.73781512605042021</v>
      </c>
      <c r="Y17" s="23">
        <f>Table3[[#This Row],[offense]]</f>
        <v>1</v>
      </c>
      <c r="Z17" s="95">
        <f t="shared" si="1"/>
        <v>-0.90000000000000013</v>
      </c>
      <c r="AA17" s="95">
        <f>IF(Table3[[#This Row],[player control]]&gt;1,Table3[[#This Row],[player control]]*$AA$41+$AA$40,Table3[[#This Row],[player control]]*$AA$39+$AA$38)</f>
        <v>0.40000000000000008</v>
      </c>
      <c r="AB17" s="96">
        <f>_xlfn.NORM.DIST(-1,Table3[[#This Row],[ideal steer]],($AB$25-Table3[[#This Row],[scaled control]])*$AB$27,TRUE)</f>
        <v>0.39059147543357509</v>
      </c>
      <c r="AC17" s="96">
        <f>1-_xlfn.NORM.DIST(1,Table3[[#This Row],[ideal steer]],($AB$25-Table3[[#This Row],[scaled control]])*$AB$27,TRUE)</f>
        <v>6.5379949898414225E-8</v>
      </c>
      <c r="AD17" s="96">
        <f>1-(1-Table3[[#This Row],[unmod foul percent 3rd]])*(1-Table3[[#This Row],[unmod foul percent 1st]])</f>
        <v>0.39059151527667391</v>
      </c>
      <c r="AE17" s="96">
        <f>1-((1-_xlfn.NORM.DIST(-1,0,($AB$25-Table3[[#This Row],[scaled control]])*$AB$27,TRUE))*_xlfn.NORM.DIST(1,0,($AB$25-Table3[[#This Row],[scaled control]])*$AB$27,TRUE))</f>
        <v>5.465714583151815E-3</v>
      </c>
      <c r="AF17" s="23">
        <f>$AF$34*$AF$25</f>
        <v>-20</v>
      </c>
      <c r="AG17" s="23">
        <f>$AG$25*($AG$34*Table3[[#This Row],[offense]])</f>
        <v>0</v>
      </c>
      <c r="AH17" s="23">
        <f t="shared" si="2"/>
        <v>0</v>
      </c>
      <c r="AI17" s="23">
        <f>$AI$34*$AI$25</f>
        <v>0</v>
      </c>
      <c r="AJ17" s="23">
        <f>$AJ$25*(Table3[[#This Row],[offense]]-$AJ$27)</f>
        <v>0</v>
      </c>
      <c r="AK17" s="23" cm="1">
        <f t="array" ref="AK17">SUM(Table3[[#This Row],[count]:[current hitter vs next hitter]]*MIN(1, Table3[[#This Row],[defense]]))</f>
        <v>-20</v>
      </c>
      <c r="AL17" s="96">
        <f>$AL$25-(Table3[[#This Row],[calling modifier]]/(ABS(Table3[[#This Row],[calling modifier]])+$AL$29)*$AL$27)</f>
        <v>0.8</v>
      </c>
      <c r="AM17" s="112">
        <f>$AL$25-$AL$27*TANH(Table3[[#This Row],[calling modifier]]/$AM$29)</f>
        <v>0.90463766238230592</v>
      </c>
      <c r="AN17" s="132">
        <f>MAX(0, 1-_xlfn.NORM.S.INV(Table3[[#This Row],[tanh strike percent]])*($AN$25*($AN$27-Table3[[#This Row],[defense]])))</f>
        <v>0</v>
      </c>
      <c r="AO17" s="133">
        <f>MAX(0, 1-_xlfn.NORM.S.INV(Table3[[#This Row],[tanh strike percent]])*($AN$25*($AN$27-0.2)))</f>
        <v>0</v>
      </c>
      <c r="AP17" s="133">
        <f>MAX(0, 1-_xlfn.NORM.S.INV(Table3[[#This Row],[tanh strike percent]])*($AN$25*($AN$27-2)))</f>
        <v>0.47662466357427224</v>
      </c>
      <c r="AQ17" s="133">
        <f>Table3[[#This Row],[called position]]-pitchmod*(pitchstdv-Table3[[#This Row],[defense]])</f>
        <v>-0.8</v>
      </c>
      <c r="AR17" s="133">
        <f>ABS(Table3[[#This Row],[called position]]+pitchmod*(pitchstdv-Table3[[#This Row],[defense]]))</f>
        <v>0.8</v>
      </c>
      <c r="AS17" s="23">
        <f>Table3[[#This Row],[defense]]</f>
        <v>1</v>
      </c>
      <c r="AT17" s="133">
        <f>IF(AND(Table3[[#This Row],[location -1  stdv]]&lt;1, Table3[[#This Row],[location +1 stdv]]&gt;1),0, MIN(Table3[[#This Row],[location -1  stdv]]+1, 1-Table3[[#This Row],[location +1 stdv]]))</f>
        <v>0.19999999999999996</v>
      </c>
      <c r="AU17" s="133">
        <f>IF(AND(Table3[[#This Row],[location -1  stdv]]&lt;0, Table3[[#This Row],[location +1 stdv]]&gt;0),1, MAX(1-ABS(Table3[[#This Row],[location -1  stdv]]), Table3[[#This Row],[location +1 stdv]]-1))</f>
        <v>1</v>
      </c>
      <c r="AV17" s="133">
        <f>1/(ABS(Table3[[#This Row],[called position]]-1)+$AV$27)+$AV$30*Table3[[#This Row],[defense]]</f>
        <v>2.9090909090909092</v>
      </c>
      <c r="AW17" s="133">
        <f>1/(Table3[[#This Row],[min dist to sz 1stdv]]+$AV$27)+$AV$30*Table3[[#This Row],[defense]]</f>
        <v>5.3333333333333339</v>
      </c>
      <c r="AX17" s="133">
        <f>1/(Table3[[#This Row],[max dist to sz 1stdv]]+$AV$27)+$AV$30*Table3[[#This Row],[defense]]</f>
        <v>2.9090909090909092</v>
      </c>
    </row>
    <row r="18" spans="1:50" s="6" customFormat="1" x14ac:dyDescent="0.25">
      <c r="A18" s="6">
        <f t="shared" si="0"/>
        <v>12</v>
      </c>
      <c r="B18" s="6">
        <f>INDEX(oratings, 1, 1+MOD(Table3[[#This Row],[Rep '#]]-1, COUNT(oratings)))</f>
        <v>2</v>
      </c>
      <c r="C18" s="6">
        <f>INDEX(dratings, 1, MOD(FLOOR( (Table3[[#This Row],[Rep '#]]-1) / COUNT(oratings), 1), COUNT(dratings))+1)</f>
        <v>1</v>
      </c>
      <c r="D18" s="6">
        <f>Table3[[#This Row],[offense]]*$D$26+0.05</f>
        <v>0.25</v>
      </c>
      <c r="E18" s="6">
        <f>((2*Table3[[#This Row],[defense]]+1*Table3[[#This Row],[defense]])-1.5)*Table3[[#This Row],[offense]]*$E$26</f>
        <v>0.30000000000000004</v>
      </c>
      <c r="F18" s="6">
        <f>MAX(Table3[[#This Row],[base leadoff]]*(1-Table3[[#This Row],[leadoff modifier]]) * 90, 0)</f>
        <v>15.749999999999998</v>
      </c>
      <c r="G18" s="6">
        <f>1.1 - Table3[[#This Row],[defense]]*0.1</f>
        <v>1</v>
      </c>
      <c r="H18" s="6">
        <f xml:space="preserve"> 0.01 - 0.0025 *  Table3[[#This Row],[defense]]</f>
        <v>7.4999999999999997E-3</v>
      </c>
      <c r="I18" s="6">
        <f>1 / Table3[[#This Row],[throw speed (s/ft)]] * ((60 * 60)/5280)</f>
        <v>90.909090909090907</v>
      </c>
      <c r="J18" s="6">
        <f>Table3[[#This Row],[pickoff manuver (s)]]+60*Table3[[#This Row],[throw speed (s/ft)]]</f>
        <v>1.45</v>
      </c>
      <c r="K18" s="6">
        <f>$K$28-$K$26*Table3[[#This Row],[offense]]</f>
        <v>0.5</v>
      </c>
      <c r="L18" s="6">
        <f>0.05 - Table3[[#This Row],[offense]]*$L$26</f>
        <v>3.0000000000000002E-2</v>
      </c>
      <c r="M18" s="6">
        <f>1 / Table3[[#This Row],[runner speed (s/ft)]] * ((60 * 60)/5280)</f>
        <v>22.727272727272723</v>
      </c>
      <c r="N18" s="6">
        <f>Table3[[#This Row],[runner reaction]]+Table3[[#This Row],[runner speed (s/ft)]]*Table3[[#This Row],[total leadoff (ft)]]</f>
        <v>0.97249999999999992</v>
      </c>
      <c r="O18" s="9">
        <f>1 - _xlfn.NORM.DIST(Table3[[#This Row],[pickoff time]], Table3[[#This Row],[pickoff evade time]], $O$4, TRUE)</f>
        <v>8.4817013785601914E-3</v>
      </c>
      <c r="P18" s="55">
        <f>_xlfn.NORM.DIST(Table3[[#This Row],[defense]], $P$26, $P$27, TRUE)</f>
        <v>0.99068720985629855</v>
      </c>
      <c r="Q18" s="6" t="b">
        <f>Table3[[#This Row],[pickoff probability]] &gt; 1-Table3[[#This Row],[Fielding Odds]]</f>
        <v>0</v>
      </c>
      <c r="R18" s="55">
        <f>1-Table3[[#This Row],[Fielding Odds]]</f>
        <v>9.3127901437014549E-3</v>
      </c>
      <c r="S18" s="6">
        <f>(90-Table3[[#This Row],[total leadoff (ft)]])*Table3[[#This Row],[runner speed (s/ft)]]</f>
        <v>2.2275</v>
      </c>
      <c r="T18" s="6">
        <f>$T$26*(2-Table3[[#This Row],[defense]]) + Table3[[#This Row],[pickoff time]]</f>
        <v>1.65</v>
      </c>
      <c r="U18" s="55">
        <f>_xlfn.NORM.DIST(Table3[[#This Row],[Response speed]], Table3[[#This Row],[Blatant steal time]], $U$4, TRUE)</f>
        <v>0.16789925159767624</v>
      </c>
      <c r="V18" s="6">
        <f>Table3[[#This Row],[defense]]+Table3[[#This Row],[defense]]*Table3[[#This Row],[offense]]*$E$26</f>
        <v>1.2</v>
      </c>
      <c r="W18" s="6">
        <f t="shared" si="3"/>
        <v>0.5714285714285714</v>
      </c>
      <c r="X18" s="55">
        <f>Table3[[#This Row],[ball factor]]/$X$32*(1-$X$34)+$X$34</f>
        <v>0.73781512605042021</v>
      </c>
      <c r="Y18" s="6">
        <f>Table3[[#This Row],[offense]]</f>
        <v>2</v>
      </c>
      <c r="Z18" s="93">
        <f t="shared" si="1"/>
        <v>-0.90000000000000013</v>
      </c>
      <c r="AA18" s="93">
        <f>IF(Table3[[#This Row],[player control]]&gt;1,Table3[[#This Row],[player control]]*$AA$41+$AA$40,Table3[[#This Row],[player control]]*$AA$39+$AA$38)</f>
        <v>2</v>
      </c>
      <c r="AB18" s="94">
        <f>_xlfn.NORM.DIST(-1,Table3[[#This Row],[ideal steer]],($AB$25-Table3[[#This Row],[scaled control]])*$AB$27,TRUE)</f>
        <v>0.3085375387259871</v>
      </c>
      <c r="AC18" s="94">
        <f>1-_xlfn.NORM.DIST(1,Table3[[#This Row],[ideal steer]],($AB$25-Table3[[#This Row],[scaled control]])*$AB$27,TRUE)</f>
        <v>0</v>
      </c>
      <c r="AD18" s="94">
        <f>1-(1-Table3[[#This Row],[unmod foul percent 3rd]])*(1-Table3[[#This Row],[unmod foul percent 1st]])</f>
        <v>0.3085375387259871</v>
      </c>
      <c r="AE18" s="94">
        <f>1-((1-_xlfn.NORM.DIST(-1,0,($AB$25-Table3[[#This Row],[scaled control]])*$AB$27,TRUE))*_xlfn.NORM.DIST(1,0,($AB$25-Table3[[#This Row],[scaled control]])*$AB$27,TRUE))</f>
        <v>5.7330306169056655E-7</v>
      </c>
      <c r="AF18" s="6">
        <f>$AF$34*$AF$25</f>
        <v>-20</v>
      </c>
      <c r="AG18" s="6">
        <f>$AG$25*($AG$34*Table3[[#This Row],[offense]])</f>
        <v>0</v>
      </c>
      <c r="AH18" s="6">
        <f t="shared" si="2"/>
        <v>0</v>
      </c>
      <c r="AI18" s="6">
        <f>$AI$34*$AI$25</f>
        <v>0</v>
      </c>
      <c r="AJ18" s="6">
        <f>$AJ$25*(Table3[[#This Row],[offense]]-$AJ$27)</f>
        <v>1</v>
      </c>
      <c r="AK18" s="6" cm="1">
        <f t="array" ref="AK18">SUM(Table3[[#This Row],[count]:[current hitter vs next hitter]]*MIN(1, Table3[[#This Row],[defense]]))</f>
        <v>-19</v>
      </c>
      <c r="AL18" s="94">
        <f>$AL$25-(Table3[[#This Row],[calling modifier]]/(ABS(Table3[[#This Row],[calling modifier]])+$AL$29)*$AL$27)</f>
        <v>0.79487179487179482</v>
      </c>
      <c r="AM18" s="111">
        <f>$AL$25-$AL$27*TANH(Table3[[#This Row],[calling modifier]]/$AM$29)</f>
        <v>0.89591322050960165</v>
      </c>
      <c r="AN18" s="130">
        <f>MAX(0, 1-_xlfn.NORM.S.INV(Table3[[#This Row],[tanh strike percent]])*($AN$25*($AN$27-Table3[[#This Row],[defense]])))</f>
        <v>0</v>
      </c>
      <c r="AO18" s="131">
        <f>MAX(0, 1-_xlfn.NORM.S.INV(Table3[[#This Row],[tanh strike percent]])*($AN$25*($AN$27-0.2)))</f>
        <v>0</v>
      </c>
      <c r="AP18" s="131">
        <f>MAX(0, 1-_xlfn.NORM.S.INV(Table3[[#This Row],[tanh strike percent]])*($AN$25*($AN$27-2)))</f>
        <v>0.496558574279514</v>
      </c>
      <c r="AQ18" s="131">
        <f>Table3[[#This Row],[called position]]-pitchmod*(pitchstdv-Table3[[#This Row],[defense]])</f>
        <v>-0.8</v>
      </c>
      <c r="AR18" s="131">
        <f>ABS(Table3[[#This Row],[called position]]+pitchmod*(pitchstdv-Table3[[#This Row],[defense]]))</f>
        <v>0.8</v>
      </c>
      <c r="AS18" s="6">
        <f>Table3[[#This Row],[defense]]</f>
        <v>1</v>
      </c>
      <c r="AT18" s="131">
        <f>IF(AND(Table3[[#This Row],[location -1  stdv]]&lt;1, Table3[[#This Row],[location +1 stdv]]&gt;1),0, MIN(Table3[[#This Row],[location -1  stdv]]+1, 1-Table3[[#This Row],[location +1 stdv]]))</f>
        <v>0.19999999999999996</v>
      </c>
      <c r="AU18" s="131">
        <f>IF(AND(Table3[[#This Row],[location -1  stdv]]&lt;0, Table3[[#This Row],[location +1 stdv]]&gt;0),1, MAX(1-ABS(Table3[[#This Row],[location -1  stdv]]), Table3[[#This Row],[location +1 stdv]]-1))</f>
        <v>1</v>
      </c>
      <c r="AV18" s="131">
        <f>1/(ABS(Table3[[#This Row],[called position]]-1)+$AV$27)+$AV$30*Table3[[#This Row],[defense]]</f>
        <v>2.9090909090909092</v>
      </c>
      <c r="AW18" s="131">
        <f>1/(Table3[[#This Row],[min dist to sz 1stdv]]+$AV$27)+$AV$30*Table3[[#This Row],[defense]]</f>
        <v>5.3333333333333339</v>
      </c>
      <c r="AX18" s="131">
        <f>1/(Table3[[#This Row],[max dist to sz 1stdv]]+$AV$27)+$AV$30*Table3[[#This Row],[defense]]</f>
        <v>2.9090909090909092</v>
      </c>
    </row>
    <row r="19" spans="1:50" s="15" customFormat="1" x14ac:dyDescent="0.25">
      <c r="A19" s="15">
        <f t="shared" si="0"/>
        <v>13</v>
      </c>
      <c r="B19" s="15">
        <f>INDEX(oratings, 1, 1+MOD(Table3[[#This Row],[Rep '#]]-1, COUNT(oratings)))</f>
        <v>0.1</v>
      </c>
      <c r="C19" s="15">
        <f>INDEX(dratings, 1, MOD(FLOOR( (Table3[[#This Row],[Rep '#]]-1) / COUNT(oratings), 1), COUNT(dratings))+1)</f>
        <v>2</v>
      </c>
      <c r="D19" s="15">
        <f>Table3[[#This Row],[offense]]*$D$26+0.05</f>
        <v>6.0000000000000005E-2</v>
      </c>
      <c r="E19" s="15">
        <f>((2*Table3[[#This Row],[defense]]+1*Table3[[#This Row],[defense]])-1.5)*Table3[[#This Row],[offense]]*$E$26</f>
        <v>4.5000000000000005E-2</v>
      </c>
      <c r="F19" s="15">
        <f>MAX(Table3[[#This Row],[base leadoff]]*(1-Table3[[#This Row],[leadoff modifier]]) * 90, 0)</f>
        <v>5.157</v>
      </c>
      <c r="G19" s="15">
        <f>1.1 - Table3[[#This Row],[defense]]*0.1</f>
        <v>0.90000000000000013</v>
      </c>
      <c r="H19" s="15">
        <f xml:space="preserve"> 0.01 - 0.0025 *  Table3[[#This Row],[defense]]</f>
        <v>5.0000000000000001E-3</v>
      </c>
      <c r="I19" s="15">
        <f>1 / Table3[[#This Row],[throw speed (s/ft)]] * ((60 * 60)/5280)</f>
        <v>136.36363636363635</v>
      </c>
      <c r="J19" s="15">
        <f>Table3[[#This Row],[pickoff manuver (s)]]+60*Table3[[#This Row],[throw speed (s/ft)]]</f>
        <v>1.2000000000000002</v>
      </c>
      <c r="K19" s="15">
        <f>$K$28-$K$26*Table3[[#This Row],[offense]]</f>
        <v>0.88</v>
      </c>
      <c r="L19" s="15">
        <f>0.05 - Table3[[#This Row],[offense]]*$L$26</f>
        <v>4.9000000000000002E-2</v>
      </c>
      <c r="M19" s="15">
        <f>1 / Table3[[#This Row],[runner speed (s/ft)]] * ((60 * 60)/5280)</f>
        <v>13.914656771799628</v>
      </c>
      <c r="N19" s="15">
        <f>Table3[[#This Row],[runner reaction]]+Table3[[#This Row],[runner speed (s/ft)]]*Table3[[#This Row],[total leadoff (ft)]]</f>
        <v>1.1326929999999999</v>
      </c>
      <c r="O19" s="16">
        <f>1 - _xlfn.NORM.DIST(Table3[[#This Row],[pickoff time]], Table3[[#This Row],[pickoff evade time]], $O$4, TRUE)</f>
        <v>0.36823373145283722</v>
      </c>
      <c r="P19" s="57">
        <f>_xlfn.NORM.DIST(Table3[[#This Row],[defense]], $P$26, $P$27, TRUE)</f>
        <v>0.99836515899365319</v>
      </c>
      <c r="Q19" s="15" t="b">
        <f>Table3[[#This Row],[pickoff probability]] &gt; 1-Table3[[#This Row],[Fielding Odds]]</f>
        <v>1</v>
      </c>
      <c r="R19" s="57">
        <f>1-Table3[[#This Row],[Fielding Odds]]</f>
        <v>1.63484100634681E-3</v>
      </c>
      <c r="S19" s="15">
        <f>(90-Table3[[#This Row],[total leadoff (ft)]])*Table3[[#This Row],[runner speed (s/ft)]]</f>
        <v>4.1573070000000003</v>
      </c>
      <c r="T19" s="15">
        <f>$T$26*(2-Table3[[#This Row],[defense]]) + Table3[[#This Row],[pickoff time]]</f>
        <v>1.2000000000000002</v>
      </c>
      <c r="U19" s="57">
        <f>_xlfn.NORM.DIST(Table3[[#This Row],[Response speed]], Table3[[#This Row],[Blatant steal time]], $U$4, TRUE)</f>
        <v>4.1358582187294249E-7</v>
      </c>
      <c r="V19" s="15">
        <f>Table3[[#This Row],[defense]]+Table3[[#This Row],[defense]]*Table3[[#This Row],[offense]]*$E$26</f>
        <v>2.02</v>
      </c>
      <c r="W19" s="15">
        <f t="shared" si="3"/>
        <v>0.5714285714285714</v>
      </c>
      <c r="X19" s="57">
        <f>Table3[[#This Row],[ball factor]]/$X$32*(1-$X$34)+$X$34</f>
        <v>0.73781512605042021</v>
      </c>
      <c r="Y19" s="15">
        <f>Table3[[#This Row],[offense]]</f>
        <v>0.1</v>
      </c>
      <c r="Z19" s="97">
        <f t="shared" si="1"/>
        <v>-0.90000000000000013</v>
      </c>
      <c r="AA19" s="97">
        <f>IF(Table3[[#This Row],[player control]]&gt;1,Table3[[#This Row],[player control]]*$AA$41+$AA$40,Table3[[#This Row],[player control]]*$AA$39+$AA$38)</f>
        <v>-0.14000000000000001</v>
      </c>
      <c r="AB19" s="98">
        <f>_xlfn.NORM.DIST(-1,Table3[[#This Row],[ideal steer]],($AB$25-Table3[[#This Row],[scaled control]])*$AB$27,TRUE)</f>
        <v>0.40456602559459909</v>
      </c>
      <c r="AC19" s="98">
        <f>1-_xlfn.NORM.DIST(1,Table3[[#This Row],[ideal steer]],($AB$25-Table3[[#This Row],[scaled control]])*$AB$27,TRUE)</f>
        <v>2.2229077858426649E-6</v>
      </c>
      <c r="AD19" s="98">
        <f>1-(1-Table3[[#This Row],[unmod foul percent 3rd]])*(1-Table3[[#This Row],[unmod foul percent 1st]])</f>
        <v>0.40456734918941673</v>
      </c>
      <c r="AE19" s="98">
        <f>1-((1-_xlfn.NORM.DIST(-1,0,($AB$25-Table3[[#This Row],[scaled control]])*$AB$27,TRUE))*_xlfn.NORM.DIST(1,0,($AB$25-Table3[[#This Row],[scaled control]])*$AB$27,TRUE))</f>
        <v>1.5653650964326582E-2</v>
      </c>
      <c r="AF19" s="15">
        <f>$AF$34*$AF$25</f>
        <v>-20</v>
      </c>
      <c r="AG19" s="15">
        <f>$AG$25*($AG$34*Table3[[#This Row],[offense]])</f>
        <v>0</v>
      </c>
      <c r="AH19" s="15">
        <f t="shared" si="2"/>
        <v>0</v>
      </c>
      <c r="AI19" s="15">
        <f>$AI$34*$AI$25</f>
        <v>0</v>
      </c>
      <c r="AJ19" s="15">
        <f>$AJ$25*(Table3[[#This Row],[offense]]-$AJ$27)</f>
        <v>-0.9</v>
      </c>
      <c r="AK19" s="15" cm="1">
        <f t="array" ref="AK19">SUM(Table3[[#This Row],[count]:[current hitter vs next hitter]]*MIN(1, Table3[[#This Row],[defense]]))</f>
        <v>-20.9</v>
      </c>
      <c r="AL19" s="98">
        <f>$AL$25-(Table3[[#This Row],[calling modifier]]/(ABS(Table3[[#This Row],[calling modifier]])+$AL$29)*$AL$27)</f>
        <v>0.80440097799511001</v>
      </c>
      <c r="AM19" s="113">
        <f>$AL$25-$AL$27*TANH(Table3[[#This Row],[calling modifier]]/$AM$29)</f>
        <v>0.91194194050999755</v>
      </c>
      <c r="AN19" s="134">
        <f>MAX(0, 1-_xlfn.NORM.S.INV(Table3[[#This Row],[tanh strike percent]])*($AN$25*($AN$27-Table3[[#This Row],[defense]])))</f>
        <v>0.45887572678899413</v>
      </c>
      <c r="AO19" s="135">
        <f>MAX(0, 1-_xlfn.NORM.S.INV(Table3[[#This Row],[tanh strike percent]])*($AN$25*($AN$27-0.2)))</f>
        <v>0</v>
      </c>
      <c r="AP19" s="135">
        <f>MAX(0, 1-_xlfn.NORM.S.INV(Table3[[#This Row],[tanh strike percent]])*($AN$25*($AN$27-2)))</f>
        <v>0.45887572678899413</v>
      </c>
      <c r="AQ19" s="135">
        <f>Table3[[#This Row],[called position]]-pitchmod*(pitchstdv-Table3[[#This Row],[defense]])</f>
        <v>5.8875726788994109E-2</v>
      </c>
      <c r="AR19" s="135">
        <f>ABS(Table3[[#This Row],[called position]]+pitchmod*(pitchstdv-Table3[[#This Row],[defense]]))</f>
        <v>0.85887572678899415</v>
      </c>
      <c r="AS19" s="15">
        <f>Table3[[#This Row],[defense]]</f>
        <v>2</v>
      </c>
      <c r="AT19" s="135">
        <f>IF(AND(Table3[[#This Row],[location -1  stdv]]&lt;1, Table3[[#This Row],[location +1 stdv]]&gt;1),0, MIN(Table3[[#This Row],[location -1  stdv]]+1, 1-Table3[[#This Row],[location +1 stdv]]))</f>
        <v>0.14112427321100585</v>
      </c>
      <c r="AU19" s="135">
        <f>IF(AND(Table3[[#This Row],[location -1  stdv]]&lt;0, Table3[[#This Row],[location +1 stdv]]&gt;0),1, MAX(1-ABS(Table3[[#This Row],[location -1  stdv]]), Table3[[#This Row],[location +1 stdv]]-1))</f>
        <v>0.94112427321100589</v>
      </c>
      <c r="AV19" s="135">
        <f>1/(ABS(Table3[[#This Row],[called position]]-1)+$AV$27)+$AV$30*Table3[[#This Row],[defense]]</f>
        <v>5.5597600056407188</v>
      </c>
      <c r="AW19" s="135">
        <f>1/(Table3[[#This Row],[min dist to sz 1stdv]]+$AV$27)+$AV$30*Table3[[#This Row],[defense]]</f>
        <v>8.1472390426861274</v>
      </c>
      <c r="AX19" s="135">
        <f>1/(Table3[[#This Row],[max dist to sz 1stdv]]+$AV$27)+$AV$30*Table3[[#This Row],[defense]]</f>
        <v>4.9605001302254035</v>
      </c>
    </row>
    <row r="20" spans="1:50" s="11" customFormat="1" x14ac:dyDescent="0.25">
      <c r="A20" s="11">
        <f t="shared" si="0"/>
        <v>14</v>
      </c>
      <c r="B20" s="11">
        <f>INDEX(oratings, 1, 1+MOD(Table3[[#This Row],[Rep '#]]-1, COUNT(oratings)))</f>
        <v>0.5</v>
      </c>
      <c r="C20" s="11">
        <f>INDEX(dratings, 1, MOD(FLOOR( (Table3[[#This Row],[Rep '#]]-1) / COUNT(oratings), 1), COUNT(dratings))+1)</f>
        <v>2</v>
      </c>
      <c r="D20" s="11">
        <f>Table3[[#This Row],[offense]]*$D$26+0.05</f>
        <v>0.1</v>
      </c>
      <c r="E20" s="11">
        <f>((2*Table3[[#This Row],[defense]]+1*Table3[[#This Row],[defense]])-1.5)*Table3[[#This Row],[offense]]*$E$26</f>
        <v>0.22500000000000001</v>
      </c>
      <c r="F20" s="11">
        <f>MAX(Table3[[#This Row],[base leadoff]]*(1-Table3[[#This Row],[leadoff modifier]]) * 90, 0)</f>
        <v>6.9750000000000014</v>
      </c>
      <c r="G20" s="11">
        <f>1.1 - Table3[[#This Row],[defense]]*0.1</f>
        <v>0.90000000000000013</v>
      </c>
      <c r="H20" s="11">
        <f xml:space="preserve"> 0.01 - 0.0025 *  Table3[[#This Row],[defense]]</f>
        <v>5.0000000000000001E-3</v>
      </c>
      <c r="I20" s="11">
        <f>1 / Table3[[#This Row],[throw speed (s/ft)]] * ((60 * 60)/5280)</f>
        <v>136.36363636363635</v>
      </c>
      <c r="J20" s="11">
        <f>Table3[[#This Row],[pickoff manuver (s)]]+60*Table3[[#This Row],[throw speed (s/ft)]]</f>
        <v>1.2000000000000002</v>
      </c>
      <c r="K20" s="11">
        <f>$K$28-$K$26*Table3[[#This Row],[offense]]</f>
        <v>0.8</v>
      </c>
      <c r="L20" s="11">
        <f>0.05 - Table3[[#This Row],[offense]]*$L$26</f>
        <v>4.5000000000000005E-2</v>
      </c>
      <c r="M20" s="11">
        <f>1 / Table3[[#This Row],[runner speed (s/ft)]] * ((60 * 60)/5280)</f>
        <v>15.151515151515147</v>
      </c>
      <c r="N20" s="11">
        <f>Table3[[#This Row],[runner reaction]]+Table3[[#This Row],[runner speed (s/ft)]]*Table3[[#This Row],[total leadoff (ft)]]</f>
        <v>1.1138750000000002</v>
      </c>
      <c r="O20" s="12">
        <f>1 - _xlfn.NORM.DIST(Table3[[#This Row],[pickoff time]], Table3[[#This Row],[pickoff evade time]], $O$4, TRUE)</f>
        <v>0.33337053015354379</v>
      </c>
      <c r="P20" s="58">
        <f>_xlfn.NORM.DIST(Table3[[#This Row],[defense]], $P$26, $P$27, TRUE)</f>
        <v>0.99836515899365319</v>
      </c>
      <c r="Q20" s="11" t="b">
        <f>Table3[[#This Row],[pickoff probability]] &gt; 1-Table3[[#This Row],[Fielding Odds]]</f>
        <v>1</v>
      </c>
      <c r="R20" s="58">
        <f>1-Table3[[#This Row],[Fielding Odds]]</f>
        <v>1.63484100634681E-3</v>
      </c>
      <c r="S20" s="11">
        <f>(90-Table3[[#This Row],[total leadoff (ft)]])*Table3[[#This Row],[runner speed (s/ft)]]</f>
        <v>3.7361250000000008</v>
      </c>
      <c r="T20" s="11">
        <f>$T$26*(2-Table3[[#This Row],[defense]]) + Table3[[#This Row],[pickoff time]]</f>
        <v>1.2000000000000002</v>
      </c>
      <c r="U20" s="58">
        <f>_xlfn.NORM.DIST(Table3[[#This Row],[Response speed]], Table3[[#This Row],[Blatant steal time]], $U$4, TRUE)</f>
        <v>1.1847960716990601E-5</v>
      </c>
      <c r="V20" s="11">
        <f>Table3[[#This Row],[defense]]+Table3[[#This Row],[defense]]*Table3[[#This Row],[offense]]*$E$26</f>
        <v>2.1</v>
      </c>
      <c r="W20" s="11">
        <f t="shared" si="3"/>
        <v>0.5714285714285714</v>
      </c>
      <c r="X20" s="58">
        <f>Table3[[#This Row],[ball factor]]/$X$32*(1-$X$34)+$X$34</f>
        <v>0.73781512605042021</v>
      </c>
      <c r="Y20" s="11">
        <f>Table3[[#This Row],[offense]]</f>
        <v>0.5</v>
      </c>
      <c r="Z20" s="99">
        <f t="shared" si="1"/>
        <v>-0.90000000000000013</v>
      </c>
      <c r="AA20" s="99">
        <f>IF(Table3[[#This Row],[player control]]&gt;1,Table3[[#This Row],[player control]]*$AA$41+$AA$40,Table3[[#This Row],[player control]]*$AA$39+$AA$38)</f>
        <v>0.10000000000000003</v>
      </c>
      <c r="AB20" s="100">
        <f>_xlfn.NORM.DIST(-1,Table3[[#This Row],[ideal steer]],($AB$25-Table3[[#This Row],[scaled control]])*$AB$27,TRUE)</f>
        <v>0.39881703452798722</v>
      </c>
      <c r="AC20" s="100">
        <f>1-_xlfn.NORM.DIST(1,Table3[[#This Row],[ideal steer]],($AB$25-Table3[[#This Row],[scaled control]])*$AB$27,TRUE)</f>
        <v>5.5294477940837083E-7</v>
      </c>
      <c r="AD20" s="100">
        <f>1-(1-Table3[[#This Row],[unmod foul percent 3rd]])*(1-Table3[[#This Row],[unmod foul percent 1st]])</f>
        <v>0.39881736694896941</v>
      </c>
      <c r="AE20" s="100">
        <f>1-((1-_xlfn.NORM.DIST(-1,0,($AB$25-Table3[[#This Row],[scaled control]])*$AB$27,TRUE))*_xlfn.NORM.DIST(1,0,($AB$25-Table3[[#This Row],[scaled control]])*$AB$27,TRUE))</f>
        <v>1.0317546081842099E-2</v>
      </c>
      <c r="AF20" s="11">
        <f>$AF$34*$AF$25</f>
        <v>-20</v>
      </c>
      <c r="AG20" s="11">
        <f>$AG$25*($AG$34*Table3[[#This Row],[offense]])</f>
        <v>0</v>
      </c>
      <c r="AH20" s="11">
        <f t="shared" si="2"/>
        <v>0</v>
      </c>
      <c r="AI20" s="11">
        <f>$AI$34*$AI$25</f>
        <v>0</v>
      </c>
      <c r="AJ20" s="11">
        <f>$AJ$25*(Table3[[#This Row],[offense]]-$AJ$27)</f>
        <v>-0.5</v>
      </c>
      <c r="AK20" s="11" cm="1">
        <f t="array" ref="AK20">SUM(Table3[[#This Row],[count]:[current hitter vs next hitter]]*MIN(1, Table3[[#This Row],[defense]]))</f>
        <v>-20.5</v>
      </c>
      <c r="AL20" s="100">
        <f>$AL$25-(Table3[[#This Row],[calling modifier]]/(ABS(Table3[[#This Row],[calling modifier]])+$AL$29)*$AL$27)</f>
        <v>0.80246913580246915</v>
      </c>
      <c r="AM20" s="114">
        <f>$AL$25-$AL$27*TANH(Table3[[#This Row],[calling modifier]]/$AM$29)</f>
        <v>0.90875809497616733</v>
      </c>
      <c r="AN20" s="136">
        <f>MAX(0, 1-_xlfn.NORM.S.INV(Table3[[#This Row],[tanh strike percent]])*($AN$25*($AN$27-Table3[[#This Row],[defense]])))</f>
        <v>0.46674149492702643</v>
      </c>
      <c r="AO20" s="137">
        <f>MAX(0, 1-_xlfn.NORM.S.INV(Table3[[#This Row],[tanh strike percent]])*($AN$25*($AN$27-0.2)))</f>
        <v>0</v>
      </c>
      <c r="AP20" s="137">
        <f>MAX(0, 1-_xlfn.NORM.S.INV(Table3[[#This Row],[tanh strike percent]])*($AN$25*($AN$27-2)))</f>
        <v>0.46674149492702643</v>
      </c>
      <c r="AQ20" s="137">
        <f>Table3[[#This Row],[called position]]-pitchmod*(pitchstdv-Table3[[#This Row],[defense]])</f>
        <v>6.6741494927026412E-2</v>
      </c>
      <c r="AR20" s="137">
        <f>ABS(Table3[[#This Row],[called position]]+pitchmod*(pitchstdv-Table3[[#This Row],[defense]]))</f>
        <v>0.86674149492702646</v>
      </c>
      <c r="AS20" s="11">
        <f>Table3[[#This Row],[defense]]</f>
        <v>2</v>
      </c>
      <c r="AT20" s="137">
        <f>IF(AND(Table3[[#This Row],[location -1  stdv]]&lt;1, Table3[[#This Row],[location +1 stdv]]&gt;1),0, MIN(Table3[[#This Row],[location -1  stdv]]+1, 1-Table3[[#This Row],[location +1 stdv]]))</f>
        <v>0.13325850507297354</v>
      </c>
      <c r="AU20" s="137">
        <f>IF(AND(Table3[[#This Row],[location -1  stdv]]&lt;0, Table3[[#This Row],[location +1 stdv]]&gt;0),1, MAX(1-ABS(Table3[[#This Row],[location -1  stdv]]), Table3[[#This Row],[location +1 stdv]]-1))</f>
        <v>0.93325850507297359</v>
      </c>
      <c r="AV20" s="137">
        <f>1/(ABS(Table3[[#This Row],[called position]]-1)+$AV$27)+$AV$30*Table3[[#This Row],[defense]]</f>
        <v>5.5791339429144582</v>
      </c>
      <c r="AW20" s="137">
        <f>1/(Table3[[#This Row],[min dist to sz 1stdv]]+$AV$27)+$AV$30*Table3[[#This Row],[defense]]</f>
        <v>8.2870891232332813</v>
      </c>
      <c r="AX20" s="137">
        <f>1/(Table3[[#This Row],[max dist to sz 1stdv]]+$AV$27)+$AV$30*Table3[[#This Row],[defense]]</f>
        <v>4.9678120190545885</v>
      </c>
    </row>
    <row r="21" spans="1:50" s="15" customFormat="1" x14ac:dyDescent="0.25">
      <c r="A21" s="15">
        <f t="shared" si="0"/>
        <v>15</v>
      </c>
      <c r="B21" s="15">
        <f>INDEX(oratings, 1, 1+MOD(Table3[[#This Row],[Rep '#]]-1, COUNT(oratings)))</f>
        <v>1</v>
      </c>
      <c r="C21" s="15">
        <f>INDEX(dratings, 1, MOD(FLOOR( (Table3[[#This Row],[Rep '#]]-1) / COUNT(oratings), 1), COUNT(dratings))+1)</f>
        <v>2</v>
      </c>
      <c r="D21" s="15">
        <f>Table3[[#This Row],[offense]]*$D$26+0.05</f>
        <v>0.15000000000000002</v>
      </c>
      <c r="E21" s="15">
        <f>((2*Table3[[#This Row],[defense]]+1*Table3[[#This Row],[defense]])-1.5)*Table3[[#This Row],[offense]]*$E$26</f>
        <v>0.45</v>
      </c>
      <c r="F21" s="15">
        <f>MAX(Table3[[#This Row],[base leadoff]]*(1-Table3[[#This Row],[leadoff modifier]]) * 90, 0)</f>
        <v>7.4250000000000016</v>
      </c>
      <c r="G21" s="15">
        <f>1.1 - Table3[[#This Row],[defense]]*0.1</f>
        <v>0.90000000000000013</v>
      </c>
      <c r="H21" s="15">
        <f xml:space="preserve"> 0.01 - 0.0025 *  Table3[[#This Row],[defense]]</f>
        <v>5.0000000000000001E-3</v>
      </c>
      <c r="I21" s="15">
        <f>1 / Table3[[#This Row],[throw speed (s/ft)]] * ((60 * 60)/5280)</f>
        <v>136.36363636363635</v>
      </c>
      <c r="J21" s="15">
        <f>Table3[[#This Row],[pickoff manuver (s)]]+60*Table3[[#This Row],[throw speed (s/ft)]]</f>
        <v>1.2000000000000002</v>
      </c>
      <c r="K21" s="15">
        <f>$K$28-$K$26*Table3[[#This Row],[offense]]</f>
        <v>0.7</v>
      </c>
      <c r="L21" s="15">
        <f>0.05 - Table3[[#This Row],[offense]]*$L$26</f>
        <v>0.04</v>
      </c>
      <c r="M21" s="15">
        <f>1 / Table3[[#This Row],[runner speed (s/ft)]] * ((60 * 60)/5280)</f>
        <v>17.045454545454543</v>
      </c>
      <c r="N21" s="15">
        <f>Table3[[#This Row],[runner reaction]]+Table3[[#This Row],[runner speed (s/ft)]]*Table3[[#This Row],[total leadoff (ft)]]</f>
        <v>0.99700000000000011</v>
      </c>
      <c r="O21" s="16">
        <f>1 - _xlfn.NORM.DIST(Table3[[#This Row],[pickoff time]], Table3[[#This Row],[pickoff evade time]], $O$4, TRUE)</f>
        <v>0.15505291375244945</v>
      </c>
      <c r="P21" s="57">
        <f>_xlfn.NORM.DIST(Table3[[#This Row],[defense]], $P$26, $P$27, TRUE)</f>
        <v>0.99836515899365319</v>
      </c>
      <c r="Q21" s="15" t="b">
        <f>Table3[[#This Row],[pickoff probability]] &gt; 1-Table3[[#This Row],[Fielding Odds]]</f>
        <v>1</v>
      </c>
      <c r="R21" s="57">
        <f>1-Table3[[#This Row],[Fielding Odds]]</f>
        <v>1.63484100634681E-3</v>
      </c>
      <c r="S21" s="15">
        <f>(90-Table3[[#This Row],[total leadoff (ft)]])*Table3[[#This Row],[runner speed (s/ft)]]</f>
        <v>3.3030000000000004</v>
      </c>
      <c r="T21" s="15">
        <f>$T$26*(2-Table3[[#This Row],[defense]]) + Table3[[#This Row],[pickoff time]]</f>
        <v>1.2000000000000002</v>
      </c>
      <c r="U21" s="57">
        <f>_xlfn.NORM.DIST(Table3[[#This Row],[Response speed]], Table3[[#This Row],[Blatant steal time]], $U$4, TRUE)</f>
        <v>2.2830364162715008E-4</v>
      </c>
      <c r="V21" s="15">
        <f>Table3[[#This Row],[defense]]+Table3[[#This Row],[defense]]*Table3[[#This Row],[offense]]*$E$26</f>
        <v>2.2000000000000002</v>
      </c>
      <c r="W21" s="15">
        <f t="shared" si="3"/>
        <v>0.5714285714285714</v>
      </c>
      <c r="X21" s="57">
        <f>Table3[[#This Row],[ball factor]]/$X$32*(1-$X$34)+$X$34</f>
        <v>0.73781512605042021</v>
      </c>
      <c r="Y21" s="15">
        <f>Table3[[#This Row],[offense]]</f>
        <v>1</v>
      </c>
      <c r="Z21" s="97">
        <f t="shared" si="1"/>
        <v>-0.90000000000000013</v>
      </c>
      <c r="AA21" s="97">
        <f>IF(Table3[[#This Row],[player control]]&gt;1,Table3[[#This Row],[player control]]*$AA$41+$AA$40,Table3[[#This Row],[player control]]*$AA$39+$AA$38)</f>
        <v>0.40000000000000008</v>
      </c>
      <c r="AB21" s="98">
        <f>_xlfn.NORM.DIST(-1,Table3[[#This Row],[ideal steer]],($AB$25-Table3[[#This Row],[scaled control]])*$AB$27,TRUE)</f>
        <v>0.39059147543357509</v>
      </c>
      <c r="AC21" s="98">
        <f>1-_xlfn.NORM.DIST(1,Table3[[#This Row],[ideal steer]],($AB$25-Table3[[#This Row],[scaled control]])*$AB$27,TRUE)</f>
        <v>6.5379949898414225E-8</v>
      </c>
      <c r="AD21" s="98">
        <f>1-(1-Table3[[#This Row],[unmod foul percent 3rd]])*(1-Table3[[#This Row],[unmod foul percent 1st]])</f>
        <v>0.39059151527667391</v>
      </c>
      <c r="AE21" s="98">
        <f>1-((1-_xlfn.NORM.DIST(-1,0,($AB$25-Table3[[#This Row],[scaled control]])*$AB$27,TRUE))*_xlfn.NORM.DIST(1,0,($AB$25-Table3[[#This Row],[scaled control]])*$AB$27,TRUE))</f>
        <v>5.465714583151815E-3</v>
      </c>
      <c r="AF21" s="15">
        <f>$AF$34*$AF$25</f>
        <v>-20</v>
      </c>
      <c r="AG21" s="15">
        <f>$AG$25*($AG$34*Table3[[#This Row],[offense]])</f>
        <v>0</v>
      </c>
      <c r="AH21" s="15">
        <f t="shared" si="2"/>
        <v>0</v>
      </c>
      <c r="AI21" s="15">
        <f>$AI$34*$AI$25</f>
        <v>0</v>
      </c>
      <c r="AJ21" s="15">
        <f>$AJ$25*(Table3[[#This Row],[offense]]-$AJ$27)</f>
        <v>0</v>
      </c>
      <c r="AK21" s="15" cm="1">
        <f t="array" ref="AK21">SUM(Table3[[#This Row],[count]:[current hitter vs next hitter]]*MIN(1, Table3[[#This Row],[defense]]))</f>
        <v>-20</v>
      </c>
      <c r="AL21" s="98">
        <f>$AL$25-(Table3[[#This Row],[calling modifier]]/(ABS(Table3[[#This Row],[calling modifier]])+$AL$29)*$AL$27)</f>
        <v>0.8</v>
      </c>
      <c r="AM21" s="113">
        <f>$AL$25-$AL$27*TANH(Table3[[#This Row],[calling modifier]]/$AM$29)</f>
        <v>0.90463766238230592</v>
      </c>
      <c r="AN21" s="134">
        <f>MAX(0, 1-_xlfn.NORM.S.INV(Table3[[#This Row],[tanh strike percent]])*($AN$25*($AN$27-Table3[[#This Row],[defense]])))</f>
        <v>0.47662466357427224</v>
      </c>
      <c r="AO21" s="135">
        <f>MAX(0, 1-_xlfn.NORM.S.INV(Table3[[#This Row],[tanh strike percent]])*($AN$25*($AN$27-0.2)))</f>
        <v>0</v>
      </c>
      <c r="AP21" s="135">
        <f>MAX(0, 1-_xlfn.NORM.S.INV(Table3[[#This Row],[tanh strike percent]])*($AN$25*($AN$27-2)))</f>
        <v>0.47662466357427224</v>
      </c>
      <c r="AQ21" s="135">
        <f>Table3[[#This Row],[called position]]-pitchmod*(pitchstdv-Table3[[#This Row],[defense]])</f>
        <v>7.6624663574272223E-2</v>
      </c>
      <c r="AR21" s="135">
        <f>ABS(Table3[[#This Row],[called position]]+pitchmod*(pitchstdv-Table3[[#This Row],[defense]]))</f>
        <v>0.87662466357427227</v>
      </c>
      <c r="AS21" s="15">
        <f>Table3[[#This Row],[defense]]</f>
        <v>2</v>
      </c>
      <c r="AT21" s="135">
        <f>IF(AND(Table3[[#This Row],[location -1  stdv]]&lt;1, Table3[[#This Row],[location +1 stdv]]&gt;1),0, MIN(Table3[[#This Row],[location -1  stdv]]+1, 1-Table3[[#This Row],[location +1 stdv]]))</f>
        <v>0.12337533642572773</v>
      </c>
      <c r="AU21" s="135">
        <f>IF(AND(Table3[[#This Row],[location -1  stdv]]&lt;0, Table3[[#This Row],[location +1 stdv]]&gt;0),1, MAX(1-ABS(Table3[[#This Row],[location -1  stdv]]), Table3[[#This Row],[location +1 stdv]]-1))</f>
        <v>0.92337533642572778</v>
      </c>
      <c r="AV21" s="135">
        <f>1/(ABS(Table3[[#This Row],[called position]]-1)+$AV$27)+$AV$30*Table3[[#This Row],[defense]]</f>
        <v>5.6041699784494847</v>
      </c>
      <c r="AW21" s="135">
        <f>1/(Table3[[#This Row],[min dist to sz 1stdv]]+$AV$27)+$AV$30*Table3[[#This Row],[defense]]</f>
        <v>8.4767699782849562</v>
      </c>
      <c r="AX21" s="135">
        <f>1/(Table3[[#This Row],[max dist to sz 1stdv]]+$AV$27)+$AV$30*Table3[[#This Row],[defense]]</f>
        <v>4.9771585892353345</v>
      </c>
    </row>
    <row r="22" spans="1:50" s="20" customFormat="1" x14ac:dyDescent="0.25">
      <c r="A22" s="19">
        <f t="shared" si="0"/>
        <v>16</v>
      </c>
      <c r="B22" s="20">
        <f>INDEX(oratings, 1, 1+MOD(Table3[[#This Row],[Rep '#]]-1, COUNT(oratings)))</f>
        <v>2</v>
      </c>
      <c r="C22" s="20">
        <f>INDEX(dratings, 1, MOD(FLOOR( (Table3[[#This Row],[Rep '#]]-1) / COUNT(oratings), 1), COUNT(dratings))+1)</f>
        <v>2</v>
      </c>
      <c r="D22" s="20">
        <f>Table3[[#This Row],[offense]]*$D$26+0.05</f>
        <v>0.25</v>
      </c>
      <c r="E22" s="20">
        <f>((2*Table3[[#This Row],[defense]]+1*Table3[[#This Row],[defense]])-1.5)*Table3[[#This Row],[offense]]*$E$26</f>
        <v>0.9</v>
      </c>
      <c r="F22" s="20">
        <f>MAX(Table3[[#This Row],[base leadoff]]*(1-Table3[[#This Row],[leadoff modifier]]) * 90, 0)</f>
        <v>2.2499999999999996</v>
      </c>
      <c r="G22" s="20">
        <f>1.1 - Table3[[#This Row],[defense]]*0.1</f>
        <v>0.90000000000000013</v>
      </c>
      <c r="H22" s="20">
        <f xml:space="preserve"> 0.01 - 0.0025 *  Table3[[#This Row],[defense]]</f>
        <v>5.0000000000000001E-3</v>
      </c>
      <c r="I22" s="20">
        <f>1 / Table3[[#This Row],[throw speed (s/ft)]] * ((60 * 60)/5280)</f>
        <v>136.36363636363635</v>
      </c>
      <c r="J22" s="20">
        <f>Table3[[#This Row],[pickoff manuver (s)]]+60*Table3[[#This Row],[throw speed (s/ft)]]</f>
        <v>1.2000000000000002</v>
      </c>
      <c r="K22" s="20">
        <f>$K$28-$K$26*Table3[[#This Row],[offense]]</f>
        <v>0.5</v>
      </c>
      <c r="L22" s="20">
        <f>0.05 - Table3[[#This Row],[offense]]*$L$26</f>
        <v>3.0000000000000002E-2</v>
      </c>
      <c r="M22" s="20">
        <f>1 / Table3[[#This Row],[runner speed (s/ft)]] * ((60 * 60)/5280)</f>
        <v>22.727272727272723</v>
      </c>
      <c r="N22" s="20">
        <f>Table3[[#This Row],[runner reaction]]+Table3[[#This Row],[runner speed (s/ft)]]*Table3[[#This Row],[total leadoff (ft)]]</f>
        <v>0.5675</v>
      </c>
      <c r="O22" s="21">
        <f>1 - _xlfn.NORM.DIST(Table3[[#This Row],[pickoff time]], Table3[[#This Row],[pickoff evade time]], $O$4, TRUE)</f>
        <v>7.8210367804876224E-4</v>
      </c>
      <c r="P22" s="59">
        <f>_xlfn.NORM.DIST(Table3[[#This Row],[defense]], $P$26, $P$27, TRUE)</f>
        <v>0.99836515899365319</v>
      </c>
      <c r="Q22" s="20" t="b">
        <f>Table3[[#This Row],[pickoff probability]] &gt; 1-Table3[[#This Row],[Fielding Odds]]</f>
        <v>0</v>
      </c>
      <c r="R22" s="59">
        <f>1-Table3[[#This Row],[Fielding Odds]]</f>
        <v>1.63484100634681E-3</v>
      </c>
      <c r="S22" s="20">
        <f>(90-Table3[[#This Row],[total leadoff (ft)]])*Table3[[#This Row],[runner speed (s/ft)]]</f>
        <v>2.6325000000000003</v>
      </c>
      <c r="T22" s="20">
        <f>$T$26*(2-Table3[[#This Row],[defense]]) + Table3[[#This Row],[pickoff time]]</f>
        <v>1.2000000000000002</v>
      </c>
      <c r="U22" s="59">
        <f>_xlfn.NORM.DIST(Table3[[#This Row],[Response speed]], Table3[[#This Row],[Blatant steal time]], $U$4, TRUE)</f>
        <v>8.4817013785601532E-3</v>
      </c>
      <c r="V22" s="20">
        <f>Table3[[#This Row],[defense]]+Table3[[#This Row],[defense]]*Table3[[#This Row],[offense]]*$E$26</f>
        <v>2.4</v>
      </c>
      <c r="W22" s="20">
        <f t="shared" si="3"/>
        <v>0.5714285714285714</v>
      </c>
      <c r="X22" s="59">
        <f>Table3[[#This Row],[ball factor]]/$X$32*(1-$X$34)+$X$34</f>
        <v>0.73781512605042021</v>
      </c>
      <c r="Y22" s="20">
        <f>Table3[[#This Row],[offense]]</f>
        <v>2</v>
      </c>
      <c r="Z22" s="101">
        <f t="shared" si="1"/>
        <v>-0.90000000000000013</v>
      </c>
      <c r="AA22" s="101">
        <f>IF(Table3[[#This Row],[player control]]&gt;1,Table3[[#This Row],[player control]]*$AA$41+$AA$40,Table3[[#This Row],[player control]]*$AA$39+$AA$38)</f>
        <v>2</v>
      </c>
      <c r="AB22" s="102">
        <f>_xlfn.NORM.DIST(-1,Table3[[#This Row],[ideal steer]],($AB$25-Table3[[#This Row],[scaled control]])*$AB$27,TRUE)</f>
        <v>0.3085375387259871</v>
      </c>
      <c r="AC22" s="102">
        <f>1-_xlfn.NORM.DIST(1,Table3[[#This Row],[ideal steer]],($AB$25-Table3[[#This Row],[scaled control]])*$AB$27,TRUE)</f>
        <v>0</v>
      </c>
      <c r="AD22" s="102">
        <f>1-(1-Table3[[#This Row],[unmod foul percent 3rd]])*(1-Table3[[#This Row],[unmod foul percent 1st]])</f>
        <v>0.3085375387259871</v>
      </c>
      <c r="AE22" s="102">
        <f>1-((1-_xlfn.NORM.DIST(-1,0,($AB$25-Table3[[#This Row],[scaled control]])*$AB$27,TRUE))*_xlfn.NORM.DIST(1,0,($AB$25-Table3[[#This Row],[scaled control]])*$AB$27,TRUE))</f>
        <v>5.7330306169056655E-7</v>
      </c>
      <c r="AF22" s="20">
        <f>$AF$34*$AF$25</f>
        <v>-20</v>
      </c>
      <c r="AG22" s="20">
        <f>$AG$25*($AG$34*Table3[[#This Row],[offense]])</f>
        <v>0</v>
      </c>
      <c r="AH22" s="20">
        <f t="shared" si="2"/>
        <v>0</v>
      </c>
      <c r="AI22" s="20">
        <f>$AI$34*$AI$25</f>
        <v>0</v>
      </c>
      <c r="AJ22" s="20">
        <f>$AJ$25*(Table3[[#This Row],[offense]]-$AJ$27)</f>
        <v>1</v>
      </c>
      <c r="AK22" s="20" cm="1">
        <f t="array" ref="AK22">SUM(Table3[[#This Row],[count]:[current hitter vs next hitter]]*MIN(1, Table3[[#This Row],[defense]]))</f>
        <v>-19</v>
      </c>
      <c r="AL22" s="102">
        <f>$AL$25-(Table3[[#This Row],[calling modifier]]/(ABS(Table3[[#This Row],[calling modifier]])+$AL$29)*$AL$27)</f>
        <v>0.79487179487179482</v>
      </c>
      <c r="AM22" s="115">
        <f>$AL$25-$AL$27*TANH(Table3[[#This Row],[calling modifier]]/$AM$29)</f>
        <v>0.89591322050960165</v>
      </c>
      <c r="AN22" s="138">
        <f>MAX(0, 1-_xlfn.NORM.S.INV(Table3[[#This Row],[tanh strike percent]])*($AN$25*($AN$27-Table3[[#This Row],[defense]])))</f>
        <v>0.496558574279514</v>
      </c>
      <c r="AO22" s="139">
        <f>MAX(0, 1-_xlfn.NORM.S.INV(Table3[[#This Row],[tanh strike percent]])*($AN$25*($AN$27-0.2)))</f>
        <v>0</v>
      </c>
      <c r="AP22" s="139">
        <f>MAX(0, 1-_xlfn.NORM.S.INV(Table3[[#This Row],[tanh strike percent]])*($AN$25*($AN$27-2)))</f>
        <v>0.496558574279514</v>
      </c>
      <c r="AQ22" s="139">
        <f>Table3[[#This Row],[called position]]-pitchmod*(pitchstdv-Table3[[#This Row],[defense]])</f>
        <v>9.6558574279513976E-2</v>
      </c>
      <c r="AR22" s="139">
        <f>ABS(Table3[[#This Row],[called position]]+pitchmod*(pitchstdv-Table3[[#This Row],[defense]]))</f>
        <v>0.89655857427951402</v>
      </c>
      <c r="AS22" s="20">
        <f>Table3[[#This Row],[defense]]</f>
        <v>2</v>
      </c>
      <c r="AT22" s="139">
        <f>IF(AND(Table3[[#This Row],[location -1  stdv]]&lt;1, Table3[[#This Row],[location +1 stdv]]&gt;1),0, MIN(Table3[[#This Row],[location -1  stdv]]+1, 1-Table3[[#This Row],[location +1 stdv]]))</f>
        <v>0.10344142572048598</v>
      </c>
      <c r="AU22" s="139">
        <f>IF(AND(Table3[[#This Row],[location -1  stdv]]&lt;0, Table3[[#This Row],[location +1 stdv]]&gt;0),1, MAX(1-ABS(Table3[[#This Row],[location -1  stdv]]), Table3[[#This Row],[location +1 stdv]]-1))</f>
        <v>0.90344142572048602</v>
      </c>
      <c r="AV22" s="139">
        <f>1/(ABS(Table3[[#This Row],[called position]]-1)+$AV$27)+$AV$30*Table3[[#This Row],[defense]]</f>
        <v>5.6571616686839796</v>
      </c>
      <c r="AW22" s="139">
        <f>1/(Table3[[#This Row],[min dist to sz 1stdv]]+$AV$27)+$AV$30*Table3[[#This Row],[defense]]</f>
        <v>8.9154197403921494</v>
      </c>
      <c r="AX22" s="139">
        <f>1/(Table3[[#This Row],[max dist to sz 1stdv]]+$AV$27)+$AV$30*Table3[[#This Row],[defense]]</f>
        <v>4.9965703770720697</v>
      </c>
    </row>
    <row r="24" spans="1:50" x14ac:dyDescent="0.25">
      <c r="Y24" s="63" t="s">
        <v>148</v>
      </c>
      <c r="Z24" s="64"/>
      <c r="AA24" s="65"/>
      <c r="AB24" t="s">
        <v>167</v>
      </c>
      <c r="AF24" s="63" t="s">
        <v>176</v>
      </c>
      <c r="AG24" s="103" t="s">
        <v>185</v>
      </c>
      <c r="AH24" s="64"/>
      <c r="AI24" s="64"/>
      <c r="AJ24" s="65"/>
      <c r="AL24" t="s">
        <v>194</v>
      </c>
      <c r="AN24" t="s">
        <v>203</v>
      </c>
      <c r="AV24" t="s">
        <v>211</v>
      </c>
    </row>
    <row r="25" spans="1:50" x14ac:dyDescent="0.25">
      <c r="D25" t="s">
        <v>89</v>
      </c>
      <c r="E25" t="s">
        <v>90</v>
      </c>
      <c r="G25" t="s">
        <v>82</v>
      </c>
      <c r="H25" t="s">
        <v>83</v>
      </c>
      <c r="K25" t="s">
        <v>84</v>
      </c>
      <c r="L25" t="s">
        <v>85</v>
      </c>
      <c r="P25" t="s">
        <v>103</v>
      </c>
      <c r="T25" t="s">
        <v>109</v>
      </c>
      <c r="W25" t="s">
        <v>138</v>
      </c>
      <c r="X25" t="s">
        <v>142</v>
      </c>
      <c r="Y25" s="66" t="s">
        <v>145</v>
      </c>
      <c r="Z25" s="72" t="s">
        <v>99</v>
      </c>
      <c r="AA25" s="67" t="s">
        <v>147</v>
      </c>
      <c r="AB25" s="72">
        <v>4</v>
      </c>
      <c r="AF25" s="68">
        <v>20</v>
      </c>
      <c r="AG25" s="69">
        <v>5</v>
      </c>
      <c r="AH25" s="69">
        <v>3</v>
      </c>
      <c r="AI25" s="69">
        <v>3</v>
      </c>
      <c r="AJ25" s="70">
        <v>1</v>
      </c>
      <c r="AL25">
        <v>0.6</v>
      </c>
      <c r="AN25">
        <v>0.4</v>
      </c>
      <c r="AV25">
        <v>10</v>
      </c>
    </row>
    <row r="26" spans="1:50" x14ac:dyDescent="0.25">
      <c r="D26">
        <v>0.1</v>
      </c>
      <c r="E26">
        <v>0.1</v>
      </c>
      <c r="G26">
        <v>0.1</v>
      </c>
      <c r="H26">
        <v>2.5000000000000001E-3</v>
      </c>
      <c r="K26">
        <v>0.2</v>
      </c>
      <c r="L26">
        <v>0.01</v>
      </c>
      <c r="O26" t="s">
        <v>87</v>
      </c>
      <c r="P26">
        <v>-3</v>
      </c>
      <c r="T26">
        <v>0.2</v>
      </c>
      <c r="W26">
        <v>1</v>
      </c>
      <c r="X26">
        <v>0.5</v>
      </c>
      <c r="Y26" s="68"/>
      <c r="Z26" s="69" t="s">
        <v>146</v>
      </c>
      <c r="AA26" s="70" t="s">
        <v>99</v>
      </c>
      <c r="AB26" t="s">
        <v>168</v>
      </c>
      <c r="AF26" s="60" t="s">
        <v>138</v>
      </c>
      <c r="AG26" s="60" t="s">
        <v>179</v>
      </c>
      <c r="AH26" s="60" t="s">
        <v>183</v>
      </c>
      <c r="AI26" s="60" t="s">
        <v>188</v>
      </c>
      <c r="AJ26" s="60" t="s">
        <v>190</v>
      </c>
      <c r="AL26" t="s">
        <v>197</v>
      </c>
      <c r="AN26" t="s">
        <v>204</v>
      </c>
      <c r="AV26" t="s">
        <v>212</v>
      </c>
    </row>
    <row r="27" spans="1:50" x14ac:dyDescent="0.25">
      <c r="K27" t="s">
        <v>91</v>
      </c>
      <c r="O27" t="s">
        <v>95</v>
      </c>
      <c r="P27">
        <v>1.7</v>
      </c>
      <c r="W27" t="s">
        <v>139</v>
      </c>
      <c r="Y27" s="76" t="s">
        <v>151</v>
      </c>
      <c r="Z27" s="64"/>
      <c r="AA27" s="65" t="s">
        <v>156</v>
      </c>
      <c r="AB27">
        <v>0.1</v>
      </c>
      <c r="AF27" s="61">
        <v>3</v>
      </c>
      <c r="AG27" s="61">
        <v>1</v>
      </c>
      <c r="AH27" s="61">
        <v>0</v>
      </c>
      <c r="AI27" s="61">
        <v>1</v>
      </c>
      <c r="AJ27" s="61">
        <v>1</v>
      </c>
      <c r="AL27">
        <v>0.4</v>
      </c>
      <c r="AN27">
        <v>3</v>
      </c>
      <c r="AV27">
        <f>1/AV25</f>
        <v>0.1</v>
      </c>
    </row>
    <row r="28" spans="1:50" x14ac:dyDescent="0.25">
      <c r="K28">
        <v>0.9</v>
      </c>
      <c r="W28">
        <v>0</v>
      </c>
      <c r="Y28" s="71" t="s">
        <v>155</v>
      </c>
      <c r="Z28" s="32">
        <v>-0.2</v>
      </c>
      <c r="AA28" s="67">
        <f>Z28</f>
        <v>-0.2</v>
      </c>
      <c r="AF28" s="61" t="s">
        <v>139</v>
      </c>
      <c r="AG28" s="61" t="s">
        <v>178</v>
      </c>
      <c r="AH28" s="61" t="s">
        <v>184</v>
      </c>
      <c r="AI28" s="61"/>
      <c r="AJ28" s="61"/>
      <c r="AL28" t="s">
        <v>196</v>
      </c>
      <c r="AM28" t="s">
        <v>196</v>
      </c>
    </row>
    <row r="29" spans="1:50" x14ac:dyDescent="0.25">
      <c r="W29" t="s">
        <v>137</v>
      </c>
      <c r="Y29" s="71" t="s">
        <v>152</v>
      </c>
      <c r="Z29" s="32">
        <v>-0.4</v>
      </c>
      <c r="AA29" s="67">
        <f>IF(ISBLANK(AA26),0,Z29)</f>
        <v>-0.4</v>
      </c>
      <c r="AF29" s="61">
        <v>0</v>
      </c>
      <c r="AG29" s="61">
        <v>1</v>
      </c>
      <c r="AH29" s="61">
        <f>-POWER(AH27,1.5)/2</f>
        <v>0</v>
      </c>
      <c r="AI29" s="61"/>
      <c r="AJ29" s="61"/>
      <c r="AL29">
        <v>20</v>
      </c>
      <c r="AM29">
        <v>20</v>
      </c>
      <c r="AV29" t="s">
        <v>214</v>
      </c>
    </row>
    <row r="30" spans="1:50" x14ac:dyDescent="0.25">
      <c r="W30">
        <f xml:space="preserve"> W28/2 - W26/3</f>
        <v>-0.33333333333333331</v>
      </c>
      <c r="Y30" s="71" t="s">
        <v>153</v>
      </c>
      <c r="Z30" s="32">
        <v>0</v>
      </c>
      <c r="AA30" s="67">
        <f>IF(ISBLANK(Z25),0, Z30)</f>
        <v>0</v>
      </c>
      <c r="AF30" s="61" t="s">
        <v>191</v>
      </c>
      <c r="AG30" s="61"/>
      <c r="AH30" s="61" t="s">
        <v>186</v>
      </c>
      <c r="AI30" s="61"/>
      <c r="AJ30" s="61"/>
      <c r="AV30">
        <v>2</v>
      </c>
    </row>
    <row r="31" spans="1:50" x14ac:dyDescent="0.25">
      <c r="W31" t="s">
        <v>140</v>
      </c>
      <c r="X31" t="s">
        <v>149</v>
      </c>
      <c r="Y31" s="71" t="s">
        <v>154</v>
      </c>
      <c r="Z31" s="32">
        <v>0.8</v>
      </c>
      <c r="AA31" s="67">
        <f>IF(ISBLANK(Y26),0,Z31)</f>
        <v>0</v>
      </c>
      <c r="AF31" s="61">
        <v>-0.2</v>
      </c>
      <c r="AG31" s="61"/>
      <c r="AH31" s="61" t="b">
        <v>0</v>
      </c>
      <c r="AI31" s="61"/>
      <c r="AJ31" s="61"/>
      <c r="AL31" t="s">
        <v>198</v>
      </c>
    </row>
    <row r="32" spans="1:50" x14ac:dyDescent="0.25">
      <c r="W32">
        <f>MAX(0, ((W26+X26)/(3+X26))-(W28/2))</f>
        <v>0.42857142857142855</v>
      </c>
      <c r="X32">
        <v>0.85</v>
      </c>
      <c r="Y32" s="66"/>
      <c r="Z32" s="32"/>
      <c r="AA32" s="67">
        <f>SUM(AA28:AA31)</f>
        <v>-0.60000000000000009</v>
      </c>
      <c r="AF32" s="61"/>
      <c r="AG32" s="61"/>
      <c r="AH32" s="61">
        <f>IF(AND(AH31, AH272&lt;3), 0.5, 0)</f>
        <v>0</v>
      </c>
      <c r="AI32" s="61"/>
      <c r="AJ32" s="61"/>
      <c r="AL32">
        <f>AL25-AL27</f>
        <v>0.19999999999999996</v>
      </c>
    </row>
    <row r="33" spans="24:38" x14ac:dyDescent="0.25">
      <c r="X33" t="s">
        <v>150</v>
      </c>
      <c r="Y33" s="68" t="s">
        <v>158</v>
      </c>
      <c r="Z33" s="69">
        <v>0.5</v>
      </c>
      <c r="AA33" s="77">
        <f>IF(ISBLANK(Z25), AA32,AA32*(1+Z33))</f>
        <v>-0.90000000000000013</v>
      </c>
      <c r="AF33" s="61" t="s">
        <v>137</v>
      </c>
      <c r="AG33" s="61" t="s">
        <v>177</v>
      </c>
      <c r="AH33" s="61" t="s">
        <v>187</v>
      </c>
      <c r="AI33" s="61" t="s">
        <v>189</v>
      </c>
      <c r="AJ33" s="61"/>
      <c r="AL33" t="s">
        <v>199</v>
      </c>
    </row>
    <row r="34" spans="24:38" x14ac:dyDescent="0.25">
      <c r="X34">
        <v>0.2</v>
      </c>
      <c r="AF34" s="62">
        <f xml:space="preserve"> IF(SUM(AF27,AF29)=0, AF31,  AF29/2-AF27/3)</f>
        <v>-1</v>
      </c>
      <c r="AG34" s="62">
        <f>AG27-AG29</f>
        <v>0</v>
      </c>
      <c r="AH34" s="62">
        <f>AH29+AH32</f>
        <v>0</v>
      </c>
      <c r="AI34" s="62">
        <f>AI27-1</f>
        <v>0</v>
      </c>
      <c r="AJ34" s="62"/>
      <c r="AL34">
        <f>AL25+AL27</f>
        <v>1</v>
      </c>
    </row>
    <row r="35" spans="24:38" x14ac:dyDescent="0.25">
      <c r="Z35" t="s">
        <v>159</v>
      </c>
      <c r="AA35">
        <v>-0.2</v>
      </c>
    </row>
    <row r="36" spans="24:38" x14ac:dyDescent="0.25">
      <c r="Z36" t="s">
        <v>160</v>
      </c>
      <c r="AA36">
        <v>0.4</v>
      </c>
    </row>
    <row r="37" spans="24:38" x14ac:dyDescent="0.25">
      <c r="Z37" t="s">
        <v>161</v>
      </c>
      <c r="AA37">
        <v>2</v>
      </c>
    </row>
    <row r="38" spans="24:38" x14ac:dyDescent="0.25">
      <c r="Z38" t="s">
        <v>163</v>
      </c>
      <c r="AA38">
        <f>AA35</f>
        <v>-0.2</v>
      </c>
    </row>
    <row r="39" spans="24:38" x14ac:dyDescent="0.25">
      <c r="Z39" t="s">
        <v>164</v>
      </c>
      <c r="AA39">
        <f>AA36-AA35</f>
        <v>0.60000000000000009</v>
      </c>
    </row>
    <row r="40" spans="24:38" x14ac:dyDescent="0.25">
      <c r="Z40" t="s">
        <v>165</v>
      </c>
      <c r="AA40">
        <f>AA36-AA41</f>
        <v>-1.2000000000000002</v>
      </c>
    </row>
    <row r="41" spans="24:38" x14ac:dyDescent="0.25">
      <c r="Z41" t="s">
        <v>166</v>
      </c>
      <c r="AA41">
        <f>(AA37-AA36)</f>
        <v>1.6</v>
      </c>
    </row>
  </sheetData>
  <conditionalFormatting sqref="O7:O22">
    <cfRule type="cellIs" dxfId="4" priority="1" operator="equal">
      <formula>TRUE</formula>
    </cfRule>
  </conditionalFormatting>
  <pageMargins left="0.7" right="0.7" top="0.75" bottom="0.75" header="0.3" footer="0.3"/>
  <pageSetup orientation="portrait" horizontalDpi="90" verticalDpi="90" r:id="rId1"/>
  <legacy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2:S9"/>
  <sheetViews>
    <sheetView workbookViewId="0">
      <selection activeCell="G8" sqref="G8"/>
    </sheetView>
  </sheetViews>
  <sheetFormatPr defaultRowHeight="15" x14ac:dyDescent="0.25"/>
  <cols>
    <col min="2" max="2" width="9.140625" customWidth="1"/>
  </cols>
  <sheetData>
    <row r="2" spans="3:19" ht="15.75" thickBot="1" x14ac:dyDescent="0.3"/>
    <row r="3" spans="3:19" ht="16.5" thickTop="1" thickBot="1" x14ac:dyDescent="0.3">
      <c r="C3" s="36" t="s">
        <v>97</v>
      </c>
      <c r="D3" s="37"/>
      <c r="E3" s="37"/>
      <c r="F3" s="37"/>
      <c r="G3" s="38"/>
      <c r="K3" s="36"/>
      <c r="L3" s="37" t="s">
        <v>98</v>
      </c>
      <c r="M3" s="37"/>
      <c r="N3" s="37"/>
      <c r="O3" s="37"/>
      <c r="P3" s="37"/>
      <c r="Q3" s="37"/>
      <c r="R3" s="37"/>
      <c r="S3" s="38"/>
    </row>
    <row r="4" spans="3:19" x14ac:dyDescent="0.25">
      <c r="C4" s="31"/>
      <c r="D4" s="32" t="s">
        <v>93</v>
      </c>
      <c r="E4" s="32" t="s">
        <v>94</v>
      </c>
      <c r="F4" s="32"/>
      <c r="G4" s="33"/>
      <c r="K4" s="31"/>
      <c r="L4" s="32" t="s">
        <v>87</v>
      </c>
      <c r="M4" s="39">
        <v>-3</v>
      </c>
      <c r="N4" s="32" t="s">
        <v>81</v>
      </c>
      <c r="O4" s="39">
        <v>1.7</v>
      </c>
      <c r="P4" s="32"/>
      <c r="Q4" s="32"/>
      <c r="R4" s="32"/>
      <c r="S4" s="33"/>
    </row>
    <row r="5" spans="3:19" x14ac:dyDescent="0.25">
      <c r="C5" s="31" t="s">
        <v>92</v>
      </c>
      <c r="D5" s="39">
        <v>0.65</v>
      </c>
      <c r="E5" s="32">
        <f>_xlfn.NORM.S.INV(D5)</f>
        <v>0.38532046640756784</v>
      </c>
      <c r="F5" s="32"/>
      <c r="G5" s="33"/>
      <c r="K5" s="31" t="s">
        <v>99</v>
      </c>
      <c r="L5" s="32">
        <v>0</v>
      </c>
      <c r="M5" s="32">
        <v>0.1</v>
      </c>
      <c r="N5" s="32">
        <v>0.25</v>
      </c>
      <c r="O5" s="32">
        <v>0.5</v>
      </c>
      <c r="P5" s="32">
        <v>0.8</v>
      </c>
      <c r="Q5" s="32">
        <v>1</v>
      </c>
      <c r="R5" s="32">
        <v>1.5</v>
      </c>
      <c r="S5" s="33">
        <v>2</v>
      </c>
    </row>
    <row r="6" spans="3:19" ht="15.75" thickBot="1" x14ac:dyDescent="0.3">
      <c r="C6" s="31"/>
      <c r="D6" s="32" t="s">
        <v>96</v>
      </c>
      <c r="E6" s="39">
        <v>1</v>
      </c>
      <c r="F6" s="32"/>
      <c r="G6" s="33"/>
      <c r="K6" s="43" t="s">
        <v>100</v>
      </c>
      <c r="L6" s="44">
        <f t="shared" ref="L6:S6" si="0">_xlfn.NORM.DIST(L5, $M$4, $O$4, TRUE)</f>
        <v>0.96119339527114878</v>
      </c>
      <c r="M6" s="44">
        <f t="shared" si="0"/>
        <v>0.96588837667724492</v>
      </c>
      <c r="N6" s="44">
        <f t="shared" si="0"/>
        <v>0.97204680967698576</v>
      </c>
      <c r="O6" s="44">
        <f t="shared" si="0"/>
        <v>0.98024442661121902</v>
      </c>
      <c r="P6" s="44">
        <f t="shared" si="0"/>
        <v>0.98730097700023178</v>
      </c>
      <c r="Q6" s="44">
        <f t="shared" si="0"/>
        <v>0.99068720985629855</v>
      </c>
      <c r="R6" s="44">
        <f t="shared" si="0"/>
        <v>0.99594023860462444</v>
      </c>
      <c r="S6" s="45">
        <f t="shared" si="0"/>
        <v>0.99836515899365319</v>
      </c>
    </row>
    <row r="7" spans="3:19" ht="15.75" thickBot="1" x14ac:dyDescent="0.3">
      <c r="C7" s="31"/>
      <c r="D7" s="32" t="s">
        <v>87</v>
      </c>
      <c r="E7" s="39">
        <v>0.7</v>
      </c>
      <c r="F7" s="32" t="s">
        <v>95</v>
      </c>
      <c r="G7" s="40">
        <v>0.2</v>
      </c>
      <c r="K7" s="31" t="s">
        <v>101</v>
      </c>
      <c r="L7" s="39"/>
      <c r="M7" s="39">
        <v>0.95</v>
      </c>
      <c r="N7" s="39"/>
      <c r="O7" s="39">
        <v>0.97</v>
      </c>
      <c r="P7" s="39"/>
      <c r="Q7" s="39">
        <v>0.98499999999999999</v>
      </c>
      <c r="R7" s="39"/>
      <c r="S7" s="40">
        <v>1</v>
      </c>
    </row>
    <row r="8" spans="3:19" ht="15.75" thickBot="1" x14ac:dyDescent="0.3">
      <c r="C8" s="34"/>
      <c r="D8" s="35" t="s">
        <v>95</v>
      </c>
      <c r="E8" s="41">
        <f>(E6-E7)/E5</f>
        <v>0.77857271065035727</v>
      </c>
      <c r="F8" s="35" t="s">
        <v>87</v>
      </c>
      <c r="G8" s="42">
        <f>-E5*G7 + E6</f>
        <v>0.92293590671848647</v>
      </c>
      <c r="K8" s="34" t="s">
        <v>102</v>
      </c>
      <c r="L8" s="46" t="str">
        <f>IF(ISBLANK(L7), "", L6-L7)</f>
        <v/>
      </c>
      <c r="M8" s="46">
        <f>IF(ISBLANK(M7), "", M6-M7)</f>
        <v>1.5888376677244964E-2</v>
      </c>
      <c r="N8" s="46" t="str">
        <f t="shared" ref="N8:S8" si="1">IF(ISBLANK(N7), "", N6-N7)</f>
        <v/>
      </c>
      <c r="O8" s="46">
        <f t="shared" si="1"/>
        <v>1.0244426611219049E-2</v>
      </c>
      <c r="P8" s="46" t="str">
        <f t="shared" si="1"/>
        <v/>
      </c>
      <c r="Q8" s="46">
        <f t="shared" si="1"/>
        <v>5.6872098562985585E-3</v>
      </c>
      <c r="R8" s="46" t="str">
        <f t="shared" si="1"/>
        <v/>
      </c>
      <c r="S8" s="47">
        <f t="shared" si="1"/>
        <v>-1.63484100634681E-3</v>
      </c>
    </row>
    <row r="9" spans="3:19" ht="15.75" thickTop="1" x14ac:dyDescent="0.25"/>
  </sheetData>
  <pageMargins left="0.7" right="0.7" top="0.75" bottom="0.75" header="0.3" footer="0.3"/>
  <pageSetup orientation="portrait" horizontalDpi="90" verticalDpi="9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B18"/>
  <sheetViews>
    <sheetView topLeftCell="D1" workbookViewId="0">
      <selection activeCell="Z25" sqref="Z25"/>
    </sheetView>
  </sheetViews>
  <sheetFormatPr defaultRowHeight="15" x14ac:dyDescent="0.25"/>
  <sheetData>
    <row r="1" spans="1:28" x14ac:dyDescent="0.25">
      <c r="A1" t="s">
        <v>21</v>
      </c>
      <c r="B1" t="s">
        <v>22</v>
      </c>
      <c r="C1" t="s">
        <v>23</v>
      </c>
      <c r="D1" t="s">
        <v>24</v>
      </c>
      <c r="E1" t="s">
        <v>25</v>
      </c>
      <c r="F1" t="s">
        <v>26</v>
      </c>
      <c r="G1" t="s">
        <v>27</v>
      </c>
      <c r="H1" t="s">
        <v>28</v>
      </c>
      <c r="I1" t="s">
        <v>29</v>
      </c>
      <c r="J1" t="s">
        <v>30</v>
      </c>
      <c r="K1" t="s">
        <v>31</v>
      </c>
      <c r="L1" t="s">
        <v>32</v>
      </c>
      <c r="M1" t="s">
        <v>33</v>
      </c>
      <c r="N1" t="s">
        <v>34</v>
      </c>
      <c r="O1" t="s">
        <v>35</v>
      </c>
      <c r="P1" t="s">
        <v>36</v>
      </c>
      <c r="Q1" t="s">
        <v>37</v>
      </c>
      <c r="R1" t="s">
        <v>38</v>
      </c>
      <c r="S1" t="s">
        <v>39</v>
      </c>
      <c r="T1" t="s">
        <v>40</v>
      </c>
      <c r="U1" t="s">
        <v>41</v>
      </c>
      <c r="V1" t="s">
        <v>42</v>
      </c>
      <c r="W1" t="s">
        <v>43</v>
      </c>
      <c r="X1" t="s">
        <v>44</v>
      </c>
      <c r="Y1" t="s">
        <v>45</v>
      </c>
      <c r="Z1" t="s">
        <v>70</v>
      </c>
      <c r="AA1" t="s">
        <v>72</v>
      </c>
      <c r="AB1" t="s">
        <v>71</v>
      </c>
    </row>
    <row r="2" spans="1:28" x14ac:dyDescent="0.25">
      <c r="G2">
        <f>_xlfn.NUMBERVALUE(LEFT(G1, LEN(G1)-2))</f>
        <v>0</v>
      </c>
      <c r="H2">
        <f t="shared" ref="H2:Y2" si="0">_xlfn.NUMBERVALUE(LEFT(H1, LEN(H1)-2))</f>
        <v>5</v>
      </c>
      <c r="I2">
        <f t="shared" si="0"/>
        <v>10</v>
      </c>
      <c r="J2">
        <f t="shared" si="0"/>
        <v>15</v>
      </c>
      <c r="K2">
        <f t="shared" si="0"/>
        <v>20</v>
      </c>
      <c r="L2">
        <f t="shared" si="0"/>
        <v>25</v>
      </c>
      <c r="M2">
        <f t="shared" si="0"/>
        <v>30</v>
      </c>
      <c r="N2">
        <f t="shared" si="0"/>
        <v>35</v>
      </c>
      <c r="O2">
        <f t="shared" si="0"/>
        <v>40</v>
      </c>
      <c r="P2">
        <f t="shared" si="0"/>
        <v>45</v>
      </c>
      <c r="Q2">
        <f t="shared" si="0"/>
        <v>50</v>
      </c>
      <c r="R2">
        <f t="shared" si="0"/>
        <v>55</v>
      </c>
      <c r="S2">
        <f t="shared" si="0"/>
        <v>60</v>
      </c>
      <c r="T2">
        <f t="shared" si="0"/>
        <v>65</v>
      </c>
      <c r="U2">
        <f t="shared" si="0"/>
        <v>70</v>
      </c>
      <c r="V2">
        <f t="shared" si="0"/>
        <v>75</v>
      </c>
      <c r="W2">
        <f t="shared" si="0"/>
        <v>80</v>
      </c>
      <c r="X2">
        <f t="shared" si="0"/>
        <v>85</v>
      </c>
      <c r="Y2">
        <f t="shared" si="0"/>
        <v>90</v>
      </c>
      <c r="AB2">
        <v>10</v>
      </c>
    </row>
    <row r="3" spans="1:28" x14ac:dyDescent="0.25">
      <c r="A3">
        <v>1</v>
      </c>
      <c r="B3" t="s">
        <v>16</v>
      </c>
      <c r="C3" t="s">
        <v>14</v>
      </c>
      <c r="D3" t="s">
        <v>17</v>
      </c>
      <c r="E3" t="s">
        <v>15</v>
      </c>
      <c r="F3">
        <v>41</v>
      </c>
      <c r="G3">
        <v>0</v>
      </c>
      <c r="H3">
        <v>0.59</v>
      </c>
      <c r="I3">
        <v>0.94</v>
      </c>
      <c r="J3">
        <v>1.23</v>
      </c>
      <c r="K3">
        <v>1.5</v>
      </c>
      <c r="L3">
        <v>1.75</v>
      </c>
      <c r="M3">
        <v>1.99</v>
      </c>
      <c r="N3">
        <v>2.2200000000000002</v>
      </c>
      <c r="O3">
        <v>2.4500000000000002</v>
      </c>
      <c r="P3">
        <v>2.66</v>
      </c>
      <c r="Q3">
        <v>2.88</v>
      </c>
      <c r="R3">
        <v>3.09</v>
      </c>
      <c r="S3">
        <v>3.3</v>
      </c>
      <c r="T3">
        <v>3.51</v>
      </c>
      <c r="U3">
        <v>3.72</v>
      </c>
      <c r="V3">
        <v>3.94</v>
      </c>
      <c r="W3">
        <v>4.16</v>
      </c>
      <c r="X3">
        <v>4.38</v>
      </c>
      <c r="Y3">
        <v>4.62</v>
      </c>
      <c r="Z3">
        <f>I3</f>
        <v>0.94</v>
      </c>
      <c r="AA3">
        <f>(Y3-K3)/(Y$2-K$2)</f>
        <v>4.4571428571428574E-2</v>
      </c>
      <c r="AB3">
        <f>AA3*$AB$2+Z3</f>
        <v>1.3857142857142857</v>
      </c>
    </row>
    <row r="4" spans="1:28" x14ac:dyDescent="0.25">
      <c r="A4">
        <v>10</v>
      </c>
      <c r="B4" t="s">
        <v>18</v>
      </c>
      <c r="C4" t="s">
        <v>14</v>
      </c>
      <c r="D4" t="s">
        <v>19</v>
      </c>
      <c r="E4" t="s">
        <v>20</v>
      </c>
      <c r="F4">
        <v>34</v>
      </c>
      <c r="G4">
        <v>0</v>
      </c>
      <c r="H4">
        <v>0.57999999999999996</v>
      </c>
      <c r="I4">
        <v>0.93</v>
      </c>
      <c r="J4">
        <v>1.22</v>
      </c>
      <c r="K4">
        <v>1.48</v>
      </c>
      <c r="L4">
        <v>1.73</v>
      </c>
      <c r="M4">
        <v>1.96</v>
      </c>
      <c r="N4">
        <v>2.19</v>
      </c>
      <c r="O4">
        <v>2.4</v>
      </c>
      <c r="P4">
        <v>2.61</v>
      </c>
      <c r="Q4">
        <v>2.82</v>
      </c>
      <c r="R4">
        <v>3.02</v>
      </c>
      <c r="S4">
        <v>3.23</v>
      </c>
      <c r="T4">
        <v>3.42</v>
      </c>
      <c r="U4">
        <v>3.62</v>
      </c>
      <c r="V4">
        <v>3.82</v>
      </c>
      <c r="W4">
        <v>4.0199999999999996</v>
      </c>
      <c r="X4">
        <v>4.22</v>
      </c>
      <c r="Y4">
        <v>4.43</v>
      </c>
      <c r="Z4">
        <f t="shared" ref="Z4:Z15" si="1">I4</f>
        <v>0.93</v>
      </c>
      <c r="AA4">
        <f t="shared" ref="AA4:AA15" si="2">(Y4-K4)/(Y$2-K$2)</f>
        <v>4.2142857142857142E-2</v>
      </c>
      <c r="AB4">
        <f t="shared" ref="AB4:AB15" si="3">AA4*$AB$2+Z4</f>
        <v>1.3514285714285714</v>
      </c>
    </row>
    <row r="5" spans="1:28" x14ac:dyDescent="0.25">
      <c r="A5">
        <v>30</v>
      </c>
      <c r="B5" t="s">
        <v>46</v>
      </c>
      <c r="C5" t="s">
        <v>14</v>
      </c>
      <c r="D5" t="s">
        <v>47</v>
      </c>
      <c r="E5" t="s">
        <v>15</v>
      </c>
      <c r="F5">
        <v>27</v>
      </c>
      <c r="G5">
        <v>0</v>
      </c>
      <c r="H5">
        <v>0.6</v>
      </c>
      <c r="I5">
        <v>0.93</v>
      </c>
      <c r="J5">
        <v>1.2</v>
      </c>
      <c r="K5">
        <v>1.45</v>
      </c>
      <c r="L5">
        <v>1.69</v>
      </c>
      <c r="M5">
        <v>1.92</v>
      </c>
      <c r="N5">
        <v>2.14</v>
      </c>
      <c r="O5">
        <v>2.36</v>
      </c>
      <c r="P5">
        <v>2.56</v>
      </c>
      <c r="Q5">
        <v>2.76</v>
      </c>
      <c r="R5">
        <v>2.95</v>
      </c>
      <c r="S5">
        <v>3.14</v>
      </c>
      <c r="T5">
        <v>3.33</v>
      </c>
      <c r="U5">
        <v>3.52</v>
      </c>
      <c r="V5">
        <v>3.71</v>
      </c>
      <c r="W5">
        <v>3.89</v>
      </c>
      <c r="X5">
        <v>4.09</v>
      </c>
      <c r="Y5">
        <v>4.29</v>
      </c>
      <c r="Z5">
        <f t="shared" si="1"/>
        <v>0.93</v>
      </c>
      <c r="AA5">
        <f t="shared" si="2"/>
        <v>4.0571428571428571E-2</v>
      </c>
      <c r="AB5">
        <f t="shared" si="3"/>
        <v>1.3357142857142859</v>
      </c>
    </row>
    <row r="6" spans="1:28" x14ac:dyDescent="0.25">
      <c r="A6">
        <v>69</v>
      </c>
      <c r="B6" t="s">
        <v>48</v>
      </c>
      <c r="C6" t="s">
        <v>14</v>
      </c>
      <c r="D6" t="s">
        <v>49</v>
      </c>
      <c r="E6" t="s">
        <v>20</v>
      </c>
      <c r="F6">
        <v>30</v>
      </c>
      <c r="G6">
        <v>0</v>
      </c>
      <c r="H6">
        <v>0.56000000000000005</v>
      </c>
      <c r="I6">
        <v>0.9</v>
      </c>
      <c r="J6">
        <v>1.18</v>
      </c>
      <c r="K6">
        <v>1.43</v>
      </c>
      <c r="L6">
        <v>1.67</v>
      </c>
      <c r="M6">
        <v>1.89</v>
      </c>
      <c r="N6">
        <v>2.1</v>
      </c>
      <c r="O6">
        <v>2.31</v>
      </c>
      <c r="P6">
        <v>2.5099999999999998</v>
      </c>
      <c r="Q6">
        <v>2.71</v>
      </c>
      <c r="R6">
        <v>2.9</v>
      </c>
      <c r="S6">
        <v>3.09</v>
      </c>
      <c r="T6">
        <v>3.28</v>
      </c>
      <c r="U6">
        <v>3.46</v>
      </c>
      <c r="V6">
        <v>3.65</v>
      </c>
      <c r="W6">
        <v>3.84</v>
      </c>
      <c r="X6">
        <v>4.0199999999999996</v>
      </c>
      <c r="Y6">
        <v>4.21</v>
      </c>
      <c r="Z6">
        <f t="shared" si="1"/>
        <v>0.9</v>
      </c>
      <c r="AA6">
        <f t="shared" si="2"/>
        <v>3.9714285714285716E-2</v>
      </c>
      <c r="AB6">
        <f t="shared" si="3"/>
        <v>1.2971428571428572</v>
      </c>
    </row>
    <row r="7" spans="1:28" x14ac:dyDescent="0.25">
      <c r="A7">
        <v>124</v>
      </c>
      <c r="B7" t="s">
        <v>50</v>
      </c>
      <c r="C7" t="s">
        <v>14</v>
      </c>
      <c r="D7" t="s">
        <v>51</v>
      </c>
      <c r="E7" t="s">
        <v>20</v>
      </c>
      <c r="F7">
        <v>25</v>
      </c>
      <c r="G7">
        <v>0</v>
      </c>
      <c r="H7">
        <v>0.56000000000000005</v>
      </c>
      <c r="I7">
        <v>0.89</v>
      </c>
      <c r="J7">
        <v>1.17</v>
      </c>
      <c r="K7">
        <v>1.42</v>
      </c>
      <c r="L7">
        <v>1.65</v>
      </c>
      <c r="M7">
        <v>1.86</v>
      </c>
      <c r="N7">
        <v>2.0699999999999998</v>
      </c>
      <c r="O7">
        <v>2.27</v>
      </c>
      <c r="P7">
        <v>2.4700000000000002</v>
      </c>
      <c r="Q7">
        <v>2.66</v>
      </c>
      <c r="R7">
        <v>2.85</v>
      </c>
      <c r="S7">
        <v>3.03</v>
      </c>
      <c r="T7">
        <v>3.22</v>
      </c>
      <c r="U7">
        <v>3.4</v>
      </c>
      <c r="V7">
        <v>3.58</v>
      </c>
      <c r="W7">
        <v>3.76</v>
      </c>
      <c r="X7">
        <v>3.95</v>
      </c>
      <c r="Y7">
        <v>4.1500000000000004</v>
      </c>
      <c r="Z7">
        <f t="shared" si="1"/>
        <v>0.89</v>
      </c>
      <c r="AA7">
        <f t="shared" si="2"/>
        <v>3.9000000000000007E-2</v>
      </c>
      <c r="AB7">
        <f t="shared" si="3"/>
        <v>1.28</v>
      </c>
    </row>
    <row r="8" spans="1:28" x14ac:dyDescent="0.25">
      <c r="A8">
        <v>338</v>
      </c>
      <c r="B8" t="s">
        <v>52</v>
      </c>
      <c r="C8" t="s">
        <v>53</v>
      </c>
      <c r="D8" t="s">
        <v>54</v>
      </c>
      <c r="E8" t="s">
        <v>15</v>
      </c>
      <c r="F8">
        <v>26</v>
      </c>
      <c r="G8">
        <v>0</v>
      </c>
      <c r="H8">
        <v>0.54</v>
      </c>
      <c r="I8">
        <v>0.86</v>
      </c>
      <c r="J8">
        <v>1.1299999999999999</v>
      </c>
      <c r="K8">
        <v>1.36</v>
      </c>
      <c r="L8">
        <v>1.59</v>
      </c>
      <c r="M8">
        <v>1.79</v>
      </c>
      <c r="N8">
        <v>1.99</v>
      </c>
      <c r="O8">
        <v>2.1800000000000002</v>
      </c>
      <c r="P8">
        <v>2.37</v>
      </c>
      <c r="Q8">
        <v>2.56</v>
      </c>
      <c r="R8">
        <v>2.74</v>
      </c>
      <c r="S8">
        <v>2.92</v>
      </c>
      <c r="T8">
        <v>3.1</v>
      </c>
      <c r="U8">
        <v>3.27</v>
      </c>
      <c r="V8">
        <v>3.44</v>
      </c>
      <c r="W8">
        <v>3.62</v>
      </c>
      <c r="X8">
        <v>3.79</v>
      </c>
      <c r="Y8">
        <v>3.98</v>
      </c>
      <c r="Z8">
        <f t="shared" si="1"/>
        <v>0.86</v>
      </c>
      <c r="AA8">
        <f t="shared" si="2"/>
        <v>3.7428571428571429E-2</v>
      </c>
      <c r="AB8">
        <f t="shared" si="3"/>
        <v>1.2342857142857142</v>
      </c>
    </row>
    <row r="9" spans="1:28" x14ac:dyDescent="0.25">
      <c r="A9">
        <v>388</v>
      </c>
      <c r="B9" t="s">
        <v>55</v>
      </c>
      <c r="C9" t="s">
        <v>14</v>
      </c>
      <c r="D9" t="s">
        <v>56</v>
      </c>
      <c r="E9" t="s">
        <v>57</v>
      </c>
      <c r="F9">
        <v>29</v>
      </c>
      <c r="G9">
        <v>0</v>
      </c>
      <c r="H9">
        <v>0.56999999999999995</v>
      </c>
      <c r="I9">
        <v>0.88</v>
      </c>
      <c r="J9">
        <v>1.1299999999999999</v>
      </c>
      <c r="K9">
        <v>1.37</v>
      </c>
      <c r="L9">
        <v>1.58</v>
      </c>
      <c r="M9">
        <v>1.78</v>
      </c>
      <c r="N9">
        <v>1.97</v>
      </c>
      <c r="O9">
        <v>2.16</v>
      </c>
      <c r="P9">
        <v>2.35</v>
      </c>
      <c r="Q9">
        <v>2.52</v>
      </c>
      <c r="R9">
        <v>2.7</v>
      </c>
      <c r="S9">
        <v>2.88</v>
      </c>
      <c r="T9">
        <v>3.06</v>
      </c>
      <c r="U9">
        <v>3.23</v>
      </c>
      <c r="V9">
        <v>3.39</v>
      </c>
      <c r="W9">
        <v>3.56</v>
      </c>
      <c r="X9">
        <v>3.73</v>
      </c>
      <c r="Y9">
        <v>3.91</v>
      </c>
      <c r="Z9">
        <f t="shared" si="1"/>
        <v>0.88</v>
      </c>
      <c r="AA9">
        <f t="shared" si="2"/>
        <v>3.6285714285714289E-2</v>
      </c>
      <c r="AB9">
        <f t="shared" si="3"/>
        <v>1.2428571428571429</v>
      </c>
    </row>
    <row r="10" spans="1:28" x14ac:dyDescent="0.25">
      <c r="A10">
        <v>465</v>
      </c>
      <c r="B10" t="s">
        <v>58</v>
      </c>
      <c r="C10" t="s">
        <v>53</v>
      </c>
      <c r="D10" t="s">
        <v>47</v>
      </c>
      <c r="E10" t="s">
        <v>57</v>
      </c>
      <c r="F10">
        <v>26</v>
      </c>
      <c r="G10">
        <v>0</v>
      </c>
      <c r="H10">
        <v>0.53</v>
      </c>
      <c r="I10">
        <v>0.83</v>
      </c>
      <c r="J10">
        <v>1.0900000000000001</v>
      </c>
      <c r="K10">
        <v>1.31</v>
      </c>
      <c r="L10">
        <v>1.53</v>
      </c>
      <c r="M10">
        <v>1.73</v>
      </c>
      <c r="N10">
        <v>1.93</v>
      </c>
      <c r="O10">
        <v>2.12</v>
      </c>
      <c r="P10">
        <v>2.2999999999999998</v>
      </c>
      <c r="Q10">
        <v>2.48</v>
      </c>
      <c r="R10">
        <v>2.66</v>
      </c>
      <c r="S10">
        <v>2.84</v>
      </c>
      <c r="T10">
        <v>3.01</v>
      </c>
      <c r="U10">
        <v>3.18</v>
      </c>
      <c r="V10">
        <v>3.35</v>
      </c>
      <c r="W10">
        <v>3.52</v>
      </c>
      <c r="X10">
        <v>3.7</v>
      </c>
      <c r="Y10">
        <v>3.9</v>
      </c>
      <c r="Z10">
        <f t="shared" si="1"/>
        <v>0.83</v>
      </c>
      <c r="AA10">
        <f t="shared" si="2"/>
        <v>3.6999999999999998E-2</v>
      </c>
      <c r="AB10">
        <f t="shared" si="3"/>
        <v>1.2</v>
      </c>
    </row>
    <row r="11" spans="1:28" x14ac:dyDescent="0.25">
      <c r="A11">
        <v>510</v>
      </c>
      <c r="B11" t="s">
        <v>59</v>
      </c>
      <c r="C11" t="s">
        <v>53</v>
      </c>
      <c r="D11" t="s">
        <v>60</v>
      </c>
      <c r="E11" t="s">
        <v>57</v>
      </c>
      <c r="F11">
        <v>37</v>
      </c>
      <c r="G11">
        <v>0</v>
      </c>
      <c r="H11">
        <v>0.53</v>
      </c>
      <c r="I11">
        <v>0.81</v>
      </c>
      <c r="J11">
        <v>1.06</v>
      </c>
      <c r="K11">
        <v>1.28</v>
      </c>
      <c r="L11">
        <v>1.48</v>
      </c>
      <c r="M11">
        <v>1.67</v>
      </c>
      <c r="N11">
        <v>1.86</v>
      </c>
      <c r="O11">
        <v>2.04</v>
      </c>
      <c r="P11">
        <v>2.23</v>
      </c>
      <c r="Q11">
        <v>2.4</v>
      </c>
      <c r="R11">
        <v>2.58</v>
      </c>
      <c r="S11">
        <v>2.75</v>
      </c>
      <c r="T11">
        <v>2.93</v>
      </c>
      <c r="U11">
        <v>3.1</v>
      </c>
      <c r="V11">
        <v>3.28</v>
      </c>
      <c r="W11">
        <v>3.45</v>
      </c>
      <c r="X11">
        <v>3.65</v>
      </c>
      <c r="Y11">
        <v>3.82</v>
      </c>
      <c r="Z11">
        <f t="shared" si="1"/>
        <v>0.81</v>
      </c>
      <c r="AA11">
        <f t="shared" si="2"/>
        <v>3.6285714285714289E-2</v>
      </c>
      <c r="AB11">
        <f t="shared" si="3"/>
        <v>1.172857142857143</v>
      </c>
    </row>
    <row r="12" spans="1:28" x14ac:dyDescent="0.25">
      <c r="A12">
        <v>468</v>
      </c>
      <c r="B12" t="s">
        <v>61</v>
      </c>
      <c r="C12" t="s">
        <v>53</v>
      </c>
      <c r="D12" t="s">
        <v>62</v>
      </c>
      <c r="E12" t="s">
        <v>63</v>
      </c>
      <c r="F12">
        <v>27</v>
      </c>
      <c r="G12">
        <v>0</v>
      </c>
      <c r="H12">
        <v>0.54</v>
      </c>
      <c r="I12">
        <v>0.84</v>
      </c>
      <c r="J12">
        <v>1.0900000000000001</v>
      </c>
      <c r="K12">
        <v>1.32</v>
      </c>
      <c r="L12">
        <v>1.53</v>
      </c>
      <c r="M12">
        <v>1.74</v>
      </c>
      <c r="N12">
        <v>1.93</v>
      </c>
      <c r="O12">
        <v>2.12</v>
      </c>
      <c r="P12">
        <v>2.2999999999999998</v>
      </c>
      <c r="Q12">
        <v>2.48</v>
      </c>
      <c r="R12">
        <v>2.65</v>
      </c>
      <c r="S12">
        <v>2.83</v>
      </c>
      <c r="T12">
        <v>3</v>
      </c>
      <c r="U12">
        <v>3.17</v>
      </c>
      <c r="V12">
        <v>3.33</v>
      </c>
      <c r="W12">
        <v>3.5</v>
      </c>
      <c r="X12">
        <v>3.67</v>
      </c>
      <c r="Y12">
        <v>3.86</v>
      </c>
      <c r="Z12">
        <f t="shared" si="1"/>
        <v>0.84</v>
      </c>
      <c r="AA12">
        <f t="shared" si="2"/>
        <v>3.6285714285714289E-2</v>
      </c>
      <c r="AB12">
        <f t="shared" si="3"/>
        <v>1.2028571428571428</v>
      </c>
    </row>
    <row r="13" spans="1:28" x14ac:dyDescent="0.25">
      <c r="A13">
        <v>174</v>
      </c>
      <c r="B13" t="s">
        <v>65</v>
      </c>
      <c r="C13" t="s">
        <v>14</v>
      </c>
      <c r="D13" t="s">
        <v>66</v>
      </c>
      <c r="E13" t="s">
        <v>64</v>
      </c>
      <c r="F13">
        <v>25</v>
      </c>
      <c r="G13">
        <v>0</v>
      </c>
      <c r="H13">
        <v>0.56999999999999995</v>
      </c>
      <c r="I13">
        <v>0.9</v>
      </c>
      <c r="J13">
        <v>1.17</v>
      </c>
      <c r="K13">
        <v>1.41</v>
      </c>
      <c r="L13">
        <v>1.63</v>
      </c>
      <c r="M13">
        <v>1.85</v>
      </c>
      <c r="N13">
        <v>2.0499999999999998</v>
      </c>
      <c r="O13">
        <v>2.25</v>
      </c>
      <c r="P13">
        <v>2.44</v>
      </c>
      <c r="Q13">
        <v>2.62</v>
      </c>
      <c r="R13">
        <v>2.8</v>
      </c>
      <c r="S13">
        <v>2.97</v>
      </c>
      <c r="T13">
        <v>3.15</v>
      </c>
      <c r="U13">
        <v>3.32</v>
      </c>
      <c r="V13">
        <v>3.5</v>
      </c>
      <c r="W13">
        <v>3.67</v>
      </c>
      <c r="X13">
        <v>3.85</v>
      </c>
      <c r="Y13">
        <v>4.03</v>
      </c>
      <c r="Z13">
        <f t="shared" si="1"/>
        <v>0.9</v>
      </c>
      <c r="AA13">
        <f t="shared" si="2"/>
        <v>3.7428571428571429E-2</v>
      </c>
      <c r="AB13">
        <f t="shared" si="3"/>
        <v>1.2742857142857142</v>
      </c>
    </row>
    <row r="14" spans="1:28" x14ac:dyDescent="0.25">
      <c r="A14">
        <v>218</v>
      </c>
      <c r="B14" t="s">
        <v>67</v>
      </c>
      <c r="C14" t="s">
        <v>14</v>
      </c>
      <c r="D14" t="s">
        <v>51</v>
      </c>
      <c r="E14" t="s">
        <v>68</v>
      </c>
      <c r="F14">
        <v>25</v>
      </c>
      <c r="G14">
        <v>0</v>
      </c>
      <c r="H14">
        <v>0.56999999999999995</v>
      </c>
      <c r="I14">
        <v>0.9</v>
      </c>
      <c r="J14">
        <v>1.17</v>
      </c>
      <c r="K14">
        <v>1.41</v>
      </c>
      <c r="L14">
        <v>1.63</v>
      </c>
      <c r="M14">
        <v>1.84</v>
      </c>
      <c r="N14">
        <v>2.04</v>
      </c>
      <c r="O14">
        <v>2.23</v>
      </c>
      <c r="P14">
        <v>2.42</v>
      </c>
      <c r="Q14">
        <v>2.61</v>
      </c>
      <c r="R14">
        <v>2.79</v>
      </c>
      <c r="S14">
        <v>2.96</v>
      </c>
      <c r="T14">
        <v>3.14</v>
      </c>
      <c r="U14">
        <v>3.31</v>
      </c>
      <c r="V14">
        <v>3.48</v>
      </c>
      <c r="W14">
        <v>3.65</v>
      </c>
      <c r="X14">
        <v>3.82</v>
      </c>
      <c r="Y14">
        <v>4</v>
      </c>
      <c r="Z14">
        <f t="shared" si="1"/>
        <v>0.9</v>
      </c>
      <c r="AA14">
        <f t="shared" si="2"/>
        <v>3.6999999999999998E-2</v>
      </c>
      <c r="AB14">
        <f t="shared" si="3"/>
        <v>1.27</v>
      </c>
    </row>
    <row r="15" spans="1:28" x14ac:dyDescent="0.25">
      <c r="A15">
        <v>275</v>
      </c>
      <c r="B15" t="s">
        <v>69</v>
      </c>
      <c r="C15" t="s">
        <v>14</v>
      </c>
      <c r="D15" t="s">
        <v>62</v>
      </c>
      <c r="E15" t="s">
        <v>68</v>
      </c>
      <c r="F15">
        <v>27</v>
      </c>
      <c r="G15">
        <v>0</v>
      </c>
      <c r="H15">
        <v>0.56000000000000005</v>
      </c>
      <c r="I15">
        <v>0.87</v>
      </c>
      <c r="J15">
        <v>1.1399999999999999</v>
      </c>
      <c r="K15">
        <v>1.37</v>
      </c>
      <c r="L15">
        <v>1.59</v>
      </c>
      <c r="M15">
        <v>1.8</v>
      </c>
      <c r="N15">
        <v>2</v>
      </c>
      <c r="O15">
        <v>2.2000000000000002</v>
      </c>
      <c r="P15">
        <v>2.39</v>
      </c>
      <c r="Q15">
        <v>2.57</v>
      </c>
      <c r="R15">
        <v>2.76</v>
      </c>
      <c r="S15">
        <v>2.94</v>
      </c>
      <c r="T15">
        <v>3.12</v>
      </c>
      <c r="U15">
        <v>3.29</v>
      </c>
      <c r="V15">
        <v>3.47</v>
      </c>
      <c r="W15">
        <v>3.65</v>
      </c>
      <c r="X15">
        <v>3.82</v>
      </c>
      <c r="Y15">
        <v>4.01</v>
      </c>
      <c r="Z15">
        <f t="shared" si="1"/>
        <v>0.87</v>
      </c>
      <c r="AA15">
        <f t="shared" si="2"/>
        <v>3.7714285714285707E-2</v>
      </c>
      <c r="AB15">
        <f t="shared" si="3"/>
        <v>1.2471428571428571</v>
      </c>
    </row>
    <row r="16" spans="1:28" x14ac:dyDescent="0.25">
      <c r="G16">
        <f>AVERAGE(G3:G15)</f>
        <v>0</v>
      </c>
      <c r="H16">
        <f t="shared" ref="H16:AB16" si="4">AVERAGE(H3:H15)</f>
        <v>0.56153846153846154</v>
      </c>
      <c r="I16">
        <f t="shared" si="4"/>
        <v>0.88307692307692309</v>
      </c>
      <c r="J16">
        <f t="shared" si="4"/>
        <v>1.1523076923076923</v>
      </c>
      <c r="K16">
        <f t="shared" si="4"/>
        <v>1.3930769230769231</v>
      </c>
      <c r="L16">
        <f t="shared" si="4"/>
        <v>1.619230769230769</v>
      </c>
      <c r="M16">
        <f t="shared" si="4"/>
        <v>1.8323076923076924</v>
      </c>
      <c r="N16">
        <f t="shared" si="4"/>
        <v>2.0376923076923079</v>
      </c>
      <c r="O16">
        <f t="shared" si="4"/>
        <v>2.2376923076923076</v>
      </c>
      <c r="P16">
        <f t="shared" si="4"/>
        <v>2.4315384615384619</v>
      </c>
      <c r="Q16">
        <f t="shared" si="4"/>
        <v>2.6207692307692301</v>
      </c>
      <c r="R16">
        <f t="shared" si="4"/>
        <v>2.8069230769230766</v>
      </c>
      <c r="S16">
        <f t="shared" si="4"/>
        <v>2.9907692307692306</v>
      </c>
      <c r="T16">
        <f t="shared" si="4"/>
        <v>3.1746153846153842</v>
      </c>
      <c r="U16">
        <f t="shared" si="4"/>
        <v>3.3530769230769235</v>
      </c>
      <c r="V16">
        <f t="shared" si="4"/>
        <v>3.5338461538461536</v>
      </c>
      <c r="W16">
        <f t="shared" si="4"/>
        <v>3.7146153846153847</v>
      </c>
      <c r="X16">
        <f t="shared" si="4"/>
        <v>3.8992307692307695</v>
      </c>
      <c r="Y16">
        <f t="shared" si="4"/>
        <v>4.0930769230769233</v>
      </c>
      <c r="Z16">
        <f t="shared" si="4"/>
        <v>0.88307692307692309</v>
      </c>
      <c r="AA16">
        <f t="shared" si="4"/>
        <v>3.8571428571428576E-2</v>
      </c>
      <c r="AB16">
        <f t="shared" si="4"/>
        <v>1.2687912087912088</v>
      </c>
    </row>
    <row r="17" spans="26:27" x14ac:dyDescent="0.25">
      <c r="Z17">
        <f>MAX(Z3:Z15)</f>
        <v>0.94</v>
      </c>
      <c r="AA17">
        <f>MAX(AA3:AA15)</f>
        <v>4.4571428571428574E-2</v>
      </c>
    </row>
    <row r="18" spans="26:27" x14ac:dyDescent="0.25">
      <c r="Z18">
        <f>MIN(Z3:Z15)</f>
        <v>0.81</v>
      </c>
      <c r="AA18">
        <f>MIN(AA3:AA15)</f>
        <v>3.6285714285714289E-2</v>
      </c>
    </row>
  </sheetData>
  <pageMargins left="0.7" right="0.7" top="0.75" bottom="0.75" header="0.3" footer="0.3"/>
  <pageSetup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17"/>
  <sheetViews>
    <sheetView workbookViewId="0">
      <selection activeCell="E24" sqref="E24"/>
    </sheetView>
  </sheetViews>
  <sheetFormatPr defaultRowHeight="15" x14ac:dyDescent="0.25"/>
  <sheetData>
    <row r="1" spans="1:6" x14ac:dyDescent="0.25">
      <c r="B1" s="1" t="s">
        <v>0</v>
      </c>
      <c r="C1" t="s">
        <v>3</v>
      </c>
      <c r="D1" t="s">
        <v>1</v>
      </c>
      <c r="E1" t="s">
        <v>2</v>
      </c>
      <c r="F1" t="s">
        <v>4</v>
      </c>
    </row>
    <row r="2" spans="1:6" x14ac:dyDescent="0.25">
      <c r="A2" s="1">
        <v>1988</v>
      </c>
      <c r="B2">
        <v>0.4269</v>
      </c>
      <c r="C2">
        <v>0.28660000000000002</v>
      </c>
      <c r="D2">
        <v>0.1007</v>
      </c>
      <c r="E2">
        <v>5.8200000000000002E-2</v>
      </c>
      <c r="F2">
        <v>0.12759999999999999</v>
      </c>
    </row>
    <row r="3" spans="1:6" x14ac:dyDescent="0.25">
      <c r="A3" s="1">
        <v>1989</v>
      </c>
      <c r="B3">
        <v>0.39779999999999999</v>
      </c>
      <c r="C3">
        <v>0.1666</v>
      </c>
      <c r="D3">
        <v>0.1575</v>
      </c>
      <c r="E3">
        <v>9.0399999999999994E-2</v>
      </c>
      <c r="F3">
        <v>0.18770000000000001</v>
      </c>
    </row>
    <row r="4" spans="1:6" x14ac:dyDescent="0.25">
      <c r="A4" s="1">
        <v>1990</v>
      </c>
      <c r="B4">
        <v>0.38600000000000001</v>
      </c>
      <c r="C4">
        <v>0.1285</v>
      </c>
      <c r="D4">
        <v>0.1787</v>
      </c>
      <c r="E4">
        <v>9.9400000000000002E-2</v>
      </c>
      <c r="F4">
        <v>0.20730000000000001</v>
      </c>
    </row>
    <row r="5" spans="1:6" x14ac:dyDescent="0.25">
      <c r="A5" s="1">
        <v>1991</v>
      </c>
      <c r="B5">
        <v>0.3528</v>
      </c>
      <c r="C5">
        <v>0.11700000000000001</v>
      </c>
      <c r="D5">
        <v>0.19789999999999999</v>
      </c>
      <c r="E5">
        <v>0.1057</v>
      </c>
      <c r="F5">
        <v>0.2266</v>
      </c>
    </row>
    <row r="6" spans="1:6" x14ac:dyDescent="0.25">
      <c r="A6" s="1">
        <v>1992</v>
      </c>
      <c r="B6">
        <v>0.31290000000000001</v>
      </c>
      <c r="C6">
        <v>7.6700000000000004E-2</v>
      </c>
      <c r="D6">
        <v>0.23</v>
      </c>
      <c r="E6">
        <v>0.112</v>
      </c>
      <c r="F6">
        <v>0.26850000000000002</v>
      </c>
    </row>
    <row r="7" spans="1:6" x14ac:dyDescent="0.25">
      <c r="A7" s="1">
        <v>1993</v>
      </c>
      <c r="B7">
        <v>0.26369999999999999</v>
      </c>
      <c r="C7">
        <v>4.3999999999999997E-2</v>
      </c>
      <c r="D7">
        <v>0.26490000000000002</v>
      </c>
      <c r="E7">
        <v>0.1154</v>
      </c>
      <c r="F7">
        <v>0.31190000000000001</v>
      </c>
    </row>
    <row r="8" spans="1:6" x14ac:dyDescent="0.25">
      <c r="A8" s="1">
        <v>1994</v>
      </c>
      <c r="B8">
        <v>0.2505</v>
      </c>
      <c r="C8">
        <v>4.0500000000000001E-2</v>
      </c>
      <c r="D8">
        <v>0.27650000000000002</v>
      </c>
      <c r="E8">
        <v>0.1104</v>
      </c>
      <c r="F8">
        <v>0.32200000000000001</v>
      </c>
    </row>
    <row r="9" spans="1:6" x14ac:dyDescent="0.25">
      <c r="A9" s="1">
        <v>1995</v>
      </c>
      <c r="B9">
        <v>0.23499999999999999</v>
      </c>
      <c r="C9">
        <v>3.8199999999999998E-2</v>
      </c>
      <c r="D9">
        <v>0.28849999999999998</v>
      </c>
      <c r="E9">
        <v>0.1062</v>
      </c>
      <c r="F9">
        <v>0.3322</v>
      </c>
    </row>
    <row r="10" spans="1:6" x14ac:dyDescent="0.25">
      <c r="A10" s="1">
        <v>1996</v>
      </c>
      <c r="B10">
        <v>0.22650000000000001</v>
      </c>
      <c r="C10">
        <v>3.5999999999999997E-2</v>
      </c>
      <c r="D10">
        <v>0.29699999999999999</v>
      </c>
      <c r="E10">
        <v>0.1031</v>
      </c>
      <c r="F10">
        <v>0.33739999999999998</v>
      </c>
    </row>
    <row r="11" spans="1:6" x14ac:dyDescent="0.25">
      <c r="A11" s="1">
        <v>1997</v>
      </c>
      <c r="B11">
        <v>0.21079999999999999</v>
      </c>
      <c r="C11">
        <v>3.2000000000000001E-2</v>
      </c>
      <c r="D11">
        <v>0.314</v>
      </c>
      <c r="E11">
        <v>0.1033</v>
      </c>
      <c r="F11">
        <v>0.34</v>
      </c>
    </row>
    <row r="12" spans="1:6" x14ac:dyDescent="0.25">
      <c r="A12" s="1">
        <v>1998</v>
      </c>
      <c r="B12">
        <v>0.21149999999999999</v>
      </c>
      <c r="C12">
        <v>3.2500000000000001E-2</v>
      </c>
      <c r="D12">
        <v>0.31419999999999998</v>
      </c>
      <c r="E12">
        <v>0.10489999999999999</v>
      </c>
      <c r="F12">
        <v>0.33689999999999998</v>
      </c>
    </row>
    <row r="13" spans="1:6" x14ac:dyDescent="0.25">
      <c r="A13" s="1">
        <v>1999</v>
      </c>
      <c r="B13">
        <v>0.20449999999999999</v>
      </c>
      <c r="C13">
        <v>3.56E-2</v>
      </c>
      <c r="D13">
        <v>0.31430000000000002</v>
      </c>
      <c r="E13">
        <v>0.10580000000000001</v>
      </c>
      <c r="F13">
        <v>0.33979999999999999</v>
      </c>
    </row>
    <row r="17" spans="2:6" x14ac:dyDescent="0.25">
      <c r="B17">
        <f>AVERAGE(B2:B13)</f>
        <v>0.28990833333333332</v>
      </c>
      <c r="C17">
        <f>AVERAGE(C2:C13)</f>
        <v>8.6183333333333348E-2</v>
      </c>
      <c r="D17">
        <f>AVERAGE(D2:D13)</f>
        <v>0.24451666666666663</v>
      </c>
      <c r="E17">
        <f>AVERAGE(E2:E13)</f>
        <v>0.10123333333333333</v>
      </c>
      <c r="F17">
        <f>AVERAGE(F2:F13)</f>
        <v>0.27815833333333334</v>
      </c>
    </row>
  </sheetData>
  <pageMargins left="0.7" right="0.7" top="0.75" bottom="0.75" header="0.3" footer="0.3"/>
  <pageSetup orientation="portrait" horizontalDpi="90" verticalDpi="9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19"/>
  <sheetViews>
    <sheetView topLeftCell="A4" workbookViewId="0">
      <selection activeCell="E20" sqref="E20"/>
    </sheetView>
  </sheetViews>
  <sheetFormatPr defaultRowHeight="15" x14ac:dyDescent="0.25"/>
  <cols>
    <col min="5" max="5" width="23.7109375" customWidth="1"/>
  </cols>
  <sheetData>
    <row r="1" spans="1:5" x14ac:dyDescent="0.25">
      <c r="A1" t="s">
        <v>112</v>
      </c>
      <c r="B1" t="s">
        <v>113</v>
      </c>
      <c r="C1" t="s">
        <v>114</v>
      </c>
      <c r="D1" t="s">
        <v>115</v>
      </c>
      <c r="E1" t="s">
        <v>116</v>
      </c>
    </row>
    <row r="2" spans="1:5" x14ac:dyDescent="0.25">
      <c r="A2" t="s">
        <v>99</v>
      </c>
      <c r="B2" t="s">
        <v>117</v>
      </c>
      <c r="C2" t="s">
        <v>117</v>
      </c>
      <c r="D2" t="s">
        <v>117</v>
      </c>
      <c r="E2" t="s">
        <v>119</v>
      </c>
    </row>
    <row r="3" spans="1:5" x14ac:dyDescent="0.25">
      <c r="A3" t="s">
        <v>99</v>
      </c>
      <c r="B3" t="s">
        <v>117</v>
      </c>
      <c r="C3" t="s">
        <v>117</v>
      </c>
      <c r="D3" t="s">
        <v>118</v>
      </c>
      <c r="E3" t="s">
        <v>120</v>
      </c>
    </row>
    <row r="4" spans="1:5" x14ac:dyDescent="0.25">
      <c r="A4" t="s">
        <v>99</v>
      </c>
      <c r="B4" t="s">
        <v>117</v>
      </c>
      <c r="C4" t="s">
        <v>118</v>
      </c>
      <c r="D4" t="s">
        <v>117</v>
      </c>
      <c r="E4" t="s">
        <v>120</v>
      </c>
    </row>
    <row r="5" spans="1:5" x14ac:dyDescent="0.25">
      <c r="A5" t="s">
        <v>99</v>
      </c>
      <c r="B5" t="s">
        <v>117</v>
      </c>
      <c r="C5" t="s">
        <v>118</v>
      </c>
      <c r="D5" t="s">
        <v>118</v>
      </c>
      <c r="E5" t="s">
        <v>121</v>
      </c>
    </row>
    <row r="6" spans="1:5" x14ac:dyDescent="0.25">
      <c r="A6" t="s">
        <v>99</v>
      </c>
      <c r="B6" t="s">
        <v>118</v>
      </c>
      <c r="C6" t="s">
        <v>117</v>
      </c>
      <c r="D6" t="s">
        <v>117</v>
      </c>
      <c r="E6" t="s">
        <v>122</v>
      </c>
    </row>
    <row r="7" spans="1:5" x14ac:dyDescent="0.25">
      <c r="A7" t="s">
        <v>99</v>
      </c>
      <c r="B7" t="s">
        <v>118</v>
      </c>
      <c r="C7" t="s">
        <v>117</v>
      </c>
      <c r="D7" t="s">
        <v>118</v>
      </c>
      <c r="E7" t="s">
        <v>123</v>
      </c>
    </row>
    <row r="8" spans="1:5" x14ac:dyDescent="0.25">
      <c r="A8" t="s">
        <v>99</v>
      </c>
      <c r="B8" t="s">
        <v>118</v>
      </c>
      <c r="C8" t="s">
        <v>118</v>
      </c>
      <c r="D8" t="s">
        <v>117</v>
      </c>
      <c r="E8" t="s">
        <v>122</v>
      </c>
    </row>
    <row r="9" spans="1:5" x14ac:dyDescent="0.25">
      <c r="A9" t="s">
        <v>99</v>
      </c>
      <c r="B9" t="s">
        <v>118</v>
      </c>
      <c r="C9" t="s">
        <v>118</v>
      </c>
      <c r="D9" t="s">
        <v>118</v>
      </c>
      <c r="E9" t="s">
        <v>124</v>
      </c>
    </row>
    <row r="10" spans="1:5" x14ac:dyDescent="0.25">
      <c r="A10" t="s">
        <v>99</v>
      </c>
    </row>
    <row r="11" spans="1:5" x14ac:dyDescent="0.25">
      <c r="A11" t="s">
        <v>99</v>
      </c>
    </row>
    <row r="12" spans="1:5" x14ac:dyDescent="0.25">
      <c r="A12" t="s">
        <v>99</v>
      </c>
    </row>
    <row r="13" spans="1:5" x14ac:dyDescent="0.25">
      <c r="A13" t="s">
        <v>99</v>
      </c>
    </row>
    <row r="14" spans="1:5" x14ac:dyDescent="0.25">
      <c r="A14" t="s">
        <v>99</v>
      </c>
    </row>
    <row r="15" spans="1:5" x14ac:dyDescent="0.25">
      <c r="A15" t="s">
        <v>99</v>
      </c>
    </row>
    <row r="16" spans="1:5" x14ac:dyDescent="0.25">
      <c r="A16" t="s">
        <v>99</v>
      </c>
    </row>
    <row r="17" spans="1:1" x14ac:dyDescent="0.25">
      <c r="A17" t="s">
        <v>99</v>
      </c>
    </row>
    <row r="18" spans="1:1" x14ac:dyDescent="0.25">
      <c r="A18" t="s">
        <v>99</v>
      </c>
    </row>
    <row r="19" spans="1:1" x14ac:dyDescent="0.25">
      <c r="A19" t="s">
        <v>99</v>
      </c>
    </row>
  </sheetData>
  <pageMargins left="0.7" right="0.7" top="0.75" bottom="0.75" header="0.3" footer="0.3"/>
  <pageSetup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6</vt:i4>
      </vt:variant>
    </vt:vector>
  </HeadingPairs>
  <TitlesOfParts>
    <vt:vector size="11" baseType="lpstr">
      <vt:lpstr>iterative</vt:lpstr>
      <vt:lpstr>gauss cruncher</vt:lpstr>
      <vt:lpstr>run speed</vt:lpstr>
      <vt:lpstr>pitch outcomes</vt:lpstr>
      <vt:lpstr>hit quality truth table</vt:lpstr>
      <vt:lpstr>dratings</vt:lpstr>
      <vt:lpstr>home</vt:lpstr>
      <vt:lpstr>oratings</vt:lpstr>
      <vt:lpstr>pitchmod</vt:lpstr>
      <vt:lpstr>pitchstdv</vt:lpstr>
      <vt:lpstr>stratfactor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Kayla McGiffen</dc:creator>
  <cp:lastModifiedBy>Kayla McGiffen</cp:lastModifiedBy>
  <dcterms:created xsi:type="dcterms:W3CDTF">2021-09-12T00:08:56Z</dcterms:created>
  <dcterms:modified xsi:type="dcterms:W3CDTF">2022-03-25T04:48:16Z</dcterms:modified>
</cp:coreProperties>
</file>