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giffenk\Desktop\newpy\xtreemblaseball99\plans\"/>
    </mc:Choice>
  </mc:AlternateContent>
  <bookViews>
    <workbookView xWindow="0" yWindow="0" windowWidth="28800" windowHeight="11550"/>
  </bookViews>
  <sheets>
    <sheet name="iterative" sheetId="2" r:id="rId1"/>
    <sheet name="gauss" sheetId="5" r:id="rId2"/>
    <sheet name="run speed" sheetId="3" r:id="rId3"/>
    <sheet name="pitch outcomes" sheetId="1" r:id="rId4"/>
  </sheets>
  <definedNames>
    <definedName name="dratings">iterative!$B$2:$L$2</definedName>
    <definedName name="home">Table3[[#Headers],[Rep '#]]</definedName>
    <definedName name="oratings">iterative!$B$1:$L$1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2" l="1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L6" i="2"/>
  <c r="S6" i="2" s="1"/>
  <c r="U6" i="2" s="1"/>
  <c r="L7" i="2"/>
  <c r="S7" i="2" s="1"/>
  <c r="U7" i="2" s="1"/>
  <c r="L8" i="2"/>
  <c r="S8" i="2" s="1"/>
  <c r="U8" i="2" s="1"/>
  <c r="L9" i="2"/>
  <c r="S9" i="2" s="1"/>
  <c r="U9" i="2" s="1"/>
  <c r="L10" i="2"/>
  <c r="S10" i="2" s="1"/>
  <c r="U10" i="2" s="1"/>
  <c r="L11" i="2"/>
  <c r="S11" i="2" s="1"/>
  <c r="U11" i="2" s="1"/>
  <c r="L12" i="2"/>
  <c r="S12" i="2" s="1"/>
  <c r="U12" i="2" s="1"/>
  <c r="L13" i="2"/>
  <c r="S13" i="2" s="1"/>
  <c r="U13" i="2" s="1"/>
  <c r="L14" i="2"/>
  <c r="S14" i="2" s="1"/>
  <c r="U14" i="2" s="1"/>
  <c r="L15" i="2"/>
  <c r="S15" i="2" s="1"/>
  <c r="U15" i="2" s="1"/>
  <c r="L16" i="2"/>
  <c r="S16" i="2" s="1"/>
  <c r="U16" i="2" s="1"/>
  <c r="L17" i="2"/>
  <c r="S17" i="2" s="1"/>
  <c r="U17" i="2" s="1"/>
  <c r="L18" i="2"/>
  <c r="S18" i="2" s="1"/>
  <c r="U18" i="2" s="1"/>
  <c r="L19" i="2"/>
  <c r="S19" i="2" s="1"/>
  <c r="U19" i="2" s="1"/>
  <c r="L20" i="2"/>
  <c r="S20" i="2" s="1"/>
  <c r="U20" i="2" s="1"/>
  <c r="L21" i="2"/>
  <c r="S21" i="2" s="1"/>
  <c r="U21" i="2" s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L8" i="5"/>
  <c r="N8" i="5"/>
  <c r="P8" i="5"/>
  <c r="R8" i="5"/>
  <c r="S6" i="5"/>
  <c r="S8" i="5" s="1"/>
  <c r="R6" i="5"/>
  <c r="Q6" i="5"/>
  <c r="Q8" i="5" s="1"/>
  <c r="P6" i="5"/>
  <c r="O6" i="5"/>
  <c r="O8" i="5" s="1"/>
  <c r="N6" i="5"/>
  <c r="M6" i="5"/>
  <c r="M8" i="5" s="1"/>
  <c r="L6" i="5"/>
  <c r="E5" i="5"/>
  <c r="G8" i="5" s="1"/>
  <c r="Z17" i="3"/>
  <c r="Z18" i="3"/>
  <c r="AA18" i="3"/>
  <c r="AA17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G16" i="3"/>
  <c r="AB4" i="3"/>
  <c r="AB5" i="3"/>
  <c r="AB6" i="3"/>
  <c r="AB7" i="3"/>
  <c r="AB8" i="3"/>
  <c r="AB9" i="3"/>
  <c r="AB10" i="3"/>
  <c r="AB11" i="3"/>
  <c r="AB12" i="3"/>
  <c r="AB13" i="3"/>
  <c r="AB14" i="3"/>
  <c r="AB15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3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G2" i="3"/>
  <c r="E8" i="5" l="1"/>
  <c r="A7" i="2" l="1"/>
  <c r="C7" i="2" s="1"/>
  <c r="A8" i="2"/>
  <c r="C8" i="2" s="1"/>
  <c r="A9" i="2"/>
  <c r="C9" i="2" s="1"/>
  <c r="A10" i="2"/>
  <c r="C10" i="2" s="1"/>
  <c r="A11" i="2"/>
  <c r="C11" i="2" s="1"/>
  <c r="A12" i="2"/>
  <c r="C12" i="2" s="1"/>
  <c r="A13" i="2"/>
  <c r="B13" i="2" s="1"/>
  <c r="A14" i="2"/>
  <c r="C14" i="2" s="1"/>
  <c r="A15" i="2"/>
  <c r="C15" i="2" s="1"/>
  <c r="A16" i="2"/>
  <c r="C16" i="2" s="1"/>
  <c r="A17" i="2"/>
  <c r="C17" i="2" s="1"/>
  <c r="A18" i="2"/>
  <c r="C18" i="2" s="1"/>
  <c r="A19" i="2"/>
  <c r="C19" i="2" s="1"/>
  <c r="A20" i="2"/>
  <c r="C20" i="2" s="1"/>
  <c r="A21" i="2"/>
  <c r="B21" i="2" s="1"/>
  <c r="A6" i="2"/>
  <c r="C6" i="2" s="1"/>
  <c r="B3" i="2"/>
  <c r="H19" i="2" l="1"/>
  <c r="I19" i="2" s="1"/>
  <c r="H15" i="2"/>
  <c r="I15" i="2" s="1"/>
  <c r="H11" i="2"/>
  <c r="I11" i="2" s="1"/>
  <c r="H7" i="2"/>
  <c r="I7" i="2" s="1"/>
  <c r="H6" i="2"/>
  <c r="I6" i="2" s="1"/>
  <c r="H18" i="2"/>
  <c r="I18" i="2" s="1"/>
  <c r="H14" i="2"/>
  <c r="I14" i="2" s="1"/>
  <c r="H10" i="2"/>
  <c r="I10" i="2" s="1"/>
  <c r="M21" i="2"/>
  <c r="D21" i="2"/>
  <c r="K21" i="2"/>
  <c r="H17" i="2"/>
  <c r="I17" i="2" s="1"/>
  <c r="M13" i="2"/>
  <c r="D13" i="2"/>
  <c r="K13" i="2"/>
  <c r="H9" i="2"/>
  <c r="I9" i="2" s="1"/>
  <c r="H20" i="2"/>
  <c r="I20" i="2" s="1"/>
  <c r="H16" i="2"/>
  <c r="I16" i="2" s="1"/>
  <c r="H12" i="2"/>
  <c r="I12" i="2" s="1"/>
  <c r="H8" i="2"/>
  <c r="I8" i="2" s="1"/>
  <c r="G19" i="2"/>
  <c r="J19" i="2" s="1"/>
  <c r="G15" i="2"/>
  <c r="G11" i="2"/>
  <c r="J11" i="2" s="1"/>
  <c r="G7" i="2"/>
  <c r="G6" i="2"/>
  <c r="J6" i="2" s="1"/>
  <c r="G18" i="2"/>
  <c r="G14" i="2"/>
  <c r="J14" i="2" s="1"/>
  <c r="G10" i="2"/>
  <c r="G17" i="2"/>
  <c r="G9" i="2"/>
  <c r="G20" i="2"/>
  <c r="G16" i="2"/>
  <c r="J16" i="2" s="1"/>
  <c r="G12" i="2"/>
  <c r="G8" i="2"/>
  <c r="B17" i="2"/>
  <c r="B9" i="2"/>
  <c r="B20" i="2"/>
  <c r="E20" i="2" s="1"/>
  <c r="B16" i="2"/>
  <c r="B12" i="2"/>
  <c r="E12" i="2" s="1"/>
  <c r="B8" i="2"/>
  <c r="E8" i="2" s="1"/>
  <c r="C21" i="2"/>
  <c r="C13" i="2"/>
  <c r="B19" i="2"/>
  <c r="E19" i="2" s="1"/>
  <c r="B15" i="2"/>
  <c r="B11" i="2"/>
  <c r="E11" i="2" s="1"/>
  <c r="B7" i="2"/>
  <c r="B18" i="2"/>
  <c r="E18" i="2" s="1"/>
  <c r="B14" i="2"/>
  <c r="B10" i="2"/>
  <c r="E10" i="2" s="1"/>
  <c r="B6" i="2"/>
  <c r="C17" i="1"/>
  <c r="D17" i="1"/>
  <c r="E17" i="1"/>
  <c r="F17" i="1"/>
  <c r="B17" i="1"/>
  <c r="J8" i="2" l="1"/>
  <c r="J9" i="2"/>
  <c r="J12" i="2"/>
  <c r="J17" i="2"/>
  <c r="H21" i="2"/>
  <c r="I21" i="2" s="1"/>
  <c r="E21" i="2"/>
  <c r="F21" i="2" s="1"/>
  <c r="N21" i="2" s="1"/>
  <c r="M15" i="2"/>
  <c r="D15" i="2"/>
  <c r="K15" i="2"/>
  <c r="M6" i="2"/>
  <c r="D6" i="2"/>
  <c r="K6" i="2"/>
  <c r="M7" i="2"/>
  <c r="D7" i="2"/>
  <c r="K7" i="2"/>
  <c r="H13" i="2"/>
  <c r="I13" i="2" s="1"/>
  <c r="E13" i="2"/>
  <c r="F13" i="2" s="1"/>
  <c r="N13" i="2" s="1"/>
  <c r="M16" i="2"/>
  <c r="K16" i="2"/>
  <c r="D16" i="2"/>
  <c r="J18" i="2"/>
  <c r="J15" i="2"/>
  <c r="E7" i="2"/>
  <c r="E15" i="2"/>
  <c r="M10" i="2"/>
  <c r="D10" i="2"/>
  <c r="F10" i="2" s="1"/>
  <c r="K10" i="2"/>
  <c r="M20" i="2"/>
  <c r="K20" i="2"/>
  <c r="D20" i="2"/>
  <c r="F20" i="2" s="1"/>
  <c r="N20" i="2" s="1"/>
  <c r="M14" i="2"/>
  <c r="D14" i="2"/>
  <c r="K14" i="2"/>
  <c r="M9" i="2"/>
  <c r="D9" i="2"/>
  <c r="K9" i="2"/>
  <c r="J10" i="2"/>
  <c r="J7" i="2"/>
  <c r="E16" i="2"/>
  <c r="E9" i="2"/>
  <c r="E14" i="2"/>
  <c r="E6" i="2"/>
  <c r="F6" i="2" s="1"/>
  <c r="M11" i="2"/>
  <c r="D11" i="2"/>
  <c r="F11" i="2" s="1"/>
  <c r="K11" i="2"/>
  <c r="M8" i="2"/>
  <c r="K8" i="2"/>
  <c r="D8" i="2"/>
  <c r="F8" i="2" s="1"/>
  <c r="M18" i="2"/>
  <c r="D18" i="2"/>
  <c r="F18" i="2" s="1"/>
  <c r="K18" i="2"/>
  <c r="M19" i="2"/>
  <c r="D19" i="2"/>
  <c r="F19" i="2" s="1"/>
  <c r="K19" i="2"/>
  <c r="M12" i="2"/>
  <c r="K12" i="2"/>
  <c r="D12" i="2"/>
  <c r="F12" i="2" s="1"/>
  <c r="M17" i="2"/>
  <c r="D17" i="2"/>
  <c r="K17" i="2"/>
  <c r="J20" i="2"/>
  <c r="E17" i="2"/>
  <c r="G13" i="2"/>
  <c r="G21" i="2"/>
  <c r="J21" i="2" s="1"/>
  <c r="N8" i="2" l="1"/>
  <c r="O8" i="2" s="1"/>
  <c r="Q8" i="2" s="1"/>
  <c r="F9" i="2"/>
  <c r="N9" i="2" s="1"/>
  <c r="J13" i="2"/>
  <c r="F7" i="2"/>
  <c r="N7" i="2" s="1"/>
  <c r="O20" i="2"/>
  <c r="Q20" i="2" s="1"/>
  <c r="F17" i="2"/>
  <c r="N17" i="2" s="1"/>
  <c r="F14" i="2"/>
  <c r="N14" i="2" s="1"/>
  <c r="F16" i="2"/>
  <c r="N16" i="2" s="1"/>
  <c r="F15" i="2"/>
  <c r="N15" i="2" s="1"/>
  <c r="N11" i="2"/>
  <c r="O11" i="2" s="1"/>
  <c r="Q11" i="2" s="1"/>
  <c r="N10" i="2"/>
  <c r="O10" i="2" s="1"/>
  <c r="Q10" i="2" s="1"/>
  <c r="N18" i="2"/>
  <c r="O21" i="2"/>
  <c r="Q21" i="2" s="1"/>
  <c r="O13" i="2"/>
  <c r="Q13" i="2" s="1"/>
  <c r="N6" i="2"/>
  <c r="N12" i="2"/>
  <c r="N19" i="2"/>
  <c r="O9" i="2" l="1"/>
  <c r="Q9" i="2" s="1"/>
  <c r="O18" i="2"/>
  <c r="Q18" i="2" s="1"/>
  <c r="O15" i="2"/>
  <c r="Q15" i="2" s="1"/>
  <c r="O19" i="2"/>
  <c r="Q19" i="2" s="1"/>
  <c r="O12" i="2"/>
  <c r="Q12" i="2" s="1"/>
  <c r="O6" i="2"/>
  <c r="Q6" i="2" s="1"/>
  <c r="O17" i="2"/>
  <c r="Q17" i="2" s="1"/>
  <c r="O16" i="2"/>
  <c r="Q16" i="2" s="1"/>
  <c r="O14" i="2"/>
  <c r="Q14" i="2" s="1"/>
  <c r="O7" i="2"/>
  <c r="Q7" i="2" s="1"/>
</calcChain>
</file>

<file path=xl/comments1.xml><?xml version="1.0" encoding="utf-8"?>
<comments xmlns="http://schemas.openxmlformats.org/spreadsheetml/2006/main">
  <authors>
    <author>Kayla McGiffen</author>
  </authors>
  <commentList>
    <comment ref="D5" authorId="0" shapeId="0">
      <text>
        <r>
          <rPr>
            <b/>
            <sz val="9"/>
            <color indexed="81"/>
            <rFont val="Tahoma"/>
            <charset val="1"/>
          </rPr>
          <t>Kayla McGiffen:</t>
        </r>
        <r>
          <rPr>
            <sz val="9"/>
            <color indexed="81"/>
            <rFont val="Tahoma"/>
            <charset val="1"/>
          </rPr>
          <t xml:space="preserve">
MLB average is about 10 feet for a 90 foot basepath, or a little above 0.1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Kayla McGiffen:</t>
        </r>
        <r>
          <rPr>
            <sz val="9"/>
            <color indexed="81"/>
            <rFont val="Tahoma"/>
            <family val="2"/>
          </rPr>
          <t xml:space="preserve">
0.9 - 1 second approx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Kayla McGiffen:</t>
        </r>
        <r>
          <rPr>
            <sz val="9"/>
            <color indexed="81"/>
            <rFont val="Tahoma"/>
            <family val="2"/>
          </rPr>
          <t xml:space="preserve">
(0.01 - 0.005 s/ft)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Kayla McGiffen:</t>
        </r>
        <r>
          <rPr>
            <sz val="9"/>
            <color indexed="81"/>
            <rFont val="Tahoma"/>
            <family val="2"/>
          </rPr>
          <t xml:space="preserve">
pickoff time is 1.3 - 1.5 seconds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Kayla McGiffen:</t>
        </r>
        <r>
          <rPr>
            <sz val="9"/>
            <color indexed="81"/>
            <rFont val="Tahoma"/>
            <family val="2"/>
          </rPr>
          <t xml:space="preserve">
0.8 - 1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Kayla McGiffen:</t>
        </r>
        <r>
          <rPr>
            <sz val="9"/>
            <color indexed="81"/>
            <rFont val="Tahoma"/>
            <family val="2"/>
          </rPr>
          <t xml:space="preserve">
0.035 - 0.050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Kayla McGiffen:</t>
        </r>
        <r>
          <rPr>
            <sz val="9"/>
            <color indexed="81"/>
            <rFont val="Tahoma"/>
            <family val="2"/>
          </rPr>
          <t xml:space="preserve">
MLB FP is 0.985 average, with a minimum around 0.95</t>
        </r>
      </text>
    </comment>
  </commentList>
</comments>
</file>

<file path=xl/sharedStrings.xml><?xml version="1.0" encoding="utf-8"?>
<sst xmlns="http://schemas.openxmlformats.org/spreadsheetml/2006/main" count="147" uniqueCount="120">
  <si>
    <t>Ball</t>
  </si>
  <si>
    <t>Foul</t>
  </si>
  <si>
    <t>Strike, Swinging</t>
  </si>
  <si>
    <t>Strike, Looking</t>
  </si>
  <si>
    <t>Ball In Play</t>
  </si>
  <si>
    <t>offense ratings</t>
  </si>
  <si>
    <t>defense ratings</t>
  </si>
  <si>
    <t>perms</t>
  </si>
  <si>
    <t>Rep #</t>
  </si>
  <si>
    <t>offense</t>
  </si>
  <si>
    <t>defense</t>
  </si>
  <si>
    <t>base leadoff</t>
  </si>
  <si>
    <t>leadoff modifier</t>
  </si>
  <si>
    <t>total leadoff (ft)</t>
  </si>
  <si>
    <t>R</t>
  </si>
  <si>
    <t>1B</t>
  </si>
  <si>
    <t xml:space="preserve"> Pujols, Albert</t>
  </si>
  <si>
    <t xml:space="preserve"> LAD</t>
  </si>
  <si>
    <t xml:space="preserve"> Posey, Buster</t>
  </si>
  <si>
    <t xml:space="preserve"> SF</t>
  </si>
  <si>
    <t>C</t>
  </si>
  <si>
    <t>Rk.</t>
  </si>
  <si>
    <t>Player</t>
  </si>
  <si>
    <t>Bats</t>
  </si>
  <si>
    <t>Team</t>
  </si>
  <si>
    <t>Position</t>
  </si>
  <si>
    <t>Age</t>
  </si>
  <si>
    <t>0ft</t>
  </si>
  <si>
    <t>5ft</t>
  </si>
  <si>
    <t>10ft</t>
  </si>
  <si>
    <t>15ft</t>
  </si>
  <si>
    <t>20ft</t>
  </si>
  <si>
    <t>25ft</t>
  </si>
  <si>
    <t>30ft</t>
  </si>
  <si>
    <t>35ft</t>
  </si>
  <si>
    <t>40ft</t>
  </si>
  <si>
    <t>45ft</t>
  </si>
  <si>
    <t>50ft</t>
  </si>
  <si>
    <t>55ft</t>
  </si>
  <si>
    <t>60ft</t>
  </si>
  <si>
    <t>65ft</t>
  </si>
  <si>
    <t>70ft</t>
  </si>
  <si>
    <t>75ft</t>
  </si>
  <si>
    <t>80ft</t>
  </si>
  <si>
    <t>85ft</t>
  </si>
  <si>
    <t>90ft</t>
  </si>
  <si>
    <t xml:space="preserve"> Craig, Will</t>
  </si>
  <si>
    <t xml:space="preserve"> PIT</t>
  </si>
  <si>
    <t xml:space="preserve"> Garver, Mitch</t>
  </si>
  <si>
    <t xml:space="preserve"> MIN</t>
  </si>
  <si>
    <t xml:space="preserve"> Stephenson, Tyler</t>
  </si>
  <si>
    <t xml:space="preserve"> CIN</t>
  </si>
  <si>
    <t xml:space="preserve"> Bauers, Jake</t>
  </si>
  <si>
    <t>L</t>
  </si>
  <si>
    <t xml:space="preserve"> SEA</t>
  </si>
  <si>
    <t xml:space="preserve"> Davis, Jonathan</t>
  </si>
  <si>
    <t xml:space="preserve"> NYY</t>
  </si>
  <si>
    <t>CF</t>
  </si>
  <si>
    <t xml:space="preserve"> Reynolds, Bryan</t>
  </si>
  <si>
    <t xml:space="preserve"> Dyson, Jarrod</t>
  </si>
  <si>
    <t xml:space="preserve"> TOR</t>
  </si>
  <si>
    <t xml:space="preserve"> Ohtani, Shohei</t>
  </si>
  <si>
    <t xml:space="preserve"> LAA</t>
  </si>
  <si>
    <t>DH</t>
  </si>
  <si>
    <t>LF</t>
  </si>
  <si>
    <t xml:space="preserve"> Jiménez, Eloy</t>
  </si>
  <si>
    <t xml:space="preserve"> CWS</t>
  </si>
  <si>
    <t xml:space="preserve"> India, Jonathan</t>
  </si>
  <si>
    <t>2B</t>
  </si>
  <si>
    <t xml:space="preserve"> Fletcher, David</t>
  </si>
  <si>
    <t>reaction</t>
  </si>
  <si>
    <t>pickoff reaction 10ft</t>
  </si>
  <si>
    <t>speed (seconds per foot)</t>
  </si>
  <si>
    <t>pickoff time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</si>
  <si>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</si>
  <si>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</si>
  <si>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</si>
  <si>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</si>
  <si>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</si>
  <si>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</si>
  <si>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</si>
  <si>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</si>
  <si>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</si>
  <si>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runner reaction</t>
  </si>
  <si>
    <t>throw speed (mph)</t>
  </si>
  <si>
    <t>runner speed (s/ft)</t>
  </si>
  <si>
    <t>throw speed (s/ft)</t>
  </si>
  <si>
    <t>pickoff manuver (s)</t>
  </si>
  <si>
    <t>runner speed (mph)</t>
  </si>
  <si>
    <t>pickoff evade time</t>
  </si>
  <si>
    <t>stdv:</t>
  </si>
  <si>
    <t>awe factor:</t>
  </si>
  <si>
    <t>force factor:</t>
  </si>
  <si>
    <t>timing factor:</t>
  </si>
  <si>
    <t>speed factor:</t>
  </si>
  <si>
    <t>stdv</t>
  </si>
  <si>
    <t>mean:</t>
  </si>
  <si>
    <t>pickoff probability</t>
  </si>
  <si>
    <t>bravery factor:</t>
  </si>
  <si>
    <t>strat factor:</t>
  </si>
  <si>
    <t>const:</t>
  </si>
  <si>
    <t>INVERTER BOX:</t>
  </si>
  <si>
    <t>probability</t>
  </si>
  <si>
    <t>z score</t>
  </si>
  <si>
    <t>stdev:</t>
  </si>
  <si>
    <t>x:</t>
  </si>
  <si>
    <t>GUASS CRUNCHER</t>
  </si>
  <si>
    <t>DOUBLE GAUSS CRUNCHER</t>
  </si>
  <si>
    <t>x</t>
  </si>
  <si>
    <t>prob:</t>
  </si>
  <si>
    <t>targets:</t>
  </si>
  <si>
    <t>diff:</t>
  </si>
  <si>
    <t>fielding fuzzer:</t>
  </si>
  <si>
    <t>Fielding Odds</t>
  </si>
  <si>
    <t>pickoff worth it?</t>
  </si>
  <si>
    <t>Error %</t>
  </si>
  <si>
    <t>Blatant steal time</t>
  </si>
  <si>
    <t>Response speed</t>
  </si>
  <si>
    <t>reaction factor</t>
  </si>
  <si>
    <t>blatant steal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</si>
</sst>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8" x14ac:knownFonts="1">
    <font>
      <sz val="11"/>
      <color theme="1"/>
      <name val="Calibri"/>
      <family val="2"/>
      <scheme val="minor"/>
    </font>
    <font>
      <sz val="10"/>
      <color rgb="FF252C2F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medium">
        <color indexed="64"/>
      </bottom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double">
        <color auto="1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8" fontId="0" fillId="3" borderId="0" xfId="1" applyNumberFormat="1" applyFont="1" applyFill="1"/>
    <xf numFmtId="168" fontId="0" fillId="5" borderId="0" xfId="1" applyNumberFormat="1" applyFont="1" applyFill="1"/>
    <xf numFmtId="168" fontId="0" fillId="6" borderId="0" xfId="1" applyNumberFormat="1" applyFont="1" applyFill="1"/>
    <xf numFmtId="168" fontId="0" fillId="4" borderId="0" xfId="1" applyNumberFormat="1" applyFont="1" applyFill="1"/>
    <xf numFmtId="0" fontId="0" fillId="7" borderId="0" xfId="0" applyFill="1"/>
    <xf numFmtId="168" fontId="0" fillId="7" borderId="0" xfId="1" applyNumberFormat="1" applyFont="1" applyFill="1"/>
    <xf numFmtId="0" fontId="0" fillId="8" borderId="0" xfId="0" applyFill="1"/>
    <xf numFmtId="168" fontId="0" fillId="8" borderId="0" xfId="1" applyNumberFormat="1" applyFont="1" applyFill="1"/>
    <xf numFmtId="0" fontId="0" fillId="9" borderId="0" xfId="0" applyFill="1"/>
    <xf numFmtId="168" fontId="0" fillId="9" borderId="0" xfId="1" applyNumberFormat="1" applyFont="1" applyFill="1"/>
    <xf numFmtId="0" fontId="0" fillId="10" borderId="0" xfId="0" applyFill="1"/>
    <xf numFmtId="168" fontId="0" fillId="10" borderId="0" xfId="1" applyNumberFormat="1" applyFont="1" applyFill="1"/>
    <xf numFmtId="0" fontId="0" fillId="7" borderId="1" xfId="0" applyFill="1" applyBorder="1"/>
    <xf numFmtId="0" fontId="0" fillId="7" borderId="2" xfId="0" applyFill="1" applyBorder="1"/>
    <xf numFmtId="168" fontId="0" fillId="7" borderId="2" xfId="1" applyNumberFormat="1" applyFont="1" applyFill="1" applyBorder="1"/>
    <xf numFmtId="0" fontId="0" fillId="10" borderId="1" xfId="0" applyFill="1" applyBorder="1"/>
    <xf numFmtId="0" fontId="0" fillId="10" borderId="2" xfId="0" applyFill="1" applyBorder="1"/>
    <xf numFmtId="168" fontId="0" fillId="10" borderId="2" xfId="1" applyNumberFormat="1" applyFont="1" applyFill="1" applyBorder="1"/>
    <xf numFmtId="0" fontId="0" fillId="5" borderId="1" xfId="0" applyFill="1" applyBorder="1"/>
    <xf numFmtId="0" fontId="0" fillId="5" borderId="2" xfId="0" applyFill="1" applyBorder="1"/>
    <xf numFmtId="168" fontId="0" fillId="5" borderId="2" xfId="1" applyNumberFormat="1" applyFont="1" applyFill="1" applyBorder="1"/>
    <xf numFmtId="0" fontId="0" fillId="4" borderId="1" xfId="0" applyFill="1" applyBorder="1"/>
    <xf numFmtId="0" fontId="0" fillId="4" borderId="2" xfId="0" applyFill="1" applyBorder="1"/>
    <xf numFmtId="168" fontId="0" fillId="4" borderId="2" xfId="1" applyNumberFormat="1" applyFont="1" applyFill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2" borderId="0" xfId="2" applyBorder="1"/>
    <xf numFmtId="0" fontId="3" fillId="2" borderId="4" xfId="2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0" fontId="0" fillId="0" borderId="14" xfId="1" applyNumberFormat="1" applyFont="1" applyBorder="1"/>
    <xf numFmtId="10" fontId="0" fillId="0" borderId="15" xfId="1" applyNumberFormat="1" applyFont="1" applyBorder="1"/>
    <xf numFmtId="10" fontId="0" fillId="0" borderId="6" xfId="0" applyNumberFormat="1" applyBorder="1"/>
    <xf numFmtId="10" fontId="0" fillId="0" borderId="7" xfId="0" applyNumberFormat="1" applyBorder="1"/>
    <xf numFmtId="10" fontId="0" fillId="4" borderId="2" xfId="1" applyNumberFormat="1" applyFont="1" applyFill="1" applyBorder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8" borderId="0" xfId="1" applyNumberFormat="1" applyFont="1" applyFill="1"/>
    <xf numFmtId="10" fontId="0" fillId="5" borderId="2" xfId="1" applyNumberFormat="1" applyFont="1" applyFill="1" applyBorder="1"/>
    <xf numFmtId="10" fontId="0" fillId="5" borderId="0" xfId="1" applyNumberFormat="1" applyFont="1" applyFill="1"/>
    <xf numFmtId="10" fontId="0" fillId="10" borderId="0" xfId="1" applyNumberFormat="1" applyFont="1" applyFill="1"/>
    <xf numFmtId="10" fontId="0" fillId="6" borderId="0" xfId="1" applyNumberFormat="1" applyFont="1" applyFill="1"/>
    <xf numFmtId="10" fontId="0" fillId="10" borderId="2" xfId="1" applyNumberFormat="1" applyFont="1" applyFill="1" applyBorder="1"/>
    <xf numFmtId="10" fontId="0" fillId="9" borderId="0" xfId="1" applyNumberFormat="1" applyFont="1" applyFill="1"/>
    <xf numFmtId="10" fontId="0" fillId="7" borderId="0" xfId="1" applyNumberFormat="1" applyFont="1" applyFill="1"/>
    <xf numFmtId="10" fontId="0" fillId="7" borderId="2" xfId="1" applyNumberFormat="1" applyFont="1" applyFill="1" applyBorder="1"/>
  </cellXfs>
  <cellStyles count="3">
    <cellStyle name="Neutral" xfId="2" builtinId="28"/>
    <cellStyle name="Normal" xfId="0" builtinId="0"/>
    <cellStyle name="Percent" xfId="1" builtinId="5"/>
  </cellStyles>
  <dxfs count="22"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68" formatCode="0.0%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speed'!$G$3:$Y$3</c:f>
              <c:numCache>
                <c:formatCode>General</c:formatCode>
                <c:ptCount val="19"/>
                <c:pt idx="0">
                  <c:v>0</c:v>
                </c:pt>
                <c:pt idx="1">
                  <c:v>0.59</c:v>
                </c:pt>
                <c:pt idx="2">
                  <c:v>0.94</c:v>
                </c:pt>
                <c:pt idx="3">
                  <c:v>1.23</c:v>
                </c:pt>
                <c:pt idx="4">
                  <c:v>1.5</c:v>
                </c:pt>
                <c:pt idx="5">
                  <c:v>1.75</c:v>
                </c:pt>
                <c:pt idx="6">
                  <c:v>1.99</c:v>
                </c:pt>
                <c:pt idx="7">
                  <c:v>2.2200000000000002</c:v>
                </c:pt>
                <c:pt idx="8">
                  <c:v>2.4500000000000002</c:v>
                </c:pt>
                <c:pt idx="9">
                  <c:v>2.66</c:v>
                </c:pt>
                <c:pt idx="10">
                  <c:v>2.88</c:v>
                </c:pt>
                <c:pt idx="11">
                  <c:v>3.09</c:v>
                </c:pt>
                <c:pt idx="12">
                  <c:v>3.3</c:v>
                </c:pt>
                <c:pt idx="13">
                  <c:v>3.51</c:v>
                </c:pt>
                <c:pt idx="14">
                  <c:v>3.72</c:v>
                </c:pt>
                <c:pt idx="15">
                  <c:v>3.94</c:v>
                </c:pt>
                <c:pt idx="16">
                  <c:v>4.16</c:v>
                </c:pt>
                <c:pt idx="17">
                  <c:v>4.38</c:v>
                </c:pt>
                <c:pt idx="18">
                  <c:v>4.62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3C-4E00-8692-DA6581FD0E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speed'!$G$4:$Y$4</c:f>
              <c:numCache>
                <c:formatCode>General</c:formatCode>
                <c:ptCount val="19"/>
                <c:pt idx="0">
                  <c:v>0</c:v>
                </c:pt>
                <c:pt idx="1">
                  <c:v>0.57999999999999996</c:v>
                </c:pt>
                <c:pt idx="2">
                  <c:v>0.93</c:v>
                </c:pt>
                <c:pt idx="3">
                  <c:v>1.22</c:v>
                </c:pt>
                <c:pt idx="4">
                  <c:v>1.48</c:v>
                </c:pt>
                <c:pt idx="5">
                  <c:v>1.73</c:v>
                </c:pt>
                <c:pt idx="6">
                  <c:v>1.96</c:v>
                </c:pt>
                <c:pt idx="7">
                  <c:v>2.19</c:v>
                </c:pt>
                <c:pt idx="8">
                  <c:v>2.4</c:v>
                </c:pt>
                <c:pt idx="9">
                  <c:v>2.61</c:v>
                </c:pt>
                <c:pt idx="10">
                  <c:v>2.82</c:v>
                </c:pt>
                <c:pt idx="11">
                  <c:v>3.02</c:v>
                </c:pt>
                <c:pt idx="12">
                  <c:v>3.23</c:v>
                </c:pt>
                <c:pt idx="13">
                  <c:v>3.42</c:v>
                </c:pt>
                <c:pt idx="14">
                  <c:v>3.62</c:v>
                </c:pt>
                <c:pt idx="15">
                  <c:v>3.82</c:v>
                </c:pt>
                <c:pt idx="16">
                  <c:v>4.0199999999999996</c:v>
                </c:pt>
                <c:pt idx="17">
                  <c:v>4.22</c:v>
                </c:pt>
                <c:pt idx="18">
                  <c:v>4.43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3C-4E00-8692-DA6581FD0E2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speed'!$G$5:$Y$5</c:f>
              <c:numCache>
                <c:formatCode>General</c:formatCode>
                <c:ptCount val="19"/>
                <c:pt idx="0">
                  <c:v>0</c:v>
                </c:pt>
                <c:pt idx="1">
                  <c:v>0.6</c:v>
                </c:pt>
                <c:pt idx="2">
                  <c:v>0.93</c:v>
                </c:pt>
                <c:pt idx="3">
                  <c:v>1.2</c:v>
                </c:pt>
                <c:pt idx="4">
                  <c:v>1.45</c:v>
                </c:pt>
                <c:pt idx="5">
                  <c:v>1.69</c:v>
                </c:pt>
                <c:pt idx="6">
                  <c:v>1.92</c:v>
                </c:pt>
                <c:pt idx="7">
                  <c:v>2.14</c:v>
                </c:pt>
                <c:pt idx="8">
                  <c:v>2.36</c:v>
                </c:pt>
                <c:pt idx="9">
                  <c:v>2.56</c:v>
                </c:pt>
                <c:pt idx="10">
                  <c:v>2.76</c:v>
                </c:pt>
                <c:pt idx="11">
                  <c:v>2.95</c:v>
                </c:pt>
                <c:pt idx="12">
                  <c:v>3.14</c:v>
                </c:pt>
                <c:pt idx="13">
                  <c:v>3.33</c:v>
                </c:pt>
                <c:pt idx="14">
                  <c:v>3.52</c:v>
                </c:pt>
                <c:pt idx="15">
                  <c:v>3.71</c:v>
                </c:pt>
                <c:pt idx="16">
                  <c:v>3.89</c:v>
                </c:pt>
                <c:pt idx="17">
                  <c:v>4.09</c:v>
                </c:pt>
                <c:pt idx="18">
                  <c:v>4.29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3C-4E00-8692-DA6581FD0E2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speed'!$G$6:$Y$6</c:f>
              <c:numCache>
                <c:formatCode>General</c:formatCode>
                <c:ptCount val="19"/>
                <c:pt idx="0">
                  <c:v>0</c:v>
                </c:pt>
                <c:pt idx="1">
                  <c:v>0.56000000000000005</c:v>
                </c:pt>
                <c:pt idx="2">
                  <c:v>0.9</c:v>
                </c:pt>
                <c:pt idx="3">
                  <c:v>1.18</c:v>
                </c:pt>
                <c:pt idx="4">
                  <c:v>1.43</c:v>
                </c:pt>
                <c:pt idx="5">
                  <c:v>1.67</c:v>
                </c:pt>
                <c:pt idx="6">
                  <c:v>1.89</c:v>
                </c:pt>
                <c:pt idx="7">
                  <c:v>2.1</c:v>
                </c:pt>
                <c:pt idx="8">
                  <c:v>2.31</c:v>
                </c:pt>
                <c:pt idx="9">
                  <c:v>2.5099999999999998</c:v>
                </c:pt>
                <c:pt idx="10">
                  <c:v>2.71</c:v>
                </c:pt>
                <c:pt idx="11">
                  <c:v>2.9</c:v>
                </c:pt>
                <c:pt idx="12">
                  <c:v>3.09</c:v>
                </c:pt>
                <c:pt idx="13">
                  <c:v>3.28</c:v>
                </c:pt>
                <c:pt idx="14">
                  <c:v>3.46</c:v>
                </c:pt>
                <c:pt idx="15">
                  <c:v>3.65</c:v>
                </c:pt>
                <c:pt idx="16">
                  <c:v>3.84</c:v>
                </c:pt>
                <c:pt idx="17">
                  <c:v>4.0199999999999996</c:v>
                </c:pt>
                <c:pt idx="18">
                  <c:v>4.21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3C-4E00-8692-DA6581FD0E2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speed'!$G$7:$Y$7</c:f>
              <c:numCache>
                <c:formatCode>General</c:formatCode>
                <c:ptCount val="19"/>
                <c:pt idx="0">
                  <c:v>0</c:v>
                </c:pt>
                <c:pt idx="1">
                  <c:v>0.56000000000000005</c:v>
                </c:pt>
                <c:pt idx="2">
                  <c:v>0.89</c:v>
                </c:pt>
                <c:pt idx="3">
                  <c:v>1.17</c:v>
                </c:pt>
                <c:pt idx="4">
                  <c:v>1.42</c:v>
                </c:pt>
                <c:pt idx="5">
                  <c:v>1.65</c:v>
                </c:pt>
                <c:pt idx="6">
                  <c:v>1.86</c:v>
                </c:pt>
                <c:pt idx="7">
                  <c:v>2.0699999999999998</c:v>
                </c:pt>
                <c:pt idx="8">
                  <c:v>2.27</c:v>
                </c:pt>
                <c:pt idx="9">
                  <c:v>2.4700000000000002</c:v>
                </c:pt>
                <c:pt idx="10">
                  <c:v>2.66</c:v>
                </c:pt>
                <c:pt idx="11">
                  <c:v>2.85</c:v>
                </c:pt>
                <c:pt idx="12">
                  <c:v>3.03</c:v>
                </c:pt>
                <c:pt idx="13">
                  <c:v>3.22</c:v>
                </c:pt>
                <c:pt idx="14">
                  <c:v>3.4</c:v>
                </c:pt>
                <c:pt idx="15">
                  <c:v>3.58</c:v>
                </c:pt>
                <c:pt idx="16">
                  <c:v>3.76</c:v>
                </c:pt>
                <c:pt idx="17">
                  <c:v>3.95</c:v>
                </c:pt>
                <c:pt idx="18">
                  <c:v>4.1500000000000004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3C-4E00-8692-DA6581FD0E2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speed'!$G$8:$Y$8</c:f>
              <c:numCache>
                <c:formatCode>General</c:formatCode>
                <c:ptCount val="19"/>
                <c:pt idx="0">
                  <c:v>0</c:v>
                </c:pt>
                <c:pt idx="1">
                  <c:v>0.54</c:v>
                </c:pt>
                <c:pt idx="2">
                  <c:v>0.86</c:v>
                </c:pt>
                <c:pt idx="3">
                  <c:v>1.1299999999999999</c:v>
                </c:pt>
                <c:pt idx="4">
                  <c:v>1.36</c:v>
                </c:pt>
                <c:pt idx="5">
                  <c:v>1.59</c:v>
                </c:pt>
                <c:pt idx="6">
                  <c:v>1.79</c:v>
                </c:pt>
                <c:pt idx="7">
                  <c:v>1.99</c:v>
                </c:pt>
                <c:pt idx="8">
                  <c:v>2.1800000000000002</c:v>
                </c:pt>
                <c:pt idx="9">
                  <c:v>2.37</c:v>
                </c:pt>
                <c:pt idx="10">
                  <c:v>2.56</c:v>
                </c:pt>
                <c:pt idx="11">
                  <c:v>2.74</c:v>
                </c:pt>
                <c:pt idx="12">
                  <c:v>2.92</c:v>
                </c:pt>
                <c:pt idx="13">
                  <c:v>3.1</c:v>
                </c:pt>
                <c:pt idx="14">
                  <c:v>3.27</c:v>
                </c:pt>
                <c:pt idx="15">
                  <c:v>3.44</c:v>
                </c:pt>
                <c:pt idx="16">
                  <c:v>3.62</c:v>
                </c:pt>
                <c:pt idx="17">
                  <c:v>3.79</c:v>
                </c:pt>
                <c:pt idx="18">
                  <c:v>3.98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3C-4E00-8692-DA6581FD0E2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speed'!$G$9:$Y$9</c:f>
              <c:numCache>
                <c:formatCode>General</c:formatCode>
                <c:ptCount val="19"/>
                <c:pt idx="0">
                  <c:v>0</c:v>
                </c:pt>
                <c:pt idx="1">
                  <c:v>0.56999999999999995</c:v>
                </c:pt>
                <c:pt idx="2">
                  <c:v>0.88</c:v>
                </c:pt>
                <c:pt idx="3">
                  <c:v>1.1299999999999999</c:v>
                </c:pt>
                <c:pt idx="4">
                  <c:v>1.37</c:v>
                </c:pt>
                <c:pt idx="5">
                  <c:v>1.58</c:v>
                </c:pt>
                <c:pt idx="6">
                  <c:v>1.78</c:v>
                </c:pt>
                <c:pt idx="7">
                  <c:v>1.97</c:v>
                </c:pt>
                <c:pt idx="8">
                  <c:v>2.16</c:v>
                </c:pt>
                <c:pt idx="9">
                  <c:v>2.35</c:v>
                </c:pt>
                <c:pt idx="10">
                  <c:v>2.52</c:v>
                </c:pt>
                <c:pt idx="11">
                  <c:v>2.7</c:v>
                </c:pt>
                <c:pt idx="12">
                  <c:v>2.88</c:v>
                </c:pt>
                <c:pt idx="13">
                  <c:v>3.06</c:v>
                </c:pt>
                <c:pt idx="14">
                  <c:v>3.23</c:v>
                </c:pt>
                <c:pt idx="15">
                  <c:v>3.39</c:v>
                </c:pt>
                <c:pt idx="16">
                  <c:v>3.56</c:v>
                </c:pt>
                <c:pt idx="17">
                  <c:v>3.73</c:v>
                </c:pt>
                <c:pt idx="18">
                  <c:v>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3C-4E00-8692-DA6581FD0E2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speed'!$G$10:$Y$10</c:f>
              <c:numCache>
                <c:formatCode>General</c:formatCode>
                <c:ptCount val="19"/>
                <c:pt idx="0">
                  <c:v>0</c:v>
                </c:pt>
                <c:pt idx="1">
                  <c:v>0.53</c:v>
                </c:pt>
                <c:pt idx="2">
                  <c:v>0.83</c:v>
                </c:pt>
                <c:pt idx="3">
                  <c:v>1.0900000000000001</c:v>
                </c:pt>
                <c:pt idx="4">
                  <c:v>1.31</c:v>
                </c:pt>
                <c:pt idx="5">
                  <c:v>1.53</c:v>
                </c:pt>
                <c:pt idx="6">
                  <c:v>1.73</c:v>
                </c:pt>
                <c:pt idx="7">
                  <c:v>1.93</c:v>
                </c:pt>
                <c:pt idx="8">
                  <c:v>2.12</c:v>
                </c:pt>
                <c:pt idx="9">
                  <c:v>2.2999999999999998</c:v>
                </c:pt>
                <c:pt idx="10">
                  <c:v>2.48</c:v>
                </c:pt>
                <c:pt idx="11">
                  <c:v>2.66</c:v>
                </c:pt>
                <c:pt idx="12">
                  <c:v>2.84</c:v>
                </c:pt>
                <c:pt idx="13">
                  <c:v>3.01</c:v>
                </c:pt>
                <c:pt idx="14">
                  <c:v>3.18</c:v>
                </c:pt>
                <c:pt idx="15">
                  <c:v>3.35</c:v>
                </c:pt>
                <c:pt idx="16">
                  <c:v>3.52</c:v>
                </c:pt>
                <c:pt idx="17">
                  <c:v>3.7</c:v>
                </c:pt>
                <c:pt idx="18">
                  <c:v>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23C-4E00-8692-DA6581FD0E2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speed'!$G$11:$Y$11</c:f>
              <c:numCache>
                <c:formatCode>General</c:formatCode>
                <c:ptCount val="19"/>
                <c:pt idx="0">
                  <c:v>0</c:v>
                </c:pt>
                <c:pt idx="1">
                  <c:v>0.53</c:v>
                </c:pt>
                <c:pt idx="2">
                  <c:v>0.81</c:v>
                </c:pt>
                <c:pt idx="3">
                  <c:v>1.06</c:v>
                </c:pt>
                <c:pt idx="4">
                  <c:v>1.28</c:v>
                </c:pt>
                <c:pt idx="5">
                  <c:v>1.48</c:v>
                </c:pt>
                <c:pt idx="6">
                  <c:v>1.67</c:v>
                </c:pt>
                <c:pt idx="7">
                  <c:v>1.86</c:v>
                </c:pt>
                <c:pt idx="8">
                  <c:v>2.04</c:v>
                </c:pt>
                <c:pt idx="9">
                  <c:v>2.23</c:v>
                </c:pt>
                <c:pt idx="10">
                  <c:v>2.4</c:v>
                </c:pt>
                <c:pt idx="11">
                  <c:v>2.58</c:v>
                </c:pt>
                <c:pt idx="12">
                  <c:v>2.75</c:v>
                </c:pt>
                <c:pt idx="13">
                  <c:v>2.93</c:v>
                </c:pt>
                <c:pt idx="14">
                  <c:v>3.1</c:v>
                </c:pt>
                <c:pt idx="15">
                  <c:v>3.28</c:v>
                </c:pt>
                <c:pt idx="16">
                  <c:v>3.45</c:v>
                </c:pt>
                <c:pt idx="17">
                  <c:v>3.65</c:v>
                </c:pt>
                <c:pt idx="18">
                  <c:v>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23C-4E00-8692-DA6581FD0E2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speed'!$G$12:$Y$12</c:f>
              <c:numCache>
                <c:formatCode>General</c:formatCode>
                <c:ptCount val="19"/>
                <c:pt idx="0">
                  <c:v>0</c:v>
                </c:pt>
                <c:pt idx="1">
                  <c:v>0.54</c:v>
                </c:pt>
                <c:pt idx="2">
                  <c:v>0.84</c:v>
                </c:pt>
                <c:pt idx="3">
                  <c:v>1.0900000000000001</c:v>
                </c:pt>
                <c:pt idx="4">
                  <c:v>1.32</c:v>
                </c:pt>
                <c:pt idx="5">
                  <c:v>1.53</c:v>
                </c:pt>
                <c:pt idx="6">
                  <c:v>1.74</c:v>
                </c:pt>
                <c:pt idx="7">
                  <c:v>1.93</c:v>
                </c:pt>
                <c:pt idx="8">
                  <c:v>2.12</c:v>
                </c:pt>
                <c:pt idx="9">
                  <c:v>2.2999999999999998</c:v>
                </c:pt>
                <c:pt idx="10">
                  <c:v>2.48</c:v>
                </c:pt>
                <c:pt idx="11">
                  <c:v>2.65</c:v>
                </c:pt>
                <c:pt idx="12">
                  <c:v>2.83</c:v>
                </c:pt>
                <c:pt idx="13">
                  <c:v>3</c:v>
                </c:pt>
                <c:pt idx="14">
                  <c:v>3.17</c:v>
                </c:pt>
                <c:pt idx="15">
                  <c:v>3.33</c:v>
                </c:pt>
                <c:pt idx="16">
                  <c:v>3.5</c:v>
                </c:pt>
                <c:pt idx="17">
                  <c:v>3.67</c:v>
                </c:pt>
                <c:pt idx="18">
                  <c:v>3.86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23C-4E00-8692-DA6581FD0E2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speed'!$G$13:$Y$13</c:f>
              <c:numCache>
                <c:formatCode>General</c:formatCode>
                <c:ptCount val="19"/>
                <c:pt idx="0">
                  <c:v>0</c:v>
                </c:pt>
                <c:pt idx="1">
                  <c:v>0.56999999999999995</c:v>
                </c:pt>
                <c:pt idx="2">
                  <c:v>0.9</c:v>
                </c:pt>
                <c:pt idx="3">
                  <c:v>1.17</c:v>
                </c:pt>
                <c:pt idx="4">
                  <c:v>1.41</c:v>
                </c:pt>
                <c:pt idx="5">
                  <c:v>1.63</c:v>
                </c:pt>
                <c:pt idx="6">
                  <c:v>1.85</c:v>
                </c:pt>
                <c:pt idx="7">
                  <c:v>2.0499999999999998</c:v>
                </c:pt>
                <c:pt idx="8">
                  <c:v>2.25</c:v>
                </c:pt>
                <c:pt idx="9">
                  <c:v>2.44</c:v>
                </c:pt>
                <c:pt idx="10">
                  <c:v>2.62</c:v>
                </c:pt>
                <c:pt idx="11">
                  <c:v>2.8</c:v>
                </c:pt>
                <c:pt idx="12">
                  <c:v>2.97</c:v>
                </c:pt>
                <c:pt idx="13">
                  <c:v>3.15</c:v>
                </c:pt>
                <c:pt idx="14">
                  <c:v>3.32</c:v>
                </c:pt>
                <c:pt idx="15">
                  <c:v>3.5</c:v>
                </c:pt>
                <c:pt idx="16">
                  <c:v>3.67</c:v>
                </c:pt>
                <c:pt idx="17">
                  <c:v>3.85</c:v>
                </c:pt>
                <c:pt idx="18">
                  <c:v>4.03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23C-4E00-8692-DA6581FD0E20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speed'!$G$14:$Y$14</c:f>
              <c:numCache>
                <c:formatCode>General</c:formatCode>
                <c:ptCount val="19"/>
                <c:pt idx="0">
                  <c:v>0</c:v>
                </c:pt>
                <c:pt idx="1">
                  <c:v>0.56999999999999995</c:v>
                </c:pt>
                <c:pt idx="2">
                  <c:v>0.9</c:v>
                </c:pt>
                <c:pt idx="3">
                  <c:v>1.17</c:v>
                </c:pt>
                <c:pt idx="4">
                  <c:v>1.41</c:v>
                </c:pt>
                <c:pt idx="5">
                  <c:v>1.63</c:v>
                </c:pt>
                <c:pt idx="6">
                  <c:v>1.84</c:v>
                </c:pt>
                <c:pt idx="7">
                  <c:v>2.04</c:v>
                </c:pt>
                <c:pt idx="8">
                  <c:v>2.23</c:v>
                </c:pt>
                <c:pt idx="9">
                  <c:v>2.42</c:v>
                </c:pt>
                <c:pt idx="10">
                  <c:v>2.61</c:v>
                </c:pt>
                <c:pt idx="11">
                  <c:v>2.79</c:v>
                </c:pt>
                <c:pt idx="12">
                  <c:v>2.96</c:v>
                </c:pt>
                <c:pt idx="13">
                  <c:v>3.14</c:v>
                </c:pt>
                <c:pt idx="14">
                  <c:v>3.31</c:v>
                </c:pt>
                <c:pt idx="15">
                  <c:v>3.48</c:v>
                </c:pt>
                <c:pt idx="16">
                  <c:v>3.65</c:v>
                </c:pt>
                <c:pt idx="17">
                  <c:v>3.82</c:v>
                </c:pt>
                <c:pt idx="1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23C-4E00-8692-DA6581FD0E20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speed'!$G$15:$Y$15</c:f>
              <c:numCache>
                <c:formatCode>General</c:formatCode>
                <c:ptCount val="19"/>
                <c:pt idx="0">
                  <c:v>0</c:v>
                </c:pt>
                <c:pt idx="1">
                  <c:v>0.56000000000000005</c:v>
                </c:pt>
                <c:pt idx="2">
                  <c:v>0.87</c:v>
                </c:pt>
                <c:pt idx="3">
                  <c:v>1.1399999999999999</c:v>
                </c:pt>
                <c:pt idx="4">
                  <c:v>1.37</c:v>
                </c:pt>
                <c:pt idx="5">
                  <c:v>1.59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2.39</c:v>
                </c:pt>
                <c:pt idx="10">
                  <c:v>2.57</c:v>
                </c:pt>
                <c:pt idx="11">
                  <c:v>2.76</c:v>
                </c:pt>
                <c:pt idx="12">
                  <c:v>2.94</c:v>
                </c:pt>
                <c:pt idx="13">
                  <c:v>3.12</c:v>
                </c:pt>
                <c:pt idx="14">
                  <c:v>3.29</c:v>
                </c:pt>
                <c:pt idx="15">
                  <c:v>3.47</c:v>
                </c:pt>
                <c:pt idx="16">
                  <c:v>3.65</c:v>
                </c:pt>
                <c:pt idx="17">
                  <c:v>3.82</c:v>
                </c:pt>
                <c:pt idx="18">
                  <c:v>4.01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23C-4E00-8692-DA6581FD0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32648"/>
        <c:axId val="514733632"/>
      </c:scatterChart>
      <c:valAx>
        <c:axId val="51473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33632"/>
        <c:crosses val="autoZero"/>
        <c:crossBetween val="midCat"/>
      </c:valAx>
      <c:valAx>
        <c:axId val="5147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3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'pitch outcomes'!$B$1</c:f>
              <c:strCache>
                <c:ptCount val="1"/>
                <c:pt idx="0">
                  <c:v>Ball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'pitch outcomes'!$A$2:$A$13</c:f>
              <c:numCache>
                <c:formatCode>General</c:formatCode>
                <c:ptCount val="1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</c:numCache>
            </c:numRef>
          </c:cat>
          <c:val>
            <c:numRef>
              <c:f>'pitch outcomes'!$B$2:$B$13</c:f>
              <c:numCache>
                <c:formatCode>General</c:formatCode>
                <c:ptCount val="12"/>
                <c:pt idx="0">
                  <c:v>0.4269</c:v>
                </c:pt>
                <c:pt idx="1">
                  <c:v>0.39779999999999999</c:v>
                </c:pt>
                <c:pt idx="2">
                  <c:v>0.38600000000000001</c:v>
                </c:pt>
                <c:pt idx="3">
                  <c:v>0.3528</c:v>
                </c:pt>
                <c:pt idx="4">
                  <c:v>0.31290000000000001</c:v>
                </c:pt>
                <c:pt idx="5">
                  <c:v>0.26369999999999999</c:v>
                </c:pt>
                <c:pt idx="6">
                  <c:v>0.2505</c:v>
                </c:pt>
                <c:pt idx="7">
                  <c:v>0.23499999999999999</c:v>
                </c:pt>
                <c:pt idx="8">
                  <c:v>0.22650000000000001</c:v>
                </c:pt>
                <c:pt idx="9">
                  <c:v>0.21079999999999999</c:v>
                </c:pt>
                <c:pt idx="10">
                  <c:v>0.21149999999999999</c:v>
                </c:pt>
                <c:pt idx="11">
                  <c:v>0.20449999999999999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8-4B34-9165-7963C2BF81FF}"/>
            </c:ext>
          </c:extLst>
        </c:ser>
        <c:ser>
          <c:idx val="1"/>
          <c:order val="1"/>
          <c:tx>
            <c:strRef>
              <c:f>'pitch outcomes'!$C$1</c:f>
              <c:strCache>
                <c:ptCount val="1"/>
                <c:pt idx="0">
                  <c:v>Strike, Looking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'pitch outcomes'!$A$2:$A$13</c:f>
              <c:numCache>
                <c:formatCode>General</c:formatCode>
                <c:ptCount val="1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</c:numCache>
            </c:numRef>
          </c:cat>
          <c:val>
            <c:numRef>
              <c:f>'pitch outcomes'!$C$2:$C$13</c:f>
              <c:numCache>
                <c:formatCode>General</c:formatCode>
                <c:ptCount val="12"/>
                <c:pt idx="0">
                  <c:v>0.28660000000000002</c:v>
                </c:pt>
                <c:pt idx="1">
                  <c:v>0.1666</c:v>
                </c:pt>
                <c:pt idx="2">
                  <c:v>0.1285</c:v>
                </c:pt>
                <c:pt idx="3">
                  <c:v>0.11700000000000001</c:v>
                </c:pt>
                <c:pt idx="4">
                  <c:v>7.6700000000000004E-2</c:v>
                </c:pt>
                <c:pt idx="5">
                  <c:v>4.3999999999999997E-2</c:v>
                </c:pt>
                <c:pt idx="6">
                  <c:v>4.0500000000000001E-2</c:v>
                </c:pt>
                <c:pt idx="7">
                  <c:v>3.8199999999999998E-2</c:v>
                </c:pt>
                <c:pt idx="8">
                  <c:v>3.5999999999999997E-2</c:v>
                </c:pt>
                <c:pt idx="9">
                  <c:v>3.2000000000000001E-2</c:v>
                </c:pt>
                <c:pt idx="10">
                  <c:v>3.2500000000000001E-2</c:v>
                </c:pt>
                <c:pt idx="11">
                  <c:v>3.56E-2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8-4B34-9165-7963C2BF81FF}"/>
            </c:ext>
          </c:extLst>
        </c:ser>
        <c:ser>
          <c:idx val="2"/>
          <c:order val="2"/>
          <c:tx>
            <c:strRef>
              <c:f>'pitch outcomes'!$D$1</c:f>
              <c:strCache>
                <c:ptCount val="1"/>
                <c:pt idx="0">
                  <c:v>Foul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'pitch outcomes'!$A$2:$A$13</c:f>
              <c:numCache>
                <c:formatCode>General</c:formatCode>
                <c:ptCount val="1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</c:numCache>
            </c:numRef>
          </c:cat>
          <c:val>
            <c:numRef>
              <c:f>'pitch outcomes'!$D$2:$D$13</c:f>
              <c:numCache>
                <c:formatCode>General</c:formatCode>
                <c:ptCount val="12"/>
                <c:pt idx="0">
                  <c:v>0.1007</c:v>
                </c:pt>
                <c:pt idx="1">
                  <c:v>0.1575</c:v>
                </c:pt>
                <c:pt idx="2">
                  <c:v>0.1787</c:v>
                </c:pt>
                <c:pt idx="3">
                  <c:v>0.19789999999999999</c:v>
                </c:pt>
                <c:pt idx="4">
                  <c:v>0.23</c:v>
                </c:pt>
                <c:pt idx="5">
                  <c:v>0.26490000000000002</c:v>
                </c:pt>
                <c:pt idx="6">
                  <c:v>0.27650000000000002</c:v>
                </c:pt>
                <c:pt idx="7">
                  <c:v>0.28849999999999998</c:v>
                </c:pt>
                <c:pt idx="8">
                  <c:v>0.29699999999999999</c:v>
                </c:pt>
                <c:pt idx="9">
                  <c:v>0.314</c:v>
                </c:pt>
                <c:pt idx="10">
                  <c:v>0.31419999999999998</c:v>
                </c:pt>
                <c:pt idx="11">
                  <c:v>0.31430000000000002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8-4B34-9165-7963C2BF81FF}"/>
            </c:ext>
          </c:extLst>
        </c:ser>
        <c:ser>
          <c:idx val="3"/>
          <c:order val="3"/>
          <c:tx>
            <c:strRef>
              <c:f>'pitch outcomes'!$E$1</c:f>
              <c:strCache>
                <c:ptCount val="1"/>
                <c:pt idx="0">
                  <c:v>Strike, Swinging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'pitch outcomes'!$A$2:$A$13</c:f>
              <c:numCache>
                <c:formatCode>General</c:formatCode>
                <c:ptCount val="1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</c:numCache>
            </c:numRef>
          </c:cat>
          <c:val>
            <c:numRef>
              <c:f>'pitch outcomes'!$E$2:$E$13</c:f>
              <c:numCache>
                <c:formatCode>General</c:formatCode>
                <c:ptCount val="12"/>
                <c:pt idx="0">
                  <c:v>5.8200000000000002E-2</c:v>
                </c:pt>
                <c:pt idx="1">
                  <c:v>9.0399999999999994E-2</c:v>
                </c:pt>
                <c:pt idx="2">
                  <c:v>9.9400000000000002E-2</c:v>
                </c:pt>
                <c:pt idx="3">
                  <c:v>0.1057</c:v>
                </c:pt>
                <c:pt idx="4">
                  <c:v>0.112</c:v>
                </c:pt>
                <c:pt idx="5">
                  <c:v>0.1154</c:v>
                </c:pt>
                <c:pt idx="6">
                  <c:v>0.1104</c:v>
                </c:pt>
                <c:pt idx="7">
                  <c:v>0.1062</c:v>
                </c:pt>
                <c:pt idx="8">
                  <c:v>0.1031</c:v>
                </c:pt>
                <c:pt idx="9">
                  <c:v>0.1033</c:v>
                </c:pt>
                <c:pt idx="10">
                  <c:v>0.10489999999999999</c:v>
                </c:pt>
                <c:pt idx="11">
                  <c:v>0.10580000000000001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18-4B34-9165-7963C2BF81FF}"/>
            </c:ext>
          </c:extLst>
        </c:ser>
        <c:ser>
          <c:idx val="4"/>
          <c:order val="4"/>
          <c:tx>
            <c:strRef>
              <c:f>'pitch outcomes'!$F$1</c:f>
              <c:strCache>
                <c:ptCount val="1"/>
                <c:pt idx="0">
                  <c:v>Ball In 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'pitch outcomes'!$A$2:$A$13</c:f>
              <c:numCache>
                <c:formatCode>General</c:formatCode>
                <c:ptCount val="1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</c:numCache>
            </c:numRef>
          </c:cat>
          <c:val>
            <c:numRef>
              <c:f>'pitch outcomes'!$F$2:$F$13</c:f>
              <c:numCache>
                <c:formatCode>General</c:formatCode>
                <c:ptCount val="12"/>
                <c:pt idx="0">
                  <c:v>0.12759999999999999</c:v>
                </c:pt>
                <c:pt idx="1">
                  <c:v>0.18770000000000001</c:v>
                </c:pt>
                <c:pt idx="2">
                  <c:v>0.20730000000000001</c:v>
                </c:pt>
                <c:pt idx="3">
                  <c:v>0.2266</c:v>
                </c:pt>
                <c:pt idx="4">
                  <c:v>0.26850000000000002</c:v>
                </c:pt>
                <c:pt idx="5">
                  <c:v>0.31190000000000001</c:v>
                </c:pt>
                <c:pt idx="6">
                  <c:v>0.32200000000000001</c:v>
                </c:pt>
                <c:pt idx="7">
                  <c:v>0.3322</c:v>
                </c:pt>
                <c:pt idx="8">
                  <c:v>0.33739999999999998</c:v>
                </c:pt>
                <c:pt idx="9">
                  <c:v>0.34</c:v>
                </c:pt>
                <c:pt idx="10">
                  <c:v>0.33689999999999998</c:v>
                </c:pt>
                <c:pt idx="11">
                  <c:v>0.33979999999999999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18-4B34-9165-7963C2BF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374992"/>
        <c:axId val="271375320"/>
      </c:lineChart>
      <c:catAx>
        <c:axId val="2713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75320"/>
        <c:crosses val="autoZero"/>
        <c:auto val="1"/>
        <c:lblAlgn val="ctr"/>
        <c:lblOffset val="100"/>
        <c:noMultiLvlLbl val="0"/>
      </c:catAx>
      <c:valAx>
        <c:axId val="27137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7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4F-4A35-B5E6-B71F36E171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4F-4A35-B5E6-B71F36E171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4F-4A35-B5E6-B71F36E171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4F-4A35-B5E6-B71F36E171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4F-4A35-B5E6-B71F36E1716A}"/>
              </c:ext>
            </c:extLst>
          </c:dPt>
          <c:cat>
            <c:strRef>
              <c:f>'pitch outcomes'!$B$1:$F$1</c:f>
              <c:strCache>
                <c:ptCount val="5"/>
                <c:pt idx="0">
                  <c:v>Ball</c:v>
                </c:pt>
                <c:pt idx="1">
                  <c:v>Strike, Looking</c:v>
                </c:pt>
                <c:pt idx="2">
                  <c:v>Foul</c:v>
                </c:pt>
                <c:pt idx="3">
                  <c:v>Strike, Swinging</c:v>
                </c:pt>
                <c:pt idx="4">
                  <c:v>Ball In Play</c:v>
                </c:pt>
              </c:strCache>
            </c:strRef>
          </c:cat>
          <c:val>
            <c:numRef>
              <c:f>'pitch outcomes'!$B$17:$F$17</c:f>
              <c:numCache>
                <c:formatCode>General</c:formatCode>
                <c:ptCount val="5"/>
                <c:pt idx="0">
                  <c:v>0.28990833333333332</c:v>
                </c:pt>
                <c:pt idx="1">
                  <c:v>8.6183333333333348E-2</c:v>
                </c:pt>
                <c:pt idx="2">
                  <c:v>0.24451666666666663</c:v>
                </c:pt>
                <c:pt idx="3">
                  <c:v>0.10123333333333333</c:v>
                </c:pt>
                <c:pt idx="4">
                  <c:v>0.27815833333333334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3-4FBF-9343-F144DCC8B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18</xdr:row>
      <xdr:rowOff>38100</xdr:rowOff>
    </xdr:from>
    <xdr:to>
      <xdr:col>22</xdr:col>
      <xdr:colOff>219075</xdr:colOff>
      <xdr:row>59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1</xdr:row>
      <xdr:rowOff>38100</xdr:rowOff>
    </xdr:from>
    <xdr:to>
      <xdr:col>19</xdr:col>
      <xdr:colOff>228599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514350</xdr:colOff>
      <xdr:row>2</xdr:row>
      <xdr:rowOff>47625</xdr:rowOff>
    </xdr:from>
    <xdr:to>
      <xdr:col>26</xdr:col>
      <xdr:colOff>361950</xdr:colOff>
      <xdr:row>25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5:AD21" totalsRowShown="0" headerRowDxfId="19">
  <autoFilter ref="A5:AD21"/>
  <tableColumns count="30">
    <tableColumn id="1" name="Rep #">
      <calculatedColumnFormula>ROW()-ROW(home)</calculatedColumnFormula>
    </tableColumn>
    <tableColumn id="2" name="offense" dataDxfId="21">
      <calculatedColumnFormula>INDEX(oratings, 1, 1+MOD(Table3[[#This Row],[Rep '#]]-1, COUNT(oratings)))</calculatedColumnFormula>
    </tableColumn>
    <tableColumn id="3" name="defense" dataDxfId="20">
      <calculatedColumnFormula>INDEX(dratings, 1, MOD(FLOOR( (Table3[[#This Row],[Rep '#]]-1) / COUNT(oratings), 1), COUNT(dratings))+1)</calculatedColumnFormula>
    </tableColumn>
    <tableColumn id="4" name="base leadoff" dataDxfId="12">
      <calculatedColumnFormula>Table3[[#This Row],[offense]]*$D$25+0.05</calculatedColumnFormula>
    </tableColumn>
    <tableColumn id="5" name="leadoff modifier" dataDxfId="11">
      <calculatedColumnFormula>((2*Table3[[#This Row],[defense]]+1*Table3[[#This Row],[defense]])-1.5)*Table3[[#This Row],[offense]]*$E$25</calculatedColumnFormula>
    </tableColumn>
    <tableColumn id="6" name="total leadoff (ft)" dataDxfId="10">
      <calculatedColumnFormula>MAX(Table3[[#This Row],[base leadoff]]*(1-Table3[[#This Row],[leadoff modifier]]) * 90, 0)</calculatedColumnFormula>
    </tableColumn>
    <tableColumn id="7" name="pickoff manuver (s)" dataDxfId="18">
      <calculatedColumnFormula>1.1 - Table3[[#This Row],[defense]]*0.1</calculatedColumnFormula>
    </tableColumn>
    <tableColumn id="8" name="throw speed (s/ft)" dataDxfId="17">
      <calculatedColumnFormula xml:space="preserve"> 0.01 - 0.0025 *  Table3[[#This Row],[defense]]</calculatedColumnFormula>
    </tableColumn>
    <tableColumn id="32" name="throw speed (mph)" dataDxfId="15">
      <calculatedColumnFormula>1 / Table3[[#This Row],[throw speed (s/ft)]] * ((60 * 60)/5280)</calculatedColumnFormula>
    </tableColumn>
    <tableColumn id="9" name="pickoff time" dataDxfId="16">
      <calculatedColumnFormula>Table3[[#This Row],[pickoff manuver (s)]]+60*Table3[[#This Row],[throw speed (s/ft)]]</calculatedColumnFormula>
    </tableColumn>
    <tableColumn id="10" name="runner reaction" dataDxfId="9">
      <calculatedColumnFormula>$K$27-$K$25*Table3[[#This Row],[offense]]</calculatedColumnFormula>
    </tableColumn>
    <tableColumn id="11" name="runner speed (s/ft)" dataDxfId="3">
      <calculatedColumnFormula>0.05 - Table3[[#This Row],[offense]]*$L$25</calculatedColumnFormula>
    </tableColumn>
    <tableColumn id="12" name="runner speed (mph)" dataDxfId="14">
      <calculatedColumnFormula>1 / Table3[[#This Row],[runner speed (s/ft)]] * ((60 * 60)/5280)</calculatedColumnFormula>
    </tableColumn>
    <tableColumn id="13" name="pickoff evade time" dataDxfId="13">
      <calculatedColumnFormula>Table3[[#This Row],[runner reaction]]+Table3[[#This Row],[runner speed (s/ft)]]*Table3[[#This Row],[total leadoff (ft)]]</calculatedColumnFormula>
    </tableColumn>
    <tableColumn id="14" name="pickoff probability" dataDxfId="7" dataCellStyle="Percent">
      <calculatedColumnFormula>1 - _xlfn.NORM.DIST(Table3[[#This Row],[pickoff time]], Table3[[#This Row],[pickoff evade time]], $O$4, TRUE)</calculatedColumnFormula>
    </tableColumn>
    <tableColumn id="17" name="Fielding Odds" dataDxfId="6" dataCellStyle="Percent">
      <calculatedColumnFormula>_xlfn.NORM.DIST(Table3[[#This Row],[defense]], $P$25, $P$26, TRUE)</calculatedColumnFormula>
    </tableColumn>
    <tableColumn id="18" name="pickoff worth it?" dataDxfId="5">
      <calculatedColumnFormula>Table3[[#This Row],[pickoff probability]] &gt; 1-Table3[[#This Row],[Fielding Odds]]</calculatedColumnFormula>
    </tableColumn>
    <tableColumn id="19" name="Error %" dataDxfId="4" dataCellStyle="Percent">
      <calculatedColumnFormula>1-Table3[[#This Row],[Fielding Odds]]</calculatedColumnFormula>
    </tableColumn>
    <tableColumn id="20" name="Blatant steal time" dataDxfId="2">
      <calculatedColumnFormula>(90-Table3[[#This Row],[total leadoff (ft)]])*Table3[[#This Row],[runner speed (s/ft)]]</calculatedColumnFormula>
    </tableColumn>
    <tableColumn id="21" name="Response speed" dataDxfId="0">
      <calculatedColumnFormula>$T$25*(2-Table3[[#This Row],[defense]]) + Table3[[#This Row],[pickoff time]]</calculatedColumnFormula>
    </tableColumn>
    <tableColumn id="22" name="blatant steal probability" dataDxfId="1" dataCellStyle="Percent">
      <calculatedColumnFormula>_xlfn.NORM.DIST(Table3[[#This Row],[Response speed]], Table3[[#This Row],[Blatant steal time]], $U$4, TRUE)</calculatedColumnFormula>
    </tableColumn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abSelected="1" topLeftCell="M1" workbookViewId="0">
      <selection activeCell="U24" sqref="U24"/>
    </sheetView>
  </sheetViews>
  <sheetFormatPr defaultColWidth="14.28515625" defaultRowHeight="15" x14ac:dyDescent="0.25"/>
  <sheetData>
    <row r="1" spans="1:30" x14ac:dyDescent="0.25">
      <c r="A1" t="s">
        <v>5</v>
      </c>
      <c r="B1">
        <v>0.1</v>
      </c>
      <c r="C1">
        <v>0.5</v>
      </c>
      <c r="D1">
        <v>1</v>
      </c>
      <c r="E1">
        <v>2</v>
      </c>
    </row>
    <row r="2" spans="1:30" x14ac:dyDescent="0.25">
      <c r="A2" t="s">
        <v>6</v>
      </c>
      <c r="B2">
        <v>0.1</v>
      </c>
      <c r="C2">
        <v>0.5</v>
      </c>
      <c r="D2">
        <v>1</v>
      </c>
      <c r="E2">
        <v>2</v>
      </c>
    </row>
    <row r="3" spans="1:30" x14ac:dyDescent="0.25">
      <c r="A3" t="s">
        <v>7</v>
      </c>
      <c r="B3">
        <f>COUNT(oratings)*COUNT(dratings)</f>
        <v>16</v>
      </c>
      <c r="O3" t="s">
        <v>90</v>
      </c>
      <c r="U3" t="s">
        <v>95</v>
      </c>
    </row>
    <row r="4" spans="1:30" x14ac:dyDescent="0.25">
      <c r="O4">
        <v>0.2</v>
      </c>
      <c r="U4">
        <v>0.6</v>
      </c>
    </row>
    <row r="5" spans="1:30" s="2" customFormat="1" ht="30" x14ac:dyDescent="0.25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87</v>
      </c>
      <c r="H5" s="2" t="s">
        <v>86</v>
      </c>
      <c r="I5" s="2" t="s">
        <v>84</v>
      </c>
      <c r="J5" s="2" t="s">
        <v>73</v>
      </c>
      <c r="K5" s="2" t="s">
        <v>83</v>
      </c>
      <c r="L5" s="2" t="s">
        <v>85</v>
      </c>
      <c r="M5" s="2" t="s">
        <v>88</v>
      </c>
      <c r="N5" s="2" t="s">
        <v>89</v>
      </c>
      <c r="O5" s="2" t="s">
        <v>97</v>
      </c>
      <c r="P5" s="2" t="s">
        <v>113</v>
      </c>
      <c r="Q5" s="2" t="s">
        <v>114</v>
      </c>
      <c r="R5" s="2" t="s">
        <v>115</v>
      </c>
      <c r="S5" s="2" t="s">
        <v>116</v>
      </c>
      <c r="T5" s="2" t="s">
        <v>117</v>
      </c>
      <c r="U5" s="2" t="s">
        <v>119</v>
      </c>
      <c r="V5" s="2" t="s">
        <v>74</v>
      </c>
      <c r="W5" s="2" t="s">
        <v>75</v>
      </c>
      <c r="X5" s="2" t="s">
        <v>76</v>
      </c>
      <c r="Y5" s="2" t="s">
        <v>77</v>
      </c>
      <c r="Z5" s="2" t="s">
        <v>78</v>
      </c>
      <c r="AA5" s="2" t="s">
        <v>79</v>
      </c>
      <c r="AB5" s="2" t="s">
        <v>80</v>
      </c>
      <c r="AC5" s="2" t="s">
        <v>81</v>
      </c>
      <c r="AD5" s="2" t="s">
        <v>82</v>
      </c>
    </row>
    <row r="6" spans="1:30" s="29" customFormat="1" x14ac:dyDescent="0.25">
      <c r="A6" s="28">
        <f>ROW()-ROW(home)</f>
        <v>1</v>
      </c>
      <c r="B6" s="29">
        <f>INDEX(oratings, 1, 1+MOD(Table3[[#This Row],[Rep '#]]-1, COUNT(oratings)))</f>
        <v>0.1</v>
      </c>
      <c r="C6" s="29">
        <f>INDEX(dratings, 1, MOD(FLOOR( (Table3[[#This Row],[Rep '#]]-1) / COUNT(oratings), 1), COUNT(dratings))+1)</f>
        <v>0.1</v>
      </c>
      <c r="D6" s="29">
        <f>Table3[[#This Row],[offense]]*$D$25+0.05</f>
        <v>6.0000000000000005E-2</v>
      </c>
      <c r="E6" s="29">
        <f>((2*Table3[[#This Row],[defense]]+1*Table3[[#This Row],[defense]])-1.5)*Table3[[#This Row],[offense]]*$E$25</f>
        <v>-1.2E-2</v>
      </c>
      <c r="F6" s="29">
        <f>MAX(Table3[[#This Row],[base leadoff]]*(1-Table3[[#This Row],[leadoff modifier]]) * 90, 0)</f>
        <v>5.4648000000000003</v>
      </c>
      <c r="G6" s="29">
        <f>1.1 - Table3[[#This Row],[defense]]*0.1</f>
        <v>1.0900000000000001</v>
      </c>
      <c r="H6" s="29">
        <f xml:space="preserve"> 0.01 - 0.0025 *  Table3[[#This Row],[defense]]</f>
        <v>9.75E-3</v>
      </c>
      <c r="I6" s="29">
        <f>1 / Table3[[#This Row],[throw speed (s/ft)]] * ((60 * 60)/5280)</f>
        <v>69.930069930069934</v>
      </c>
      <c r="J6" s="29">
        <f>Table3[[#This Row],[pickoff manuver (s)]]+60*Table3[[#This Row],[throw speed (s/ft)]]</f>
        <v>1.675</v>
      </c>
      <c r="K6" s="29">
        <f>$K$27-$K$25*Table3[[#This Row],[offense]]</f>
        <v>0.88</v>
      </c>
      <c r="L6" s="29">
        <f>0.05 - Table3[[#This Row],[offense]]*$L$25</f>
        <v>4.9000000000000002E-2</v>
      </c>
      <c r="M6" s="29">
        <f>1 / Table3[[#This Row],[runner speed (s/ft)]] * ((60 * 60)/5280)</f>
        <v>13.914656771799628</v>
      </c>
      <c r="N6" s="29">
        <f>Table3[[#This Row],[runner reaction]]+Table3[[#This Row],[runner speed (s/ft)]]*Table3[[#This Row],[total leadoff (ft)]]</f>
        <v>1.1477752000000001</v>
      </c>
      <c r="O6" s="30">
        <f>1 - _xlfn.NORM.DIST(Table3[[#This Row],[pickoff time]], Table3[[#This Row],[pickoff evade time]], $O$4, TRUE)</f>
        <v>4.1929540286620437E-3</v>
      </c>
      <c r="P6" s="48">
        <f>_xlfn.NORM.DIST(Table3[[#This Row],[defense]], $P$25, $P$26, TRUE)</f>
        <v>0.96588837667724492</v>
      </c>
      <c r="Q6" s="29" t="b">
        <f>Table3[[#This Row],[pickoff probability]] &gt; 1-Table3[[#This Row],[Fielding Odds]]</f>
        <v>0</v>
      </c>
      <c r="R6" s="48">
        <f>1-Table3[[#This Row],[Fielding Odds]]</f>
        <v>3.411162332275508E-2</v>
      </c>
      <c r="S6" s="29">
        <f>(90-Table3[[#This Row],[total leadoff (ft)]])*Table3[[#This Row],[runner speed (s/ft)]]</f>
        <v>4.1422248000000002</v>
      </c>
      <c r="T6" s="29">
        <f>$T$25*(2-Table3[[#This Row],[defense]]) + Table3[[#This Row],[pickoff time]]</f>
        <v>2.0550000000000002</v>
      </c>
      <c r="U6" s="48">
        <f>_xlfn.NORM.DIST(Table3[[#This Row],[Response speed]], Table3[[#This Row],[Blatant steal time]], $U$4, TRUE)</f>
        <v>2.5191863061619241E-4</v>
      </c>
    </row>
    <row r="7" spans="1:30" s="3" customFormat="1" x14ac:dyDescent="0.25">
      <c r="A7" s="3">
        <f>ROW()-ROW(home)</f>
        <v>2</v>
      </c>
      <c r="B7" s="3">
        <f>INDEX(oratings, 1, 1+MOD(Table3[[#This Row],[Rep '#]]-1, COUNT(oratings)))</f>
        <v>0.5</v>
      </c>
      <c r="C7" s="3">
        <f>INDEX(dratings, 1, MOD(FLOOR( (Table3[[#This Row],[Rep '#]]-1) / COUNT(oratings), 1), COUNT(dratings))+1)</f>
        <v>0.1</v>
      </c>
      <c r="D7" s="3">
        <f>Table3[[#This Row],[offense]]*$D$25+0.05</f>
        <v>0.1</v>
      </c>
      <c r="E7" s="3">
        <f>((2*Table3[[#This Row],[defense]]+1*Table3[[#This Row],[defense]])-1.5)*Table3[[#This Row],[offense]]*$E$25</f>
        <v>-0.06</v>
      </c>
      <c r="F7" s="3">
        <f>MAX(Table3[[#This Row],[base leadoff]]*(1-Table3[[#This Row],[leadoff modifier]]) * 90, 0)</f>
        <v>9.5400000000000009</v>
      </c>
      <c r="G7" s="3">
        <f>1.1 - Table3[[#This Row],[defense]]*0.1</f>
        <v>1.0900000000000001</v>
      </c>
      <c r="H7" s="3">
        <f xml:space="preserve"> 0.01 - 0.0025 *  Table3[[#This Row],[defense]]</f>
        <v>9.75E-3</v>
      </c>
      <c r="I7" s="3">
        <f>1 / Table3[[#This Row],[throw speed (s/ft)]] * ((60 * 60)/5280)</f>
        <v>69.930069930069934</v>
      </c>
      <c r="J7" s="3">
        <f>Table3[[#This Row],[pickoff manuver (s)]]+60*Table3[[#This Row],[throw speed (s/ft)]]</f>
        <v>1.675</v>
      </c>
      <c r="K7" s="3">
        <f>$K$27-$K$25*Table3[[#This Row],[offense]]</f>
        <v>0.8</v>
      </c>
      <c r="L7" s="3">
        <f>0.05 - Table3[[#This Row],[offense]]*$L$25</f>
        <v>4.5000000000000005E-2</v>
      </c>
      <c r="M7" s="3">
        <f>1 / Table3[[#This Row],[runner speed (s/ft)]] * ((60 * 60)/5280)</f>
        <v>15.151515151515147</v>
      </c>
      <c r="N7" s="3">
        <f>Table3[[#This Row],[runner reaction]]+Table3[[#This Row],[runner speed (s/ft)]]*Table3[[#This Row],[total leadoff (ft)]]</f>
        <v>1.2293000000000001</v>
      </c>
      <c r="O7" s="7">
        <f>1 - _xlfn.NORM.DIST(Table3[[#This Row],[pickoff time]], Table3[[#This Row],[pickoff evade time]], $O$4, TRUE)</f>
        <v>1.2923595669015353E-2</v>
      </c>
      <c r="P7" s="49">
        <f>_xlfn.NORM.DIST(Table3[[#This Row],[defense]], $P$25, $P$26, TRUE)</f>
        <v>0.96588837667724492</v>
      </c>
      <c r="Q7" s="3" t="b">
        <f>Table3[[#This Row],[pickoff probability]] &gt; 1-Table3[[#This Row],[Fielding Odds]]</f>
        <v>0</v>
      </c>
      <c r="R7" s="49">
        <f>1-Table3[[#This Row],[Fielding Odds]]</f>
        <v>3.411162332275508E-2</v>
      </c>
      <c r="S7" s="3">
        <f>(90-Table3[[#This Row],[total leadoff (ft)]])*Table3[[#This Row],[runner speed (s/ft)]]</f>
        <v>3.6207000000000003</v>
      </c>
      <c r="T7" s="3">
        <f>$T$25*(2-Table3[[#This Row],[defense]]) + Table3[[#This Row],[pickoff time]]</f>
        <v>2.0550000000000002</v>
      </c>
      <c r="U7" s="49">
        <f>_xlfn.NORM.DIST(Table3[[#This Row],[Response speed]], Table3[[#This Row],[Blatant steal time]], $U$4, TRUE)</f>
        <v>4.5337323029872069E-3</v>
      </c>
    </row>
    <row r="8" spans="1:30" s="4" customFormat="1" x14ac:dyDescent="0.25">
      <c r="A8" s="4">
        <f>ROW()-ROW(home)</f>
        <v>3</v>
      </c>
      <c r="B8" s="4">
        <f>INDEX(oratings, 1, 1+MOD(Table3[[#This Row],[Rep '#]]-1, COUNT(oratings)))</f>
        <v>1</v>
      </c>
      <c r="C8" s="4">
        <f>INDEX(dratings, 1, MOD(FLOOR( (Table3[[#This Row],[Rep '#]]-1) / COUNT(oratings), 1), COUNT(dratings))+1)</f>
        <v>0.1</v>
      </c>
      <c r="D8" s="4">
        <f>Table3[[#This Row],[offense]]*$D$25+0.05</f>
        <v>0.15000000000000002</v>
      </c>
      <c r="E8" s="4">
        <f>((2*Table3[[#This Row],[defense]]+1*Table3[[#This Row],[defense]])-1.5)*Table3[[#This Row],[offense]]*$E$25</f>
        <v>-0.12</v>
      </c>
      <c r="F8" s="4">
        <f>MAX(Table3[[#This Row],[base leadoff]]*(1-Table3[[#This Row],[leadoff modifier]]) * 90, 0)</f>
        <v>15.120000000000003</v>
      </c>
      <c r="G8" s="4">
        <f>1.1 - Table3[[#This Row],[defense]]*0.1</f>
        <v>1.0900000000000001</v>
      </c>
      <c r="H8" s="4">
        <f xml:space="preserve"> 0.01 - 0.0025 *  Table3[[#This Row],[defense]]</f>
        <v>9.75E-3</v>
      </c>
      <c r="I8" s="4">
        <f>1 / Table3[[#This Row],[throw speed (s/ft)]] * ((60 * 60)/5280)</f>
        <v>69.930069930069934</v>
      </c>
      <c r="J8" s="4">
        <f>Table3[[#This Row],[pickoff manuver (s)]]+60*Table3[[#This Row],[throw speed (s/ft)]]</f>
        <v>1.675</v>
      </c>
      <c r="K8" s="4">
        <f>$K$27-$K$25*Table3[[#This Row],[offense]]</f>
        <v>0.7</v>
      </c>
      <c r="L8" s="4">
        <f>0.05 - Table3[[#This Row],[offense]]*$L$25</f>
        <v>0.04</v>
      </c>
      <c r="M8" s="4">
        <f>1 / Table3[[#This Row],[runner speed (s/ft)]] * ((60 * 60)/5280)</f>
        <v>17.045454545454543</v>
      </c>
      <c r="N8" s="4">
        <f>Table3[[#This Row],[runner reaction]]+Table3[[#This Row],[runner speed (s/ft)]]*Table3[[#This Row],[total leadoff (ft)]]</f>
        <v>1.3048000000000002</v>
      </c>
      <c r="O8" s="10">
        <f>1 - _xlfn.NORM.DIST(Table3[[#This Row],[pickoff time]], Table3[[#This Row],[pickoff evade time]], $O$4, TRUE)</f>
        <v>3.208477655219244E-2</v>
      </c>
      <c r="P8" s="50">
        <f>_xlfn.NORM.DIST(Table3[[#This Row],[defense]], $P$25, $P$26, TRUE)</f>
        <v>0.96588837667724492</v>
      </c>
      <c r="Q8" s="4" t="b">
        <f>Table3[[#This Row],[pickoff probability]] &gt; 1-Table3[[#This Row],[Fielding Odds]]</f>
        <v>0</v>
      </c>
      <c r="R8" s="50">
        <f>1-Table3[[#This Row],[Fielding Odds]]</f>
        <v>3.411162332275508E-2</v>
      </c>
      <c r="S8" s="4">
        <f>(90-Table3[[#This Row],[total leadoff (ft)]])*Table3[[#This Row],[runner speed (s/ft)]]</f>
        <v>2.9952000000000001</v>
      </c>
      <c r="T8" s="4">
        <f>$T$25*(2-Table3[[#This Row],[defense]]) + Table3[[#This Row],[pickoff time]]</f>
        <v>2.0550000000000002</v>
      </c>
      <c r="U8" s="50">
        <f>_xlfn.NORM.DIST(Table3[[#This Row],[Response speed]], Table3[[#This Row],[Blatant steal time]], $U$4, TRUE)</f>
        <v>5.8557345807363756E-2</v>
      </c>
    </row>
    <row r="9" spans="1:30" s="3" customFormat="1" x14ac:dyDescent="0.25">
      <c r="A9" s="3">
        <f>ROW()-ROW(home)</f>
        <v>4</v>
      </c>
      <c r="B9" s="3">
        <f>INDEX(oratings, 1, 1+MOD(Table3[[#This Row],[Rep '#]]-1, COUNT(oratings)))</f>
        <v>2</v>
      </c>
      <c r="C9" s="3">
        <f>INDEX(dratings, 1, MOD(FLOOR( (Table3[[#This Row],[Rep '#]]-1) / COUNT(oratings), 1), COUNT(dratings))+1)</f>
        <v>0.1</v>
      </c>
      <c r="D9" s="3">
        <f>Table3[[#This Row],[offense]]*$D$25+0.05</f>
        <v>0.25</v>
      </c>
      <c r="E9" s="3">
        <f>((2*Table3[[#This Row],[defense]]+1*Table3[[#This Row],[defense]])-1.5)*Table3[[#This Row],[offense]]*$E$25</f>
        <v>-0.24</v>
      </c>
      <c r="F9" s="3">
        <f>MAX(Table3[[#This Row],[base leadoff]]*(1-Table3[[#This Row],[leadoff modifier]]) * 90, 0)</f>
        <v>27.9</v>
      </c>
      <c r="G9" s="3">
        <f>1.1 - Table3[[#This Row],[defense]]*0.1</f>
        <v>1.0900000000000001</v>
      </c>
      <c r="H9" s="3">
        <f xml:space="preserve"> 0.01 - 0.0025 *  Table3[[#This Row],[defense]]</f>
        <v>9.75E-3</v>
      </c>
      <c r="I9" s="3">
        <f>1 / Table3[[#This Row],[throw speed (s/ft)]] * ((60 * 60)/5280)</f>
        <v>69.930069930069934</v>
      </c>
      <c r="J9" s="3">
        <f>Table3[[#This Row],[pickoff manuver (s)]]+60*Table3[[#This Row],[throw speed (s/ft)]]</f>
        <v>1.675</v>
      </c>
      <c r="K9" s="3">
        <f>$K$27-$K$25*Table3[[#This Row],[offense]]</f>
        <v>0.5</v>
      </c>
      <c r="L9" s="3">
        <f>0.05 - Table3[[#This Row],[offense]]*$L$25</f>
        <v>3.0000000000000002E-2</v>
      </c>
      <c r="M9" s="3">
        <f>1 / Table3[[#This Row],[runner speed (s/ft)]] * ((60 * 60)/5280)</f>
        <v>22.727272727272723</v>
      </c>
      <c r="N9" s="3">
        <f>Table3[[#This Row],[runner reaction]]+Table3[[#This Row],[runner speed (s/ft)]]*Table3[[#This Row],[total leadoff (ft)]]</f>
        <v>1.3370000000000002</v>
      </c>
      <c r="O9" s="7">
        <f>1 - _xlfn.NORM.DIST(Table3[[#This Row],[pickoff time]], Table3[[#This Row],[pickoff evade time]], $O$4, TRUE)</f>
        <v>4.5513977321549826E-2</v>
      </c>
      <c r="P9" s="49">
        <f>_xlfn.NORM.DIST(Table3[[#This Row],[defense]], $P$25, $P$26, TRUE)</f>
        <v>0.96588837667724492</v>
      </c>
      <c r="Q9" s="3" t="b">
        <f>Table3[[#This Row],[pickoff probability]] &gt; 1-Table3[[#This Row],[Fielding Odds]]</f>
        <v>1</v>
      </c>
      <c r="R9" s="49">
        <f>1-Table3[[#This Row],[Fielding Odds]]</f>
        <v>3.411162332275508E-2</v>
      </c>
      <c r="S9" s="3">
        <f>(90-Table3[[#This Row],[total leadoff (ft)]])*Table3[[#This Row],[runner speed (s/ft)]]</f>
        <v>1.8630000000000002</v>
      </c>
      <c r="T9" s="3">
        <f>$T$25*(2-Table3[[#This Row],[defense]]) + Table3[[#This Row],[pickoff time]]</f>
        <v>2.0550000000000002</v>
      </c>
      <c r="U9" s="49">
        <f>_xlfn.NORM.DIST(Table3[[#This Row],[Response speed]], Table3[[#This Row],[Blatant steal time]], $U$4, TRUE)</f>
        <v>0.62551583472332006</v>
      </c>
    </row>
    <row r="10" spans="1:30" s="13" customFormat="1" x14ac:dyDescent="0.25">
      <c r="A10" s="13">
        <f>ROW()-ROW(home)</f>
        <v>5</v>
      </c>
      <c r="B10" s="13">
        <f>INDEX(oratings, 1, 1+MOD(Table3[[#This Row],[Rep '#]]-1, COUNT(oratings)))</f>
        <v>0.1</v>
      </c>
      <c r="C10" s="13">
        <f>INDEX(dratings, 1, MOD(FLOOR( (Table3[[#This Row],[Rep '#]]-1) / COUNT(oratings), 1), COUNT(dratings))+1)</f>
        <v>0.5</v>
      </c>
      <c r="D10" s="13">
        <f>Table3[[#This Row],[offense]]*$D$25+0.05</f>
        <v>6.0000000000000005E-2</v>
      </c>
      <c r="E10" s="13">
        <f>((2*Table3[[#This Row],[defense]]+1*Table3[[#This Row],[defense]])-1.5)*Table3[[#This Row],[offense]]*$E$25</f>
        <v>0</v>
      </c>
      <c r="F10" s="13">
        <f>MAX(Table3[[#This Row],[base leadoff]]*(1-Table3[[#This Row],[leadoff modifier]]) * 90, 0)</f>
        <v>5.4</v>
      </c>
      <c r="G10" s="13">
        <f>1.1 - Table3[[#This Row],[defense]]*0.1</f>
        <v>1.05</v>
      </c>
      <c r="H10" s="13">
        <f xml:space="preserve"> 0.01 - 0.0025 *  Table3[[#This Row],[defense]]</f>
        <v>8.7500000000000008E-3</v>
      </c>
      <c r="I10" s="13">
        <f>1 / Table3[[#This Row],[throw speed (s/ft)]] * ((60 * 60)/5280)</f>
        <v>77.922077922077918</v>
      </c>
      <c r="J10" s="13">
        <f>Table3[[#This Row],[pickoff manuver (s)]]+60*Table3[[#This Row],[throw speed (s/ft)]]</f>
        <v>1.5750000000000002</v>
      </c>
      <c r="K10" s="13">
        <f>$K$27-$K$25*Table3[[#This Row],[offense]]</f>
        <v>0.88</v>
      </c>
      <c r="L10" s="13">
        <f>0.05 - Table3[[#This Row],[offense]]*$L$25</f>
        <v>4.9000000000000002E-2</v>
      </c>
      <c r="M10" s="13">
        <f>1 / Table3[[#This Row],[runner speed (s/ft)]] * ((60 * 60)/5280)</f>
        <v>13.914656771799628</v>
      </c>
      <c r="N10" s="13">
        <f>Table3[[#This Row],[runner reaction]]+Table3[[#This Row],[runner speed (s/ft)]]*Table3[[#This Row],[total leadoff (ft)]]</f>
        <v>1.1446000000000001</v>
      </c>
      <c r="O10" s="14">
        <f>1 - _xlfn.NORM.DIST(Table3[[#This Row],[pickoff time]], Table3[[#This Row],[pickoff evade time]], $O$4, TRUE)</f>
        <v>1.5698677182155896E-2</v>
      </c>
      <c r="P10" s="51">
        <f>_xlfn.NORM.DIST(Table3[[#This Row],[defense]], $P$25, $P$26, TRUE)</f>
        <v>0.98024442661121902</v>
      </c>
      <c r="Q10" s="13" t="b">
        <f>Table3[[#This Row],[pickoff probability]] &gt; 1-Table3[[#This Row],[Fielding Odds]]</f>
        <v>0</v>
      </c>
      <c r="R10" s="51">
        <f>1-Table3[[#This Row],[Fielding Odds]]</f>
        <v>1.9755573388780978E-2</v>
      </c>
      <c r="S10" s="13">
        <f>(90-Table3[[#This Row],[total leadoff (ft)]])*Table3[[#This Row],[runner speed (s/ft)]]</f>
        <v>4.1453999999999995</v>
      </c>
      <c r="T10" s="13">
        <f>$T$25*(2-Table3[[#This Row],[defense]]) + Table3[[#This Row],[pickoff time]]</f>
        <v>1.8750000000000002</v>
      </c>
      <c r="U10" s="51">
        <f>_xlfn.NORM.DIST(Table3[[#This Row],[Response speed]], Table3[[#This Row],[Blatant steal time]], $U$4, TRUE)</f>
        <v>7.7163911324126927E-5</v>
      </c>
    </row>
    <row r="11" spans="1:30" s="26" customFormat="1" x14ac:dyDescent="0.25">
      <c r="A11" s="25">
        <f>ROW()-ROW(home)</f>
        <v>6</v>
      </c>
      <c r="B11" s="26">
        <f>INDEX(oratings, 1, 1+MOD(Table3[[#This Row],[Rep '#]]-1, COUNT(oratings)))</f>
        <v>0.5</v>
      </c>
      <c r="C11" s="26">
        <f>INDEX(dratings, 1, MOD(FLOOR( (Table3[[#This Row],[Rep '#]]-1) / COUNT(oratings), 1), COUNT(dratings))+1)</f>
        <v>0.5</v>
      </c>
      <c r="D11" s="26">
        <f>Table3[[#This Row],[offense]]*$D$25+0.05</f>
        <v>0.1</v>
      </c>
      <c r="E11" s="26">
        <f>((2*Table3[[#This Row],[defense]]+1*Table3[[#This Row],[defense]])-1.5)*Table3[[#This Row],[offense]]*$E$25</f>
        <v>0</v>
      </c>
      <c r="F11" s="26">
        <f>MAX(Table3[[#This Row],[base leadoff]]*(1-Table3[[#This Row],[leadoff modifier]]) * 90, 0)</f>
        <v>9</v>
      </c>
      <c r="G11" s="26">
        <f>1.1 - Table3[[#This Row],[defense]]*0.1</f>
        <v>1.05</v>
      </c>
      <c r="H11" s="26">
        <f xml:space="preserve"> 0.01 - 0.0025 *  Table3[[#This Row],[defense]]</f>
        <v>8.7500000000000008E-3</v>
      </c>
      <c r="I11" s="26">
        <f>1 / Table3[[#This Row],[throw speed (s/ft)]] * ((60 * 60)/5280)</f>
        <v>77.922077922077918</v>
      </c>
      <c r="J11" s="26">
        <f>Table3[[#This Row],[pickoff manuver (s)]]+60*Table3[[#This Row],[throw speed (s/ft)]]</f>
        <v>1.5750000000000002</v>
      </c>
      <c r="K11" s="26">
        <f>$K$27-$K$25*Table3[[#This Row],[offense]]</f>
        <v>0.8</v>
      </c>
      <c r="L11" s="26">
        <f>0.05 - Table3[[#This Row],[offense]]*$L$25</f>
        <v>4.5000000000000005E-2</v>
      </c>
      <c r="M11" s="26">
        <f>1 / Table3[[#This Row],[runner speed (s/ft)]] * ((60 * 60)/5280)</f>
        <v>15.151515151515147</v>
      </c>
      <c r="N11" s="26">
        <f>Table3[[#This Row],[runner reaction]]+Table3[[#This Row],[runner speed (s/ft)]]*Table3[[#This Row],[total leadoff (ft)]]</f>
        <v>1.2050000000000001</v>
      </c>
      <c r="O11" s="27">
        <f>1 - _xlfn.NORM.DIST(Table3[[#This Row],[pickoff time]], Table3[[#This Row],[pickoff evade time]], $O$4, TRUE)</f>
        <v>3.215677479561363E-2</v>
      </c>
      <c r="P11" s="52">
        <f>_xlfn.NORM.DIST(Table3[[#This Row],[defense]], $P$25, $P$26, TRUE)</f>
        <v>0.98024442661121902</v>
      </c>
      <c r="Q11" s="26" t="b">
        <f>Table3[[#This Row],[pickoff probability]] &gt; 1-Table3[[#This Row],[Fielding Odds]]</f>
        <v>1</v>
      </c>
      <c r="R11" s="52">
        <f>1-Table3[[#This Row],[Fielding Odds]]</f>
        <v>1.9755573388780978E-2</v>
      </c>
      <c r="S11" s="26">
        <f>(90-Table3[[#This Row],[total leadoff (ft)]])*Table3[[#This Row],[runner speed (s/ft)]]</f>
        <v>3.6450000000000005</v>
      </c>
      <c r="T11" s="26">
        <f>$T$25*(2-Table3[[#This Row],[defense]]) + Table3[[#This Row],[pickoff time]]</f>
        <v>1.8750000000000002</v>
      </c>
      <c r="U11" s="52">
        <f>_xlfn.NORM.DIST(Table3[[#This Row],[Response speed]], Table3[[#This Row],[Blatant steal time]], $U$4, TRUE)</f>
        <v>1.5888696473648632E-3</v>
      </c>
    </row>
    <row r="12" spans="1:30" s="13" customFormat="1" x14ac:dyDescent="0.25">
      <c r="A12" s="13">
        <f>ROW()-ROW(home)</f>
        <v>7</v>
      </c>
      <c r="B12" s="13">
        <f>INDEX(oratings, 1, 1+MOD(Table3[[#This Row],[Rep '#]]-1, COUNT(oratings)))</f>
        <v>1</v>
      </c>
      <c r="C12" s="13">
        <f>INDEX(dratings, 1, MOD(FLOOR( (Table3[[#This Row],[Rep '#]]-1) / COUNT(oratings), 1), COUNT(dratings))+1)</f>
        <v>0.5</v>
      </c>
      <c r="D12" s="13">
        <f>Table3[[#This Row],[offense]]*$D$25+0.05</f>
        <v>0.15000000000000002</v>
      </c>
      <c r="E12" s="13">
        <f>((2*Table3[[#This Row],[defense]]+1*Table3[[#This Row],[defense]])-1.5)*Table3[[#This Row],[offense]]*$E$25</f>
        <v>0</v>
      </c>
      <c r="F12" s="13">
        <f>MAX(Table3[[#This Row],[base leadoff]]*(1-Table3[[#This Row],[leadoff modifier]]) * 90, 0)</f>
        <v>13.500000000000002</v>
      </c>
      <c r="G12" s="13">
        <f>1.1 - Table3[[#This Row],[defense]]*0.1</f>
        <v>1.05</v>
      </c>
      <c r="H12" s="13">
        <f xml:space="preserve"> 0.01 - 0.0025 *  Table3[[#This Row],[defense]]</f>
        <v>8.7500000000000008E-3</v>
      </c>
      <c r="I12" s="13">
        <f>1 / Table3[[#This Row],[throw speed (s/ft)]] * ((60 * 60)/5280)</f>
        <v>77.922077922077918</v>
      </c>
      <c r="J12" s="13">
        <f>Table3[[#This Row],[pickoff manuver (s)]]+60*Table3[[#This Row],[throw speed (s/ft)]]</f>
        <v>1.5750000000000002</v>
      </c>
      <c r="K12" s="13">
        <f>$K$27-$K$25*Table3[[#This Row],[offense]]</f>
        <v>0.7</v>
      </c>
      <c r="L12" s="13">
        <f>0.05 - Table3[[#This Row],[offense]]*$L$25</f>
        <v>0.04</v>
      </c>
      <c r="M12" s="13">
        <f>1 / Table3[[#This Row],[runner speed (s/ft)]] * ((60 * 60)/5280)</f>
        <v>17.045454545454543</v>
      </c>
      <c r="N12" s="13">
        <f>Table3[[#This Row],[runner reaction]]+Table3[[#This Row],[runner speed (s/ft)]]*Table3[[#This Row],[total leadoff (ft)]]</f>
        <v>1.24</v>
      </c>
      <c r="O12" s="14">
        <f>1 - _xlfn.NORM.DIST(Table3[[#This Row],[pickoff time]], Table3[[#This Row],[pickoff evade time]], $O$4, TRUE)</f>
        <v>4.6967115830745643E-2</v>
      </c>
      <c r="P12" s="51">
        <f>_xlfn.NORM.DIST(Table3[[#This Row],[defense]], $P$25, $P$26, TRUE)</f>
        <v>0.98024442661121902</v>
      </c>
      <c r="Q12" s="13" t="b">
        <f>Table3[[#This Row],[pickoff probability]] &gt; 1-Table3[[#This Row],[Fielding Odds]]</f>
        <v>1</v>
      </c>
      <c r="R12" s="51">
        <f>1-Table3[[#This Row],[Fielding Odds]]</f>
        <v>1.9755573388780978E-2</v>
      </c>
      <c r="S12" s="13">
        <f>(90-Table3[[#This Row],[total leadoff (ft)]])*Table3[[#This Row],[runner speed (s/ft)]]</f>
        <v>3.06</v>
      </c>
      <c r="T12" s="13">
        <f>$T$25*(2-Table3[[#This Row],[defense]]) + Table3[[#This Row],[pickoff time]]</f>
        <v>1.8750000000000002</v>
      </c>
      <c r="U12" s="51">
        <f>_xlfn.NORM.DIST(Table3[[#This Row],[Response speed]], Table3[[#This Row],[Blatant steal time]], $U$4, TRUE)</f>
        <v>2.4134074004724768E-2</v>
      </c>
    </row>
    <row r="13" spans="1:30" s="5" customFormat="1" x14ac:dyDescent="0.25">
      <c r="A13" s="5">
        <f>ROW()-ROW(home)</f>
        <v>8</v>
      </c>
      <c r="B13" s="5">
        <f>INDEX(oratings, 1, 1+MOD(Table3[[#This Row],[Rep '#]]-1, COUNT(oratings)))</f>
        <v>2</v>
      </c>
      <c r="C13" s="5">
        <f>INDEX(dratings, 1, MOD(FLOOR( (Table3[[#This Row],[Rep '#]]-1) / COUNT(oratings), 1), COUNT(dratings))+1)</f>
        <v>0.5</v>
      </c>
      <c r="D13" s="5">
        <f>Table3[[#This Row],[offense]]*$D$25+0.05</f>
        <v>0.25</v>
      </c>
      <c r="E13" s="5">
        <f>((2*Table3[[#This Row],[defense]]+1*Table3[[#This Row],[defense]])-1.5)*Table3[[#This Row],[offense]]*$E$25</f>
        <v>0</v>
      </c>
      <c r="F13" s="5">
        <f>MAX(Table3[[#This Row],[base leadoff]]*(1-Table3[[#This Row],[leadoff modifier]]) * 90, 0)</f>
        <v>22.5</v>
      </c>
      <c r="G13" s="5">
        <f>1.1 - Table3[[#This Row],[defense]]*0.1</f>
        <v>1.05</v>
      </c>
      <c r="H13" s="5">
        <f xml:space="preserve"> 0.01 - 0.0025 *  Table3[[#This Row],[defense]]</f>
        <v>8.7500000000000008E-3</v>
      </c>
      <c r="I13" s="5">
        <f>1 / Table3[[#This Row],[throw speed (s/ft)]] * ((60 * 60)/5280)</f>
        <v>77.922077922077918</v>
      </c>
      <c r="J13" s="5">
        <f>Table3[[#This Row],[pickoff manuver (s)]]+60*Table3[[#This Row],[throw speed (s/ft)]]</f>
        <v>1.5750000000000002</v>
      </c>
      <c r="K13" s="5">
        <f>$K$27-$K$25*Table3[[#This Row],[offense]]</f>
        <v>0.5</v>
      </c>
      <c r="L13" s="5">
        <f>0.05 - Table3[[#This Row],[offense]]*$L$25</f>
        <v>3.0000000000000002E-2</v>
      </c>
      <c r="M13" s="5">
        <f>1 / Table3[[#This Row],[runner speed (s/ft)]] * ((60 * 60)/5280)</f>
        <v>22.727272727272723</v>
      </c>
      <c r="N13" s="5">
        <f>Table3[[#This Row],[runner reaction]]+Table3[[#This Row],[runner speed (s/ft)]]*Table3[[#This Row],[total leadoff (ft)]]</f>
        <v>1.175</v>
      </c>
      <c r="O13" s="8">
        <f>1 - _xlfn.NORM.DIST(Table3[[#This Row],[pickoff time]], Table3[[#This Row],[pickoff evade time]], $O$4, TRUE)</f>
        <v>2.2750131948179209E-2</v>
      </c>
      <c r="P13" s="53">
        <f>_xlfn.NORM.DIST(Table3[[#This Row],[defense]], $P$25, $P$26, TRUE)</f>
        <v>0.98024442661121902</v>
      </c>
      <c r="Q13" s="5" t="b">
        <f>Table3[[#This Row],[pickoff probability]] &gt; 1-Table3[[#This Row],[Fielding Odds]]</f>
        <v>1</v>
      </c>
      <c r="R13" s="53">
        <f>1-Table3[[#This Row],[Fielding Odds]]</f>
        <v>1.9755573388780978E-2</v>
      </c>
      <c r="S13" s="5">
        <f>(90-Table3[[#This Row],[total leadoff (ft)]])*Table3[[#This Row],[runner speed (s/ft)]]</f>
        <v>2.0250000000000004</v>
      </c>
      <c r="T13" s="5">
        <f>$T$25*(2-Table3[[#This Row],[defense]]) + Table3[[#This Row],[pickoff time]]</f>
        <v>1.8750000000000002</v>
      </c>
      <c r="U13" s="53">
        <f>_xlfn.NORM.DIST(Table3[[#This Row],[Response speed]], Table3[[#This Row],[Blatant steal time]], $U$4, TRUE)</f>
        <v>0.40129367431707619</v>
      </c>
    </row>
    <row r="14" spans="1:30" s="17" customFormat="1" x14ac:dyDescent="0.25">
      <c r="A14" s="17">
        <f>ROW()-ROW(home)</f>
        <v>9</v>
      </c>
      <c r="B14" s="17">
        <f>INDEX(oratings, 1, 1+MOD(Table3[[#This Row],[Rep '#]]-1, COUNT(oratings)))</f>
        <v>0.1</v>
      </c>
      <c r="C14" s="17">
        <f>INDEX(dratings, 1, MOD(FLOOR( (Table3[[#This Row],[Rep '#]]-1) / COUNT(oratings), 1), COUNT(dratings))+1)</f>
        <v>1</v>
      </c>
      <c r="D14" s="17">
        <f>Table3[[#This Row],[offense]]*$D$25+0.05</f>
        <v>6.0000000000000005E-2</v>
      </c>
      <c r="E14" s="17">
        <f>((2*Table3[[#This Row],[defense]]+1*Table3[[#This Row],[defense]])-1.5)*Table3[[#This Row],[offense]]*$E$25</f>
        <v>1.5000000000000003E-2</v>
      </c>
      <c r="F14" s="17">
        <f>MAX(Table3[[#This Row],[base leadoff]]*(1-Table3[[#This Row],[leadoff modifier]]) * 90, 0)</f>
        <v>5.3190000000000008</v>
      </c>
      <c r="G14" s="17">
        <f>1.1 - Table3[[#This Row],[defense]]*0.1</f>
        <v>1</v>
      </c>
      <c r="H14" s="17">
        <f xml:space="preserve"> 0.01 - 0.0025 *  Table3[[#This Row],[defense]]</f>
        <v>7.4999999999999997E-3</v>
      </c>
      <c r="I14" s="17">
        <f>1 / Table3[[#This Row],[throw speed (s/ft)]] * ((60 * 60)/5280)</f>
        <v>90.909090909090907</v>
      </c>
      <c r="J14" s="17">
        <f>Table3[[#This Row],[pickoff manuver (s)]]+60*Table3[[#This Row],[throw speed (s/ft)]]</f>
        <v>1.45</v>
      </c>
      <c r="K14" s="17">
        <f>$K$27-$K$25*Table3[[#This Row],[offense]]</f>
        <v>0.88</v>
      </c>
      <c r="L14" s="17">
        <f>0.05 - Table3[[#This Row],[offense]]*$L$25</f>
        <v>4.9000000000000002E-2</v>
      </c>
      <c r="M14" s="17">
        <f>1 / Table3[[#This Row],[runner speed (s/ft)]] * ((60 * 60)/5280)</f>
        <v>13.914656771799628</v>
      </c>
      <c r="N14" s="17">
        <f>Table3[[#This Row],[runner reaction]]+Table3[[#This Row],[runner speed (s/ft)]]*Table3[[#This Row],[total leadoff (ft)]]</f>
        <v>1.140631</v>
      </c>
      <c r="O14" s="18">
        <f>1 - _xlfn.NORM.DIST(Table3[[#This Row],[pickoff time]], Table3[[#This Row],[pickoff evade time]], $O$4, TRUE)</f>
        <v>6.0950313073531937E-2</v>
      </c>
      <c r="P14" s="54">
        <f>_xlfn.NORM.DIST(Table3[[#This Row],[defense]], $P$25, $P$26, TRUE)</f>
        <v>0.99068720985629855</v>
      </c>
      <c r="Q14" s="17" t="b">
        <f>Table3[[#This Row],[pickoff probability]] &gt; 1-Table3[[#This Row],[Fielding Odds]]</f>
        <v>1</v>
      </c>
      <c r="R14" s="54">
        <f>1-Table3[[#This Row],[Fielding Odds]]</f>
        <v>9.3127901437014549E-3</v>
      </c>
      <c r="S14" s="17">
        <f>(90-Table3[[#This Row],[total leadoff (ft)]])*Table3[[#This Row],[runner speed (s/ft)]]</f>
        <v>4.1493690000000001</v>
      </c>
      <c r="T14" s="17">
        <f>$T$25*(2-Table3[[#This Row],[defense]]) + Table3[[#This Row],[pickoff time]]</f>
        <v>1.65</v>
      </c>
      <c r="U14" s="54">
        <f>_xlfn.NORM.DIST(Table3[[#This Row],[Response speed]], Table3[[#This Row],[Blatant steal time]], $U$4, TRUE)</f>
        <v>1.5525717333822399E-5</v>
      </c>
    </row>
    <row r="15" spans="1:30" s="6" customFormat="1" x14ac:dyDescent="0.25">
      <c r="A15" s="6">
        <f>ROW()-ROW(home)</f>
        <v>10</v>
      </c>
      <c r="B15" s="6">
        <f>INDEX(oratings, 1, 1+MOD(Table3[[#This Row],[Rep '#]]-1, COUNT(oratings)))</f>
        <v>0.5</v>
      </c>
      <c r="C15" s="6">
        <f>INDEX(dratings, 1, MOD(FLOOR( (Table3[[#This Row],[Rep '#]]-1) / COUNT(oratings), 1), COUNT(dratings))+1)</f>
        <v>1</v>
      </c>
      <c r="D15" s="6">
        <f>Table3[[#This Row],[offense]]*$D$25+0.05</f>
        <v>0.1</v>
      </c>
      <c r="E15" s="6">
        <f>((2*Table3[[#This Row],[defense]]+1*Table3[[#This Row],[defense]])-1.5)*Table3[[#This Row],[offense]]*$E$25</f>
        <v>7.5000000000000011E-2</v>
      </c>
      <c r="F15" s="6">
        <f>MAX(Table3[[#This Row],[base leadoff]]*(1-Table3[[#This Row],[leadoff modifier]]) * 90, 0)</f>
        <v>8.3250000000000011</v>
      </c>
      <c r="G15" s="6">
        <f>1.1 - Table3[[#This Row],[defense]]*0.1</f>
        <v>1</v>
      </c>
      <c r="H15" s="6">
        <f xml:space="preserve"> 0.01 - 0.0025 *  Table3[[#This Row],[defense]]</f>
        <v>7.4999999999999997E-3</v>
      </c>
      <c r="I15" s="6">
        <f>1 / Table3[[#This Row],[throw speed (s/ft)]] * ((60 * 60)/5280)</f>
        <v>90.909090909090907</v>
      </c>
      <c r="J15" s="6">
        <f>Table3[[#This Row],[pickoff manuver (s)]]+60*Table3[[#This Row],[throw speed (s/ft)]]</f>
        <v>1.45</v>
      </c>
      <c r="K15" s="6">
        <f>$K$27-$K$25*Table3[[#This Row],[offense]]</f>
        <v>0.8</v>
      </c>
      <c r="L15" s="6">
        <f>0.05 - Table3[[#This Row],[offense]]*$L$25</f>
        <v>4.5000000000000005E-2</v>
      </c>
      <c r="M15" s="6">
        <f>1 / Table3[[#This Row],[runner speed (s/ft)]] * ((60 * 60)/5280)</f>
        <v>15.151515151515147</v>
      </c>
      <c r="N15" s="6">
        <f>Table3[[#This Row],[runner reaction]]+Table3[[#This Row],[runner speed (s/ft)]]*Table3[[#This Row],[total leadoff (ft)]]</f>
        <v>1.1746250000000003</v>
      </c>
      <c r="O15" s="9">
        <f>1 - _xlfn.NORM.DIST(Table3[[#This Row],[pickoff time]], Table3[[#This Row],[pickoff evade time]], $O$4, TRUE)</f>
        <v>8.4275448865239744E-2</v>
      </c>
      <c r="P15" s="55">
        <f>_xlfn.NORM.DIST(Table3[[#This Row],[defense]], $P$25, $P$26, TRUE)</f>
        <v>0.99068720985629855</v>
      </c>
      <c r="Q15" s="6" t="b">
        <f>Table3[[#This Row],[pickoff probability]] &gt; 1-Table3[[#This Row],[Fielding Odds]]</f>
        <v>1</v>
      </c>
      <c r="R15" s="55">
        <f>1-Table3[[#This Row],[Fielding Odds]]</f>
        <v>9.3127901437014549E-3</v>
      </c>
      <c r="S15" s="6">
        <f>(90-Table3[[#This Row],[total leadoff (ft)]])*Table3[[#This Row],[runner speed (s/ft)]]</f>
        <v>3.6753750000000003</v>
      </c>
      <c r="T15" s="6">
        <f>$T$25*(2-Table3[[#This Row],[defense]]) + Table3[[#This Row],[pickoff time]]</f>
        <v>1.65</v>
      </c>
      <c r="U15" s="55">
        <f>_xlfn.NORM.DIST(Table3[[#This Row],[Response speed]], Table3[[#This Row],[Blatant steal time]], $U$4, TRUE)</f>
        <v>3.682411384506767E-4</v>
      </c>
    </row>
    <row r="16" spans="1:30" s="23" customFormat="1" x14ac:dyDescent="0.25">
      <c r="A16" s="22">
        <f>ROW()-ROW(home)</f>
        <v>11</v>
      </c>
      <c r="B16" s="23">
        <f>INDEX(oratings, 1, 1+MOD(Table3[[#This Row],[Rep '#]]-1, COUNT(oratings)))</f>
        <v>1</v>
      </c>
      <c r="C16" s="23">
        <f>INDEX(dratings, 1, MOD(FLOOR( (Table3[[#This Row],[Rep '#]]-1) / COUNT(oratings), 1), COUNT(dratings))+1)</f>
        <v>1</v>
      </c>
      <c r="D16" s="23">
        <f>Table3[[#This Row],[offense]]*$D$25+0.05</f>
        <v>0.15000000000000002</v>
      </c>
      <c r="E16" s="23">
        <f>((2*Table3[[#This Row],[defense]]+1*Table3[[#This Row],[defense]])-1.5)*Table3[[#This Row],[offense]]*$E$25</f>
        <v>0.15000000000000002</v>
      </c>
      <c r="F16" s="23">
        <f>MAX(Table3[[#This Row],[base leadoff]]*(1-Table3[[#This Row],[leadoff modifier]]) * 90, 0)</f>
        <v>11.475</v>
      </c>
      <c r="G16" s="23">
        <f>1.1 - Table3[[#This Row],[defense]]*0.1</f>
        <v>1</v>
      </c>
      <c r="H16" s="23">
        <f xml:space="preserve"> 0.01 - 0.0025 *  Table3[[#This Row],[defense]]</f>
        <v>7.4999999999999997E-3</v>
      </c>
      <c r="I16" s="23">
        <f>1 / Table3[[#This Row],[throw speed (s/ft)]] * ((60 * 60)/5280)</f>
        <v>90.909090909090907</v>
      </c>
      <c r="J16" s="23">
        <f>Table3[[#This Row],[pickoff manuver (s)]]+60*Table3[[#This Row],[throw speed (s/ft)]]</f>
        <v>1.45</v>
      </c>
      <c r="K16" s="23">
        <f>$K$27-$K$25*Table3[[#This Row],[offense]]</f>
        <v>0.7</v>
      </c>
      <c r="L16" s="23">
        <f>0.05 - Table3[[#This Row],[offense]]*$L$25</f>
        <v>0.04</v>
      </c>
      <c r="M16" s="23">
        <f>1 / Table3[[#This Row],[runner speed (s/ft)]] * ((60 * 60)/5280)</f>
        <v>17.045454545454543</v>
      </c>
      <c r="N16" s="23">
        <f>Table3[[#This Row],[runner reaction]]+Table3[[#This Row],[runner speed (s/ft)]]*Table3[[#This Row],[total leadoff (ft)]]</f>
        <v>1.159</v>
      </c>
      <c r="O16" s="24">
        <f>1 - _xlfn.NORM.DIST(Table3[[#This Row],[pickoff time]], Table3[[#This Row],[pickoff evade time]], $O$4, TRUE)</f>
        <v>7.2834630749186058E-2</v>
      </c>
      <c r="P16" s="56">
        <f>_xlfn.NORM.DIST(Table3[[#This Row],[defense]], $P$25, $P$26, TRUE)</f>
        <v>0.99068720985629855</v>
      </c>
      <c r="Q16" s="23" t="b">
        <f>Table3[[#This Row],[pickoff probability]] &gt; 1-Table3[[#This Row],[Fielding Odds]]</f>
        <v>1</v>
      </c>
      <c r="R16" s="56">
        <f>1-Table3[[#This Row],[Fielding Odds]]</f>
        <v>9.3127901437014549E-3</v>
      </c>
      <c r="S16" s="23">
        <f>(90-Table3[[#This Row],[total leadoff (ft)]])*Table3[[#This Row],[runner speed (s/ft)]]</f>
        <v>3.1410000000000005</v>
      </c>
      <c r="T16" s="23">
        <f>$T$25*(2-Table3[[#This Row],[defense]]) + Table3[[#This Row],[pickoff time]]</f>
        <v>1.65</v>
      </c>
      <c r="U16" s="56">
        <f>_xlfn.NORM.DIST(Table3[[#This Row],[Response speed]], Table3[[#This Row],[Blatant steal time]], $U$4, TRUE)</f>
        <v>6.4775717318678221E-3</v>
      </c>
    </row>
    <row r="17" spans="1:21" s="6" customFormat="1" x14ac:dyDescent="0.25">
      <c r="A17" s="6">
        <f>ROW()-ROW(home)</f>
        <v>12</v>
      </c>
      <c r="B17" s="6">
        <f>INDEX(oratings, 1, 1+MOD(Table3[[#This Row],[Rep '#]]-1, COUNT(oratings)))</f>
        <v>2</v>
      </c>
      <c r="C17" s="6">
        <f>INDEX(dratings, 1, MOD(FLOOR( (Table3[[#This Row],[Rep '#]]-1) / COUNT(oratings), 1), COUNT(dratings))+1)</f>
        <v>1</v>
      </c>
      <c r="D17" s="6">
        <f>Table3[[#This Row],[offense]]*$D$25+0.05</f>
        <v>0.25</v>
      </c>
      <c r="E17" s="6">
        <f>((2*Table3[[#This Row],[defense]]+1*Table3[[#This Row],[defense]])-1.5)*Table3[[#This Row],[offense]]*$E$25</f>
        <v>0.30000000000000004</v>
      </c>
      <c r="F17" s="6">
        <f>MAX(Table3[[#This Row],[base leadoff]]*(1-Table3[[#This Row],[leadoff modifier]]) * 90, 0)</f>
        <v>15.749999999999998</v>
      </c>
      <c r="G17" s="6">
        <f>1.1 - Table3[[#This Row],[defense]]*0.1</f>
        <v>1</v>
      </c>
      <c r="H17" s="6">
        <f xml:space="preserve"> 0.01 - 0.0025 *  Table3[[#This Row],[defense]]</f>
        <v>7.4999999999999997E-3</v>
      </c>
      <c r="I17" s="6">
        <f>1 / Table3[[#This Row],[throw speed (s/ft)]] * ((60 * 60)/5280)</f>
        <v>90.909090909090907</v>
      </c>
      <c r="J17" s="6">
        <f>Table3[[#This Row],[pickoff manuver (s)]]+60*Table3[[#This Row],[throw speed (s/ft)]]</f>
        <v>1.45</v>
      </c>
      <c r="K17" s="6">
        <f>$K$27-$K$25*Table3[[#This Row],[offense]]</f>
        <v>0.5</v>
      </c>
      <c r="L17" s="6">
        <f>0.05 - Table3[[#This Row],[offense]]*$L$25</f>
        <v>3.0000000000000002E-2</v>
      </c>
      <c r="M17" s="6">
        <f>1 / Table3[[#This Row],[runner speed (s/ft)]] * ((60 * 60)/5280)</f>
        <v>22.727272727272723</v>
      </c>
      <c r="N17" s="6">
        <f>Table3[[#This Row],[runner reaction]]+Table3[[#This Row],[runner speed (s/ft)]]*Table3[[#This Row],[total leadoff (ft)]]</f>
        <v>0.97249999999999992</v>
      </c>
      <c r="O17" s="9">
        <f>1 - _xlfn.NORM.DIST(Table3[[#This Row],[pickoff time]], Table3[[#This Row],[pickoff evade time]], $O$4, TRUE)</f>
        <v>8.4817013785601914E-3</v>
      </c>
      <c r="P17" s="55">
        <f>_xlfn.NORM.DIST(Table3[[#This Row],[defense]], $P$25, $P$26, TRUE)</f>
        <v>0.99068720985629855</v>
      </c>
      <c r="Q17" s="6" t="b">
        <f>Table3[[#This Row],[pickoff probability]] &gt; 1-Table3[[#This Row],[Fielding Odds]]</f>
        <v>0</v>
      </c>
      <c r="R17" s="55">
        <f>1-Table3[[#This Row],[Fielding Odds]]</f>
        <v>9.3127901437014549E-3</v>
      </c>
      <c r="S17" s="6">
        <f>(90-Table3[[#This Row],[total leadoff (ft)]])*Table3[[#This Row],[runner speed (s/ft)]]</f>
        <v>2.2275</v>
      </c>
      <c r="T17" s="6">
        <f>$T$25*(2-Table3[[#This Row],[defense]]) + Table3[[#This Row],[pickoff time]]</f>
        <v>1.65</v>
      </c>
      <c r="U17" s="55">
        <f>_xlfn.NORM.DIST(Table3[[#This Row],[Response speed]], Table3[[#This Row],[Blatant steal time]], $U$4, TRUE)</f>
        <v>0.16789925159767624</v>
      </c>
    </row>
    <row r="18" spans="1:21" s="15" customFormat="1" x14ac:dyDescent="0.25">
      <c r="A18" s="15">
        <f>ROW()-ROW(home)</f>
        <v>13</v>
      </c>
      <c r="B18" s="15">
        <f>INDEX(oratings, 1, 1+MOD(Table3[[#This Row],[Rep '#]]-1, COUNT(oratings)))</f>
        <v>0.1</v>
      </c>
      <c r="C18" s="15">
        <f>INDEX(dratings, 1, MOD(FLOOR( (Table3[[#This Row],[Rep '#]]-1) / COUNT(oratings), 1), COUNT(dratings))+1)</f>
        <v>2</v>
      </c>
      <c r="D18" s="15">
        <f>Table3[[#This Row],[offense]]*$D$25+0.05</f>
        <v>6.0000000000000005E-2</v>
      </c>
      <c r="E18" s="15">
        <f>((2*Table3[[#This Row],[defense]]+1*Table3[[#This Row],[defense]])-1.5)*Table3[[#This Row],[offense]]*$E$25</f>
        <v>4.5000000000000005E-2</v>
      </c>
      <c r="F18" s="15">
        <f>MAX(Table3[[#This Row],[base leadoff]]*(1-Table3[[#This Row],[leadoff modifier]]) * 90, 0)</f>
        <v>5.157</v>
      </c>
      <c r="G18" s="15">
        <f>1.1 - Table3[[#This Row],[defense]]*0.1</f>
        <v>0.90000000000000013</v>
      </c>
      <c r="H18" s="15">
        <f xml:space="preserve"> 0.01 - 0.0025 *  Table3[[#This Row],[defense]]</f>
        <v>5.0000000000000001E-3</v>
      </c>
      <c r="I18" s="15">
        <f>1 / Table3[[#This Row],[throw speed (s/ft)]] * ((60 * 60)/5280)</f>
        <v>136.36363636363635</v>
      </c>
      <c r="J18" s="15">
        <f>Table3[[#This Row],[pickoff manuver (s)]]+60*Table3[[#This Row],[throw speed (s/ft)]]</f>
        <v>1.2000000000000002</v>
      </c>
      <c r="K18" s="15">
        <f>$K$27-$K$25*Table3[[#This Row],[offense]]</f>
        <v>0.88</v>
      </c>
      <c r="L18" s="15">
        <f>0.05 - Table3[[#This Row],[offense]]*$L$25</f>
        <v>4.9000000000000002E-2</v>
      </c>
      <c r="M18" s="15">
        <f>1 / Table3[[#This Row],[runner speed (s/ft)]] * ((60 * 60)/5280)</f>
        <v>13.914656771799628</v>
      </c>
      <c r="N18" s="15">
        <f>Table3[[#This Row],[runner reaction]]+Table3[[#This Row],[runner speed (s/ft)]]*Table3[[#This Row],[total leadoff (ft)]]</f>
        <v>1.1326929999999999</v>
      </c>
      <c r="O18" s="16">
        <f>1 - _xlfn.NORM.DIST(Table3[[#This Row],[pickoff time]], Table3[[#This Row],[pickoff evade time]], $O$4, TRUE)</f>
        <v>0.36823373145283722</v>
      </c>
      <c r="P18" s="57">
        <f>_xlfn.NORM.DIST(Table3[[#This Row],[defense]], $P$25, $P$26, TRUE)</f>
        <v>0.99836515899365319</v>
      </c>
      <c r="Q18" s="15" t="b">
        <f>Table3[[#This Row],[pickoff probability]] &gt; 1-Table3[[#This Row],[Fielding Odds]]</f>
        <v>1</v>
      </c>
      <c r="R18" s="57">
        <f>1-Table3[[#This Row],[Fielding Odds]]</f>
        <v>1.63484100634681E-3</v>
      </c>
      <c r="S18" s="15">
        <f>(90-Table3[[#This Row],[total leadoff (ft)]])*Table3[[#This Row],[runner speed (s/ft)]]</f>
        <v>4.1573070000000003</v>
      </c>
      <c r="T18" s="15">
        <f>$T$25*(2-Table3[[#This Row],[defense]]) + Table3[[#This Row],[pickoff time]]</f>
        <v>1.2000000000000002</v>
      </c>
      <c r="U18" s="57">
        <f>_xlfn.NORM.DIST(Table3[[#This Row],[Response speed]], Table3[[#This Row],[Blatant steal time]], $U$4, TRUE)</f>
        <v>4.1358582187294249E-7</v>
      </c>
    </row>
    <row r="19" spans="1:21" s="11" customFormat="1" x14ac:dyDescent="0.25">
      <c r="A19" s="11">
        <f>ROW()-ROW(home)</f>
        <v>14</v>
      </c>
      <c r="B19" s="11">
        <f>INDEX(oratings, 1, 1+MOD(Table3[[#This Row],[Rep '#]]-1, COUNT(oratings)))</f>
        <v>0.5</v>
      </c>
      <c r="C19" s="11">
        <f>INDEX(dratings, 1, MOD(FLOOR( (Table3[[#This Row],[Rep '#]]-1) / COUNT(oratings), 1), COUNT(dratings))+1)</f>
        <v>2</v>
      </c>
      <c r="D19" s="11">
        <f>Table3[[#This Row],[offense]]*$D$25+0.05</f>
        <v>0.1</v>
      </c>
      <c r="E19" s="11">
        <f>((2*Table3[[#This Row],[defense]]+1*Table3[[#This Row],[defense]])-1.5)*Table3[[#This Row],[offense]]*$E$25</f>
        <v>0.22500000000000001</v>
      </c>
      <c r="F19" s="11">
        <f>MAX(Table3[[#This Row],[base leadoff]]*(1-Table3[[#This Row],[leadoff modifier]]) * 90, 0)</f>
        <v>6.9750000000000014</v>
      </c>
      <c r="G19" s="11">
        <f>1.1 - Table3[[#This Row],[defense]]*0.1</f>
        <v>0.90000000000000013</v>
      </c>
      <c r="H19" s="11">
        <f xml:space="preserve"> 0.01 - 0.0025 *  Table3[[#This Row],[defense]]</f>
        <v>5.0000000000000001E-3</v>
      </c>
      <c r="I19" s="11">
        <f>1 / Table3[[#This Row],[throw speed (s/ft)]] * ((60 * 60)/5280)</f>
        <v>136.36363636363635</v>
      </c>
      <c r="J19" s="11">
        <f>Table3[[#This Row],[pickoff manuver (s)]]+60*Table3[[#This Row],[throw speed (s/ft)]]</f>
        <v>1.2000000000000002</v>
      </c>
      <c r="K19" s="11">
        <f>$K$27-$K$25*Table3[[#This Row],[offense]]</f>
        <v>0.8</v>
      </c>
      <c r="L19" s="11">
        <f>0.05 - Table3[[#This Row],[offense]]*$L$25</f>
        <v>4.5000000000000005E-2</v>
      </c>
      <c r="M19" s="11">
        <f>1 / Table3[[#This Row],[runner speed (s/ft)]] * ((60 * 60)/5280)</f>
        <v>15.151515151515147</v>
      </c>
      <c r="N19" s="11">
        <f>Table3[[#This Row],[runner reaction]]+Table3[[#This Row],[runner speed (s/ft)]]*Table3[[#This Row],[total leadoff (ft)]]</f>
        <v>1.1138750000000002</v>
      </c>
      <c r="O19" s="12">
        <f>1 - _xlfn.NORM.DIST(Table3[[#This Row],[pickoff time]], Table3[[#This Row],[pickoff evade time]], $O$4, TRUE)</f>
        <v>0.33337053015354379</v>
      </c>
      <c r="P19" s="58">
        <f>_xlfn.NORM.DIST(Table3[[#This Row],[defense]], $P$25, $P$26, TRUE)</f>
        <v>0.99836515899365319</v>
      </c>
      <c r="Q19" s="11" t="b">
        <f>Table3[[#This Row],[pickoff probability]] &gt; 1-Table3[[#This Row],[Fielding Odds]]</f>
        <v>1</v>
      </c>
      <c r="R19" s="58">
        <f>1-Table3[[#This Row],[Fielding Odds]]</f>
        <v>1.63484100634681E-3</v>
      </c>
      <c r="S19" s="11">
        <f>(90-Table3[[#This Row],[total leadoff (ft)]])*Table3[[#This Row],[runner speed (s/ft)]]</f>
        <v>3.7361250000000008</v>
      </c>
      <c r="T19" s="11">
        <f>$T$25*(2-Table3[[#This Row],[defense]]) + Table3[[#This Row],[pickoff time]]</f>
        <v>1.2000000000000002</v>
      </c>
      <c r="U19" s="58">
        <f>_xlfn.NORM.DIST(Table3[[#This Row],[Response speed]], Table3[[#This Row],[Blatant steal time]], $U$4, TRUE)</f>
        <v>1.1847960716990601E-5</v>
      </c>
    </row>
    <row r="20" spans="1:21" s="15" customFormat="1" x14ac:dyDescent="0.25">
      <c r="A20" s="15">
        <f>ROW()-ROW(home)</f>
        <v>15</v>
      </c>
      <c r="B20" s="15">
        <f>INDEX(oratings, 1, 1+MOD(Table3[[#This Row],[Rep '#]]-1, COUNT(oratings)))</f>
        <v>1</v>
      </c>
      <c r="C20" s="15">
        <f>INDEX(dratings, 1, MOD(FLOOR( (Table3[[#This Row],[Rep '#]]-1) / COUNT(oratings), 1), COUNT(dratings))+1)</f>
        <v>2</v>
      </c>
      <c r="D20" s="15">
        <f>Table3[[#This Row],[offense]]*$D$25+0.05</f>
        <v>0.15000000000000002</v>
      </c>
      <c r="E20" s="15">
        <f>((2*Table3[[#This Row],[defense]]+1*Table3[[#This Row],[defense]])-1.5)*Table3[[#This Row],[offense]]*$E$25</f>
        <v>0.45</v>
      </c>
      <c r="F20" s="15">
        <f>MAX(Table3[[#This Row],[base leadoff]]*(1-Table3[[#This Row],[leadoff modifier]]) * 90, 0)</f>
        <v>7.4250000000000016</v>
      </c>
      <c r="G20" s="15">
        <f>1.1 - Table3[[#This Row],[defense]]*0.1</f>
        <v>0.90000000000000013</v>
      </c>
      <c r="H20" s="15">
        <f xml:space="preserve"> 0.01 - 0.0025 *  Table3[[#This Row],[defense]]</f>
        <v>5.0000000000000001E-3</v>
      </c>
      <c r="I20" s="15">
        <f>1 / Table3[[#This Row],[throw speed (s/ft)]] * ((60 * 60)/5280)</f>
        <v>136.36363636363635</v>
      </c>
      <c r="J20" s="15">
        <f>Table3[[#This Row],[pickoff manuver (s)]]+60*Table3[[#This Row],[throw speed (s/ft)]]</f>
        <v>1.2000000000000002</v>
      </c>
      <c r="K20" s="15">
        <f>$K$27-$K$25*Table3[[#This Row],[offense]]</f>
        <v>0.7</v>
      </c>
      <c r="L20" s="15">
        <f>0.05 - Table3[[#This Row],[offense]]*$L$25</f>
        <v>0.04</v>
      </c>
      <c r="M20" s="15">
        <f>1 / Table3[[#This Row],[runner speed (s/ft)]] * ((60 * 60)/5280)</f>
        <v>17.045454545454543</v>
      </c>
      <c r="N20" s="15">
        <f>Table3[[#This Row],[runner reaction]]+Table3[[#This Row],[runner speed (s/ft)]]*Table3[[#This Row],[total leadoff (ft)]]</f>
        <v>0.99700000000000011</v>
      </c>
      <c r="O20" s="16">
        <f>1 - _xlfn.NORM.DIST(Table3[[#This Row],[pickoff time]], Table3[[#This Row],[pickoff evade time]], $O$4, TRUE)</f>
        <v>0.15505291375244945</v>
      </c>
      <c r="P20" s="57">
        <f>_xlfn.NORM.DIST(Table3[[#This Row],[defense]], $P$25, $P$26, TRUE)</f>
        <v>0.99836515899365319</v>
      </c>
      <c r="Q20" s="15" t="b">
        <f>Table3[[#This Row],[pickoff probability]] &gt; 1-Table3[[#This Row],[Fielding Odds]]</f>
        <v>1</v>
      </c>
      <c r="R20" s="57">
        <f>1-Table3[[#This Row],[Fielding Odds]]</f>
        <v>1.63484100634681E-3</v>
      </c>
      <c r="S20" s="15">
        <f>(90-Table3[[#This Row],[total leadoff (ft)]])*Table3[[#This Row],[runner speed (s/ft)]]</f>
        <v>3.3030000000000004</v>
      </c>
      <c r="T20" s="15">
        <f>$T$25*(2-Table3[[#This Row],[defense]]) + Table3[[#This Row],[pickoff time]]</f>
        <v>1.2000000000000002</v>
      </c>
      <c r="U20" s="57">
        <f>_xlfn.NORM.DIST(Table3[[#This Row],[Response speed]], Table3[[#This Row],[Blatant steal time]], $U$4, TRUE)</f>
        <v>2.2830364162715008E-4</v>
      </c>
    </row>
    <row r="21" spans="1:21" s="20" customFormat="1" x14ac:dyDescent="0.25">
      <c r="A21" s="19">
        <f>ROW()-ROW(home)</f>
        <v>16</v>
      </c>
      <c r="B21" s="20">
        <f>INDEX(oratings, 1, 1+MOD(Table3[[#This Row],[Rep '#]]-1, COUNT(oratings)))</f>
        <v>2</v>
      </c>
      <c r="C21" s="20">
        <f>INDEX(dratings, 1, MOD(FLOOR( (Table3[[#This Row],[Rep '#]]-1) / COUNT(oratings), 1), COUNT(dratings))+1)</f>
        <v>2</v>
      </c>
      <c r="D21" s="20">
        <f>Table3[[#This Row],[offense]]*$D$25+0.05</f>
        <v>0.25</v>
      </c>
      <c r="E21" s="20">
        <f>((2*Table3[[#This Row],[defense]]+1*Table3[[#This Row],[defense]])-1.5)*Table3[[#This Row],[offense]]*$E$25</f>
        <v>0.9</v>
      </c>
      <c r="F21" s="20">
        <f>MAX(Table3[[#This Row],[base leadoff]]*(1-Table3[[#This Row],[leadoff modifier]]) * 90, 0)</f>
        <v>2.2499999999999996</v>
      </c>
      <c r="G21" s="20">
        <f>1.1 - Table3[[#This Row],[defense]]*0.1</f>
        <v>0.90000000000000013</v>
      </c>
      <c r="H21" s="20">
        <f xml:space="preserve"> 0.01 - 0.0025 *  Table3[[#This Row],[defense]]</f>
        <v>5.0000000000000001E-3</v>
      </c>
      <c r="I21" s="20">
        <f>1 / Table3[[#This Row],[throw speed (s/ft)]] * ((60 * 60)/5280)</f>
        <v>136.36363636363635</v>
      </c>
      <c r="J21" s="20">
        <f>Table3[[#This Row],[pickoff manuver (s)]]+60*Table3[[#This Row],[throw speed (s/ft)]]</f>
        <v>1.2000000000000002</v>
      </c>
      <c r="K21" s="20">
        <f>$K$27-$K$25*Table3[[#This Row],[offense]]</f>
        <v>0.5</v>
      </c>
      <c r="L21" s="20">
        <f>0.05 - Table3[[#This Row],[offense]]*$L$25</f>
        <v>3.0000000000000002E-2</v>
      </c>
      <c r="M21" s="20">
        <f>1 / Table3[[#This Row],[runner speed (s/ft)]] * ((60 * 60)/5280)</f>
        <v>22.727272727272723</v>
      </c>
      <c r="N21" s="20">
        <f>Table3[[#This Row],[runner reaction]]+Table3[[#This Row],[runner speed (s/ft)]]*Table3[[#This Row],[total leadoff (ft)]]</f>
        <v>0.5675</v>
      </c>
      <c r="O21" s="21">
        <f>1 - _xlfn.NORM.DIST(Table3[[#This Row],[pickoff time]], Table3[[#This Row],[pickoff evade time]], $O$4, TRUE)</f>
        <v>7.8210367804876224E-4</v>
      </c>
      <c r="P21" s="59">
        <f>_xlfn.NORM.DIST(Table3[[#This Row],[defense]], $P$25, $P$26, TRUE)</f>
        <v>0.99836515899365319</v>
      </c>
      <c r="Q21" s="20" t="b">
        <f>Table3[[#This Row],[pickoff probability]] &gt; 1-Table3[[#This Row],[Fielding Odds]]</f>
        <v>0</v>
      </c>
      <c r="R21" s="59">
        <f>1-Table3[[#This Row],[Fielding Odds]]</f>
        <v>1.63484100634681E-3</v>
      </c>
      <c r="S21" s="20">
        <f>(90-Table3[[#This Row],[total leadoff (ft)]])*Table3[[#This Row],[runner speed (s/ft)]]</f>
        <v>2.6325000000000003</v>
      </c>
      <c r="T21" s="20">
        <f>$T$25*(2-Table3[[#This Row],[defense]]) + Table3[[#This Row],[pickoff time]]</f>
        <v>1.2000000000000002</v>
      </c>
      <c r="U21" s="59">
        <f>_xlfn.NORM.DIST(Table3[[#This Row],[Response speed]], Table3[[#This Row],[Blatant steal time]], $U$4, TRUE)</f>
        <v>8.4817013785601532E-3</v>
      </c>
    </row>
    <row r="24" spans="1:21" x14ac:dyDescent="0.25">
      <c r="D24" t="s">
        <v>98</v>
      </c>
      <c r="E24" t="s">
        <v>99</v>
      </c>
      <c r="G24" t="s">
        <v>91</v>
      </c>
      <c r="H24" t="s">
        <v>92</v>
      </c>
      <c r="K24" t="s">
        <v>93</v>
      </c>
      <c r="L24" t="s">
        <v>94</v>
      </c>
      <c r="P24" t="s">
        <v>112</v>
      </c>
      <c r="T24" t="s">
        <v>118</v>
      </c>
    </row>
    <row r="25" spans="1:21" x14ac:dyDescent="0.25">
      <c r="D25">
        <v>0.1</v>
      </c>
      <c r="E25">
        <v>0.1</v>
      </c>
      <c r="G25">
        <v>0.1</v>
      </c>
      <c r="H25">
        <v>2.5000000000000001E-3</v>
      </c>
      <c r="K25">
        <v>0.2</v>
      </c>
      <c r="L25">
        <v>0.01</v>
      </c>
      <c r="O25" t="s">
        <v>96</v>
      </c>
      <c r="P25">
        <v>-3</v>
      </c>
      <c r="T25">
        <v>0.2</v>
      </c>
    </row>
    <row r="26" spans="1:21" x14ac:dyDescent="0.25">
      <c r="K26" t="s">
        <v>100</v>
      </c>
      <c r="O26" t="s">
        <v>104</v>
      </c>
      <c r="P26">
        <v>1.7</v>
      </c>
    </row>
    <row r="27" spans="1:21" x14ac:dyDescent="0.25">
      <c r="K27">
        <v>0.9</v>
      </c>
    </row>
  </sheetData>
  <conditionalFormatting sqref="O6:O21">
    <cfRule type="cellIs" dxfId="8" priority="1" operator="equal">
      <formula>TRUE</formula>
    </cfRule>
  </conditionalFormatting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9"/>
  <sheetViews>
    <sheetView workbookViewId="0">
      <selection activeCell="T19" sqref="T19"/>
    </sheetView>
  </sheetViews>
  <sheetFormatPr defaultRowHeight="15" x14ac:dyDescent="0.25"/>
  <cols>
    <col min="2" max="2" width="9.140625" customWidth="1"/>
  </cols>
  <sheetData>
    <row r="2" spans="3:19" ht="15.75" thickBot="1" x14ac:dyDescent="0.3"/>
    <row r="3" spans="3:19" ht="16.5" thickTop="1" thickBot="1" x14ac:dyDescent="0.3">
      <c r="C3" s="36" t="s">
        <v>106</v>
      </c>
      <c r="D3" s="37"/>
      <c r="E3" s="37"/>
      <c r="F3" s="37"/>
      <c r="G3" s="38"/>
      <c r="K3" s="36"/>
      <c r="L3" s="37" t="s">
        <v>107</v>
      </c>
      <c r="M3" s="37"/>
      <c r="N3" s="37"/>
      <c r="O3" s="37"/>
      <c r="P3" s="37"/>
      <c r="Q3" s="37"/>
      <c r="R3" s="37"/>
      <c r="S3" s="38"/>
    </row>
    <row r="4" spans="3:19" x14ac:dyDescent="0.25">
      <c r="C4" s="31"/>
      <c r="D4" s="32" t="s">
        <v>102</v>
      </c>
      <c r="E4" s="32" t="s">
        <v>103</v>
      </c>
      <c r="F4" s="32"/>
      <c r="G4" s="33"/>
      <c r="K4" s="31"/>
      <c r="L4" s="32" t="s">
        <v>96</v>
      </c>
      <c r="M4" s="39">
        <v>-3</v>
      </c>
      <c r="N4" s="32" t="s">
        <v>90</v>
      </c>
      <c r="O4" s="39">
        <v>1.7</v>
      </c>
      <c r="P4" s="32"/>
      <c r="Q4" s="32"/>
      <c r="R4" s="32"/>
      <c r="S4" s="33"/>
    </row>
    <row r="5" spans="3:19" x14ac:dyDescent="0.25">
      <c r="C5" s="31" t="s">
        <v>101</v>
      </c>
      <c r="D5" s="39">
        <v>0.98499999999999999</v>
      </c>
      <c r="E5" s="32">
        <f>_xlfn.NORM.S.INV(D5)</f>
        <v>2.1700903775845601</v>
      </c>
      <c r="F5" s="32"/>
      <c r="G5" s="33"/>
      <c r="K5" s="31" t="s">
        <v>108</v>
      </c>
      <c r="L5" s="32">
        <v>0</v>
      </c>
      <c r="M5" s="32">
        <v>0.1</v>
      </c>
      <c r="N5" s="32">
        <v>0.25</v>
      </c>
      <c r="O5" s="32">
        <v>0.5</v>
      </c>
      <c r="P5" s="32">
        <v>0.8</v>
      </c>
      <c r="Q5" s="32">
        <v>1</v>
      </c>
      <c r="R5" s="32">
        <v>1.5</v>
      </c>
      <c r="S5" s="33">
        <v>2</v>
      </c>
    </row>
    <row r="6" spans="3:19" ht="15.75" thickBot="1" x14ac:dyDescent="0.3">
      <c r="C6" s="31"/>
      <c r="D6" s="32" t="s">
        <v>105</v>
      </c>
      <c r="E6" s="39">
        <v>1</v>
      </c>
      <c r="F6" s="32"/>
      <c r="G6" s="33"/>
      <c r="K6" s="43" t="s">
        <v>109</v>
      </c>
      <c r="L6" s="44">
        <f>_xlfn.NORM.DIST(L5, $M$4, $O$4, TRUE)</f>
        <v>0.96119339527114878</v>
      </c>
      <c r="M6" s="44">
        <f>_xlfn.NORM.DIST(M5, $M$4, $O$4, TRUE)</f>
        <v>0.96588837667724492</v>
      </c>
      <c r="N6" s="44">
        <f>_xlfn.NORM.DIST(N5, $M$4, $O$4, TRUE)</f>
        <v>0.97204680967698576</v>
      </c>
      <c r="O6" s="44">
        <f>_xlfn.NORM.DIST(O5, $M$4, $O$4, TRUE)</f>
        <v>0.98024442661121902</v>
      </c>
      <c r="P6" s="44">
        <f>_xlfn.NORM.DIST(P5, $M$4, $O$4, TRUE)</f>
        <v>0.98730097700023178</v>
      </c>
      <c r="Q6" s="44">
        <f>_xlfn.NORM.DIST(Q5, $M$4, $O$4, TRUE)</f>
        <v>0.99068720985629855</v>
      </c>
      <c r="R6" s="44">
        <f>_xlfn.NORM.DIST(R5, $M$4, $O$4, TRUE)</f>
        <v>0.99594023860462444</v>
      </c>
      <c r="S6" s="45">
        <f>_xlfn.NORM.DIST(S5, $M$4, $O$4, TRUE)</f>
        <v>0.99836515899365319</v>
      </c>
    </row>
    <row r="7" spans="3:19" ht="15.75" thickBot="1" x14ac:dyDescent="0.3">
      <c r="C7" s="31"/>
      <c r="D7" s="32" t="s">
        <v>96</v>
      </c>
      <c r="E7" s="39">
        <v>0.7</v>
      </c>
      <c r="F7" s="32" t="s">
        <v>104</v>
      </c>
      <c r="G7" s="40">
        <v>0.36477409900000002</v>
      </c>
      <c r="K7" s="31" t="s">
        <v>110</v>
      </c>
      <c r="L7" s="39"/>
      <c r="M7" s="39">
        <v>0.95</v>
      </c>
      <c r="N7" s="39"/>
      <c r="O7" s="39">
        <v>0.97</v>
      </c>
      <c r="P7" s="39"/>
      <c r="Q7" s="39">
        <v>0.98499999999999999</v>
      </c>
      <c r="R7" s="39"/>
      <c r="S7" s="40">
        <v>1</v>
      </c>
    </row>
    <row r="8" spans="3:19" ht="15.75" thickBot="1" x14ac:dyDescent="0.3">
      <c r="C8" s="34"/>
      <c r="D8" s="35" t="s">
        <v>104</v>
      </c>
      <c r="E8" s="41">
        <f>(E6-E7)/E5</f>
        <v>0.13824309028728929</v>
      </c>
      <c r="F8" s="35" t="s">
        <v>96</v>
      </c>
      <c r="G8" s="42">
        <f>-E5*G7 + E6</f>
        <v>0.20840723776802228</v>
      </c>
      <c r="K8" s="34" t="s">
        <v>111</v>
      </c>
      <c r="L8" s="46" t="str">
        <f>IF(ISBLANK(L7), "", L6-L7)</f>
        <v/>
      </c>
      <c r="M8" s="46">
        <f>IF(ISBLANK(M7), "", M6-M7)</f>
        <v>1.5888376677244964E-2</v>
      </c>
      <c r="N8" s="46" t="str">
        <f t="shared" ref="N8:S8" si="0">IF(ISBLANK(N7), "", N6-N7)</f>
        <v/>
      </c>
      <c r="O8" s="46">
        <f t="shared" si="0"/>
        <v>1.0244426611219049E-2</v>
      </c>
      <c r="P8" s="46" t="str">
        <f t="shared" si="0"/>
        <v/>
      </c>
      <c r="Q8" s="46">
        <f t="shared" si="0"/>
        <v>5.6872098562985585E-3</v>
      </c>
      <c r="R8" s="46" t="str">
        <f t="shared" si="0"/>
        <v/>
      </c>
      <c r="S8" s="47">
        <f t="shared" si="0"/>
        <v>-1.63484100634681E-3</v>
      </c>
    </row>
    <row r="9" spans="3:19" ht="15.75" thickTop="1" x14ac:dyDescent="0.25"/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D1" workbookViewId="0">
      <selection activeCell="Z25" sqref="Z25"/>
    </sheetView>
  </sheetViews>
  <sheetFormatPr defaultRowHeight="15" x14ac:dyDescent="0.25"/>
  <sheetData>
    <row r="1" spans="1:2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70</v>
      </c>
      <c r="AA1" t="s">
        <v>72</v>
      </c>
      <c r="AB1" t="s">
        <v>71</v>
      </c>
    </row>
    <row r="2" spans="1:28" x14ac:dyDescent="0.25">
      <c r="G2">
        <f>_xlfn.NUMBERVALUE(LEFT(G1, LEN(G1)-2))</f>
        <v>0</v>
      </c>
      <c r="H2">
        <f t="shared" ref="H2:Y2" si="0">_xlfn.NUMBERVALUE(LEFT(H1, LEN(H1)-2))</f>
        <v>5</v>
      </c>
      <c r="I2">
        <f t="shared" si="0"/>
        <v>10</v>
      </c>
      <c r="J2">
        <f t="shared" si="0"/>
        <v>15</v>
      </c>
      <c r="K2">
        <f t="shared" si="0"/>
        <v>20</v>
      </c>
      <c r="L2">
        <f t="shared" si="0"/>
        <v>25</v>
      </c>
      <c r="M2">
        <f t="shared" si="0"/>
        <v>30</v>
      </c>
      <c r="N2">
        <f t="shared" si="0"/>
        <v>35</v>
      </c>
      <c r="O2">
        <f t="shared" si="0"/>
        <v>40</v>
      </c>
      <c r="P2">
        <f t="shared" si="0"/>
        <v>45</v>
      </c>
      <c r="Q2">
        <f t="shared" si="0"/>
        <v>50</v>
      </c>
      <c r="R2">
        <f t="shared" si="0"/>
        <v>55</v>
      </c>
      <c r="S2">
        <f t="shared" si="0"/>
        <v>60</v>
      </c>
      <c r="T2">
        <f t="shared" si="0"/>
        <v>65</v>
      </c>
      <c r="U2">
        <f t="shared" si="0"/>
        <v>70</v>
      </c>
      <c r="V2">
        <f t="shared" si="0"/>
        <v>75</v>
      </c>
      <c r="W2">
        <f t="shared" si="0"/>
        <v>80</v>
      </c>
      <c r="X2">
        <f t="shared" si="0"/>
        <v>85</v>
      </c>
      <c r="Y2">
        <f t="shared" si="0"/>
        <v>90</v>
      </c>
      <c r="AB2">
        <v>10</v>
      </c>
    </row>
    <row r="3" spans="1:28" x14ac:dyDescent="0.25">
      <c r="A3">
        <v>1</v>
      </c>
      <c r="B3" t="s">
        <v>16</v>
      </c>
      <c r="C3" t="s">
        <v>14</v>
      </c>
      <c r="D3" t="s">
        <v>17</v>
      </c>
      <c r="E3" t="s">
        <v>15</v>
      </c>
      <c r="F3">
        <v>41</v>
      </c>
      <c r="G3">
        <v>0</v>
      </c>
      <c r="H3">
        <v>0.59</v>
      </c>
      <c r="I3">
        <v>0.94</v>
      </c>
      <c r="J3">
        <v>1.23</v>
      </c>
      <c r="K3">
        <v>1.5</v>
      </c>
      <c r="L3">
        <v>1.75</v>
      </c>
      <c r="M3">
        <v>1.99</v>
      </c>
      <c r="N3">
        <v>2.2200000000000002</v>
      </c>
      <c r="O3">
        <v>2.4500000000000002</v>
      </c>
      <c r="P3">
        <v>2.66</v>
      </c>
      <c r="Q3">
        <v>2.88</v>
      </c>
      <c r="R3">
        <v>3.09</v>
      </c>
      <c r="S3">
        <v>3.3</v>
      </c>
      <c r="T3">
        <v>3.51</v>
      </c>
      <c r="U3">
        <v>3.72</v>
      </c>
      <c r="V3">
        <v>3.94</v>
      </c>
      <c r="W3">
        <v>4.16</v>
      </c>
      <c r="X3">
        <v>4.38</v>
      </c>
      <c r="Y3">
        <v>4.62</v>
      </c>
      <c r="Z3">
        <f>I3</f>
        <v>0.94</v>
      </c>
      <c r="AA3">
        <f>(Y3-K3)/(Y$2-K$2)</f>
        <v>4.4571428571428574E-2</v>
      </c>
      <c r="AB3">
        <f>AA3*$AB$2+Z3</f>
        <v>1.3857142857142857</v>
      </c>
    </row>
    <row r="4" spans="1:28" x14ac:dyDescent="0.25">
      <c r="A4">
        <v>10</v>
      </c>
      <c r="B4" t="s">
        <v>18</v>
      </c>
      <c r="C4" t="s">
        <v>14</v>
      </c>
      <c r="D4" t="s">
        <v>19</v>
      </c>
      <c r="E4" t="s">
        <v>20</v>
      </c>
      <c r="F4">
        <v>34</v>
      </c>
      <c r="G4">
        <v>0</v>
      </c>
      <c r="H4">
        <v>0.57999999999999996</v>
      </c>
      <c r="I4">
        <v>0.93</v>
      </c>
      <c r="J4">
        <v>1.22</v>
      </c>
      <c r="K4">
        <v>1.48</v>
      </c>
      <c r="L4">
        <v>1.73</v>
      </c>
      <c r="M4">
        <v>1.96</v>
      </c>
      <c r="N4">
        <v>2.19</v>
      </c>
      <c r="O4">
        <v>2.4</v>
      </c>
      <c r="P4">
        <v>2.61</v>
      </c>
      <c r="Q4">
        <v>2.82</v>
      </c>
      <c r="R4">
        <v>3.02</v>
      </c>
      <c r="S4">
        <v>3.23</v>
      </c>
      <c r="T4">
        <v>3.42</v>
      </c>
      <c r="U4">
        <v>3.62</v>
      </c>
      <c r="V4">
        <v>3.82</v>
      </c>
      <c r="W4">
        <v>4.0199999999999996</v>
      </c>
      <c r="X4">
        <v>4.22</v>
      </c>
      <c r="Y4">
        <v>4.43</v>
      </c>
      <c r="Z4">
        <f t="shared" ref="Z4:Z15" si="1">I4</f>
        <v>0.93</v>
      </c>
      <c r="AA4">
        <f t="shared" ref="AA4:AA15" si="2">(Y4-K4)/(Y$2-K$2)</f>
        <v>4.2142857142857142E-2</v>
      </c>
      <c r="AB4">
        <f t="shared" ref="AB4:AB15" si="3">AA4*$AB$2+Z4</f>
        <v>1.3514285714285714</v>
      </c>
    </row>
    <row r="5" spans="1:28" x14ac:dyDescent="0.25">
      <c r="A5">
        <v>30</v>
      </c>
      <c r="B5" t="s">
        <v>46</v>
      </c>
      <c r="C5" t="s">
        <v>14</v>
      </c>
      <c r="D5" t="s">
        <v>47</v>
      </c>
      <c r="E5" t="s">
        <v>15</v>
      </c>
      <c r="F5">
        <v>27</v>
      </c>
      <c r="G5">
        <v>0</v>
      </c>
      <c r="H5">
        <v>0.6</v>
      </c>
      <c r="I5">
        <v>0.93</v>
      </c>
      <c r="J5">
        <v>1.2</v>
      </c>
      <c r="K5">
        <v>1.45</v>
      </c>
      <c r="L5">
        <v>1.69</v>
      </c>
      <c r="M5">
        <v>1.92</v>
      </c>
      <c r="N5">
        <v>2.14</v>
      </c>
      <c r="O5">
        <v>2.36</v>
      </c>
      <c r="P5">
        <v>2.56</v>
      </c>
      <c r="Q5">
        <v>2.76</v>
      </c>
      <c r="R5">
        <v>2.95</v>
      </c>
      <c r="S5">
        <v>3.14</v>
      </c>
      <c r="T5">
        <v>3.33</v>
      </c>
      <c r="U5">
        <v>3.52</v>
      </c>
      <c r="V5">
        <v>3.71</v>
      </c>
      <c r="W5">
        <v>3.89</v>
      </c>
      <c r="X5">
        <v>4.09</v>
      </c>
      <c r="Y5">
        <v>4.29</v>
      </c>
      <c r="Z5">
        <f t="shared" si="1"/>
        <v>0.93</v>
      </c>
      <c r="AA5">
        <f t="shared" si="2"/>
        <v>4.0571428571428571E-2</v>
      </c>
      <c r="AB5">
        <f t="shared" si="3"/>
        <v>1.3357142857142859</v>
      </c>
    </row>
    <row r="6" spans="1:28" x14ac:dyDescent="0.25">
      <c r="A6">
        <v>69</v>
      </c>
      <c r="B6" t="s">
        <v>48</v>
      </c>
      <c r="C6" t="s">
        <v>14</v>
      </c>
      <c r="D6" t="s">
        <v>49</v>
      </c>
      <c r="E6" t="s">
        <v>20</v>
      </c>
      <c r="F6">
        <v>30</v>
      </c>
      <c r="G6">
        <v>0</v>
      </c>
      <c r="H6">
        <v>0.56000000000000005</v>
      </c>
      <c r="I6">
        <v>0.9</v>
      </c>
      <c r="J6">
        <v>1.18</v>
      </c>
      <c r="K6">
        <v>1.43</v>
      </c>
      <c r="L6">
        <v>1.67</v>
      </c>
      <c r="M6">
        <v>1.89</v>
      </c>
      <c r="N6">
        <v>2.1</v>
      </c>
      <c r="O6">
        <v>2.31</v>
      </c>
      <c r="P6">
        <v>2.5099999999999998</v>
      </c>
      <c r="Q6">
        <v>2.71</v>
      </c>
      <c r="R6">
        <v>2.9</v>
      </c>
      <c r="S6">
        <v>3.09</v>
      </c>
      <c r="T6">
        <v>3.28</v>
      </c>
      <c r="U6">
        <v>3.46</v>
      </c>
      <c r="V6">
        <v>3.65</v>
      </c>
      <c r="W6">
        <v>3.84</v>
      </c>
      <c r="X6">
        <v>4.0199999999999996</v>
      </c>
      <c r="Y6">
        <v>4.21</v>
      </c>
      <c r="Z6">
        <f t="shared" si="1"/>
        <v>0.9</v>
      </c>
      <c r="AA6">
        <f t="shared" si="2"/>
        <v>3.9714285714285716E-2</v>
      </c>
      <c r="AB6">
        <f t="shared" si="3"/>
        <v>1.2971428571428572</v>
      </c>
    </row>
    <row r="7" spans="1:28" x14ac:dyDescent="0.25">
      <c r="A7">
        <v>124</v>
      </c>
      <c r="B7" t="s">
        <v>50</v>
      </c>
      <c r="C7" t="s">
        <v>14</v>
      </c>
      <c r="D7" t="s">
        <v>51</v>
      </c>
      <c r="E7" t="s">
        <v>20</v>
      </c>
      <c r="F7">
        <v>25</v>
      </c>
      <c r="G7">
        <v>0</v>
      </c>
      <c r="H7">
        <v>0.56000000000000005</v>
      </c>
      <c r="I7">
        <v>0.89</v>
      </c>
      <c r="J7">
        <v>1.17</v>
      </c>
      <c r="K7">
        <v>1.42</v>
      </c>
      <c r="L7">
        <v>1.65</v>
      </c>
      <c r="M7">
        <v>1.86</v>
      </c>
      <c r="N7">
        <v>2.0699999999999998</v>
      </c>
      <c r="O7">
        <v>2.27</v>
      </c>
      <c r="P7">
        <v>2.4700000000000002</v>
      </c>
      <c r="Q7">
        <v>2.66</v>
      </c>
      <c r="R7">
        <v>2.85</v>
      </c>
      <c r="S7">
        <v>3.03</v>
      </c>
      <c r="T7">
        <v>3.22</v>
      </c>
      <c r="U7">
        <v>3.4</v>
      </c>
      <c r="V7">
        <v>3.58</v>
      </c>
      <c r="W7">
        <v>3.76</v>
      </c>
      <c r="X7">
        <v>3.95</v>
      </c>
      <c r="Y7">
        <v>4.1500000000000004</v>
      </c>
      <c r="Z7">
        <f t="shared" si="1"/>
        <v>0.89</v>
      </c>
      <c r="AA7">
        <f t="shared" si="2"/>
        <v>3.9000000000000007E-2</v>
      </c>
      <c r="AB7">
        <f t="shared" si="3"/>
        <v>1.28</v>
      </c>
    </row>
    <row r="8" spans="1:28" x14ac:dyDescent="0.25">
      <c r="A8">
        <v>338</v>
      </c>
      <c r="B8" t="s">
        <v>52</v>
      </c>
      <c r="C8" t="s">
        <v>53</v>
      </c>
      <c r="D8" t="s">
        <v>54</v>
      </c>
      <c r="E8" t="s">
        <v>15</v>
      </c>
      <c r="F8">
        <v>26</v>
      </c>
      <c r="G8">
        <v>0</v>
      </c>
      <c r="H8">
        <v>0.54</v>
      </c>
      <c r="I8">
        <v>0.86</v>
      </c>
      <c r="J8">
        <v>1.1299999999999999</v>
      </c>
      <c r="K8">
        <v>1.36</v>
      </c>
      <c r="L8">
        <v>1.59</v>
      </c>
      <c r="M8">
        <v>1.79</v>
      </c>
      <c r="N8">
        <v>1.99</v>
      </c>
      <c r="O8">
        <v>2.1800000000000002</v>
      </c>
      <c r="P8">
        <v>2.37</v>
      </c>
      <c r="Q8">
        <v>2.56</v>
      </c>
      <c r="R8">
        <v>2.74</v>
      </c>
      <c r="S8">
        <v>2.92</v>
      </c>
      <c r="T8">
        <v>3.1</v>
      </c>
      <c r="U8">
        <v>3.27</v>
      </c>
      <c r="V8">
        <v>3.44</v>
      </c>
      <c r="W8">
        <v>3.62</v>
      </c>
      <c r="X8">
        <v>3.79</v>
      </c>
      <c r="Y8">
        <v>3.98</v>
      </c>
      <c r="Z8">
        <f t="shared" si="1"/>
        <v>0.86</v>
      </c>
      <c r="AA8">
        <f t="shared" si="2"/>
        <v>3.7428571428571429E-2</v>
      </c>
      <c r="AB8">
        <f t="shared" si="3"/>
        <v>1.2342857142857142</v>
      </c>
    </row>
    <row r="9" spans="1:28" x14ac:dyDescent="0.25">
      <c r="A9">
        <v>388</v>
      </c>
      <c r="B9" t="s">
        <v>55</v>
      </c>
      <c r="C9" t="s">
        <v>14</v>
      </c>
      <c r="D9" t="s">
        <v>56</v>
      </c>
      <c r="E9" t="s">
        <v>57</v>
      </c>
      <c r="F9">
        <v>29</v>
      </c>
      <c r="G9">
        <v>0</v>
      </c>
      <c r="H9">
        <v>0.56999999999999995</v>
      </c>
      <c r="I9">
        <v>0.88</v>
      </c>
      <c r="J9">
        <v>1.1299999999999999</v>
      </c>
      <c r="K9">
        <v>1.37</v>
      </c>
      <c r="L9">
        <v>1.58</v>
      </c>
      <c r="M9">
        <v>1.78</v>
      </c>
      <c r="N9">
        <v>1.97</v>
      </c>
      <c r="O9">
        <v>2.16</v>
      </c>
      <c r="P9">
        <v>2.35</v>
      </c>
      <c r="Q9">
        <v>2.52</v>
      </c>
      <c r="R9">
        <v>2.7</v>
      </c>
      <c r="S9">
        <v>2.88</v>
      </c>
      <c r="T9">
        <v>3.06</v>
      </c>
      <c r="U9">
        <v>3.23</v>
      </c>
      <c r="V9">
        <v>3.39</v>
      </c>
      <c r="W9">
        <v>3.56</v>
      </c>
      <c r="X9">
        <v>3.73</v>
      </c>
      <c r="Y9">
        <v>3.91</v>
      </c>
      <c r="Z9">
        <f t="shared" si="1"/>
        <v>0.88</v>
      </c>
      <c r="AA9">
        <f t="shared" si="2"/>
        <v>3.6285714285714289E-2</v>
      </c>
      <c r="AB9">
        <f t="shared" si="3"/>
        <v>1.2428571428571429</v>
      </c>
    </row>
    <row r="10" spans="1:28" x14ac:dyDescent="0.25">
      <c r="A10">
        <v>465</v>
      </c>
      <c r="B10" t="s">
        <v>58</v>
      </c>
      <c r="C10" t="s">
        <v>53</v>
      </c>
      <c r="D10" t="s">
        <v>47</v>
      </c>
      <c r="E10" t="s">
        <v>57</v>
      </c>
      <c r="F10">
        <v>26</v>
      </c>
      <c r="G10">
        <v>0</v>
      </c>
      <c r="H10">
        <v>0.53</v>
      </c>
      <c r="I10">
        <v>0.83</v>
      </c>
      <c r="J10">
        <v>1.0900000000000001</v>
      </c>
      <c r="K10">
        <v>1.31</v>
      </c>
      <c r="L10">
        <v>1.53</v>
      </c>
      <c r="M10">
        <v>1.73</v>
      </c>
      <c r="N10">
        <v>1.93</v>
      </c>
      <c r="O10">
        <v>2.12</v>
      </c>
      <c r="P10">
        <v>2.2999999999999998</v>
      </c>
      <c r="Q10">
        <v>2.48</v>
      </c>
      <c r="R10">
        <v>2.66</v>
      </c>
      <c r="S10">
        <v>2.84</v>
      </c>
      <c r="T10">
        <v>3.01</v>
      </c>
      <c r="U10">
        <v>3.18</v>
      </c>
      <c r="V10">
        <v>3.35</v>
      </c>
      <c r="W10">
        <v>3.52</v>
      </c>
      <c r="X10">
        <v>3.7</v>
      </c>
      <c r="Y10">
        <v>3.9</v>
      </c>
      <c r="Z10">
        <f t="shared" si="1"/>
        <v>0.83</v>
      </c>
      <c r="AA10">
        <f t="shared" si="2"/>
        <v>3.6999999999999998E-2</v>
      </c>
      <c r="AB10">
        <f t="shared" si="3"/>
        <v>1.2</v>
      </c>
    </row>
    <row r="11" spans="1:28" x14ac:dyDescent="0.25">
      <c r="A11">
        <v>510</v>
      </c>
      <c r="B11" t="s">
        <v>59</v>
      </c>
      <c r="C11" t="s">
        <v>53</v>
      </c>
      <c r="D11" t="s">
        <v>60</v>
      </c>
      <c r="E11" t="s">
        <v>57</v>
      </c>
      <c r="F11">
        <v>37</v>
      </c>
      <c r="G11">
        <v>0</v>
      </c>
      <c r="H11">
        <v>0.53</v>
      </c>
      <c r="I11">
        <v>0.81</v>
      </c>
      <c r="J11">
        <v>1.06</v>
      </c>
      <c r="K11">
        <v>1.28</v>
      </c>
      <c r="L11">
        <v>1.48</v>
      </c>
      <c r="M11">
        <v>1.67</v>
      </c>
      <c r="N11">
        <v>1.86</v>
      </c>
      <c r="O11">
        <v>2.04</v>
      </c>
      <c r="P11">
        <v>2.23</v>
      </c>
      <c r="Q11">
        <v>2.4</v>
      </c>
      <c r="R11">
        <v>2.58</v>
      </c>
      <c r="S11">
        <v>2.75</v>
      </c>
      <c r="T11">
        <v>2.93</v>
      </c>
      <c r="U11">
        <v>3.1</v>
      </c>
      <c r="V11">
        <v>3.28</v>
      </c>
      <c r="W11">
        <v>3.45</v>
      </c>
      <c r="X11">
        <v>3.65</v>
      </c>
      <c r="Y11">
        <v>3.82</v>
      </c>
      <c r="Z11">
        <f t="shared" si="1"/>
        <v>0.81</v>
      </c>
      <c r="AA11">
        <f t="shared" si="2"/>
        <v>3.6285714285714289E-2</v>
      </c>
      <c r="AB11">
        <f t="shared" si="3"/>
        <v>1.172857142857143</v>
      </c>
    </row>
    <row r="12" spans="1:28" x14ac:dyDescent="0.25">
      <c r="A12">
        <v>468</v>
      </c>
      <c r="B12" t="s">
        <v>61</v>
      </c>
      <c r="C12" t="s">
        <v>53</v>
      </c>
      <c r="D12" t="s">
        <v>62</v>
      </c>
      <c r="E12" t="s">
        <v>63</v>
      </c>
      <c r="F12">
        <v>27</v>
      </c>
      <c r="G12">
        <v>0</v>
      </c>
      <c r="H12">
        <v>0.54</v>
      </c>
      <c r="I12">
        <v>0.84</v>
      </c>
      <c r="J12">
        <v>1.0900000000000001</v>
      </c>
      <c r="K12">
        <v>1.32</v>
      </c>
      <c r="L12">
        <v>1.53</v>
      </c>
      <c r="M12">
        <v>1.74</v>
      </c>
      <c r="N12">
        <v>1.93</v>
      </c>
      <c r="O12">
        <v>2.12</v>
      </c>
      <c r="P12">
        <v>2.2999999999999998</v>
      </c>
      <c r="Q12">
        <v>2.48</v>
      </c>
      <c r="R12">
        <v>2.65</v>
      </c>
      <c r="S12">
        <v>2.83</v>
      </c>
      <c r="T12">
        <v>3</v>
      </c>
      <c r="U12">
        <v>3.17</v>
      </c>
      <c r="V12">
        <v>3.33</v>
      </c>
      <c r="W12">
        <v>3.5</v>
      </c>
      <c r="X12">
        <v>3.67</v>
      </c>
      <c r="Y12">
        <v>3.86</v>
      </c>
      <c r="Z12">
        <f t="shared" si="1"/>
        <v>0.84</v>
      </c>
      <c r="AA12">
        <f t="shared" si="2"/>
        <v>3.6285714285714289E-2</v>
      </c>
      <c r="AB12">
        <f t="shared" si="3"/>
        <v>1.2028571428571428</v>
      </c>
    </row>
    <row r="13" spans="1:28" x14ac:dyDescent="0.25">
      <c r="A13">
        <v>174</v>
      </c>
      <c r="B13" t="s">
        <v>65</v>
      </c>
      <c r="C13" t="s">
        <v>14</v>
      </c>
      <c r="D13" t="s">
        <v>66</v>
      </c>
      <c r="E13" t="s">
        <v>64</v>
      </c>
      <c r="F13">
        <v>25</v>
      </c>
      <c r="G13">
        <v>0</v>
      </c>
      <c r="H13">
        <v>0.56999999999999995</v>
      </c>
      <c r="I13">
        <v>0.9</v>
      </c>
      <c r="J13">
        <v>1.17</v>
      </c>
      <c r="K13">
        <v>1.41</v>
      </c>
      <c r="L13">
        <v>1.63</v>
      </c>
      <c r="M13">
        <v>1.85</v>
      </c>
      <c r="N13">
        <v>2.0499999999999998</v>
      </c>
      <c r="O13">
        <v>2.25</v>
      </c>
      <c r="P13">
        <v>2.44</v>
      </c>
      <c r="Q13">
        <v>2.62</v>
      </c>
      <c r="R13">
        <v>2.8</v>
      </c>
      <c r="S13">
        <v>2.97</v>
      </c>
      <c r="T13">
        <v>3.15</v>
      </c>
      <c r="U13">
        <v>3.32</v>
      </c>
      <c r="V13">
        <v>3.5</v>
      </c>
      <c r="W13">
        <v>3.67</v>
      </c>
      <c r="X13">
        <v>3.85</v>
      </c>
      <c r="Y13">
        <v>4.03</v>
      </c>
      <c r="Z13">
        <f t="shared" si="1"/>
        <v>0.9</v>
      </c>
      <c r="AA13">
        <f t="shared" si="2"/>
        <v>3.7428571428571429E-2</v>
      </c>
      <c r="AB13">
        <f t="shared" si="3"/>
        <v>1.2742857142857142</v>
      </c>
    </row>
    <row r="14" spans="1:28" x14ac:dyDescent="0.25">
      <c r="A14">
        <v>218</v>
      </c>
      <c r="B14" t="s">
        <v>67</v>
      </c>
      <c r="C14" t="s">
        <v>14</v>
      </c>
      <c r="D14" t="s">
        <v>51</v>
      </c>
      <c r="E14" t="s">
        <v>68</v>
      </c>
      <c r="F14">
        <v>25</v>
      </c>
      <c r="G14">
        <v>0</v>
      </c>
      <c r="H14">
        <v>0.56999999999999995</v>
      </c>
      <c r="I14">
        <v>0.9</v>
      </c>
      <c r="J14">
        <v>1.17</v>
      </c>
      <c r="K14">
        <v>1.41</v>
      </c>
      <c r="L14">
        <v>1.63</v>
      </c>
      <c r="M14">
        <v>1.84</v>
      </c>
      <c r="N14">
        <v>2.04</v>
      </c>
      <c r="O14">
        <v>2.23</v>
      </c>
      <c r="P14">
        <v>2.42</v>
      </c>
      <c r="Q14">
        <v>2.61</v>
      </c>
      <c r="R14">
        <v>2.79</v>
      </c>
      <c r="S14">
        <v>2.96</v>
      </c>
      <c r="T14">
        <v>3.14</v>
      </c>
      <c r="U14">
        <v>3.31</v>
      </c>
      <c r="V14">
        <v>3.48</v>
      </c>
      <c r="W14">
        <v>3.65</v>
      </c>
      <c r="X14">
        <v>3.82</v>
      </c>
      <c r="Y14">
        <v>4</v>
      </c>
      <c r="Z14">
        <f t="shared" si="1"/>
        <v>0.9</v>
      </c>
      <c r="AA14">
        <f t="shared" si="2"/>
        <v>3.6999999999999998E-2</v>
      </c>
      <c r="AB14">
        <f t="shared" si="3"/>
        <v>1.27</v>
      </c>
    </row>
    <row r="15" spans="1:28" x14ac:dyDescent="0.25">
      <c r="A15">
        <v>275</v>
      </c>
      <c r="B15" t="s">
        <v>69</v>
      </c>
      <c r="C15" t="s">
        <v>14</v>
      </c>
      <c r="D15" t="s">
        <v>62</v>
      </c>
      <c r="E15" t="s">
        <v>68</v>
      </c>
      <c r="F15">
        <v>27</v>
      </c>
      <c r="G15">
        <v>0</v>
      </c>
      <c r="H15">
        <v>0.56000000000000005</v>
      </c>
      <c r="I15">
        <v>0.87</v>
      </c>
      <c r="J15">
        <v>1.1399999999999999</v>
      </c>
      <c r="K15">
        <v>1.37</v>
      </c>
      <c r="L15">
        <v>1.59</v>
      </c>
      <c r="M15">
        <v>1.8</v>
      </c>
      <c r="N15">
        <v>2</v>
      </c>
      <c r="O15">
        <v>2.2000000000000002</v>
      </c>
      <c r="P15">
        <v>2.39</v>
      </c>
      <c r="Q15">
        <v>2.57</v>
      </c>
      <c r="R15">
        <v>2.76</v>
      </c>
      <c r="S15">
        <v>2.94</v>
      </c>
      <c r="T15">
        <v>3.12</v>
      </c>
      <c r="U15">
        <v>3.29</v>
      </c>
      <c r="V15">
        <v>3.47</v>
      </c>
      <c r="W15">
        <v>3.65</v>
      </c>
      <c r="X15">
        <v>3.82</v>
      </c>
      <c r="Y15">
        <v>4.01</v>
      </c>
      <c r="Z15">
        <f t="shared" si="1"/>
        <v>0.87</v>
      </c>
      <c r="AA15">
        <f t="shared" si="2"/>
        <v>3.7714285714285707E-2</v>
      </c>
      <c r="AB15">
        <f t="shared" si="3"/>
        <v>1.2471428571428571</v>
      </c>
    </row>
    <row r="16" spans="1:28" x14ac:dyDescent="0.25">
      <c r="G16">
        <f>AVERAGE(G3:G15)</f>
        <v>0</v>
      </c>
      <c r="H16">
        <f t="shared" ref="H16:AB16" si="4">AVERAGE(H3:H15)</f>
        <v>0.56153846153846154</v>
      </c>
      <c r="I16">
        <f t="shared" si="4"/>
        <v>0.88307692307692309</v>
      </c>
      <c r="J16">
        <f t="shared" si="4"/>
        <v>1.1523076923076923</v>
      </c>
      <c r="K16">
        <f t="shared" si="4"/>
        <v>1.3930769230769231</v>
      </c>
      <c r="L16">
        <f t="shared" si="4"/>
        <v>1.619230769230769</v>
      </c>
      <c r="M16">
        <f t="shared" si="4"/>
        <v>1.8323076923076924</v>
      </c>
      <c r="N16">
        <f t="shared" si="4"/>
        <v>2.0376923076923079</v>
      </c>
      <c r="O16">
        <f t="shared" si="4"/>
        <v>2.2376923076923076</v>
      </c>
      <c r="P16">
        <f t="shared" si="4"/>
        <v>2.4315384615384619</v>
      </c>
      <c r="Q16">
        <f t="shared" si="4"/>
        <v>2.6207692307692301</v>
      </c>
      <c r="R16">
        <f t="shared" si="4"/>
        <v>2.8069230769230766</v>
      </c>
      <c r="S16">
        <f t="shared" si="4"/>
        <v>2.9907692307692306</v>
      </c>
      <c r="T16">
        <f t="shared" si="4"/>
        <v>3.1746153846153842</v>
      </c>
      <c r="U16">
        <f t="shared" si="4"/>
        <v>3.3530769230769235</v>
      </c>
      <c r="V16">
        <f t="shared" si="4"/>
        <v>3.5338461538461536</v>
      </c>
      <c r="W16">
        <f t="shared" si="4"/>
        <v>3.7146153846153847</v>
      </c>
      <c r="X16">
        <f t="shared" si="4"/>
        <v>3.8992307692307695</v>
      </c>
      <c r="Y16">
        <f t="shared" si="4"/>
        <v>4.0930769230769233</v>
      </c>
      <c r="Z16">
        <f t="shared" si="4"/>
        <v>0.88307692307692309</v>
      </c>
      <c r="AA16">
        <f t="shared" si="4"/>
        <v>3.8571428571428576E-2</v>
      </c>
      <c r="AB16">
        <f t="shared" si="4"/>
        <v>1.2687912087912088</v>
      </c>
    </row>
    <row r="17" spans="26:27" x14ac:dyDescent="0.25">
      <c r="Z17">
        <f>MAX(Z3:Z15)</f>
        <v>0.94</v>
      </c>
      <c r="AA17">
        <f>MAX(AA3:AA15)</f>
        <v>4.4571428571428574E-2</v>
      </c>
    </row>
    <row r="18" spans="26:27" x14ac:dyDescent="0.25">
      <c r="Z18">
        <f>MIN(Z3:Z15)</f>
        <v>0.81</v>
      </c>
      <c r="AA18">
        <f>MIN(AA3:AA15)</f>
        <v>3.6285714285714289E-2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24" sqref="E24"/>
    </sheetView>
  </sheetViews>
  <sheetFormatPr defaultRowHeight="15" x14ac:dyDescent="0.25"/>
  <sheetData>
    <row r="1" spans="1:6" x14ac:dyDescent="0.25">
      <c r="B1" s="1" t="s">
        <v>0</v>
      </c>
      <c r="C1" t="s">
        <v>3</v>
      </c>
      <c r="D1" t="s">
        <v>1</v>
      </c>
      <c r="E1" t="s">
        <v>2</v>
      </c>
      <c r="F1" t="s">
        <v>4</v>
      </c>
    </row>
    <row r="2" spans="1:6" x14ac:dyDescent="0.25">
      <c r="A2" s="1">
        <v>1988</v>
      </c>
      <c r="B2">
        <v>0.4269</v>
      </c>
      <c r="C2">
        <v>0.28660000000000002</v>
      </c>
      <c r="D2">
        <v>0.1007</v>
      </c>
      <c r="E2">
        <v>5.8200000000000002E-2</v>
      </c>
      <c r="F2">
        <v>0.12759999999999999</v>
      </c>
    </row>
    <row r="3" spans="1:6" x14ac:dyDescent="0.25">
      <c r="A3" s="1">
        <v>1989</v>
      </c>
      <c r="B3">
        <v>0.39779999999999999</v>
      </c>
      <c r="C3">
        <v>0.1666</v>
      </c>
      <c r="D3">
        <v>0.1575</v>
      </c>
      <c r="E3">
        <v>9.0399999999999994E-2</v>
      </c>
      <c r="F3">
        <v>0.18770000000000001</v>
      </c>
    </row>
    <row r="4" spans="1:6" x14ac:dyDescent="0.25">
      <c r="A4" s="1">
        <v>1990</v>
      </c>
      <c r="B4">
        <v>0.38600000000000001</v>
      </c>
      <c r="C4">
        <v>0.1285</v>
      </c>
      <c r="D4">
        <v>0.1787</v>
      </c>
      <c r="E4">
        <v>9.9400000000000002E-2</v>
      </c>
      <c r="F4">
        <v>0.20730000000000001</v>
      </c>
    </row>
    <row r="5" spans="1:6" x14ac:dyDescent="0.25">
      <c r="A5" s="1">
        <v>1991</v>
      </c>
      <c r="B5">
        <v>0.3528</v>
      </c>
      <c r="C5">
        <v>0.11700000000000001</v>
      </c>
      <c r="D5">
        <v>0.19789999999999999</v>
      </c>
      <c r="E5">
        <v>0.1057</v>
      </c>
      <c r="F5">
        <v>0.2266</v>
      </c>
    </row>
    <row r="6" spans="1:6" x14ac:dyDescent="0.25">
      <c r="A6" s="1">
        <v>1992</v>
      </c>
      <c r="B6">
        <v>0.31290000000000001</v>
      </c>
      <c r="C6">
        <v>7.6700000000000004E-2</v>
      </c>
      <c r="D6">
        <v>0.23</v>
      </c>
      <c r="E6">
        <v>0.112</v>
      </c>
      <c r="F6">
        <v>0.26850000000000002</v>
      </c>
    </row>
    <row r="7" spans="1:6" x14ac:dyDescent="0.25">
      <c r="A7" s="1">
        <v>1993</v>
      </c>
      <c r="B7">
        <v>0.26369999999999999</v>
      </c>
      <c r="C7">
        <v>4.3999999999999997E-2</v>
      </c>
      <c r="D7">
        <v>0.26490000000000002</v>
      </c>
      <c r="E7">
        <v>0.1154</v>
      </c>
      <c r="F7">
        <v>0.31190000000000001</v>
      </c>
    </row>
    <row r="8" spans="1:6" x14ac:dyDescent="0.25">
      <c r="A8" s="1">
        <v>1994</v>
      </c>
      <c r="B8">
        <v>0.2505</v>
      </c>
      <c r="C8">
        <v>4.0500000000000001E-2</v>
      </c>
      <c r="D8">
        <v>0.27650000000000002</v>
      </c>
      <c r="E8">
        <v>0.1104</v>
      </c>
      <c r="F8">
        <v>0.32200000000000001</v>
      </c>
    </row>
    <row r="9" spans="1:6" x14ac:dyDescent="0.25">
      <c r="A9" s="1">
        <v>1995</v>
      </c>
      <c r="B9">
        <v>0.23499999999999999</v>
      </c>
      <c r="C9">
        <v>3.8199999999999998E-2</v>
      </c>
      <c r="D9">
        <v>0.28849999999999998</v>
      </c>
      <c r="E9">
        <v>0.1062</v>
      </c>
      <c r="F9">
        <v>0.3322</v>
      </c>
    </row>
    <row r="10" spans="1:6" x14ac:dyDescent="0.25">
      <c r="A10" s="1">
        <v>1996</v>
      </c>
      <c r="B10">
        <v>0.22650000000000001</v>
      </c>
      <c r="C10">
        <v>3.5999999999999997E-2</v>
      </c>
      <c r="D10">
        <v>0.29699999999999999</v>
      </c>
      <c r="E10">
        <v>0.1031</v>
      </c>
      <c r="F10">
        <v>0.33739999999999998</v>
      </c>
    </row>
    <row r="11" spans="1:6" x14ac:dyDescent="0.25">
      <c r="A11" s="1">
        <v>1997</v>
      </c>
      <c r="B11">
        <v>0.21079999999999999</v>
      </c>
      <c r="C11">
        <v>3.2000000000000001E-2</v>
      </c>
      <c r="D11">
        <v>0.314</v>
      </c>
      <c r="E11">
        <v>0.1033</v>
      </c>
      <c r="F11">
        <v>0.34</v>
      </c>
    </row>
    <row r="12" spans="1:6" x14ac:dyDescent="0.25">
      <c r="A12" s="1">
        <v>1998</v>
      </c>
      <c r="B12">
        <v>0.21149999999999999</v>
      </c>
      <c r="C12">
        <v>3.2500000000000001E-2</v>
      </c>
      <c r="D12">
        <v>0.31419999999999998</v>
      </c>
      <c r="E12">
        <v>0.10489999999999999</v>
      </c>
      <c r="F12">
        <v>0.33689999999999998</v>
      </c>
    </row>
    <row r="13" spans="1:6" x14ac:dyDescent="0.25">
      <c r="A13" s="1">
        <v>1999</v>
      </c>
      <c r="B13">
        <v>0.20449999999999999</v>
      </c>
      <c r="C13">
        <v>3.56E-2</v>
      </c>
      <c r="D13">
        <v>0.31430000000000002</v>
      </c>
      <c r="E13">
        <v>0.10580000000000001</v>
      </c>
      <c r="F13">
        <v>0.33979999999999999</v>
      </c>
    </row>
    <row r="17" spans="2:6" x14ac:dyDescent="0.25">
      <c r="B17">
        <f>AVERAGE(B2:B13)</f>
        <v>0.28990833333333332</v>
      </c>
      <c r="C17">
        <f t="shared" ref="C17:F17" si="0">AVERAGE(C2:C13)</f>
        <v>8.6183333333333348E-2</v>
      </c>
      <c r="D17">
        <f t="shared" si="0"/>
        <v>0.24451666666666663</v>
      </c>
      <c r="E17">
        <f t="shared" si="0"/>
        <v>0.10123333333333333</v>
      </c>
      <c r="F17">
        <f t="shared" si="0"/>
        <v>0.27815833333333334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iterative</vt:lpstr>
      <vt:lpstr>gauss</vt:lpstr>
      <vt:lpstr>run speed</vt:lpstr>
      <vt:lpstr>pitch outcomes</vt:lpstr>
      <vt:lpstr>dratings</vt:lpstr>
      <vt:lpstr>home</vt:lpstr>
      <vt:lpstr>oratings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Kayla.McGiffen@virginorbit.com</dc:creator>
  <cp:lastModifiedBy>Kayla McGiffen</cp:lastModifiedBy>
  <dcterms:created xsi:type="dcterms:W3CDTF">2021-09-12T00:08:56Z</dcterms:created>
  <dcterms:modified xsi:type="dcterms:W3CDTF">2021-09-26T17:44:10Z</dcterms:modified>
</cp:coreProperties>
</file>