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BD1B85F9-D9E3-460D-BD3B-452D22A73EF1}"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E17" i="2" l="1"/>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D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<sst xmlns="http://schemas.openxmlformats.org/spreadsheetml/2006/main" count="379" uniqueCount="302">
  <si>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</si>
  <si>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</si>
  <si>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</si>
  <si>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</si>
  <si>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</si>
  <si>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</si>
  <si>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</si>
  <si>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</si>
  <si>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</si>
  <si>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</si>
  <si>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</si>
  <si>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</si>
  <si>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</si>
  <si>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</si>
  <si>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</si>
  <si>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</si>
  <si>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</si>
  <si>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</si>
  <si>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</si>
  <si>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</si>
  <si>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</si>
  <si>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</si>
  <si>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</si>
  <si>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</si>
  <si>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</si>
  <si>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</si>
  <si>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</si>
  <si>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</si>
  <si>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</si>
  <si>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</si>
  <si>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</si>
  <si>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</si>
  <si>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</si>
  <si>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</si>
  <si>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</si>
  <si>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</si>
  <si>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</si>
  <si>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</si>
  <si>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</si>
  <si>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</si>
  <si>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</si>
  <si>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</si>
  <si>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</si>
  <si>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</si>
  <si>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</si>
  <si>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</si>
  <si>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</si>
  <si>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</si>
  <si>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</si>
  <si>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</si>
  <si>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</si>
  <si>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</si>
  <si>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</si>
  <si>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</si>
  <si>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</si>
  <si>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</si>
  <si>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</si>
  <si>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</si>
  <si>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</si>
  <si>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</si>
  <si>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</si>
  <si>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</si>
  <si>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</si>
  <si>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</si>
  <si>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</si>
  <si>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</si>
  <si>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</si>
  <si>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</si>
  <si>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</si>
  <si>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</si>
  <si>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</si>
  <si>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</si>
  <si>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</si>
  <si>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</si>
  <si>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</si>
  <si>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</si>
  <si>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</si>
  <si>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</si>
  <si>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</si>
  <si>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</si>
  <si>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</si>
  <si>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</si>
  <si>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</si>
  <si>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</si>
  <si>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</si>
  <si>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</si>
  <si>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</si>
  <si>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</si>
  <si>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</si>
  <si>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</si>
  <si>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</si>
  <si>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</si>
  <si>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</si>
  <si>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</si>
  <si>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</si>
  <si>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</si>
  <si>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</si>
  <si>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</si>
  <si>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</si>
  <si>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</si>
  <si>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</si>
  <si>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</si>
  <si>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</si>
  <si>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</si>
  <si>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</si>
  <si>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</si>
  <si>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</si>
  <si>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</si>
  <si>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</si>
  <si>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</si>
  <si>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</si>
  <si>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</si>
  <si>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</si>
  <si>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</si>
  <si>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</si>
  <si>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</si>
  <si>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</si>
  <si>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</si>
  <si>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</si>
  <si>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</si>
  <si>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</si>
  <si>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</si>
  <si>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</si>
  <si>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</si>
  <si>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</si>
  <si>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</si>
  <si>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</si>
  <si>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</si>
  <si>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</si>
  <si>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</si>
  <si>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</si>
  <si>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</si>
  <si>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</si>
  <si>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</si>
  <si>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</si>
  <si>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</si>
  <si>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</si>
  <si>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</si>
  <si>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</si>
  <si>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</si>
  <si>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</si>
  <si>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</si>
  <si>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</si>
  <si>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</si>
  <si>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</si>
  <si>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</si>
  <si>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</si>
  <si>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</si>
  <si>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</si>
  <si>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</si>
  <si>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</si>
  <si>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</si>
  <si>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</si>
  <si>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</si>
  <si>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</si>
  <si>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</si>
  <si>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</si>
  <si>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</si>
  <si>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</si>
  <si>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</si>
  <si>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</si>
  <si>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</si>
  <si>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</si>
  <si>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</si>
  <si>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</si>
  <si>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</si>
  <si>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</si>
  <si>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</si>
  <si>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</si>
  <si>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</si>
  <si>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</si>
  <si>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</si>
  <si>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</si>
  <si>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</si>
  <si>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</si>
  <si>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</si>
  <si>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</si>
  <si>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</si>
  <si>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</si>
  <si>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</si>
  <si>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</si>
  <si>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</si>
  <si>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</si>
  <si>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</si>
  <si>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</si>
  <si>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</si>
  <si>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</si>
  <si>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</si>
  <si>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</si>
  <si>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</si>
  <si>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</si>
  <si>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</si>
  <si>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</si>
  <si>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</si>
  <si>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</si>
  <si>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</si>
  <si>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</si>
  <si>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</si>
  <si>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</si>
  <si>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</si>
  <si>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</si>
  <si>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</si>
  <si>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</si>
  <si>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</si>
  <si>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</si>
  <si>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</si>
  <si>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</si>
  <si>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</si>
  <si>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</si>
  <si>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</si>
  <si>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Column96</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</si>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</sst>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2">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0">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79">
      <calculatedColumnFormula>INDEX(oratings, 1, 1+MOD(Table3[[#This Row],[Rep '#]]-1, COUNT(oratings)))</calculatedColumnFormula>
    </tableColumn>
    <tableColumn id="3" xr3:uid="{00000000-0010-0000-0000-000003000000}" name="defense" dataDxfId="78">
      <calculatedColumnFormula>INDEX(dratings, 1, MOD(FLOOR( (Table3[[#This Row],[Rep '#]]-1) / COUNT(oratings), 1), COUNT(dratings))+1)</calculatedColumnFormula>
    </tableColumn>
    <tableColumn id="4" xr3:uid="{00000000-0010-0000-0000-000004000000}" name="base leadoff" dataDxfId="77">
      <calculatedColumnFormula>Table3[[#This Row],[offense]]*$D$26+0.05</calculatedColumnFormula>
    </tableColumn>
    <tableColumn id="5" xr3:uid="{00000000-0010-0000-0000-000005000000}" name="leadoff modifier" dataDxfId="76">
      <calculatedColumnFormula>((2*Table3[[#This Row],[defense]]+1*Table3[[#This Row],[defense]])-1.5)*Table3[[#This Row],[offense]]*$E$26</calculatedColumnFormula>
    </tableColumn>
    <tableColumn id="6" xr3:uid="{00000000-0010-0000-0000-000006000000}" name="total leadoff (ft)" dataDxfId="75">
      <calculatedColumnFormula>MAX(Table3[[#This Row],[base leadoff]]*(1-Table3[[#This Row],[leadoff modifier]]) * 90, 0)</calculatedColumnFormula>
    </tableColumn>
    <tableColumn id="7" xr3:uid="{00000000-0010-0000-0000-000007000000}" name="pickoff manuver (s)" dataDxfId="74">
      <calculatedColumnFormula>1.1 - Table3[[#This Row],[defense]]*0.1</calculatedColumnFormula>
    </tableColumn>
    <tableColumn id="8" xr3:uid="{00000000-0010-0000-0000-000008000000}" name="throw speed (s/ft)" dataDxfId="73">
      <calculatedColumnFormula xml:space="preserve"> 0.01 - 0.0025 *  Table3[[#This Row],[defense]]</calculatedColumnFormula>
    </tableColumn>
    <tableColumn id="32" xr3:uid="{00000000-0010-0000-0000-000020000000}" name="throw speed (mph)" dataDxfId="72">
      <calculatedColumnFormula>1 / Table3[[#This Row],[throw speed (s/ft)]] * ((60 * 60)/5280)</calculatedColumnFormula>
    </tableColumn>
    <tableColumn id="9" xr3:uid="{00000000-0010-0000-0000-000009000000}" name="pickoff time" dataDxfId="71">
      <calculatedColumnFormula>Table3[[#This Row],[pickoff manuver (s)]]+60*Table3[[#This Row],[throw speed (s/ft)]]</calculatedColumnFormula>
    </tableColumn>
    <tableColumn id="10" xr3:uid="{00000000-0010-0000-0000-00000A000000}" name="runner reaction" dataDxfId="70">
      <calculatedColumnFormula>$K$28-$K$26*Table3[[#This Row],[offense]]</calculatedColumnFormula>
    </tableColumn>
    <tableColumn id="11" xr3:uid="{00000000-0010-0000-0000-00000B000000}" name="runner speed (s/ft)" dataDxfId="69">
      <calculatedColumnFormula>0.05 - Table3[[#This Row],[offense]]*$L$26</calculatedColumnFormula>
    </tableColumn>
    <tableColumn id="12" xr3:uid="{00000000-0010-0000-0000-00000C000000}" name="runner speed (mph)" dataDxfId="68">
      <calculatedColumnFormula>1 / Table3[[#This Row],[runner speed (s/ft)]] * ((60 * 60)/5280)</calculatedColumnFormula>
    </tableColumn>
    <tableColumn id="13" xr3:uid="{00000000-0010-0000-0000-00000D000000}" name="pickoff evade time" dataDxfId="67">
      <calculatedColumnFormula>Table3[[#This Row],[runner reaction]]+Table3[[#This Row],[runner speed (s/ft)]]*Table3[[#This Row],[total leadoff (ft)]]</calculatedColumnFormula>
    </tableColumn>
    <tableColumn id="14" xr3:uid="{00000000-0010-0000-0000-00000E000000}" name="pickoff probability" dataDxfId="66" dataCellStyle="Percent">
      <calculatedColumnFormula>1 - _xlfn.NORM.DIST(Table3[[#This Row],[pickoff time]], Table3[[#This Row],[pickoff evade time]], $O$4, TRUE)</calculatedColumnFormula>
    </tableColumn>
    <tableColumn id="17" xr3:uid="{00000000-0010-0000-0000-000011000000}" name="Fielding Odds" dataDxfId="65" dataCellStyle="Percent">
      <calculatedColumnFormula>_xlfn.NORM.DIST(Table3[[#This Row],[defense]], $P$26, $P$27, TRUE)</calculatedColumnFormula>
    </tableColumn>
    <tableColumn id="18" xr3:uid="{00000000-0010-0000-0000-000012000000}" name="pickoff worth it?" dataDxfId="64">
      <calculatedColumnFormula>Table3[[#This Row],[pickoff probability]] &gt; 1-Table3[[#This Row],[Fielding Odds]]</calculatedColumnFormula>
    </tableColumn>
    <tableColumn id="19" xr3:uid="{00000000-0010-0000-0000-000013000000}" name="Error %" dataDxfId="63" dataCellStyle="Percent">
      <calculatedColumnFormula>1-Table3[[#This Row],[Fielding Odds]]</calculatedColumnFormula>
    </tableColumn>
    <tableColumn id="20" xr3:uid="{00000000-0010-0000-0000-000014000000}" name="Blatant steal time" dataDxfId="62">
      <calculatedColumnFormula>(90-Table3[[#This Row],[total leadoff (ft)]])*Table3[[#This Row],[runner speed (s/ft)]]</calculatedColumnFormula>
    </tableColumn>
    <tableColumn id="21" xr3:uid="{00000000-0010-0000-0000-000015000000}" name="Response speed" dataDxfId="61">
      <calculatedColumnFormula>$T$26*(2-Table3[[#This Row],[defense]]) + Table3[[#This Row],[pickoff time]]</calculatedColumnFormula>
    </tableColumn>
    <tableColumn id="22" xr3:uid="{00000000-0010-0000-0000-000016000000}" name="blatant steal probability" dataDxfId="60" dataCellStyle="Percent">
      <calculatedColumnFormula>_xlfn.NORM.DIST(Table3[[#This Row],[Response speed]], Table3[[#This Row],[Blatant steal time]], $U$4, TRUE)</calculatedColumnFormula>
    </tableColumn>
    <tableColumn id="23" xr3:uid="{00000000-0010-0000-0000-000017000000}" name="defense fear" dataDxfId="59">
      <calculatedColumnFormula>Table3[[#This Row],[defense]]+Table3[[#This Row],[defense]]*Table3[[#This Row],[offense]]*$E$26</calculatedColumnFormula>
    </tableColumn>
    <tableColumn id="24" xr3:uid="{00000000-0010-0000-0000-000018000000}" name="ball factor" dataDxfId="58">
      <calculatedColumnFormula>(1-$W$32)</calculatedColumnFormula>
    </tableColumn>
    <tableColumn id="25" xr3:uid="{00000000-0010-0000-0000-000019000000}" name="desperation" dataDxfId="57" dataCellStyle="Percent">
      <calculatedColumnFormula>Table3[[#This Row],[ball factor]]/$X$32*(1-$X$34)+$X$34</calculatedColumnFormula>
    </tableColumn>
    <tableColumn id="26" xr3:uid="{00000000-0010-0000-0000-00001A000000}" name="player control" dataDxfId="56">
      <calculatedColumnFormula>Table3[[#This Row],[offense]]</calculatedColumnFormula>
    </tableColumn>
    <tableColumn id="27" xr3:uid="{00000000-0010-0000-0000-00001B000000}" name="ideal steer" dataDxfId="55">
      <calculatedColumnFormula>$AA$33</calculatedColumnFormula>
    </tableColumn>
    <tableColumn id="28" xr3:uid="{00000000-0010-0000-0000-00001C000000}" name="scaled control" dataDxfId="54">
      <calculatedColumnFormula>IF(Table3[[#This Row],[player control]]&gt;1,Table3[[#This Row],[player control]]*$AA$41+$AA$40,Table3[[#This Row],[player control]]*$AA$39+$AA$38)</calculatedColumnFormula>
    </tableColumn>
    <tableColumn id="29" xr3:uid="{00000000-0010-0000-0000-00001D000000}" name="unmod foul percent 3rd" dataDxfId="53" dataCellStyle="Percent">
      <calculatedColumnFormula>_xlfn.NORM.DIST(-1,Table3[[#This Row],[ideal steer]],($AB$25-Table3[[#This Row],[scaled control]])*$AB$27,TRUE)</calculatedColumnFormula>
    </tableColumn>
    <tableColumn id="30" xr3:uid="{00000000-0010-0000-0000-00001E000000}" name="unmod foul percent 1st" dataDxfId="52" dataCellStyle="Percent">
      <calculatedColumnFormula>1-_xlfn.NORM.DIST(1,Table3[[#This Row],[ideal steer]],($AB$25-Table3[[#This Row],[scaled control]])*$AB$27,TRUE)</calculatedColumnFormula>
    </tableColumn>
    <tableColumn id="31" xr3:uid="{00000000-0010-0000-0000-00001F000000}" name="total unmod foul percent" dataDxfId="51" dataCellStyle="Percent">
      <calculatedColumnFormula>1-(1-Table3[[#This Row],[unmod foul percent 3rd]])*(1-Table3[[#This Row],[unmod foul percent 1st]])</calculatedColumnFormula>
    </tableColumn>
    <tableColumn id="15" xr3:uid="{00000000-0010-0000-0000-00000F000000}" name="unmod dead center foul%" dataDxfId="50" dataCellStyle="Percent">
      <calculatedColumnFormula>1-((1-_xlfn.NORM.DIST(-1,0,($AB$25-Table3[[#This Row],[scaled control]])*$AB$27,TRUE))*_xlfn.NORM.DIST(1,0,($AB$25-Table3[[#This Row],[scaled control]])*$AB$27,TRUE))</calculatedColumnFormula>
    </tableColumn>
    <tableColumn id="16" xr3:uid="{00000000-0010-0000-0000-000010000000}" name="count" dataDxfId="49">
      <calculatedColumnFormula>$AF$34*$AF$25</calculatedColumnFormula>
    </tableColumn>
    <tableColumn id="33" xr3:uid="{00000000-0010-0000-0000-000021000000}" name="hitter discipline bias" dataDxfId="48">
      <calculatedColumnFormula>$AG$25*($AG$34*Table3[[#This Row],[offense]])</calculatedColumnFormula>
    </tableColumn>
    <tableColumn id="34" xr3:uid="{00000000-0010-0000-0000-000022000000}" name="bases loaded" dataDxfId="47">
      <calculatedColumnFormula>$AH$25*$AH$34</calculatedColumnFormula>
    </tableColumn>
    <tableColumn id="35" xr3:uid="{00000000-0010-0000-0000-000023000000}" name="number of outs" dataDxfId="46">
      <calculatedColumnFormula>$AI$34*$AI$25</calculatedColumnFormula>
    </tableColumn>
    <tableColumn id="36" xr3:uid="{00000000-0010-0000-0000-000024000000}" name="current hitter vs next hitter" dataDxfId="45">
      <calculatedColumnFormula>$AJ$25*(Table3[[#This Row],[offense]]-$AJ$27)</calculatedColumnFormula>
    </tableColumn>
    <tableColumn id="37" xr3:uid="{00000000-0010-0000-0000-000025000000}" name="calling modifier" dataDxfId="44">
      <calculatedColumnFormula array="1">SUM(Table3[[#This Row],[count]:[current hitter vs next hitter]]*MIN(1, Table3[[#This Row],[defense]]))</calculatedColumnFormula>
    </tableColumn>
    <tableColumn id="38" xr3:uid="{00000000-0010-0000-0000-000026000000}" name="sigmoid strike percent" dataDxfId="43" dataCellStyle="Percent">
      <calculatedColumnFormula>$AL$25-(Table3[[#This Row],[calling modifier]]/(ABS(Table3[[#This Row],[calling modifier]])+$AL$29)*$AL$27)</calculatedColumnFormula>
    </tableColumn>
    <tableColumn id="39" xr3:uid="{00000000-0010-0000-0000-000027000000}" name="tanh strike percent" dataDxfId="42" dataCellStyle="Percent">
      <calculatedColumnFormula>$AL$25-$AL$27*TANH(Table3[[#This Row],[calling modifier]]/$AM$29)</calculatedColumnFormula>
    </tableColumn>
    <tableColumn id="40" xr3:uid="{00000000-0010-0000-0000-000028000000}" name="called position" dataDxfId="41" dataCellStyle="Percent">
      <calculatedColumnFormula>MAX(0, 1-_xlfn.NORM.S.INV(Table3[[#This Row],[tanh strike percent]])*($AN$25*($AN$27-Table3[[#This Row],[defense]])))</calculatedColumnFormula>
    </tableColumn>
    <tableColumn id="41" xr3:uid="{00000000-0010-0000-0000-000029000000}" name="called pos 0.2 pitch" dataDxfId="40">
      <calculatedColumnFormula>MAX(0, 1-_xlfn.NORM.S.INV(Table3[[#This Row],[tanh strike percent]])*($AN$25*($AN$27-0.2)))</calculatedColumnFormula>
    </tableColumn>
    <tableColumn id="42" xr3:uid="{00000000-0010-0000-0000-00002A000000}" name="called pos 2 pitch" dataDxfId="39">
      <calculatedColumnFormula>MAX(0, 1-_xlfn.NORM.S.INV(Table3[[#This Row],[tanh strike percent]])*($AN$25*($AN$27-2)))</calculatedColumnFormula>
    </tableColumn>
    <tableColumn id="43" xr3:uid="{00000000-0010-0000-0000-00002B000000}" name="location -1  stdv" dataDxfId="38">
      <calculatedColumnFormula>Table3[[#This Row],[called position]]-pitchmod*(pitchstdv-Table3[[#This Row],[defense]])</calculatedColumnFormula>
    </tableColumn>
    <tableColumn id="44" xr3:uid="{00000000-0010-0000-0000-00002C000000}" name="location +1 stdv" dataDxfId="37">
      <calculatedColumnFormula>ABS(Table3[[#This Row],[called position]]+pitchmod*(pitchstdv-Table3[[#This Row],[defense]]))</calculatedColumnFormula>
    </tableColumn>
    <tableColumn id="46" xr3:uid="{00000000-0010-0000-0000-00002E000000}" name="min dist to sz 1stdv" dataDxfId="36">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5">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4">
      <calculatedColumnFormula>$AU$30/(ABS(Table3[[#This Row],[called position]]-1)+$AU$27)+$AU$32*Table3[[#This Row],[defense]]</calculatedColumnFormula>
    </tableColumn>
    <tableColumn id="51" xr3:uid="{00000000-0010-0000-0000-000033000000}" name="obscurity at _x000a_0.5" dataDxfId="33">
      <calculatedColumnFormula>$AU$30/(ABS(0.5-1)+$AU$27)+$AU$32*Table3[[#This Row],[defense]]</calculatedColumnFormula>
    </tableColumn>
    <tableColumn id="52" xr3:uid="{00000000-0010-0000-0000-000034000000}" name="obscurity at  0.9" dataDxfId="32">
      <calculatedColumnFormula>$AU$30/(ABS(0.9-1)+$AU$27)+$AU$32*Table3[[#This Row],[defense]]</calculatedColumnFormula>
    </tableColumn>
    <tableColumn id="53" xr3:uid="{00000000-0010-0000-0000-000035000000}" name="average difficulty" dataDxfId="31">
      <calculatedColumnFormula>Table3[[#This Row],[defense]]*$AX$30+MAX(0, Table3[[#This Row],[called position]]-$AX$27)^$AX$25</calculatedColumnFormula>
    </tableColumn>
    <tableColumn id="54" xr3:uid="{00000000-0010-0000-0000-000036000000}" name="+1stdv difficulty" dataDxfId="30">
      <calculatedColumnFormula>Table3[[#This Row],[defense]]*$AX$30 + MAX(0, Table3[[#This Row],[location +1 stdv]]-$AX$27)^$AX$25</calculatedColumnFormula>
    </tableColumn>
    <tableColumn id="55" xr3:uid="{00000000-0010-0000-0000-000037000000}" name="difficulty at 1" dataDxfId="29">
      <calculatedColumnFormula>Table3[[#This Row],[defense]]*$AX$30+MAX(0, 1-$AX$27)^$AX$25</calculatedColumnFormula>
    </tableColumn>
    <tableColumn id="62" xr3:uid="{6513900D-2CAC-4022-A6B3-8A00EE6C566B}" name="reduction" dataDxfId="28">
      <calculatedColumnFormula>MAX(0, 0.1*(1-Table3[[#This Row],[defense]]))</calculatedColumnFormula>
    </tableColumn>
    <tableColumn id="63" xr3:uid="{12464915-1D8C-4EB5-9BBD-0FF526658E5B}" name="Location" dataDxfId="27">
      <calculatedColumnFormula>$BB$25</calculatedColumnFormula>
    </tableColumn>
    <tableColumn id="64" xr3:uid="{5F0F19BE-6D04-4E9E-81B2-B324AB353F5C}" name="obscurity" dataDxfId="26">
      <calculatedColumnFormula>$AU$30/(ABS(Table3[[#This Row],[Location]]-1)+$AU$27)+$AU$32*Table3[[#This Row],[defense]]</calculatedColumnFormula>
    </tableColumn>
    <tableColumn id="65" xr3:uid="{EA3D32E7-A2E2-482C-B6E9-2E17651C5F77}" name="Strike?" dataDxfId="25">
      <calculatedColumnFormula>Table3[[#This Row],[Location]]&lt;= (1+MAX(0, (Table3[[#This Row],[defense]]-1)*0.1))</calculatedColumnFormula>
    </tableColumn>
    <tableColumn id="66" xr3:uid="{0C7E9B06-240B-481E-B495-54026E2F00AA}" name="discipline modifier" dataDxfId="24">
      <calculatedColumnFormula>1/(1+Table3[[#This Row],[offense]])</calculatedColumnFormula>
    </tableColumn>
    <tableColumn id="67" xr3:uid="{D3B0837D-02D4-4F62-A2E2-876739E497B0}" name="effective obscurity" dataDxfId="23">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2">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1">
      <calculatedColumnFormula>Table3[[#This Row],[offense]]</calculatedColumnFormula>
    </tableColumn>
    <tableColumn id="75" xr3:uid="{074A9F48-3941-4E36-90C2-7710217D32C8}" name="pitch carry forward diff" dataDxfId="20">
      <calculatedColumnFormula>Table3[[#This Row],[average difficulty]]</calculatedColumnFormula>
    </tableColumn>
    <tableColumn id="76" xr3:uid="{628DDA60-D380-4EE8-AA7D-7EF6C4AAD8A5}" name="CF contact readiness" dataDxfId="19">
      <calculatedColumnFormula>Table3[[#This Row],[contact echo]]-Table3[[#This Row],[pitch carry forward diff]]</calculatedColumnFormula>
    </tableColumn>
    <tableColumn id="77" xr3:uid="{DBF18AD6-8593-42C7-9058-D19737088E6D}" name="foul %" dataDxfId="18" dataCellStyle="Percent">
      <calculatedColumnFormula>1-_xlfn.NORM.DIST($BP$27,Table3[[#This Row],[CF contact readiness]], $BP$30,TRUE)</calculatedColumnFormula>
    </tableColumn>
    <tableColumn id="78" xr3:uid="{6354951A-151E-4E04-9897-9CB39D6098C8}" name="clean %" dataDxfId="17" dataCellStyle="Percent">
      <calculatedColumnFormula>1-_xlfn.NORM.DIST($BP$25,Table3[[#This Row],[CF contact readiness]], $BP$30,TRUE)</calculatedColumnFormula>
    </tableColumn>
    <tableColumn id="79" xr3:uid="{0070F673-D13C-467D-95AC-FF8413A02F3F}" name="strike swinging %" dataDxfId="16" dataCellStyle="Percent">
      <calculatedColumnFormula>1-Table3[[#This Row],[foul %]]</calculatedColumnFormula>
    </tableColumn>
    <tableColumn id="80" xr3:uid="{9504D0CF-7CD0-472F-8289-44B30538D80C}" name="ave. hit quality" dataDxfId="15">
      <calculatedColumnFormula>(Table3[[#This Row],[CF contact readiness]]-$BP$27)/$BP$30</calculatedColumnFormula>
    </tableColumn>
    <tableColumn id="132" xr3:uid="{0BB169E4-F345-4B7D-A549-DE28DC5FB113}" name="hit quality +1stdv" dataDxfId="14">
      <calculatedColumnFormula>(Table3[[#This Row],[CF contact readiness]]+$BP$30-$BP$27)/$BP$30</calculatedColumnFormula>
    </tableColumn>
    <tableColumn id="81" xr3:uid="{37438EAA-344A-486C-A4C2-68EE17D67C60}" name="hit quality remainder" dataDxfId="13">
      <calculatedColumnFormula>MAX(0, IF(ISBLANK($BU$28), Table3[[#This Row],[hit quality +1stdv]], $BU$28)-1)</calculatedColumnFormula>
    </tableColumn>
    <tableColumn id="82" xr3:uid="{CBA11BEE-0412-44C3-979C-1888629B3C7A}" name="adjusted launch angle" dataDxfId="12">
      <calculatedColumnFormula>$BV$25+Table3[[#This Row],[offense]]*$BV$28</calculatedColumnFormula>
    </tableColumn>
    <tableColumn id="83" xr3:uid="{8DC0E209-2987-40FE-9521-B3339A7D8E1F}" name="angle stdev" dataDxfId="11">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0" dataCellStyle="Percent">
      <calculatedColumnFormula>1-_xlfn.NORM.DIST(70, $BZ$28,$BZ$25,TRUE)</calculatedColumnFormula>
    </tableColumn>
    <tableColumn id="87" xr3:uid="{E9F9DFB6-4A26-4CA7-9318-6ECA478690D6}" name="exit velocity mean" dataDxfId="9">
      <calculatedColumnFormula>$CA$25+Table3[[#This Row],[offense]]*($CA$27-$CA$25)/2</calculatedColumnFormula>
    </tableColumn>
    <tableColumn id="88" xr3:uid="{EB865A5D-CC1D-49FA-9709-DC5F30F55DD8}" name="after reduction" dataDxfId="8">
      <calculatedColumnFormula>Table3[[#This Row],[exit velocity mean]]-Table3[[#This Row],[reduction]]*100</calculatedColumnFormula>
    </tableColumn>
    <tableColumn id="89" xr3:uid="{949E8C38-C424-4A4E-9A6F-FCA93496D192}" name="theoretical distance" dataDxfId="7">
      <calculatedColumnFormula>Table3[[#This Row],[exit velocity mean]]^2*2*SIN(RADIANS(Table3[[#This Row],[adjusted launch angle]]))/$CC$28*5280</calculatedColumnFormula>
    </tableColumn>
    <tableColumn id="90" xr3:uid="{9FD0A88A-D0D9-4369-8D70-6C7485CA1509}" name="flight time" dataDxfId="6">
      <calculatedColumnFormula>2*Table3[[#This Row],[exit velocity mean]]*SIN(RADIANS(Table3[[#This Row],[adjusted launch angle]]))/$CC$28*60*60</calculatedColumnFormula>
    </tableColumn>
    <tableColumn id="91" xr3:uid="{D9D5DFED-BD09-4CB6-A82E-D289D2DAB08D}" name="actual distance" dataDxfId="5">
      <calculatedColumnFormula>Table3[[#This Row],[theoretical distance]]-Table3[[#This Row],[flight time]]^2*$CE$25</calculatedColumnFormula>
    </tableColumn>
    <tableColumn id="92" xr3:uid="{3D80331E-564D-462D-81B5-E5CE730D1EE5}" name="+1stdv EV" dataDxfId="4">
      <calculatedColumnFormula>Table3[[#This Row],[exit velocity mean]]+$CC$25-Table3[[#This Row],[reduction]]*100</calculatedColumnFormula>
    </tableColumn>
    <tableColumn id="93" xr3:uid="{211123A1-65C0-4F59-AB86-C344CFF47F70}" name="+1stdv LA" dataDxfId="3">
      <calculatedColumnFormula>MIN(Table3[[#This Row],[adjusted launch angle]]+Table3[[#This Row],[angle stdev]], 30)</calculatedColumnFormula>
    </tableColumn>
    <tableColumn id="94" xr3:uid="{C8736D16-AF27-436D-BF61-CA3E58298CD3}" name="+1stdv flight time" dataDxfId="2">
      <calculatedColumnFormula>2*Table3[[#This Row],[+1stdv EV]]*SIN(RADIANS(Table3[[#This Row],[+1stdv LA]]))/$CC$28*60*60</calculatedColumnFormula>
    </tableColumn>
    <tableColumn id="95" xr3:uid="{C9967388-9755-4293-82E9-4E43A4770599}" name="+1stdev distance" dataDxfId="1">
      <calculatedColumnFormula>Table3[[#This Row],[+1stdv EV]]^2*2*SIN(RADIANS(Table3[[#This Row],[+1stdv LA]]))/$CC$28*5280-Table3[[#This Row],[+1stdv flight time]]^2*$CE$25</calculatedColumnFormula>
    </tableColumn>
    <tableColumn id="96" xr3:uid="{52B6BA3A-87F7-49FD-BFE7-811EA76B03FD}" name="+1stdev delta" dataDxfId="0">
      <calculatedColumnFormula>Table3[[#This Row],[+1stdev distance]]-Table3[[#This Row],[actual distance]]</calculatedColumnFormula>
    </tableColumn>
    <tableColumn id="97" xr3:uid="{50EEB2EF-C836-4BBC-A8B3-EAD31BF29B54}" name="Column95"/>
    <tableColumn id="98" xr3:uid="{823DCE3F-2A43-4BFF-AFF7-BC15E601D901}" name="Column96"/>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AD4" zoomScaleNormal="100" workbookViewId="0">
      <selection activeCell="BJ31" sqref="BJ3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249</v>
      </c>
      <c r="BC5" s="75"/>
      <c r="BD5" s="75"/>
      <c r="BE5" s="75"/>
      <c r="BF5" s="75"/>
      <c r="BG5" s="75"/>
      <c r="BH5" s="75"/>
      <c r="BI5" s="75"/>
      <c r="BJ5" s="76"/>
      <c r="BK5" s="74"/>
      <c r="BL5" s="76"/>
      <c r="BM5" s="74" t="s">
        <v>258</v>
      </c>
      <c r="BN5" s="75"/>
      <c r="BO5" s="75"/>
      <c r="BP5" s="75"/>
      <c r="BQ5" s="75"/>
      <c r="BR5" s="75"/>
      <c r="BS5" s="76"/>
      <c r="BT5" s="167"/>
      <c r="BU5" s="74" t="s">
        <v>273</v>
      </c>
      <c r="BV5" s="75"/>
      <c r="BW5" s="75"/>
      <c r="BX5" s="75"/>
      <c r="BY5" s="75"/>
      <c r="BZ5" s="75"/>
      <c r="CA5" s="75"/>
      <c r="CB5" s="75"/>
      <c r="CC5" s="75"/>
      <c r="CD5" s="75"/>
      <c r="CE5" s="76"/>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218</v>
      </c>
      <c r="AW6" s="2" t="s">
        <v>219</v>
      </c>
      <c r="AX6" s="2" t="s">
        <v>221</v>
      </c>
      <c r="AY6" s="153" t="s">
        <v>223</v>
      </c>
      <c r="AZ6" s="2" t="s">
        <v>264</v>
      </c>
      <c r="BA6" s="2" t="s">
        <v>247</v>
      </c>
      <c r="BB6" s="2" t="s">
        <v>251</v>
      </c>
      <c r="BC6" s="2" t="s">
        <v>201</v>
      </c>
      <c r="BD6" s="2" t="s">
        <v>252</v>
      </c>
      <c r="BE6" s="2" t="s">
        <v>253</v>
      </c>
      <c r="BF6" s="2" t="s">
        <v>254</v>
      </c>
      <c r="BG6" s="2" t="s">
        <v>255</v>
      </c>
      <c r="BH6" s="2" t="s">
        <v>256</v>
      </c>
      <c r="BI6" s="2" t="s">
        <v>250</v>
      </c>
      <c r="BJ6" s="2" t="s">
        <v>257</v>
      </c>
      <c r="BK6" s="2" t="s">
        <v>261</v>
      </c>
      <c r="BL6" s="2" t="s">
        <v>262</v>
      </c>
      <c r="BM6" s="2" t="s">
        <v>259</v>
      </c>
      <c r="BN6" s="2" t="s">
        <v>260</v>
      </c>
      <c r="BO6" s="2" t="s">
        <v>270</v>
      </c>
      <c r="BP6" s="2" t="s">
        <v>268</v>
      </c>
      <c r="BQ6" s="2" t="s">
        <v>269</v>
      </c>
      <c r="BR6" s="2" t="s">
        <v>266</v>
      </c>
      <c r="BS6" s="2" t="s">
        <v>272</v>
      </c>
      <c r="BT6" s="2" t="s">
        <v>283</v>
      </c>
      <c r="BU6" s="2" t="s">
        <v>275</v>
      </c>
      <c r="BV6" s="2" t="s">
        <v>279</v>
      </c>
      <c r="BW6" s="2" t="s">
        <v>282</v>
      </c>
      <c r="BX6" s="2" t="s">
        <v>280</v>
      </c>
      <c r="BY6" s="2" t="s">
        <v>284</v>
      </c>
      <c r="BZ6" s="2" t="s">
        <v>286</v>
      </c>
      <c r="CA6" s="2" t="s">
        <v>287</v>
      </c>
      <c r="CB6" s="2" t="s">
        <v>290</v>
      </c>
      <c r="CC6" s="2" t="s">
        <v>292</v>
      </c>
      <c r="CD6" s="2" t="s">
        <v>294</v>
      </c>
      <c r="CE6" s="2" t="s">
        <v>296</v>
      </c>
      <c r="CF6" s="153" t="s">
        <v>297</v>
      </c>
      <c r="CG6" s="153" t="s">
        <v>298</v>
      </c>
      <c r="CH6" s="153" t="s">
        <v>299</v>
      </c>
      <c r="CI6" s="153" t="s">
        <v>300</v>
      </c>
      <c r="CJ6" s="153" t="s">
        <v>301</v>
      </c>
      <c r="CK6" s="2" t="s">
        <v>209</v>
      </c>
      <c r="CL6" s="2" t="s">
        <v>210</v>
      </c>
      <c r="CM6" s="2" t="s">
        <v>211</v>
      </c>
      <c r="CN6" s="2" t="s">
        <v>212</v>
      </c>
      <c r="CO6" s="2" t="s">
        <v>213</v>
      </c>
      <c r="CP6" s="2" t="s">
        <v>214</v>
      </c>
      <c r="CQ6" s="2" t="s">
        <v>215</v>
      </c>
      <c r="CR6" s="2" t="s">
        <v>216</v>
      </c>
      <c r="CS6" s="2" t="s">
        <v>217</v>
      </c>
      <c r="CT6" s="2" t="s">
        <v>224</v>
      </c>
      <c r="CU6" s="2" t="s">
        <v>225</v>
      </c>
      <c r="CV6" s="2" t="s">
        <v>226</v>
      </c>
      <c r="CW6" s="2" t="s">
        <v>227</v>
      </c>
      <c r="CX6" s="2" t="s">
        <v>228</v>
      </c>
      <c r="CY6" s="2" t="s">
        <v>229</v>
      </c>
      <c r="CZ6" s="2" t="s">
        <v>230</v>
      </c>
      <c r="DA6" s="2" t="s">
        <v>231</v>
      </c>
      <c r="DB6" s="2" t="s">
        <v>232</v>
      </c>
      <c r="DC6" s="2" t="s">
        <v>233</v>
      </c>
      <c r="DD6" s="2" t="s">
        <v>234</v>
      </c>
      <c r="DE6" s="2" t="s">
        <v>235</v>
      </c>
      <c r="DF6" s="2" t="s">
        <v>236</v>
      </c>
      <c r="DG6" s="2" t="s">
        <v>237</v>
      </c>
      <c r="DH6" s="2" t="s">
        <v>238</v>
      </c>
      <c r="DI6" s="2" t="s">
        <v>239</v>
      </c>
      <c r="DJ6" s="2" t="s">
        <v>240</v>
      </c>
      <c r="DK6" s="2" t="s">
        <v>241</v>
      </c>
      <c r="DL6" s="2" t="s">
        <v>242</v>
      </c>
      <c r="DM6" s="2" t="s">
        <v>243</v>
      </c>
      <c r="DN6" s="2" t="s">
        <v>244</v>
      </c>
      <c r="DO6" s="2" t="s">
        <v>245</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0.5</v>
      </c>
      <c r="BV7" s="29">
        <f>$BV$25+Table3[[#This Row],[offense]]*$BV$28</f>
        <v>10.5</v>
      </c>
      <c r="BW7" s="29">
        <f>$BW$25*$BW$28/($BW$28+Table3[[#This Row],[hit quality remainder]])</f>
        <v>20</v>
      </c>
      <c r="BX7" s="105">
        <f>_xlfn.NORM.DIST(10,Table3[[#This Row],[adjusted launch angle]],Table3[[#This Row],[angle stdev]],TRUE)</f>
        <v>0.49002748180476197</v>
      </c>
      <c r="BY7" s="105">
        <f>1-_xlfn.NORM.DIST(50, Table3[[#This Row],[adjusted launch angle]],Table3[[#This Row],[angle stdev]],TRUE)</f>
        <v>2.4134074004724781E-2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30</v>
      </c>
      <c r="CH7" s="117">
        <f>2*Table3[[#This Row],[+1stdv EV]]*SIN(RADIANS(Table3[[#This Row],[+1stdv LA]]))/$CC$28*60*60</f>
        <v>3.3974999999999991</v>
      </c>
      <c r="CI7" s="155">
        <f>Table3[[#This Row],[+1stdv EV]]^2*2*SIN(RADIANS(Table3[[#This Row],[+1stdv LA]]))/$CC$28*5280-Table3[[#This Row],[+1stdv flight time]]^2*$CE$25</f>
        <v>191.52840000000003</v>
      </c>
      <c r="CJ7" s="155">
        <f>Table3[[#This Row],[+1stdev distance]]-Table3[[#This Row],[actual distance]]</f>
        <v>89.138692405724626</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0.5</v>
      </c>
      <c r="BV8" s="3">
        <f>$BV$25+Table3[[#This Row],[offense]]*$BV$28</f>
        <v>12.5</v>
      </c>
      <c r="BW8" s="3">
        <f>$BW$25*$BW$28/($BW$28+Table3[[#This Row],[hit quality remainder]])</f>
        <v>20</v>
      </c>
      <c r="BX8" s="106">
        <f>_xlfn.NORM.DIST(10,Table3[[#This Row],[adjusted launch angle]],Table3[[#This Row],[angle stdev]],TRUE)</f>
        <v>0.45026177516988708</v>
      </c>
      <c r="BY8" s="106">
        <f>1-_xlfn.NORM.DIST(50, Table3[[#This Row],[adjusted launch angle]],Table3[[#This Row],[angle stdev]],TRUE)</f>
        <v>3.0396361765261393E-2</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30</v>
      </c>
      <c r="CH8" s="118">
        <f>2*Table3[[#This Row],[+1stdv EV]]*SIN(RADIANS(Table3[[#This Row],[+1stdv LA]]))/$CC$28*60*60</f>
        <v>3.7574999999999994</v>
      </c>
      <c r="CI8" s="156">
        <f>Table3[[#This Row],[+1stdv EV]]^2*2*SIN(RADIANS(Table3[[#This Row],[+1stdv LA]]))/$CC$28*5280-Table3[[#This Row],[+1stdv flight time]]^2*$CE$25</f>
        <v>234.26760000000002</v>
      </c>
      <c r="CJ8" s="156">
        <f>Table3[[#This Row],[+1stdev distance]]-Table3[[#This Row],[actual distance]]</f>
        <v>90.27544870525125</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0.5</v>
      </c>
      <c r="BV9" s="4">
        <f>$BV$25+Table3[[#This Row],[offense]]*$BV$28</f>
        <v>15</v>
      </c>
      <c r="BW9" s="4">
        <f>$BW$25*$BW$28/($BW$28+Table3[[#This Row],[hit quality remainder]])</f>
        <v>20</v>
      </c>
      <c r="BX9" s="107">
        <f>_xlfn.NORM.DIST(10,Table3[[#This Row],[adjusted launch angle]],Table3[[#This Row],[angle stdev]],TRUE)</f>
        <v>0.4012936743170763</v>
      </c>
      <c r="BY9" s="107">
        <f>1-_xlfn.NORM.DIST(50, Table3[[#This Row],[adjusted launch angle]],Table3[[#This Row],[angle stdev]],TRUE)</f>
        <v>4.0059156863817114E-2</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30</v>
      </c>
      <c r="CH9" s="119">
        <f>2*Table3[[#This Row],[+1stdv EV]]*SIN(RADIANS(Table3[[#This Row],[+1stdv LA]]))/$CC$28*60*60</f>
        <v>4.2074999999999996</v>
      </c>
      <c r="CI9" s="157">
        <f>Table3[[#This Row],[+1stdv EV]]^2*2*SIN(RADIANS(Table3[[#This Row],[+1stdv LA]]))/$CC$28*5280-Table3[[#This Row],[+1stdv flight time]]^2*$CE$25</f>
        <v>293.73959999999988</v>
      </c>
      <c r="CJ9" s="157">
        <f>Table3[[#This Row],[+1stdev distance]]-Table3[[#This Row],[actual distance]]</f>
        <v>87.330863038008516</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0.5</v>
      </c>
      <c r="BV10" s="3">
        <f>$BV$25+Table3[[#This Row],[offense]]*$BV$28</f>
        <v>20</v>
      </c>
      <c r="BW10" s="3">
        <f>$BW$25*$BW$28/($BW$28+Table3[[#This Row],[hit quality remainder]])</f>
        <v>20</v>
      </c>
      <c r="BX10" s="106">
        <f>_xlfn.NORM.DIST(10,Table3[[#This Row],[adjusted launch angle]],Table3[[#This Row],[angle stdev]],TRUE)</f>
        <v>0.30853753872598688</v>
      </c>
      <c r="BY10" s="106">
        <f>1-_xlfn.NORM.DIST(50, Table3[[#This Row],[adjusted launch angle]],Table3[[#This Row],[angle stdev]],TRUE)</f>
        <v>6.6807201268858085E-2</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v>
      </c>
      <c r="BV11" s="13">
        <f>$BV$25+Table3[[#This Row],[offense]]*$BV$28</f>
        <v>10.5</v>
      </c>
      <c r="BW11" s="13">
        <f>$BW$25*$BW$28/($BW$28+Table3[[#This Row],[hit quality remainder]])</f>
        <v>20</v>
      </c>
      <c r="BX11" s="108">
        <f>_xlfn.NORM.DIST(10,Table3[[#This Row],[adjusted launch angle]],Table3[[#This Row],[angle stdev]],TRUE)</f>
        <v>0.49002748180476197</v>
      </c>
      <c r="BY11" s="108">
        <f>1-_xlfn.NORM.DIST(50, Table3[[#This Row],[adjusted launch angle]],Table3[[#This Row],[angle stdev]],TRUE)</f>
        <v>2.4134074004724781E-2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0.5</v>
      </c>
      <c r="BV12" s="26">
        <f>$BV$25+Table3[[#This Row],[offense]]*$BV$28</f>
        <v>12.5</v>
      </c>
      <c r="BW12" s="26">
        <f>$BW$25*$BW$28/($BW$28+Table3[[#This Row],[hit quality remainder]])</f>
        <v>20</v>
      </c>
      <c r="BX12" s="109">
        <f>_xlfn.NORM.DIST(10,Table3[[#This Row],[adjusted launch angle]],Table3[[#This Row],[angle stdev]],TRUE)</f>
        <v>0.45026177516988708</v>
      </c>
      <c r="BY12" s="109">
        <f>1-_xlfn.NORM.DIST(50, Table3[[#This Row],[adjusted launch angle]],Table3[[#This Row],[angle stdev]],TRUE)</f>
        <v>3.0396361765261393E-2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30</v>
      </c>
      <c r="CH12" s="121">
        <f>2*Table3[[#This Row],[+1stdv EV]]*SIN(RADIANS(Table3[[#This Row],[+1stdv LA]]))/$CC$28*60*60</f>
        <v>3.9374999999999991</v>
      </c>
      <c r="CI12" s="159">
        <f>Table3[[#This Row],[+1stdv EV]]^2*2*SIN(RADIANS(Table3[[#This Row],[+1stdv LA]]))/$CC$28*5280-Table3[[#This Row],[+1stdv flight time]]^2*$CE$25</f>
        <v>257.25000000000006</v>
      </c>
      <c r="CJ12" s="159">
        <f>Table3[[#This Row],[+1stdev distance]]-Table3[[#This Row],[actual distance]]</f>
        <v>113.25784870525129</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0.5</v>
      </c>
      <c r="BV13" s="13">
        <f>$BV$25+Table3[[#This Row],[offense]]*$BV$28</f>
        <v>15</v>
      </c>
      <c r="BW13" s="13">
        <f>$BW$25*$BW$28/($BW$28+Table3[[#This Row],[hit quality remainder]])</f>
        <v>20</v>
      </c>
      <c r="BX13" s="108">
        <f>_xlfn.NORM.DIST(10,Table3[[#This Row],[adjusted launch angle]],Table3[[#This Row],[angle stdev]],TRUE)</f>
        <v>0.4012936743170763</v>
      </c>
      <c r="BY13" s="108">
        <f>1-_xlfn.NORM.DIST(50, Table3[[#This Row],[adjusted launch angle]],Table3[[#This Row],[angle stdev]],TRUE)</f>
        <v>4.0059156863817114E-2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0.5</v>
      </c>
      <c r="BV14" s="5">
        <f>$BV$25+Table3[[#This Row],[offense]]*$BV$28</f>
        <v>20</v>
      </c>
      <c r="BW14" s="5">
        <f>$BW$25*$BW$28/($BW$28+Table3[[#This Row],[hit quality remainder]])</f>
        <v>20</v>
      </c>
      <c r="BX14" s="110">
        <f>_xlfn.NORM.DIST(10,Table3[[#This Row],[adjusted launch angle]],Table3[[#This Row],[angle stdev]],TRUE)</f>
        <v>0.30853753872598688</v>
      </c>
      <c r="BY14" s="110">
        <f>1-_xlfn.NORM.DIST(50, Table3[[#This Row],[adjusted launch angle]],Table3[[#This Row],[angle stdev]],TRUE)</f>
        <v>6.6807201268858085E-2</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0.5</v>
      </c>
      <c r="BV15" s="17">
        <f>$BV$25+Table3[[#This Row],[offense]]*$BV$28</f>
        <v>10.5</v>
      </c>
      <c r="BW15" s="17">
        <f>$BW$25*$BW$28/($BW$28+Table3[[#This Row],[hit quality remainder]])</f>
        <v>20</v>
      </c>
      <c r="BX15" s="111">
        <f>_xlfn.NORM.DIST(10,Table3[[#This Row],[adjusted launch angle]],Table3[[#This Row],[angle stdev]],TRUE)</f>
        <v>0.49002748180476197</v>
      </c>
      <c r="BY15" s="111">
        <f>1-_xlfn.NORM.DIST(50, Table3[[#This Row],[adjusted launch angle]],Table3[[#This Row],[angle stdev]],TRUE)</f>
        <v>2.4134074004724781E-2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0.5</v>
      </c>
      <c r="BV16" s="6">
        <f>$BV$25+Table3[[#This Row],[offense]]*$BV$28</f>
        <v>12.5</v>
      </c>
      <c r="BW16" s="6">
        <f>$BW$25*$BW$28/($BW$28+Table3[[#This Row],[hit quality remainder]])</f>
        <v>20</v>
      </c>
      <c r="BX16" s="112">
        <f>_xlfn.NORM.DIST(10,Table3[[#This Row],[adjusted launch angle]],Table3[[#This Row],[angle stdev]],TRUE)</f>
        <v>0.45026177516988708</v>
      </c>
      <c r="BY16" s="112">
        <f>1-_xlfn.NORM.DIST(50, Table3[[#This Row],[adjusted launch angle]],Table3[[#This Row],[angle stdev]],TRUE)</f>
        <v>3.0396361765261393E-2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88"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0.5</v>
      </c>
      <c r="BV17" s="23">
        <f>$BV$25+Table3[[#This Row],[offense]]*$BV$28</f>
        <v>15</v>
      </c>
      <c r="BW17" s="23">
        <f>$BW$25*$BW$28/($BW$28+Table3[[#This Row],[hit quality remainder]])</f>
        <v>20</v>
      </c>
      <c r="BX17" s="113">
        <f>_xlfn.NORM.DIST(10,Table3[[#This Row],[adjusted launch angle]],Table3[[#This Row],[angle stdev]],TRUE)</f>
        <v>0.4012936743170763</v>
      </c>
      <c r="BY17" s="113">
        <f>1-_xlfn.NORM.DIST(50, Table3[[#This Row],[adjusted launch angle]],Table3[[#This Row],[angle stdev]],TRUE)</f>
        <v>4.0059156863817114E-2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88"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0.5</v>
      </c>
      <c r="BV18" s="6">
        <f>$BV$25+Table3[[#This Row],[offense]]*$BV$28</f>
        <v>20</v>
      </c>
      <c r="BW18" s="6">
        <f>$BW$25*$BW$28/($BW$28+Table3[[#This Row],[hit quality remainder]])</f>
        <v>20</v>
      </c>
      <c r="BX18" s="112">
        <f>_xlfn.NORM.DIST(10,Table3[[#This Row],[adjusted launch angle]],Table3[[#This Row],[angle stdev]],TRUE)</f>
        <v>0.30853753872598688</v>
      </c>
      <c r="BY18" s="112">
        <f>1-_xlfn.NORM.DIST(50, Table3[[#This Row],[adjusted launch angle]],Table3[[#This Row],[angle stdev]],TRUE)</f>
        <v>6.6807201268858085E-2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88"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0.5</v>
      </c>
      <c r="BV19" s="15">
        <f>$BV$25+Table3[[#This Row],[offense]]*$BV$28</f>
        <v>10.5</v>
      </c>
      <c r="BW19" s="15">
        <f>$BW$25*$BW$28/($BW$28+Table3[[#This Row],[hit quality remainder]])</f>
        <v>20</v>
      </c>
      <c r="BX19" s="114">
        <f>_xlfn.NORM.DIST(10,Table3[[#This Row],[adjusted launch angle]],Table3[[#This Row],[angle stdev]],TRUE)</f>
        <v>0.49002748180476197</v>
      </c>
      <c r="BY19" s="114">
        <f>1-_xlfn.NORM.DIST(50, Table3[[#This Row],[adjusted launch angle]],Table3[[#This Row],[angle stdev]],TRUE)</f>
        <v>2.4134074004724781E-2</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88"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0.5</v>
      </c>
      <c r="BV20" s="11">
        <f>$BV$25+Table3[[#This Row],[offense]]*$BV$28</f>
        <v>12.5</v>
      </c>
      <c r="BW20" s="11">
        <f>$BW$25*$BW$28/($BW$28+Table3[[#This Row],[hit quality remainder]])</f>
        <v>20</v>
      </c>
      <c r="BX20" s="115">
        <f>_xlfn.NORM.DIST(10,Table3[[#This Row],[adjusted launch angle]],Table3[[#This Row],[angle stdev]],TRUE)</f>
        <v>0.45026177516988708</v>
      </c>
      <c r="BY20" s="115">
        <f>1-_xlfn.NORM.DIST(50, Table3[[#This Row],[adjusted launch angle]],Table3[[#This Row],[angle stdev]],TRUE)</f>
        <v>3.0396361765261393E-2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88"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0.5</v>
      </c>
      <c r="BV21" s="15">
        <f>$BV$25+Table3[[#This Row],[offense]]*$BV$28</f>
        <v>15</v>
      </c>
      <c r="BW21" s="15">
        <f>$BW$25*$BW$28/($BW$28+Table3[[#This Row],[hit quality remainder]])</f>
        <v>20</v>
      </c>
      <c r="BX21" s="114">
        <f>_xlfn.NORM.DIST(10,Table3[[#This Row],[adjusted launch angle]],Table3[[#This Row],[angle stdev]],TRUE)</f>
        <v>0.4012936743170763</v>
      </c>
      <c r="BY21" s="114">
        <f>1-_xlfn.NORM.DIST(50, Table3[[#This Row],[adjusted launch angle]],Table3[[#This Row],[angle stdev]],TRUE)</f>
        <v>4.0059156863817114E-2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88"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0.5</v>
      </c>
      <c r="BV22" s="20">
        <f>$BV$25+Table3[[#This Row],[offense]]*$BV$28</f>
        <v>20</v>
      </c>
      <c r="BW22" s="20">
        <f>$BW$25*$BW$28/($BW$28+Table3[[#This Row],[hit quality remainder]])</f>
        <v>20</v>
      </c>
      <c r="BX22" s="116">
        <f>_xlfn.NORM.DIST(10,Table3[[#This Row],[adjusted launch angle]],Table3[[#This Row],[angle stdev]],TRUE)</f>
        <v>0.30853753872598688</v>
      </c>
      <c r="BY22" s="116">
        <f>1-_xlfn.NORM.DIST(50, Table3[[#This Row],[adjusted launch angle]],Table3[[#This Row],[angle stdev]],TRUE)</f>
        <v>6.6807201268858085E-2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88" x14ac:dyDescent="0.25">
      <c r="AW23" s="154"/>
      <c r="BK23" s="73"/>
      <c r="BL23" s="73"/>
    </row>
    <row r="24" spans="1:88" x14ac:dyDescent="0.25">
      <c r="Y24" s="63" t="s">
        <v>141</v>
      </c>
      <c r="Z24" s="64"/>
      <c r="AA24" s="65"/>
      <c r="AB24" t="s">
        <v>160</v>
      </c>
      <c r="AF24" s="63" t="s">
        <v>169</v>
      </c>
      <c r="AG24" s="104" t="s">
        <v>178</v>
      </c>
      <c r="AH24" s="64"/>
      <c r="AI24" s="64"/>
      <c r="AJ24" s="65"/>
      <c r="AL24" t="s">
        <v>187</v>
      </c>
      <c r="AN24" t="s">
        <v>196</v>
      </c>
      <c r="AU24" t="s">
        <v>204</v>
      </c>
      <c r="AX24" t="s">
        <v>220</v>
      </c>
      <c r="BA24" t="s">
        <v>248</v>
      </c>
      <c r="BB24" t="s">
        <v>199</v>
      </c>
      <c r="BP24" t="s">
        <v>271</v>
      </c>
      <c r="BV24" t="s">
        <v>278</v>
      </c>
      <c r="BW24" t="s">
        <v>277</v>
      </c>
      <c r="BZ24" t="s">
        <v>285</v>
      </c>
      <c r="CA24" t="s">
        <v>289</v>
      </c>
      <c r="CC24" t="s">
        <v>291</v>
      </c>
      <c r="CE24" t="s">
        <v>295</v>
      </c>
    </row>
    <row r="25" spans="1:88"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row>
    <row r="26" spans="1:88"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263</v>
      </c>
      <c r="BP26" t="s">
        <v>267</v>
      </c>
      <c r="CA26" t="s">
        <v>288</v>
      </c>
    </row>
    <row r="27" spans="1:88"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276</v>
      </c>
      <c r="BV27" t="s">
        <v>246</v>
      </c>
      <c r="BW27" t="s">
        <v>281</v>
      </c>
      <c r="BZ27" t="s">
        <v>274</v>
      </c>
      <c r="CA27">
        <v>110</v>
      </c>
      <c r="CC27" t="s">
        <v>293</v>
      </c>
      <c r="CE27">
        <f>CE10/CE9</f>
        <v>1.7578456475284747</v>
      </c>
    </row>
    <row r="28" spans="1:88" x14ac:dyDescent="0.25">
      <c r="K28">
        <v>0.9</v>
      </c>
      <c r="W28">
        <v>0</v>
      </c>
      <c r="Y28" s="71" t="s">
        <v>148</v>
      </c>
      <c r="Z28" s="32">
        <v>-0.2</v>
      </c>
      <c r="AA28" s="67">
        <f>Z28</f>
        <v>-0.2</v>
      </c>
      <c r="AF28" s="61" t="s">
        <v>132</v>
      </c>
      <c r="AG28" s="61" t="s">
        <v>171</v>
      </c>
      <c r="AH28" s="61" t="s">
        <v>177</v>
      </c>
      <c r="AI28" s="61"/>
      <c r="AJ28" s="61"/>
      <c r="AL28" t="s">
        <v>189</v>
      </c>
      <c r="AM28" t="s">
        <v>189</v>
      </c>
      <c r="AU28" t="s">
        <v>222</v>
      </c>
      <c r="BB28" t="s">
        <v>136</v>
      </c>
      <c r="BU28">
        <v>1.5</v>
      </c>
      <c r="BV28">
        <v>5</v>
      </c>
      <c r="BW28">
        <v>0.5</v>
      </c>
      <c r="BZ28">
        <f>0.6*90</f>
        <v>54</v>
      </c>
      <c r="CC28">
        <v>80000</v>
      </c>
    </row>
    <row r="29" spans="1:88" x14ac:dyDescent="0.25">
      <c r="W29" t="s">
        <v>130</v>
      </c>
      <c r="Y29" s="71" t="s">
        <v>145</v>
      </c>
      <c r="Z29" s="32">
        <v>-0.4</v>
      </c>
      <c r="AA29" s="67">
        <f>IF(ISBLANK(AA26),0,Z29)</f>
        <v>-0.4</v>
      </c>
      <c r="AF29" s="61">
        <v>0</v>
      </c>
      <c r="AG29" s="61">
        <v>1</v>
      </c>
      <c r="AH29" s="61">
        <f>-POWER(AH27,1.5)/2</f>
        <v>0</v>
      </c>
      <c r="AI29" s="61"/>
      <c r="AJ29" s="61"/>
      <c r="AL29">
        <v>20</v>
      </c>
      <c r="AM29">
        <v>20</v>
      </c>
      <c r="AU29">
        <v>5</v>
      </c>
      <c r="AX29" t="s">
        <v>246</v>
      </c>
      <c r="BB29">
        <v>1</v>
      </c>
      <c r="BP29" t="s">
        <v>265</v>
      </c>
    </row>
    <row r="30" spans="1:88"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88" x14ac:dyDescent="0.25">
      <c r="W31" t="s">
        <v>133</v>
      </c>
      <c r="X31" t="s">
        <v>142</v>
      </c>
      <c r="Y31" s="71" t="s">
        <v>147</v>
      </c>
      <c r="Z31" s="32">
        <v>0.8</v>
      </c>
      <c r="AA31" s="67">
        <f>IF(ISBLANK(Y26),0,Z31)</f>
        <v>0</v>
      </c>
      <c r="AF31" s="61">
        <v>-0.2</v>
      </c>
      <c r="AG31" s="61"/>
      <c r="AH31" s="61" t="b">
        <v>0</v>
      </c>
      <c r="AI31" s="61"/>
      <c r="AJ31" s="61"/>
      <c r="AL31" t="s">
        <v>191</v>
      </c>
      <c r="AU31" t="s">
        <v>206</v>
      </c>
    </row>
    <row r="32" spans="1:88"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1"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B36" sqref="B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iterative</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2022-04-04T22:28:00Z</dcterms:modified>
</cp:coreProperties>
</file>