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709F8AF3-4DB8-4CBE-B657-C56076EF0FBF}" xr6:coauthVersionLast="47" xr6:coauthVersionMax="47" xr10:uidLastSave="{00000000-0000-0000-0000-000000000000}"/>
  <bookViews>
    <workbookView xWindow="-120" yWindow="-120" windowWidth="29040" windowHeight="15990" xr2:uid="{00000000-000D-0000-FFFF-FFFF00000000}"/>
  </bookViews>
  <sheets>
    <sheet name="iterative" sheetId="2" r:id="rId1"/>
    <sheet name="gauss cruncher" sheetId="5" r:id="rId2"/>
    <sheet name="run speed" sheetId="3" r:id="rId3"/>
    <sheet name="pitch outcomes" sheetId="1" r:id="rId4"/>
    <sheet name="hit quality truth table" sheetId="6" r:id="rId5"/>
  </sheets>
  <definedNames>
    <definedName name="basis">#REF!</definedName>
    <definedName name="bs">#REF!</definedName>
    <definedName name="counts">#REF!</definedName>
    <definedName name="dratings">iterative!$B$2:$L$2</definedName>
    <definedName name="factors">#REF!</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otal">#REF!</definedName>
    <definedName name="values">#REF!</definedName>
    <definedName name="weightedvalues">#REF!</definedName>
    <definedName name="weights">#REF!</definedName>
    <definedName name="zero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E17" i="2" l="1"/>
  <c r="BE7" i="2"/>
  <c r="BE8" i="2"/>
  <c r="BE9" i="2"/>
  <c r="BE10" i="2"/>
  <c r="BE11" i="2"/>
  <c r="BE12" i="2"/>
  <c r="BE13" i="2"/>
  <c r="BE14" i="2"/>
  <c r="BE15" i="2"/>
  <c r="BE16" i="2"/>
  <c r="BE18" i="2"/>
  <c r="BE19" i="2"/>
  <c r="BE20" i="2"/>
  <c r="BE21" i="2"/>
  <c r="BE22" i="2"/>
  <c r="BZ18" i="2"/>
  <c r="BZ22" i="2"/>
  <c r="BZ28" i="2"/>
  <c r="BZ7" i="2" s="1"/>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BZ14" i="2" l="1"/>
  <c r="BZ10" i="2"/>
  <c r="BZ21" i="2"/>
  <c r="BZ17" i="2"/>
  <c r="BZ13" i="2"/>
  <c r="BZ9" i="2"/>
  <c r="BZ20" i="2"/>
  <c r="BZ16" i="2"/>
  <c r="BZ12" i="2"/>
  <c r="BZ8" i="2"/>
  <c r="BZ19" i="2"/>
  <c r="BZ15" i="2"/>
  <c r="BZ11" i="2"/>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A7" i="2"/>
  <c r="C7" i="2" s="1"/>
  <c r="AZ7" i="2" s="1"/>
  <c r="B3" i="2"/>
  <c r="BV22" i="2" l="1"/>
  <c r="CA22" i="2"/>
  <c r="BV14" i="2"/>
  <c r="CA14" i="2"/>
  <c r="BM22" i="2"/>
  <c r="BM14" i="2"/>
  <c r="BA15" i="2"/>
  <c r="BC15" i="2"/>
  <c r="BD15" i="2"/>
  <c r="AJ22" i="2"/>
  <c r="BA18" i="2"/>
  <c r="BD18" i="2"/>
  <c r="BC18" i="2"/>
  <c r="AJ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P7" i="2"/>
  <c r="R7" i="2" s="1"/>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10" i="2"/>
  <c r="B21" i="2"/>
  <c r="B17" i="2"/>
  <c r="B13" i="2"/>
  <c r="B9" i="2"/>
  <c r="C22" i="2"/>
  <c r="AZ22" i="2" s="1"/>
  <c r="C14" i="2"/>
  <c r="AZ14" i="2" s="1"/>
  <c r="B20" i="2"/>
  <c r="B16" i="2"/>
  <c r="B12" i="2"/>
  <c r="B8" i="2"/>
  <c r="B19" i="2"/>
  <c r="B15" i="2"/>
  <c r="B11" i="2"/>
  <c r="B7" i="2"/>
  <c r="C17" i="1"/>
  <c r="D17" i="1"/>
  <c r="E17" i="1"/>
  <c r="F17" i="1"/>
  <c r="B17" i="1"/>
  <c r="CD14" i="2" l="1"/>
  <c r="CC14" i="2"/>
  <c r="CE14" i="2" s="1"/>
  <c r="BV15" i="2"/>
  <c r="CA15" i="2"/>
  <c r="BV16" i="2"/>
  <c r="CA16" i="2"/>
  <c r="BV9" i="2"/>
  <c r="CA9" i="2"/>
  <c r="BV10" i="2"/>
  <c r="CA10" i="2"/>
  <c r="BV12" i="2"/>
  <c r="CA12" i="2"/>
  <c r="BV13" i="2"/>
  <c r="CA13" i="2"/>
  <c r="BV18" i="2"/>
  <c r="CA18" i="2"/>
  <c r="CC22" i="2"/>
  <c r="CD22" i="2"/>
  <c r="BV11" i="2"/>
  <c r="CA11" i="2"/>
  <c r="BV21" i="2"/>
  <c r="CA21" i="2"/>
  <c r="BV19" i="2"/>
  <c r="CA19" i="2"/>
  <c r="BV20" i="2"/>
  <c r="CA20" i="2"/>
  <c r="BV7" i="2"/>
  <c r="CA7" i="2"/>
  <c r="BV8" i="2"/>
  <c r="CA8" i="2"/>
  <c r="BV17" i="2"/>
  <c r="CA17" i="2"/>
  <c r="BM19" i="2"/>
  <c r="BM18" i="2"/>
  <c r="BM7" i="2"/>
  <c r="BM8" i="2"/>
  <c r="BM17" i="2"/>
  <c r="BM20" i="2"/>
  <c r="BM12" i="2"/>
  <c r="BM21" i="2"/>
  <c r="BM13" i="2"/>
  <c r="BM11" i="2"/>
  <c r="BM15" i="2"/>
  <c r="BM16" i="2"/>
  <c r="BM9" i="2"/>
  <c r="BM10" i="2"/>
  <c r="AJ11" i="2"/>
  <c r="BF11" i="2"/>
  <c r="BA22" i="2"/>
  <c r="CB22" i="2" s="1"/>
  <c r="BC22" i="2"/>
  <c r="BF22" i="2" s="1"/>
  <c r="BG22" i="2" s="1"/>
  <c r="BD22" i="2"/>
  <c r="AJ21" i="2"/>
  <c r="BF21" i="2"/>
  <c r="AJ15" i="2"/>
  <c r="BF15" i="2"/>
  <c r="AJ9" i="2"/>
  <c r="BF9" i="2"/>
  <c r="AJ10" i="2"/>
  <c r="BF10" i="2"/>
  <c r="AJ16" i="2"/>
  <c r="BF16" i="2"/>
  <c r="AJ19" i="2"/>
  <c r="BF19" i="2"/>
  <c r="AJ20" i="2"/>
  <c r="BF20" i="2"/>
  <c r="AJ13" i="2"/>
  <c r="BF13" i="2"/>
  <c r="AJ18" i="2"/>
  <c r="BF18" i="2"/>
  <c r="AJ12" i="2"/>
  <c r="BF12" i="2"/>
  <c r="AJ7" i="2"/>
  <c r="BF7" i="2"/>
  <c r="AJ8" i="2"/>
  <c r="BF8" i="2"/>
  <c r="BA14" i="2"/>
  <c r="CB14" i="2" s="1"/>
  <c r="BC14" i="2"/>
  <c r="BF14" i="2" s="1"/>
  <c r="BG14" i="2" s="1"/>
  <c r="BD14" i="2"/>
  <c r="AJ17" i="2"/>
  <c r="BF17" i="2"/>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CF22" i="2" l="1"/>
  <c r="CB7" i="2"/>
  <c r="CF7" i="2"/>
  <c r="CD7" i="2"/>
  <c r="CC7" i="2"/>
  <c r="CB19" i="2"/>
  <c r="CF19" i="2"/>
  <c r="CD19" i="2"/>
  <c r="CC19" i="2"/>
  <c r="CE19" i="2" s="1"/>
  <c r="CB16" i="2"/>
  <c r="CF16" i="2"/>
  <c r="CD16" i="2"/>
  <c r="CC16" i="2"/>
  <c r="CE16" i="2" s="1"/>
  <c r="CB8" i="2"/>
  <c r="CF8" i="2"/>
  <c r="CD8" i="2"/>
  <c r="CC8" i="2"/>
  <c r="CE8" i="2" s="1"/>
  <c r="CB20" i="2"/>
  <c r="CF20" i="2"/>
  <c r="CD20" i="2"/>
  <c r="CC20" i="2"/>
  <c r="CE20" i="2" s="1"/>
  <c r="CB21" i="2"/>
  <c r="CF21" i="2"/>
  <c r="CD21" i="2"/>
  <c r="CC21" i="2"/>
  <c r="CE21" i="2" s="1"/>
  <c r="CB18" i="2"/>
  <c r="CC18" i="2"/>
  <c r="CF18" i="2"/>
  <c r="CD18" i="2"/>
  <c r="CB12" i="2"/>
  <c r="CF12" i="2"/>
  <c r="CD12" i="2"/>
  <c r="CC12" i="2"/>
  <c r="CE12" i="2" s="1"/>
  <c r="CB9" i="2"/>
  <c r="CF9" i="2"/>
  <c r="CD9" i="2"/>
  <c r="CC9" i="2"/>
  <c r="CE9" i="2" s="1"/>
  <c r="CB15" i="2"/>
  <c r="CF15" i="2"/>
  <c r="CD15" i="2"/>
  <c r="CC15" i="2"/>
  <c r="CE15" i="2" s="1"/>
  <c r="CF14" i="2"/>
  <c r="CB17" i="2"/>
  <c r="CF17" i="2"/>
  <c r="CD17" i="2"/>
  <c r="CC17" i="2"/>
  <c r="CB11" i="2"/>
  <c r="CF11" i="2"/>
  <c r="CD11" i="2"/>
  <c r="CC11" i="2"/>
  <c r="CB13" i="2"/>
  <c r="CF13" i="2"/>
  <c r="CD13" i="2"/>
  <c r="CC13" i="2"/>
  <c r="CB10" i="2"/>
  <c r="CC10" i="2"/>
  <c r="CE10" i="2" s="1"/>
  <c r="CF10" i="2"/>
  <c r="CD10" i="2"/>
  <c r="CE22" i="2"/>
  <c r="AK19" i="2"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CE7" i="2" l="1"/>
  <c r="CE27" i="2"/>
  <c r="CE18" i="2"/>
  <c r="CE13" i="2"/>
  <c r="CE11" i="2"/>
  <c r="CE17" i="2"/>
  <c r="AM19" i="2"/>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O11" i="2" l="1"/>
  <c r="AN19" i="2"/>
  <c r="AX19" i="2" s="1"/>
  <c r="BN19" i="2" s="1"/>
  <c r="BO19" i="2" s="1"/>
  <c r="AO19" i="2"/>
  <c r="AN18" i="2"/>
  <c r="AX18" i="2" s="1"/>
  <c r="BN18" i="2" s="1"/>
  <c r="BO18" i="2" s="1"/>
  <c r="AO18" i="2"/>
  <c r="AN11" i="2"/>
  <c r="AX11" i="2" s="1"/>
  <c r="BN11" i="2" s="1"/>
  <c r="BO11" i="2" s="1"/>
  <c r="BS14" i="2"/>
  <c r="BT14" i="2"/>
  <c r="BU14" i="2" s="1"/>
  <c r="BW14" i="2" s="1"/>
  <c r="CG14" i="2" s="1"/>
  <c r="BS22" i="2"/>
  <c r="BT22" i="2"/>
  <c r="BU22" i="2" s="1"/>
  <c r="BW22" i="2" s="1"/>
  <c r="CG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0" i="2"/>
  <c r="BO10" i="2" s="1"/>
  <c r="BK14" i="2"/>
  <c r="BK22" i="2"/>
  <c r="AN8" i="2"/>
  <c r="AX8" i="2" s="1"/>
  <c r="AU7" i="2"/>
  <c r="BL7" i="2" s="1"/>
  <c r="AU12" i="2"/>
  <c r="BL12" i="2" s="1"/>
  <c r="AU13" i="2"/>
  <c r="BL13" i="2" s="1"/>
  <c r="AU21" i="2"/>
  <c r="BL21" i="2" s="1"/>
  <c r="AU20" i="2"/>
  <c r="BL20" i="2" s="1"/>
  <c r="AU17" i="2"/>
  <c r="BL17" i="2" s="1"/>
  <c r="AU9" i="2"/>
  <c r="BL9" i="2" s="1"/>
  <c r="AU16" i="2"/>
  <c r="BL16" i="2" s="1"/>
  <c r="AU10" i="2"/>
  <c r="BL10" i="2" s="1"/>
  <c r="AU15" i="2"/>
  <c r="BL15" i="2" s="1"/>
  <c r="AS22" i="2"/>
  <c r="AQ21" i="2"/>
  <c r="AQ20" i="2"/>
  <c r="AQ17" i="2"/>
  <c r="AQ7" i="2"/>
  <c r="AQ12" i="2"/>
  <c r="AQ13" i="2"/>
  <c r="AQ16" i="2"/>
  <c r="AQ10" i="2"/>
  <c r="AQ15" i="2"/>
  <c r="AQ9" i="2"/>
  <c r="AQ11" i="2"/>
  <c r="AS14" i="2"/>
  <c r="AT14" i="2"/>
  <c r="AT22" i="2"/>
  <c r="AR16" i="2"/>
  <c r="AY16" i="2" s="1"/>
  <c r="AR15" i="2"/>
  <c r="AY15" i="2" s="1"/>
  <c r="AR9" i="2"/>
  <c r="AY9" i="2" s="1"/>
  <c r="AR10" i="2"/>
  <c r="AY10" i="2" s="1"/>
  <c r="AR7" i="2"/>
  <c r="AY7" i="2" s="1"/>
  <c r="AR12" i="2"/>
  <c r="AY12" i="2" s="1"/>
  <c r="AR13" i="2"/>
  <c r="AY13" i="2" s="1"/>
  <c r="AR21" i="2"/>
  <c r="AY21" i="2" s="1"/>
  <c r="AR20" i="2"/>
  <c r="AY20" i="2" s="1"/>
  <c r="AR17" i="2"/>
  <c r="AY17" i="2" s="1"/>
  <c r="AU19" i="2" l="1"/>
  <c r="BL19" i="2" s="1"/>
  <c r="AR19" i="2"/>
  <c r="AY19" i="2" s="1"/>
  <c r="AQ19" i="2"/>
  <c r="AU11" i="2"/>
  <c r="BL11" i="2" s="1"/>
  <c r="AR11" i="2"/>
  <c r="AY11" i="2" s="1"/>
  <c r="CH22" i="2"/>
  <c r="CI22" i="2" s="1"/>
  <c r="CJ22" i="2" s="1"/>
  <c r="CH14" i="2"/>
  <c r="CI14" i="2" s="1"/>
  <c r="CJ14" i="2" s="1"/>
  <c r="AU18" i="2"/>
  <c r="BL18" i="2" s="1"/>
  <c r="AR18" i="2"/>
  <c r="AY18" i="2" s="1"/>
  <c r="AQ18" i="2"/>
  <c r="BX14" i="2"/>
  <c r="BY14" i="2"/>
  <c r="BX22" i="2"/>
  <c r="BY22" i="2"/>
  <c r="BS20" i="2"/>
  <c r="BT20" i="2"/>
  <c r="BU20" i="2" s="1"/>
  <c r="BW20" i="2" s="1"/>
  <c r="CG20" i="2" s="1"/>
  <c r="BS15" i="2"/>
  <c r="BT15" i="2"/>
  <c r="BU15" i="2" s="1"/>
  <c r="BW15" i="2" s="1"/>
  <c r="CG15" i="2" s="1"/>
  <c r="BS19" i="2"/>
  <c r="BT19" i="2"/>
  <c r="BU19" i="2" s="1"/>
  <c r="BW19" i="2" s="1"/>
  <c r="CG19" i="2" s="1"/>
  <c r="BS17" i="2"/>
  <c r="BT17" i="2"/>
  <c r="BU17" i="2" s="1"/>
  <c r="BW17" i="2" s="1"/>
  <c r="CG17" i="2" s="1"/>
  <c r="BS13" i="2"/>
  <c r="BT13" i="2"/>
  <c r="BU13" i="2" s="1"/>
  <c r="BW13" i="2" s="1"/>
  <c r="CG13" i="2" s="1"/>
  <c r="BS21" i="2"/>
  <c r="BT21" i="2"/>
  <c r="BU21" i="2" s="1"/>
  <c r="BW21" i="2" s="1"/>
  <c r="CG21" i="2" s="1"/>
  <c r="BS9" i="2"/>
  <c r="BT9" i="2"/>
  <c r="BU9" i="2" s="1"/>
  <c r="BW9" i="2" s="1"/>
  <c r="CG9" i="2" s="1"/>
  <c r="BS12" i="2"/>
  <c r="BT12" i="2"/>
  <c r="BU12" i="2" s="1"/>
  <c r="BW12" i="2" s="1"/>
  <c r="CG12" i="2" s="1"/>
  <c r="BS10" i="2"/>
  <c r="BT10" i="2"/>
  <c r="BU10" i="2" s="1"/>
  <c r="BW10" i="2" s="1"/>
  <c r="CG10" i="2" s="1"/>
  <c r="BS18" i="2"/>
  <c r="BT18" i="2"/>
  <c r="BU18" i="2" s="1"/>
  <c r="BW18" i="2" s="1"/>
  <c r="CG18" i="2" s="1"/>
  <c r="BS11" i="2"/>
  <c r="BT11" i="2"/>
  <c r="BU11" i="2" s="1"/>
  <c r="BW11" i="2" s="1"/>
  <c r="CG11" i="2" s="1"/>
  <c r="BS16" i="2"/>
  <c r="BT16" i="2"/>
  <c r="BU16" i="2" s="1"/>
  <c r="BW16" i="2" s="1"/>
  <c r="CG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CG7" i="2" s="1"/>
  <c r="BN8" i="2"/>
  <c r="BO8" i="2" s="1"/>
  <c r="AR8" i="2"/>
  <c r="AY8" i="2" s="1"/>
  <c r="AQ8" i="2"/>
  <c r="BK21" i="2"/>
  <c r="BK9" i="2"/>
  <c r="BK7" i="2"/>
  <c r="BK16" i="2"/>
  <c r="BK15" i="2"/>
  <c r="BK17" i="2"/>
  <c r="BK13" i="2"/>
  <c r="BK10" i="2"/>
  <c r="BK20" i="2"/>
  <c r="BK12" i="2"/>
  <c r="AU8" i="2"/>
  <c r="BL8" i="2" s="1"/>
  <c r="AS15" i="2"/>
  <c r="AS9" i="2"/>
  <c r="AT21" i="2"/>
  <c r="AT19" i="2"/>
  <c r="AS7" i="2"/>
  <c r="AS17" i="2"/>
  <c r="AS16" i="2"/>
  <c r="AS12" i="2"/>
  <c r="AS20" i="2"/>
  <c r="AS13" i="2"/>
  <c r="AS10" i="2"/>
  <c r="AT7" i="2"/>
  <c r="AT13" i="2"/>
  <c r="AS21" i="2"/>
  <c r="AT17" i="2"/>
  <c r="AT15" i="2"/>
  <c r="AT12" i="2"/>
  <c r="AT20" i="2"/>
  <c r="AT16" i="2"/>
  <c r="AT9" i="2"/>
  <c r="AT10" i="2"/>
  <c r="AS11" i="2" l="1"/>
  <c r="BK19" i="2"/>
  <c r="AS19" i="2"/>
  <c r="BK18" i="2"/>
  <c r="BK11" i="2"/>
  <c r="AT11" i="2"/>
  <c r="CH13" i="2"/>
  <c r="CI13" i="2" s="1"/>
  <c r="CJ13" i="2" s="1"/>
  <c r="AS18" i="2"/>
  <c r="CH7" i="2"/>
  <c r="CI7" i="2" s="1"/>
  <c r="CJ7" i="2" s="1"/>
  <c r="CH16" i="2"/>
  <c r="CI16" i="2" s="1"/>
  <c r="CJ16" i="2" s="1"/>
  <c r="CH18" i="2"/>
  <c r="CI18" i="2" s="1"/>
  <c r="CJ18" i="2" s="1"/>
  <c r="CH12" i="2"/>
  <c r="CI12" i="2" s="1"/>
  <c r="CJ12" i="2" s="1"/>
  <c r="CH21" i="2"/>
  <c r="CI21" i="2" s="1"/>
  <c r="CJ21" i="2" s="1"/>
  <c r="CH17" i="2"/>
  <c r="CI17" i="2" s="1"/>
  <c r="CJ17" i="2" s="1"/>
  <c r="CH15" i="2"/>
  <c r="CI15" i="2" s="1"/>
  <c r="CJ15" i="2" s="1"/>
  <c r="CH11" i="2"/>
  <c r="CI11" i="2" s="1"/>
  <c r="CJ11" i="2" s="1"/>
  <c r="CH10" i="2"/>
  <c r="CI10" i="2" s="1"/>
  <c r="CJ10" i="2" s="1"/>
  <c r="CH9" i="2"/>
  <c r="CI9" i="2" s="1"/>
  <c r="CJ9" i="2" s="1"/>
  <c r="CH19" i="2"/>
  <c r="CI19" i="2" s="1"/>
  <c r="CJ19" i="2" s="1"/>
  <c r="CH20" i="2"/>
  <c r="CI20" i="2" s="1"/>
  <c r="CJ20" i="2" s="1"/>
  <c r="AT18" i="2"/>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CG8" i="2" s="1"/>
  <c r="BS7" i="2"/>
  <c r="BQ8" i="2"/>
  <c r="BP8" i="2"/>
  <c r="BR8" i="2" s="1"/>
  <c r="BQ7" i="2"/>
  <c r="BP7" i="2"/>
  <c r="BR7" i="2" s="1"/>
  <c r="AS8" i="2"/>
  <c r="AT8" i="2"/>
  <c r="BK8" i="2"/>
  <c r="CH8" i="2" l="1"/>
  <c r="CI8" i="2" s="1"/>
  <c r="CJ8" i="2" s="1"/>
  <c r="BX8" i="2"/>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<sst xmlns="http://schemas.openxmlformats.org/spreadsheetml/2006/main" count="379" uniqueCount="302">
  <si>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</si>
  <si>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</si>
  <si>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</si>
  <si>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</si>
  <si>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</si>
  <si>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</si>
  <si>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</si>
  <si>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</si>
  <si>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</si>
  <si>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</si>
  <si>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</si>
  <si>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</si>
  <si>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</si>
  <si>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</si>
  <si>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</si>
  <si>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</si>
  <si>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</si>
  <si>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</si>
  <si>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</si>
  <si>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</si>
  <si>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</si>
  <si>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</si>
  <si>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</si>
  <si>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</si>
  <si>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</si>
  <si>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</si>
  <si>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</si>
  <si>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</si>
  <si>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</si>
  <si>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</si>
  <si>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</si>
  <si>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</si>
  <si>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</si>
  <si>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</si>
  <si>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</si>
  <si>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</si>
  <si>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</si>
  <si>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</si>
  <si>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</si>
  <si>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</si>
  <si>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</si>
  <si>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</si>
  <si>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</si>
  <si>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</si>
  <si>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</si>
  <si>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</si>
  <si>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</si>
  <si>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</si>
  <si>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</si>
  <si>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</si>
  <si>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</si>
  <si>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</si>
  <si>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</si>
  <si>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</si>
  <si>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</si>
  <si>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</si>
  <si>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</si>
  <si>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</si>
  <si>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</si>
  <si>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</si>
  <si>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</si>
  <si>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</si>
  <si>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</si>
  <si>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</si>
  <si>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</si>
  <si>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</si>
  <si>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</si>
  <si>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</si>
  <si>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</si>
  <si>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</si>
  <si>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</si>
  <si>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</si>
  <si>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</si>
  <si>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</si>
  <si>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</si>
  <si>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</si>
  <si>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</si>
  <si>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</si>
  <si>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</si>
  <si>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</si>
  <si>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</si>
  <si>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</si>
  <si>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</si>
  <si>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</si>
  <si>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</si>
  <si>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</si>
  <si>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</si>
  <si>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</si>
  <si>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</si>
  <si>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</si>
  <si>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</si>
  <si>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</si>
  <si>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</si>
  <si>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</si>
  <si>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</si>
  <si>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</si>
  <si>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</si>
  <si>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</si>
  <si>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</si>
  <si>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</si>
  <si>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</si>
  <si>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</si>
  <si>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</si>
  <si>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</si>
  <si>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</si>
  <si>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</si>
  <si>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</si>
  <si>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</si>
  <si>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</si>
  <si>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</si>
  <si>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</si>
  <si>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</si>
  <si>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</si>
  <si>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</si>
  <si>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</si>
  <si>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</si>
  <si>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</si>
  <si>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</si>
  <si>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</si>
  <si>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</si>
  <si>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</si>
  <si>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</si>
  <si>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</si>
  <si>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</si>
  <si>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</si>
  <si>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</si>
  <si>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</si>
  <si>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</si>
  <si>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</si>
  <si>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</si>
  <si>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</si>
  <si>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</si>
  <si>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</si>
  <si>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</si>
  <si>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</si>
  <si>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</si>
  <si>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</si>
  <si>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</si>
  <si>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</si>
  <si>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</si>
  <si>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</si>
  <si>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</si>
  <si>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</si>
  <si>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</si>
  <si>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</si>
  <si>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</si>
  <si>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</si>
  <si>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</si>
  <si>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</si>
  <si>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</si>
  <si>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</si>
  <si>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</si>
  <si>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</si>
  <si>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</si>
  <si>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</si>
  <si>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</si>
  <si>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</si>
  <si>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</si>
  <si>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</si>
  <si>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</si>
  <si>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</si>
  <si>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</si>
  <si>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</si>
  <si>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</si>
  <si>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</si>
  <si>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</si>
  <si>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</si>
  <si>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</si>
  <si>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</si>
  <si>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</si>
  <si>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</si>
  <si>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</si>
  <si>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</si>
  <si>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</si>
  <si>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</si>
  <si>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</si>
  <si>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</si>
  <si>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</si>
  <si>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</si>
  <si>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</si>
  <si>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</si>
  <si>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</si>
  <si>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</si>
  <si>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</si>
  <si>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</si>
  <si>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</si>
  <si>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</si>
  <si>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</si>
  <si>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</si>
  <si>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</si>
  <si>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</si>
  <si>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</si>
  <si>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</si>
  <si>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</si>
  <si>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</si>
  <si>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</si>
  <si>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</si>
  <si>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</si>
  <si>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</si>
  <si>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</si>
  <si>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</si>
  <si>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</si>
  <si>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</si>
  <si>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</si>
  <si>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</si>
  <si>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</si>
  <si>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</si>
  <si>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</si>
  <si>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</si>
  <si>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Column95</t>
  </si>
  <si>
    <t>Column96</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</si>
  <si>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</si>
  <si>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</si>
  <si>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</si>
  <si>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</si>
  <si>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</si>
  <si>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</si>
  <si>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</si>
  <si>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</si>
  <si>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</si>
  <si>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</si>
  <si>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</si>
  <si>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</si>
  <si>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</si>
  <si>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</si>
  <si>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</si>
  <si>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</si>
  <si>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</si>
  <si>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</si>
  <si>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</si>
  <si>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</si>
  <si>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</si>
  <si>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</si>
  <si>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</si>
  <si>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</si>
  <si>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</si>
  <si>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</si>
  <si>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</si>
  <si>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</si>
  <si>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</si>
  <si>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</si>
  <si>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</si>
  <si>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</si>
  <si>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</si>
  <si>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</si>
  <si>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</si>
  <si>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</si>
  <si>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</si>
  <si>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</si>
  <si>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</si>
  <si>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</si>
  <si>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</si>
  <si>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</si>
  <si>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</si>
  <si>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</si>
  <si>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</si>
  <si>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</si>
  <si>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</si>
  <si>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</si>
  <si>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</si>
  <si>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</si>
  <si>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</si>
  <si>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</si>
  <si>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</si>
  <si>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</si>
  <si>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</si>
  <si>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</si>
  <si>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</si>
  <si>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</si>
  <si>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</si>
  <si>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</si>
  <si>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</si>
  <si>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</si>
  <si>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</si>
  <si>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</si>
  <si>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</si>
  <si>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</si>
  <si>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</si>
  <si>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</si>
  <si>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</si>
  <si>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</si>
  <si>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</si>
  <si>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</si>
  <si>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</si>
  <si>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</si>
  <si>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</si>
  <si>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</si>
  <si>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</si>
  <si>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</si>
  <si>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</si>
  <si>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</si>
  <si>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</si>
  <si>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</si>
  <si>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</si>
  <si>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</si>
  <si>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</si>
  <si>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</si>
  <si>
    <t>+1stdv EV</t>
  </si>
  <si>
    <t>+1stdv LA</t>
  </si>
  <si>
    <t>+1stdv flight time</t>
  </si>
  <si>
    <t>+1stdev distance</t>
  </si>
  <si>
    <t>+1stdev 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</si>
</sst>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68">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65" fontId="0" fillId="4" borderId="2" xfId="0" applyNumberFormat="1" applyFill="1" applyBorder="1"/>
    <xf numFmtId="165" fontId="0" fillId="3" borderId="0" xfId="0" applyNumberFormat="1" applyFill="1"/>
    <xf numFmtId="165" fontId="0" fillId="4" borderId="0" xfId="0" applyNumberFormat="1" applyFill="1"/>
    <xf numFmtId="165" fontId="0" fillId="8" borderId="0" xfId="0" applyNumberFormat="1" applyFill="1"/>
    <xf numFmtId="165" fontId="0" fillId="5" borderId="2" xfId="0" applyNumberFormat="1" applyFill="1" applyBorder="1"/>
    <xf numFmtId="165" fontId="0" fillId="5" borderId="0" xfId="0" applyNumberFormat="1" applyFill="1"/>
    <xf numFmtId="165" fontId="0" fillId="10" borderId="0" xfId="0" applyNumberFormat="1" applyFill="1"/>
    <xf numFmtId="165" fontId="0" fillId="6" borderId="0" xfId="0" applyNumberFormat="1" applyFill="1"/>
    <xf numFmtId="165" fontId="0" fillId="10" borderId="2" xfId="0" applyNumberFormat="1" applyFill="1" applyBorder="1"/>
    <xf numFmtId="165" fontId="0" fillId="9" borderId="0" xfId="0" applyNumberFormat="1" applyFill="1"/>
    <xf numFmtId="165" fontId="0" fillId="7" borderId="0" xfId="0" applyNumberFormat="1" applyFill="1"/>
    <xf numFmtId="165"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cellXfs>
  <cellStyles count="3">
    <cellStyle name="Neutral" xfId="2" builtinId="28"/>
    <cellStyle name="Normal" xfId="0" builtinId="0"/>
    <cellStyle name="Percent" xfId="1" builtinId="5"/>
  </cellStyles>
  <dxfs count="82">
    <dxf>
      <numFmt numFmtId="1" formatCode="0"/>
    </dxf>
    <dxf>
      <numFmt numFmtId="1" formatCode="0"/>
    </dxf>
    <dxf>
      <numFmt numFmtId="165" formatCode="0.000"/>
    </dxf>
    <dxf>
      <numFmt numFmtId="0" formatCode="General"/>
    </dxf>
    <dxf>
      <numFmt numFmtId="0" formatCode="General"/>
    </dxf>
    <dxf>
      <numFmt numFmtId="1" formatCode="0"/>
    </dxf>
    <dxf>
      <numFmt numFmtId="165" formatCode="0.000"/>
    </dxf>
    <dxf>
      <numFmt numFmtId="1" formatCode="0"/>
    </dxf>
    <dxf>
      <numFmt numFmtId="0" formatCode="General"/>
    </dxf>
    <dxf>
      <numFmt numFmtId="0" formatCode="General"/>
    </dxf>
    <dxf>
      <numFmt numFmtId="13" formatCode="0%"/>
    </dxf>
    <dxf>
      <numFmt numFmtId="0" formatCode="General"/>
    </dxf>
    <dxf>
      <numFmt numFmtId="0" formatCode="General"/>
    </dxf>
    <dxf>
      <numFmt numFmtId="0" formatCode="General"/>
    </dxf>
    <dxf>
      <numFmt numFmtId="2" formatCode="0.00"/>
    </dxf>
    <dxf>
      <numFmt numFmtId="2" formatCode="0.00"/>
    </dxf>
    <dxf>
      <numFmt numFmtId="13" formatCode="0%"/>
    </dxf>
    <dxf>
      <numFmt numFmtId="13" formatCode="0%"/>
    </dxf>
    <dxf>
      <numFmt numFmtId="13" formatCode="0%"/>
    </dxf>
    <dxf>
      <numFmt numFmtId="2" formatCode="0.00"/>
    </dxf>
    <dxf>
      <numFmt numFmtId="2" formatCode="0.00"/>
    </dxf>
    <dxf>
      <numFmt numFmtId="0" formatCode="General"/>
    </dxf>
    <dxf>
      <numFmt numFmtId="2" formatCode="0.00"/>
    </dxf>
    <dxf>
      <numFmt numFmtId="2" formatCode="0.00"/>
    </dxf>
    <dxf>
      <numFmt numFmtId="165" formatCode="0.000"/>
    </dxf>
    <dxf>
      <numFmt numFmtId="0" formatCode="General"/>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80">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79">
      <calculatedColumnFormula>INDEX(oratings, 1, 1+MOD(Table3[[#This Row],[Rep '#]]-1, COUNT(oratings)))</calculatedColumnFormula>
    </tableColumn>
    <tableColumn id="3" xr3:uid="{00000000-0010-0000-0000-000003000000}" name="defense" dataDxfId="78">
      <calculatedColumnFormula>INDEX(dratings, 1, MOD(FLOOR( (Table3[[#This Row],[Rep '#]]-1) / COUNT(oratings), 1), COUNT(dratings))+1)</calculatedColumnFormula>
    </tableColumn>
    <tableColumn id="4" xr3:uid="{00000000-0010-0000-0000-000004000000}" name="base leadoff" dataDxfId="77">
      <calculatedColumnFormula>Table3[[#This Row],[offense]]*$D$26+0.05</calculatedColumnFormula>
    </tableColumn>
    <tableColumn id="5" xr3:uid="{00000000-0010-0000-0000-000005000000}" name="leadoff modifier" dataDxfId="76">
      <calculatedColumnFormula>((2*Table3[[#This Row],[defense]]+1*Table3[[#This Row],[defense]])-1.5)*Table3[[#This Row],[offense]]*$E$26</calculatedColumnFormula>
    </tableColumn>
    <tableColumn id="6" xr3:uid="{00000000-0010-0000-0000-000006000000}" name="total leadoff (ft)" dataDxfId="75">
      <calculatedColumnFormula>MAX(Table3[[#This Row],[base leadoff]]*(1-Table3[[#This Row],[leadoff modifier]]) * 90, 0)</calculatedColumnFormula>
    </tableColumn>
    <tableColumn id="7" xr3:uid="{00000000-0010-0000-0000-000007000000}" name="pickoff manuver (s)" dataDxfId="74">
      <calculatedColumnFormula>1.1 - Table3[[#This Row],[defense]]*0.1</calculatedColumnFormula>
    </tableColumn>
    <tableColumn id="8" xr3:uid="{00000000-0010-0000-0000-000008000000}" name="throw speed (s/ft)" dataDxfId="73">
      <calculatedColumnFormula xml:space="preserve"> 0.01 - 0.0025 *  Table3[[#This Row],[defense]]</calculatedColumnFormula>
    </tableColumn>
    <tableColumn id="32" xr3:uid="{00000000-0010-0000-0000-000020000000}" name="throw speed (mph)" dataDxfId="72">
      <calculatedColumnFormula>1 / Table3[[#This Row],[throw speed (s/ft)]] * ((60 * 60)/5280)</calculatedColumnFormula>
    </tableColumn>
    <tableColumn id="9" xr3:uid="{00000000-0010-0000-0000-000009000000}" name="pickoff time" dataDxfId="71">
      <calculatedColumnFormula>Table3[[#This Row],[pickoff manuver (s)]]+60*Table3[[#This Row],[throw speed (s/ft)]]</calculatedColumnFormula>
    </tableColumn>
    <tableColumn id="10" xr3:uid="{00000000-0010-0000-0000-00000A000000}" name="runner reaction" dataDxfId="70">
      <calculatedColumnFormula>$K$28-$K$26*Table3[[#This Row],[offense]]</calculatedColumnFormula>
    </tableColumn>
    <tableColumn id="11" xr3:uid="{00000000-0010-0000-0000-00000B000000}" name="runner speed (s/ft)" dataDxfId="69">
      <calculatedColumnFormula>0.05 - Table3[[#This Row],[offense]]*$L$26</calculatedColumnFormula>
    </tableColumn>
    <tableColumn id="12" xr3:uid="{00000000-0010-0000-0000-00000C000000}" name="runner speed (mph)" dataDxfId="68">
      <calculatedColumnFormula>1 / Table3[[#This Row],[runner speed (s/ft)]] * ((60 * 60)/5280)</calculatedColumnFormula>
    </tableColumn>
    <tableColumn id="13" xr3:uid="{00000000-0010-0000-0000-00000D000000}" name="pickoff evade time" dataDxfId="67">
      <calculatedColumnFormula>Table3[[#This Row],[runner reaction]]+Table3[[#This Row],[runner speed (s/ft)]]*Table3[[#This Row],[total leadoff (ft)]]</calculatedColumnFormula>
    </tableColumn>
    <tableColumn id="14" xr3:uid="{00000000-0010-0000-0000-00000E000000}" name="pickoff probability" dataDxfId="66" dataCellStyle="Percent">
      <calculatedColumnFormula>1 - _xlfn.NORM.DIST(Table3[[#This Row],[pickoff time]], Table3[[#This Row],[pickoff evade time]], $O$4, TRUE)</calculatedColumnFormula>
    </tableColumn>
    <tableColumn id="17" xr3:uid="{00000000-0010-0000-0000-000011000000}" name="Fielding Odds" dataDxfId="65" dataCellStyle="Percent">
      <calculatedColumnFormula>_xlfn.NORM.DIST(Table3[[#This Row],[defense]], $P$26, $P$27, TRUE)</calculatedColumnFormula>
    </tableColumn>
    <tableColumn id="18" xr3:uid="{00000000-0010-0000-0000-000012000000}" name="pickoff worth it?" dataDxfId="64">
      <calculatedColumnFormula>Table3[[#This Row],[pickoff probability]] &gt; 1-Table3[[#This Row],[Fielding Odds]]</calculatedColumnFormula>
    </tableColumn>
    <tableColumn id="19" xr3:uid="{00000000-0010-0000-0000-000013000000}" name="Error %" dataDxfId="63" dataCellStyle="Percent">
      <calculatedColumnFormula>1-Table3[[#This Row],[Fielding Odds]]</calculatedColumnFormula>
    </tableColumn>
    <tableColumn id="20" xr3:uid="{00000000-0010-0000-0000-000014000000}" name="Blatant steal time" dataDxfId="62">
      <calculatedColumnFormula>(90-Table3[[#This Row],[total leadoff (ft)]])*Table3[[#This Row],[runner speed (s/ft)]]</calculatedColumnFormula>
    </tableColumn>
    <tableColumn id="21" xr3:uid="{00000000-0010-0000-0000-000015000000}" name="Response speed" dataDxfId="61">
      <calculatedColumnFormula>$T$26*(2-Table3[[#This Row],[defense]]) + Table3[[#This Row],[pickoff time]]</calculatedColumnFormula>
    </tableColumn>
    <tableColumn id="22" xr3:uid="{00000000-0010-0000-0000-000016000000}" name="blatant steal probability" dataDxfId="60" dataCellStyle="Percent">
      <calculatedColumnFormula>_xlfn.NORM.DIST(Table3[[#This Row],[Response speed]], Table3[[#This Row],[Blatant steal time]], $U$4, TRUE)</calculatedColumnFormula>
    </tableColumn>
    <tableColumn id="23" xr3:uid="{00000000-0010-0000-0000-000017000000}" name="defense fear" dataDxfId="59">
      <calculatedColumnFormula>Table3[[#This Row],[defense]]+Table3[[#This Row],[defense]]*Table3[[#This Row],[offense]]*$E$26</calculatedColumnFormula>
    </tableColumn>
    <tableColumn id="24" xr3:uid="{00000000-0010-0000-0000-000018000000}" name="ball factor" dataDxfId="58">
      <calculatedColumnFormula>(1-$W$32)</calculatedColumnFormula>
    </tableColumn>
    <tableColumn id="25" xr3:uid="{00000000-0010-0000-0000-000019000000}" name="desperation" dataDxfId="57" dataCellStyle="Percent">
      <calculatedColumnFormula>Table3[[#This Row],[ball factor]]/$X$32*(1-$X$34)+$X$34</calculatedColumnFormula>
    </tableColumn>
    <tableColumn id="26" xr3:uid="{00000000-0010-0000-0000-00001A000000}" name="player control" dataDxfId="56">
      <calculatedColumnFormula>Table3[[#This Row],[offense]]</calculatedColumnFormula>
    </tableColumn>
    <tableColumn id="27" xr3:uid="{00000000-0010-0000-0000-00001B000000}" name="ideal steer" dataDxfId="55">
      <calculatedColumnFormula>$AA$33</calculatedColumnFormula>
    </tableColumn>
    <tableColumn id="28" xr3:uid="{00000000-0010-0000-0000-00001C000000}" name="scaled control" dataDxfId="54">
      <calculatedColumnFormula>IF(Table3[[#This Row],[player control]]&gt;1,Table3[[#This Row],[player control]]*$AA$41+$AA$40,Table3[[#This Row],[player control]]*$AA$39+$AA$38)</calculatedColumnFormula>
    </tableColumn>
    <tableColumn id="29" xr3:uid="{00000000-0010-0000-0000-00001D000000}" name="unmod foul percent 3rd" dataDxfId="53" dataCellStyle="Percent">
      <calculatedColumnFormula>_xlfn.NORM.DIST(-1,Table3[[#This Row],[ideal steer]],($AB$25-Table3[[#This Row],[scaled control]])*$AB$27,TRUE)</calculatedColumnFormula>
    </tableColumn>
    <tableColumn id="30" xr3:uid="{00000000-0010-0000-0000-00001E000000}" name="unmod foul percent 1st" dataDxfId="52" dataCellStyle="Percent">
      <calculatedColumnFormula>1-_xlfn.NORM.DIST(1,Table3[[#This Row],[ideal steer]],($AB$25-Table3[[#This Row],[scaled control]])*$AB$27,TRUE)</calculatedColumnFormula>
    </tableColumn>
    <tableColumn id="31" xr3:uid="{00000000-0010-0000-0000-00001F000000}" name="total unmod foul percent" dataDxfId="51" dataCellStyle="Percent">
      <calculatedColumnFormula>1-(1-Table3[[#This Row],[unmod foul percent 3rd]])*(1-Table3[[#This Row],[unmod foul percent 1st]])</calculatedColumnFormula>
    </tableColumn>
    <tableColumn id="15" xr3:uid="{00000000-0010-0000-0000-00000F000000}" name="unmod dead center foul%" dataDxfId="50" dataCellStyle="Percent">
      <calculatedColumnFormula>1-((1-_xlfn.NORM.DIST(-1,0,($AB$25-Table3[[#This Row],[scaled control]])*$AB$27,TRUE))*_xlfn.NORM.DIST(1,0,($AB$25-Table3[[#This Row],[scaled control]])*$AB$27,TRUE))</calculatedColumnFormula>
    </tableColumn>
    <tableColumn id="16" xr3:uid="{00000000-0010-0000-0000-000010000000}" name="count" dataDxfId="49">
      <calculatedColumnFormula>$AF$34*$AF$25</calculatedColumnFormula>
    </tableColumn>
    <tableColumn id="33" xr3:uid="{00000000-0010-0000-0000-000021000000}" name="hitter discipline bias" dataDxfId="48">
      <calculatedColumnFormula>$AG$25*($AG$34*Table3[[#This Row],[offense]])</calculatedColumnFormula>
    </tableColumn>
    <tableColumn id="34" xr3:uid="{00000000-0010-0000-0000-000022000000}" name="bases loaded" dataDxfId="47">
      <calculatedColumnFormula>$AH$25*$AH$34</calculatedColumnFormula>
    </tableColumn>
    <tableColumn id="35" xr3:uid="{00000000-0010-0000-0000-000023000000}" name="number of outs" dataDxfId="46">
      <calculatedColumnFormula>$AI$34*$AI$25</calculatedColumnFormula>
    </tableColumn>
    <tableColumn id="36" xr3:uid="{00000000-0010-0000-0000-000024000000}" name="current hitter vs next hitter" dataDxfId="45">
      <calculatedColumnFormula>$AJ$25*(Table3[[#This Row],[offense]]-$AJ$27)</calculatedColumnFormula>
    </tableColumn>
    <tableColumn id="37" xr3:uid="{00000000-0010-0000-0000-000025000000}" name="calling modifier" dataDxfId="44">
      <calculatedColumnFormula array="1">SUM(Table3[[#This Row],[count]:[current hitter vs next hitter]]*MIN(1, Table3[[#This Row],[defense]]))</calculatedColumnFormula>
    </tableColumn>
    <tableColumn id="38" xr3:uid="{00000000-0010-0000-0000-000026000000}" name="sigmoid strike percent" dataDxfId="43" dataCellStyle="Percent">
      <calculatedColumnFormula>$AL$25-(Table3[[#This Row],[calling modifier]]/(ABS(Table3[[#This Row],[calling modifier]])+$AL$29)*$AL$27)</calculatedColumnFormula>
    </tableColumn>
    <tableColumn id="39" xr3:uid="{00000000-0010-0000-0000-000027000000}" name="tanh strike percent" dataDxfId="42" dataCellStyle="Percent">
      <calculatedColumnFormula>$AL$25-$AL$27*TANH(Table3[[#This Row],[calling modifier]]/$AM$29)</calculatedColumnFormula>
    </tableColumn>
    <tableColumn id="40" xr3:uid="{00000000-0010-0000-0000-000028000000}" name="called position" dataDxfId="41" dataCellStyle="Percent">
      <calculatedColumnFormula>MAX(0, 1-_xlfn.NORM.S.INV(Table3[[#This Row],[tanh strike percent]])*($AN$25*($AN$27-Table3[[#This Row],[defense]])))</calculatedColumnFormula>
    </tableColumn>
    <tableColumn id="41" xr3:uid="{00000000-0010-0000-0000-000029000000}" name="called pos 0.2 pitch" dataDxfId="40">
      <calculatedColumnFormula>MAX(0, 1-_xlfn.NORM.S.INV(Table3[[#This Row],[tanh strike percent]])*($AN$25*($AN$27-0.2)))</calculatedColumnFormula>
    </tableColumn>
    <tableColumn id="42" xr3:uid="{00000000-0010-0000-0000-00002A000000}" name="called pos 2 pitch" dataDxfId="39">
      <calculatedColumnFormula>MAX(0, 1-_xlfn.NORM.S.INV(Table3[[#This Row],[tanh strike percent]])*($AN$25*($AN$27-2)))</calculatedColumnFormula>
    </tableColumn>
    <tableColumn id="43" xr3:uid="{00000000-0010-0000-0000-00002B000000}" name="location -1  stdv" dataDxfId="38">
      <calculatedColumnFormula>Table3[[#This Row],[called position]]-pitchmod*(pitchstdv-Table3[[#This Row],[defense]])</calculatedColumnFormula>
    </tableColumn>
    <tableColumn id="44" xr3:uid="{00000000-0010-0000-0000-00002C000000}" name="location +1 stdv" dataDxfId="37">
      <calculatedColumnFormula>ABS(Table3[[#This Row],[called position]]+pitchmod*(pitchstdv-Table3[[#This Row],[defense]]))</calculatedColumnFormula>
    </tableColumn>
    <tableColumn id="46" xr3:uid="{00000000-0010-0000-0000-00002E000000}" name="min dist to sz 1stdv" dataDxfId="36">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35">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34">
      <calculatedColumnFormula>$AU$30/(ABS(Table3[[#This Row],[called position]]-1)+$AU$27)+$AU$32*Table3[[#This Row],[defense]]</calculatedColumnFormula>
    </tableColumn>
    <tableColumn id="51" xr3:uid="{00000000-0010-0000-0000-000033000000}" name="obscurity at _x000a_0.5" dataDxfId="33">
      <calculatedColumnFormula>$AU$30/(ABS(0.5-1)+$AU$27)+$AU$32*Table3[[#This Row],[defense]]</calculatedColumnFormula>
    </tableColumn>
    <tableColumn id="52" xr3:uid="{00000000-0010-0000-0000-000034000000}" name="obscurity at  0.9" dataDxfId="32">
      <calculatedColumnFormula>$AU$30/(ABS(0.9-1)+$AU$27)+$AU$32*Table3[[#This Row],[defense]]</calculatedColumnFormula>
    </tableColumn>
    <tableColumn id="53" xr3:uid="{00000000-0010-0000-0000-000035000000}" name="average difficulty" dataDxfId="31">
      <calculatedColumnFormula>Table3[[#This Row],[defense]]*$AX$30+MAX(0, Table3[[#This Row],[called position]]-$AX$27)^$AX$25</calculatedColumnFormula>
    </tableColumn>
    <tableColumn id="54" xr3:uid="{00000000-0010-0000-0000-000036000000}" name="+1stdv difficulty" dataDxfId="30">
      <calculatedColumnFormula>Table3[[#This Row],[defense]]*$AX$30 + MAX(0, Table3[[#This Row],[location +1 stdv]]-$AX$27)^$AX$25</calculatedColumnFormula>
    </tableColumn>
    <tableColumn id="55" xr3:uid="{00000000-0010-0000-0000-000037000000}" name="difficulty at 1" dataDxfId="29">
      <calculatedColumnFormula>Table3[[#This Row],[defense]]*$AX$30+MAX(0, 1-$AX$27)^$AX$25</calculatedColumnFormula>
    </tableColumn>
    <tableColumn id="62" xr3:uid="{6513900D-2CAC-4022-A6B3-8A00EE6C566B}" name="reduction" dataDxfId="28">
      <calculatedColumnFormula>MAX(0, 0.1*(1-Table3[[#This Row],[defense]]))</calculatedColumnFormula>
    </tableColumn>
    <tableColumn id="63" xr3:uid="{12464915-1D8C-4EB5-9BBD-0FF526658E5B}" name="Location" dataDxfId="27">
      <calculatedColumnFormula>$BB$25</calculatedColumnFormula>
    </tableColumn>
    <tableColumn id="64" xr3:uid="{5F0F19BE-6D04-4E9E-81B2-B324AB353F5C}" name="obscurity" dataDxfId="26">
      <calculatedColumnFormula>$AU$30/(ABS(Table3[[#This Row],[Location]]-1)+$AU$27)+$AU$32*Table3[[#This Row],[defense]]</calculatedColumnFormula>
    </tableColumn>
    <tableColumn id="65" xr3:uid="{EA3D32E7-A2E2-482C-B6E9-2E17651C5F77}" name="Strike?" dataDxfId="25">
      <calculatedColumnFormula>Table3[[#This Row],[Location]]&lt;= (1+MAX(0, (Table3[[#This Row],[defense]]-1)*0.1))</calculatedColumnFormula>
    </tableColumn>
    <tableColumn id="66" xr3:uid="{0C7E9B06-240B-481E-B495-54026E2F00AA}" name="discipline modifier" dataDxfId="24">
      <calculatedColumnFormula>1/(1+Table3[[#This Row],[offense]])</calculatedColumnFormula>
    </tableColumn>
    <tableColumn id="67" xr3:uid="{D3B0837D-02D4-4F62-A2E2-876739E497B0}" name="effective obscurity" dataDxfId="23">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22">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21">
      <calculatedColumnFormula>Table3[[#This Row],[offense]]</calculatedColumnFormula>
    </tableColumn>
    <tableColumn id="75" xr3:uid="{074A9F48-3941-4E36-90C2-7710217D32C8}" name="pitch carry forward diff" dataDxfId="20">
      <calculatedColumnFormula>Table3[[#This Row],[average difficulty]]</calculatedColumnFormula>
    </tableColumn>
    <tableColumn id="76" xr3:uid="{628DDA60-D380-4EE8-AA7D-7EF6C4AAD8A5}" name="CF contact readiness" dataDxfId="19">
      <calculatedColumnFormula>Table3[[#This Row],[contact echo]]-Table3[[#This Row],[pitch carry forward diff]]</calculatedColumnFormula>
    </tableColumn>
    <tableColumn id="77" xr3:uid="{DBF18AD6-8593-42C7-9058-D19737088E6D}" name="foul %" dataDxfId="18" dataCellStyle="Percent">
      <calculatedColumnFormula>1-_xlfn.NORM.DIST($BP$27,Table3[[#This Row],[CF contact readiness]], $BP$30,TRUE)</calculatedColumnFormula>
    </tableColumn>
    <tableColumn id="78" xr3:uid="{6354951A-151E-4E04-9897-9CB39D6098C8}" name="clean %" dataDxfId="17" dataCellStyle="Percent">
      <calculatedColumnFormula>1-_xlfn.NORM.DIST($BP$25,Table3[[#This Row],[CF contact readiness]], $BP$30,TRUE)</calculatedColumnFormula>
    </tableColumn>
    <tableColumn id="79" xr3:uid="{0070F673-D13C-467D-95AC-FF8413A02F3F}" name="strike swinging %" dataDxfId="16" dataCellStyle="Percent">
      <calculatedColumnFormula>1-Table3[[#This Row],[foul %]]</calculatedColumnFormula>
    </tableColumn>
    <tableColumn id="80" xr3:uid="{9504D0CF-7CD0-472F-8289-44B30538D80C}" name="ave. hit quality" dataDxfId="15">
      <calculatedColumnFormula>(Table3[[#This Row],[CF contact readiness]]-$BP$27)/$BP$30</calculatedColumnFormula>
    </tableColumn>
    <tableColumn id="132" xr3:uid="{0BB169E4-F345-4B7D-A549-DE28DC5FB113}" name="hit quality +1stdv" dataDxfId="14">
      <calculatedColumnFormula>(Table3[[#This Row],[CF contact readiness]]+$BP$30-$BP$27)/$BP$30</calculatedColumnFormula>
    </tableColumn>
    <tableColumn id="81" xr3:uid="{37438EAA-344A-486C-A4C2-68EE17D67C60}" name="hit quality remainder" dataDxfId="13">
      <calculatedColumnFormula>MAX(0, IF(ISBLANK($BU$28), Table3[[#This Row],[hit quality +1stdv]], $BU$28)-1)</calculatedColumnFormula>
    </tableColumn>
    <tableColumn id="82" xr3:uid="{CBA11BEE-0412-44C3-979C-1888629B3C7A}" name="adjusted launch angle" dataDxfId="12">
      <calculatedColumnFormula>$BV$25+Table3[[#This Row],[offense]]*$BV$28</calculatedColumnFormula>
    </tableColumn>
    <tableColumn id="83" xr3:uid="{8DC0E209-2987-40FE-9521-B3339A7D8E1F}" name="angle stdev" dataDxfId="11">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10" dataCellStyle="Percent">
      <calculatedColumnFormula>1-_xlfn.NORM.DIST(70, $BZ$28,$BZ$25,TRUE)</calculatedColumnFormula>
    </tableColumn>
    <tableColumn id="87" xr3:uid="{E9F9DFB6-4A26-4CA7-9318-6ECA478690D6}" name="exit velocity mean" dataDxfId="9">
      <calculatedColumnFormula>$CA$25+Table3[[#This Row],[offense]]*($CA$27-$CA$25)/2</calculatedColumnFormula>
    </tableColumn>
    <tableColumn id="88" xr3:uid="{EB865A5D-CC1D-49FA-9709-DC5F30F55DD8}" name="after reduction" dataDxfId="8">
      <calculatedColumnFormula>Table3[[#This Row],[exit velocity mean]]-Table3[[#This Row],[reduction]]*100</calculatedColumnFormula>
    </tableColumn>
    <tableColumn id="89" xr3:uid="{949E8C38-C424-4A4E-9A6F-FCA93496D192}" name="theoretical distance" dataDxfId="7">
      <calculatedColumnFormula>Table3[[#This Row],[exit velocity mean]]^2*2*SIN(RADIANS(Table3[[#This Row],[adjusted launch angle]]))/$CC$28*5280</calculatedColumnFormula>
    </tableColumn>
    <tableColumn id="90" xr3:uid="{9FD0A88A-D0D9-4369-8D70-6C7485CA1509}" name="flight time" dataDxfId="6">
      <calculatedColumnFormula>2*Table3[[#This Row],[exit velocity mean]]*SIN(RADIANS(Table3[[#This Row],[adjusted launch angle]]))/$CC$28*60*60</calculatedColumnFormula>
    </tableColumn>
    <tableColumn id="91" xr3:uid="{D9D5DFED-BD09-4CB6-A82E-D289D2DAB08D}" name="actual distance" dataDxfId="5">
      <calculatedColumnFormula>Table3[[#This Row],[theoretical distance]]-Table3[[#This Row],[flight time]]^2*$CE$25</calculatedColumnFormula>
    </tableColumn>
    <tableColumn id="92" xr3:uid="{3D80331E-564D-462D-81B5-E5CE730D1EE5}" name="+1stdv EV" dataDxfId="4">
      <calculatedColumnFormula>Table3[[#This Row],[exit velocity mean]]+$CC$25-Table3[[#This Row],[reduction]]*100</calculatedColumnFormula>
    </tableColumn>
    <tableColumn id="93" xr3:uid="{211123A1-65C0-4F59-AB86-C344CFF47F70}" name="+1stdv LA" dataDxfId="3">
      <calculatedColumnFormula>MIN(Table3[[#This Row],[adjusted launch angle]]+Table3[[#This Row],[angle stdev]], 30)</calculatedColumnFormula>
    </tableColumn>
    <tableColumn id="94" xr3:uid="{C8736D16-AF27-436D-BF61-CA3E58298CD3}" name="+1stdv flight time" dataDxfId="2">
      <calculatedColumnFormula>2*Table3[[#This Row],[+1stdv EV]]*SIN(RADIANS(Table3[[#This Row],[+1stdv LA]]))/$CC$28*60*60</calculatedColumnFormula>
    </tableColumn>
    <tableColumn id="95" xr3:uid="{C9967388-9755-4293-82E9-4E43A4770599}" name="+1stdev distance" dataDxfId="1">
      <calculatedColumnFormula>Table3[[#This Row],[+1stdv EV]]^2*2*SIN(RADIANS(Table3[[#This Row],[+1stdv LA]]))/$CC$28*5280-Table3[[#This Row],[+1stdv flight time]]^2*$CE$25</calculatedColumnFormula>
    </tableColumn>
    <tableColumn id="96" xr3:uid="{52B6BA3A-87F7-49FD-BFE7-811EA76B03FD}" name="+1stdev delta" dataDxfId="0">
      <calculatedColumnFormula>Table3[[#This Row],[+1stdev distance]]-Table3[[#This Row],[actual distance]]</calculatedColumnFormula>
    </tableColumn>
    <tableColumn id="97" xr3:uid="{50EEB2EF-C836-4BBC-A8B3-EAD31BF29B54}" name="Column95"/>
    <tableColumn id="98" xr3:uid="{823DCE3F-2A43-4BFF-AFF7-BC15E601D901}" name="Column96"/>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tabSelected="1" topLeftCell="AX4" zoomScaleNormal="100" workbookViewId="0">
      <selection activeCell="BG9" sqref="BG9"/>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249</v>
      </c>
      <c r="BC5" s="75"/>
      <c r="BD5" s="75"/>
      <c r="BE5" s="75"/>
      <c r="BF5" s="75"/>
      <c r="BG5" s="75"/>
      <c r="BH5" s="75"/>
      <c r="BI5" s="75"/>
      <c r="BJ5" s="76"/>
      <c r="BK5" s="74"/>
      <c r="BL5" s="76"/>
      <c r="BM5" s="74" t="s">
        <v>258</v>
      </c>
      <c r="BN5" s="75"/>
      <c r="BO5" s="75"/>
      <c r="BP5" s="75"/>
      <c r="BQ5" s="75"/>
      <c r="BR5" s="75"/>
      <c r="BS5" s="76"/>
      <c r="BT5" s="167"/>
      <c r="BU5" s="74" t="s">
        <v>273</v>
      </c>
      <c r="BV5" s="75"/>
      <c r="BW5" s="75"/>
      <c r="BX5" s="75"/>
      <c r="BY5" s="75"/>
      <c r="BZ5" s="75"/>
      <c r="CA5" s="75"/>
      <c r="CB5" s="75"/>
      <c r="CC5" s="75"/>
      <c r="CD5" s="75"/>
      <c r="CE5" s="76"/>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218</v>
      </c>
      <c r="AW6" s="2" t="s">
        <v>219</v>
      </c>
      <c r="AX6" s="2" t="s">
        <v>221</v>
      </c>
      <c r="AY6" s="153" t="s">
        <v>223</v>
      </c>
      <c r="AZ6" s="2" t="s">
        <v>264</v>
      </c>
      <c r="BA6" s="2" t="s">
        <v>247</v>
      </c>
      <c r="BB6" s="2" t="s">
        <v>251</v>
      </c>
      <c r="BC6" s="2" t="s">
        <v>201</v>
      </c>
      <c r="BD6" s="2" t="s">
        <v>252</v>
      </c>
      <c r="BE6" s="2" t="s">
        <v>253</v>
      </c>
      <c r="BF6" s="2" t="s">
        <v>254</v>
      </c>
      <c r="BG6" s="2" t="s">
        <v>255</v>
      </c>
      <c r="BH6" s="2" t="s">
        <v>256</v>
      </c>
      <c r="BI6" s="2" t="s">
        <v>250</v>
      </c>
      <c r="BJ6" s="2" t="s">
        <v>257</v>
      </c>
      <c r="BK6" s="2" t="s">
        <v>261</v>
      </c>
      <c r="BL6" s="2" t="s">
        <v>262</v>
      </c>
      <c r="BM6" s="2" t="s">
        <v>259</v>
      </c>
      <c r="BN6" s="2" t="s">
        <v>260</v>
      </c>
      <c r="BO6" s="2" t="s">
        <v>270</v>
      </c>
      <c r="BP6" s="2" t="s">
        <v>268</v>
      </c>
      <c r="BQ6" s="2" t="s">
        <v>269</v>
      </c>
      <c r="BR6" s="2" t="s">
        <v>266</v>
      </c>
      <c r="BS6" s="2" t="s">
        <v>272</v>
      </c>
      <c r="BT6" s="2" t="s">
        <v>283</v>
      </c>
      <c r="BU6" s="2" t="s">
        <v>275</v>
      </c>
      <c r="BV6" s="2" t="s">
        <v>279</v>
      </c>
      <c r="BW6" s="2" t="s">
        <v>282</v>
      </c>
      <c r="BX6" s="2" t="s">
        <v>280</v>
      </c>
      <c r="BY6" s="2" t="s">
        <v>284</v>
      </c>
      <c r="BZ6" s="2" t="s">
        <v>286</v>
      </c>
      <c r="CA6" s="2" t="s">
        <v>287</v>
      </c>
      <c r="CB6" s="2" t="s">
        <v>290</v>
      </c>
      <c r="CC6" s="2" t="s">
        <v>292</v>
      </c>
      <c r="CD6" s="2" t="s">
        <v>294</v>
      </c>
      <c r="CE6" s="2" t="s">
        <v>296</v>
      </c>
      <c r="CF6" s="153" t="s">
        <v>297</v>
      </c>
      <c r="CG6" s="153" t="s">
        <v>298</v>
      </c>
      <c r="CH6" s="153" t="s">
        <v>299</v>
      </c>
      <c r="CI6" s="153" t="s">
        <v>300</v>
      </c>
      <c r="CJ6" s="153" t="s">
        <v>301</v>
      </c>
      <c r="CK6" s="2" t="s">
        <v>209</v>
      </c>
      <c r="CL6" s="2" t="s">
        <v>210</v>
      </c>
      <c r="CM6" s="2" t="s">
        <v>211</v>
      </c>
      <c r="CN6" s="2" t="s">
        <v>212</v>
      </c>
      <c r="CO6" s="2" t="s">
        <v>213</v>
      </c>
      <c r="CP6" s="2" t="s">
        <v>214</v>
      </c>
      <c r="CQ6" s="2" t="s">
        <v>215</v>
      </c>
      <c r="CR6" s="2" t="s">
        <v>216</v>
      </c>
      <c r="CS6" s="2" t="s">
        <v>217</v>
      </c>
      <c r="CT6" s="2" t="s">
        <v>224</v>
      </c>
      <c r="CU6" s="2" t="s">
        <v>225</v>
      </c>
      <c r="CV6" s="2" t="s">
        <v>226</v>
      </c>
      <c r="CW6" s="2" t="s">
        <v>227</v>
      </c>
      <c r="CX6" s="2" t="s">
        <v>228</v>
      </c>
      <c r="CY6" s="2" t="s">
        <v>229</v>
      </c>
      <c r="CZ6" s="2" t="s">
        <v>230</v>
      </c>
      <c r="DA6" s="2" t="s">
        <v>231</v>
      </c>
      <c r="DB6" s="2" t="s">
        <v>232</v>
      </c>
      <c r="DC6" s="2" t="s">
        <v>233</v>
      </c>
      <c r="DD6" s="2" t="s">
        <v>234</v>
      </c>
      <c r="DE6" s="2" t="s">
        <v>235</v>
      </c>
      <c r="DF6" s="2" t="s">
        <v>236</v>
      </c>
      <c r="DG6" s="2" t="s">
        <v>237</v>
      </c>
      <c r="DH6" s="2" t="s">
        <v>238</v>
      </c>
      <c r="DI6" s="2" t="s">
        <v>239</v>
      </c>
      <c r="DJ6" s="2" t="s">
        <v>240</v>
      </c>
      <c r="DK6" s="2" t="s">
        <v>241</v>
      </c>
      <c r="DL6" s="2" t="s">
        <v>242</v>
      </c>
      <c r="DM6" s="2" t="s">
        <v>243</v>
      </c>
      <c r="DN6" s="2" t="s">
        <v>244</v>
      </c>
      <c r="DO6" s="2" t="s">
        <v>245</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0</v>
      </c>
      <c r="X7" s="48">
        <f>Table3[[#This Row],[ball factor]]/$X$32*(1-$X$34)+$X$34</f>
        <v>0.2</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 t="shared" ref="AF7:AF22" si="2">$AF$34*$AF$25</f>
        <v>-4</v>
      </c>
      <c r="AG7" s="29">
        <f>$AG$25*($AG$34*Table3[[#This Row],[offense]])</f>
        <v>0</v>
      </c>
      <c r="AH7" s="29">
        <f t="shared" ref="AH7:AH22" si="3">$AH$25*$AH$34</f>
        <v>0</v>
      </c>
      <c r="AI7" s="29">
        <f t="shared" ref="AI7:AI22" si="4">$AI$34*$AI$25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5">$BB$25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6">$BB$29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0.5</v>
      </c>
      <c r="BV7" s="29">
        <f>$BV$25+Table3[[#This Row],[offense]]*$BV$28</f>
        <v>10.5</v>
      </c>
      <c r="BW7" s="29">
        <f>$BW$25*$BW$28/($BW$28+Table3[[#This Row],[hit quality remainder]])</f>
        <v>20</v>
      </c>
      <c r="BX7" s="105">
        <f>_xlfn.NORM.DIST(10,Table3[[#This Row],[adjusted launch angle]],Table3[[#This Row],[angle stdev]],TRUE)</f>
        <v>0.49002748180476197</v>
      </c>
      <c r="BY7" s="105">
        <f>1-_xlfn.NORM.DIST(50, Table3[[#This Row],[adjusted launch angle]],Table3[[#This Row],[angle stdev]],TRUE)</f>
        <v>2.4134074004724781E-2</v>
      </c>
      <c r="BZ7" s="105">
        <f t="shared" ref="BZ7:BZ22" si="7">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102.38970759427541</v>
      </c>
      <c r="CF7" s="29">
        <f>Table3[[#This Row],[exit velocity mean]]+$CC$25-Table3[[#This Row],[reduction]]*100</f>
        <v>75.5</v>
      </c>
      <c r="CG7" s="29">
        <f>MIN(Table3[[#This Row],[adjusted launch angle]]+Table3[[#This Row],[angle stdev]], 30)</f>
        <v>30</v>
      </c>
      <c r="CH7" s="117">
        <f>2*Table3[[#This Row],[+1stdv EV]]*SIN(RADIANS(Table3[[#This Row],[+1stdv LA]]))/$CC$28*60*60</f>
        <v>3.3974999999999991</v>
      </c>
      <c r="CI7" s="155">
        <f>Table3[[#This Row],[+1stdv EV]]^2*2*SIN(RADIANS(Table3[[#This Row],[+1stdv LA]]))/$CC$28*5280-Table3[[#This Row],[+1stdv flight time]]^2*$CE$25</f>
        <v>191.52840000000003</v>
      </c>
      <c r="CJ7" s="155">
        <f>Table3[[#This Row],[+1stdev distance]]-Table3[[#This Row],[actual distance]]</f>
        <v>89.138692405724626</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8">(1-$W$32)</f>
        <v>0</v>
      </c>
      <c r="X8" s="49">
        <f>Table3[[#This Row],[ball factor]]/$X$32*(1-$X$34)+$X$34</f>
        <v>0.2</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 t="shared" si="2"/>
        <v>-4</v>
      </c>
      <c r="AG8" s="3">
        <f>$AG$25*($AG$34*Table3[[#This Row],[offense]])</f>
        <v>0</v>
      </c>
      <c r="AH8" s="3">
        <f t="shared" si="3"/>
        <v>0</v>
      </c>
      <c r="AI8" s="3">
        <f t="shared" si="4"/>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5"/>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6"/>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0.5</v>
      </c>
      <c r="BV8" s="3">
        <f>$BV$25+Table3[[#This Row],[offense]]*$BV$28</f>
        <v>12.5</v>
      </c>
      <c r="BW8" s="3">
        <f>$BW$25*$BW$28/($BW$28+Table3[[#This Row],[hit quality remainder]])</f>
        <v>20</v>
      </c>
      <c r="BX8" s="106">
        <f>_xlfn.NORM.DIST(10,Table3[[#This Row],[adjusted launch angle]],Table3[[#This Row],[angle stdev]],TRUE)</f>
        <v>0.45026177516988708</v>
      </c>
      <c r="BY8" s="106">
        <f>1-_xlfn.NORM.DIST(50, Table3[[#This Row],[adjusted launch angle]],Table3[[#This Row],[angle stdev]],TRUE)</f>
        <v>3.0396361765261393E-2</v>
      </c>
      <c r="BZ8" s="106">
        <f t="shared" si="7"/>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143.99215129474877</v>
      </c>
      <c r="CF8" s="3">
        <f>Table3[[#This Row],[exit velocity mean]]+$CC$25-Table3[[#This Row],[reduction]]*100</f>
        <v>83.5</v>
      </c>
      <c r="CG8" s="3">
        <f>MIN(Table3[[#This Row],[adjusted launch angle]]+Table3[[#This Row],[angle stdev]], 30)</f>
        <v>30</v>
      </c>
      <c r="CH8" s="118">
        <f>2*Table3[[#This Row],[+1stdv EV]]*SIN(RADIANS(Table3[[#This Row],[+1stdv LA]]))/$CC$28*60*60</f>
        <v>3.7574999999999994</v>
      </c>
      <c r="CI8" s="156">
        <f>Table3[[#This Row],[+1stdv EV]]^2*2*SIN(RADIANS(Table3[[#This Row],[+1stdv LA]]))/$CC$28*5280-Table3[[#This Row],[+1stdv flight time]]^2*$CE$25</f>
        <v>234.26760000000002</v>
      </c>
      <c r="CJ8" s="156">
        <f>Table3[[#This Row],[+1stdev distance]]-Table3[[#This Row],[actual distance]]</f>
        <v>90.27544870525125</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8"/>
        <v>0</v>
      </c>
      <c r="X9" s="50">
        <f>Table3[[#This Row],[ball factor]]/$X$32*(1-$X$34)+$X$34</f>
        <v>0.2</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 t="shared" si="2"/>
        <v>-4</v>
      </c>
      <c r="AG9" s="4">
        <f>$AG$25*($AG$34*Table3[[#This Row],[offense]])</f>
        <v>0</v>
      </c>
      <c r="AH9" s="4">
        <f t="shared" si="3"/>
        <v>0</v>
      </c>
      <c r="AI9" s="4">
        <f t="shared" si="4"/>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5"/>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6"/>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0.5</v>
      </c>
      <c r="BV9" s="4">
        <f>$BV$25+Table3[[#This Row],[offense]]*$BV$28</f>
        <v>15</v>
      </c>
      <c r="BW9" s="4">
        <f>$BW$25*$BW$28/($BW$28+Table3[[#This Row],[hit quality remainder]])</f>
        <v>20</v>
      </c>
      <c r="BX9" s="107">
        <f>_xlfn.NORM.DIST(10,Table3[[#This Row],[adjusted launch angle]],Table3[[#This Row],[angle stdev]],TRUE)</f>
        <v>0.4012936743170763</v>
      </c>
      <c r="BY9" s="107">
        <f>1-_xlfn.NORM.DIST(50, Table3[[#This Row],[adjusted launch angle]],Table3[[#This Row],[angle stdev]],TRUE)</f>
        <v>4.0059156863817114E-2</v>
      </c>
      <c r="BZ9" s="107">
        <f t="shared" si="7"/>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206.40873696199137</v>
      </c>
      <c r="CF9" s="4">
        <f>Table3[[#This Row],[exit velocity mean]]+$CC$25-Table3[[#This Row],[reduction]]*100</f>
        <v>93.5</v>
      </c>
      <c r="CG9" s="4">
        <f>MIN(Table3[[#This Row],[adjusted launch angle]]+Table3[[#This Row],[angle stdev]], 30)</f>
        <v>30</v>
      </c>
      <c r="CH9" s="119">
        <f>2*Table3[[#This Row],[+1stdv EV]]*SIN(RADIANS(Table3[[#This Row],[+1stdv LA]]))/$CC$28*60*60</f>
        <v>4.2074999999999996</v>
      </c>
      <c r="CI9" s="157">
        <f>Table3[[#This Row],[+1stdv EV]]^2*2*SIN(RADIANS(Table3[[#This Row],[+1stdv LA]]))/$CC$28*5280-Table3[[#This Row],[+1stdv flight time]]^2*$CE$25</f>
        <v>293.73959999999988</v>
      </c>
      <c r="CJ9" s="157">
        <f>Table3[[#This Row],[+1stdev distance]]-Table3[[#This Row],[actual distance]]</f>
        <v>87.330863038008516</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8"/>
        <v>0</v>
      </c>
      <c r="X10" s="49">
        <f>Table3[[#This Row],[ball factor]]/$X$32*(1-$X$34)+$X$34</f>
        <v>0.2</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 t="shared" si="2"/>
        <v>-4</v>
      </c>
      <c r="AG10" s="3">
        <f>$AG$25*($AG$34*Table3[[#This Row],[offense]])</f>
        <v>0</v>
      </c>
      <c r="AH10" s="3">
        <f t="shared" si="3"/>
        <v>0</v>
      </c>
      <c r="AI10" s="3">
        <f t="shared" si="4"/>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5"/>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6"/>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0.5</v>
      </c>
      <c r="BV10" s="3">
        <f>$BV$25+Table3[[#This Row],[offense]]*$BV$28</f>
        <v>20</v>
      </c>
      <c r="BW10" s="3">
        <f>$BW$25*$BW$28/($BW$28+Table3[[#This Row],[hit quality remainder]])</f>
        <v>20</v>
      </c>
      <c r="BX10" s="106">
        <f>_xlfn.NORM.DIST(10,Table3[[#This Row],[adjusted launch angle]],Table3[[#This Row],[angle stdev]],TRUE)</f>
        <v>0.30853753872598688</v>
      </c>
      <c r="BY10" s="106">
        <f>1-_xlfn.NORM.DIST(50, Table3[[#This Row],[adjusted launch angle]],Table3[[#This Row],[angle stdev]],TRUE)</f>
        <v>6.6807201268858085E-2</v>
      </c>
      <c r="BZ10" s="106">
        <f t="shared" si="7"/>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362.83469988048631</v>
      </c>
      <c r="CF10" s="3">
        <f>Table3[[#This Row],[exit velocity mean]]+$CC$25-Table3[[#This Row],[reduction]]*100</f>
        <v>113.5</v>
      </c>
      <c r="CG10" s="3">
        <f>MIN(Table3[[#This Row],[adjusted launch angle]]+Table3[[#This Row],[angle stdev]], 30)</f>
        <v>30</v>
      </c>
      <c r="CH10" s="118">
        <f>2*Table3[[#This Row],[+1stdv EV]]*SIN(RADIANS(Table3[[#This Row],[+1stdv LA]]))/$CC$28*60*60</f>
        <v>5.1074999999999999</v>
      </c>
      <c r="CI10" s="156">
        <f>Table3[[#This Row],[+1stdv EV]]^2*2*SIN(RADIANS(Table3[[#This Row],[+1stdv LA]]))/$CC$28*5280-Table3[[#This Row],[+1stdv flight time]]^2*$CE$25</f>
        <v>432.84359999999981</v>
      </c>
      <c r="CJ10" s="156">
        <f>Table3[[#This Row],[+1stdev distance]]-Table3[[#This Row],[actual distance]]</f>
        <v>70.008900119513498</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8"/>
        <v>0</v>
      </c>
      <c r="X11" s="51">
        <f>Table3[[#This Row],[ball factor]]/$X$32*(1-$X$34)+$X$34</f>
        <v>0.2</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 t="shared" si="2"/>
        <v>-4</v>
      </c>
      <c r="AG11" s="13">
        <f>$AG$25*($AG$34*Table3[[#This Row],[offense]])</f>
        <v>0</v>
      </c>
      <c r="AH11" s="13">
        <f t="shared" si="3"/>
        <v>0</v>
      </c>
      <c r="AI11" s="13">
        <f t="shared" si="4"/>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5"/>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6"/>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v>
      </c>
      <c r="BV11" s="13">
        <f>$BV$25+Table3[[#This Row],[offense]]*$BV$28</f>
        <v>10.5</v>
      </c>
      <c r="BW11" s="13">
        <f>$BW$25*$BW$28/($BW$28+Table3[[#This Row],[hit quality remainder]])</f>
        <v>20</v>
      </c>
      <c r="BX11" s="108">
        <f>_xlfn.NORM.DIST(10,Table3[[#This Row],[adjusted launch angle]],Table3[[#This Row],[angle stdev]],TRUE)</f>
        <v>0.49002748180476197</v>
      </c>
      <c r="BY11" s="108">
        <f>1-_xlfn.NORM.DIST(50, Table3[[#This Row],[adjusted launch angle]],Table3[[#This Row],[angle stdev]],TRUE)</f>
        <v>2.4134074004724781E-2</v>
      </c>
      <c r="BZ11" s="108">
        <f t="shared" si="7"/>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102.38970759427541</v>
      </c>
      <c r="CF11" s="13">
        <f>Table3[[#This Row],[exit velocity mean]]+$CC$25-Table3[[#This Row],[reduction]]*100</f>
        <v>79.5</v>
      </c>
      <c r="CG11" s="13">
        <f>MIN(Table3[[#This Row],[adjusted launch angle]]+Table3[[#This Row],[angle stdev]], 30)</f>
        <v>30</v>
      </c>
      <c r="CH11" s="120">
        <f>2*Table3[[#This Row],[+1stdv EV]]*SIN(RADIANS(Table3[[#This Row],[+1stdv LA]]))/$CC$28*60*60</f>
        <v>3.5774999999999992</v>
      </c>
      <c r="CI11" s="158">
        <f>Table3[[#This Row],[+1stdv EV]]^2*2*SIN(RADIANS(Table3[[#This Row],[+1stdv LA]]))/$CC$28*5280-Table3[[#This Row],[+1stdv flight time]]^2*$CE$25</f>
        <v>212.36040000000006</v>
      </c>
      <c r="CJ11" s="158">
        <f>Table3[[#This Row],[+1stdev distance]]-Table3[[#This Row],[actual distance]]</f>
        <v>109.97069240572465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8"/>
        <v>0</v>
      </c>
      <c r="X12" s="52">
        <f>Table3[[#This Row],[ball factor]]/$X$32*(1-$X$34)+$X$34</f>
        <v>0.2</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 t="shared" si="2"/>
        <v>-4</v>
      </c>
      <c r="AG12" s="26">
        <f>$AG$25*($AG$34*Table3[[#This Row],[offense]])</f>
        <v>0</v>
      </c>
      <c r="AH12" s="26">
        <f t="shared" si="3"/>
        <v>0</v>
      </c>
      <c r="AI12" s="26">
        <f t="shared" si="4"/>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5"/>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6"/>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0.5</v>
      </c>
      <c r="BV12" s="26">
        <f>$BV$25+Table3[[#This Row],[offense]]*$BV$28</f>
        <v>12.5</v>
      </c>
      <c r="BW12" s="26">
        <f>$BW$25*$BW$28/($BW$28+Table3[[#This Row],[hit quality remainder]])</f>
        <v>20</v>
      </c>
      <c r="BX12" s="109">
        <f>_xlfn.NORM.DIST(10,Table3[[#This Row],[adjusted launch angle]],Table3[[#This Row],[angle stdev]],TRUE)</f>
        <v>0.45026177516988708</v>
      </c>
      <c r="BY12" s="109">
        <f>1-_xlfn.NORM.DIST(50, Table3[[#This Row],[adjusted launch angle]],Table3[[#This Row],[angle stdev]],TRUE)</f>
        <v>3.0396361765261393E-2</v>
      </c>
      <c r="BZ12" s="109">
        <f t="shared" si="7"/>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143.99215129474877</v>
      </c>
      <c r="CF12" s="26">
        <f>Table3[[#This Row],[exit velocity mean]]+$CC$25-Table3[[#This Row],[reduction]]*100</f>
        <v>87.5</v>
      </c>
      <c r="CG12" s="26">
        <f>MIN(Table3[[#This Row],[adjusted launch angle]]+Table3[[#This Row],[angle stdev]], 30)</f>
        <v>30</v>
      </c>
      <c r="CH12" s="121">
        <f>2*Table3[[#This Row],[+1stdv EV]]*SIN(RADIANS(Table3[[#This Row],[+1stdv LA]]))/$CC$28*60*60</f>
        <v>3.9374999999999991</v>
      </c>
      <c r="CI12" s="159">
        <f>Table3[[#This Row],[+1stdv EV]]^2*2*SIN(RADIANS(Table3[[#This Row],[+1stdv LA]]))/$CC$28*5280-Table3[[#This Row],[+1stdv flight time]]^2*$CE$25</f>
        <v>257.25000000000006</v>
      </c>
      <c r="CJ12" s="159">
        <f>Table3[[#This Row],[+1stdev distance]]-Table3[[#This Row],[actual distance]]</f>
        <v>113.25784870525129</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8"/>
        <v>0</v>
      </c>
      <c r="X13" s="51">
        <f>Table3[[#This Row],[ball factor]]/$X$32*(1-$X$34)+$X$34</f>
        <v>0.2</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 t="shared" si="2"/>
        <v>-4</v>
      </c>
      <c r="AG13" s="13">
        <f>$AG$25*($AG$34*Table3[[#This Row],[offense]])</f>
        <v>0</v>
      </c>
      <c r="AH13" s="13">
        <f t="shared" si="3"/>
        <v>0</v>
      </c>
      <c r="AI13" s="13">
        <f t="shared" si="4"/>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5"/>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6"/>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0.5</v>
      </c>
      <c r="BV13" s="13">
        <f>$BV$25+Table3[[#This Row],[offense]]*$BV$28</f>
        <v>15</v>
      </c>
      <c r="BW13" s="13">
        <f>$BW$25*$BW$28/($BW$28+Table3[[#This Row],[hit quality remainder]])</f>
        <v>20</v>
      </c>
      <c r="BX13" s="108">
        <f>_xlfn.NORM.DIST(10,Table3[[#This Row],[adjusted launch angle]],Table3[[#This Row],[angle stdev]],TRUE)</f>
        <v>0.4012936743170763</v>
      </c>
      <c r="BY13" s="108">
        <f>1-_xlfn.NORM.DIST(50, Table3[[#This Row],[adjusted launch angle]],Table3[[#This Row],[angle stdev]],TRUE)</f>
        <v>4.0059156863817114E-2</v>
      </c>
      <c r="BZ13" s="108">
        <f t="shared" si="7"/>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206.40873696199137</v>
      </c>
      <c r="CF13" s="13">
        <f>Table3[[#This Row],[exit velocity mean]]+$CC$25-Table3[[#This Row],[reduction]]*100</f>
        <v>97.5</v>
      </c>
      <c r="CG13" s="13">
        <f>MIN(Table3[[#This Row],[adjusted launch angle]]+Table3[[#This Row],[angle stdev]], 30)</f>
        <v>30</v>
      </c>
      <c r="CH13" s="120">
        <f>2*Table3[[#This Row],[+1stdv EV]]*SIN(RADIANS(Table3[[#This Row],[+1stdv LA]]))/$CC$28*60*60</f>
        <v>4.3874999999999993</v>
      </c>
      <c r="CI13" s="158">
        <f>Table3[[#This Row],[+1stdv EV]]^2*2*SIN(RADIANS(Table3[[#This Row],[+1stdv LA]]))/$CC$28*5280-Table3[[#This Row],[+1stdv flight time]]^2*$CE$25</f>
        <v>319.41000000000003</v>
      </c>
      <c r="CJ13" s="158">
        <f>Table3[[#This Row],[+1stdev distance]]-Table3[[#This Row],[actual distance]]</f>
        <v>113.00126303800866</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8"/>
        <v>0</v>
      </c>
      <c r="X14" s="53">
        <f>Table3[[#This Row],[ball factor]]/$X$32*(1-$X$34)+$X$34</f>
        <v>0.2</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 t="shared" si="2"/>
        <v>-4</v>
      </c>
      <c r="AG14" s="5">
        <f>$AG$25*($AG$34*Table3[[#This Row],[offense]])</f>
        <v>0</v>
      </c>
      <c r="AH14" s="5">
        <f t="shared" si="3"/>
        <v>0</v>
      </c>
      <c r="AI14" s="5">
        <f t="shared" si="4"/>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5"/>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6"/>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0.5</v>
      </c>
      <c r="BV14" s="5">
        <f>$BV$25+Table3[[#This Row],[offense]]*$BV$28</f>
        <v>20</v>
      </c>
      <c r="BW14" s="5">
        <f>$BW$25*$BW$28/($BW$28+Table3[[#This Row],[hit quality remainder]])</f>
        <v>20</v>
      </c>
      <c r="BX14" s="110">
        <f>_xlfn.NORM.DIST(10,Table3[[#This Row],[adjusted launch angle]],Table3[[#This Row],[angle stdev]],TRUE)</f>
        <v>0.30853753872598688</v>
      </c>
      <c r="BY14" s="110">
        <f>1-_xlfn.NORM.DIST(50, Table3[[#This Row],[adjusted launch angle]],Table3[[#This Row],[angle stdev]],TRUE)</f>
        <v>6.6807201268858085E-2</v>
      </c>
      <c r="BZ14" s="110">
        <f t="shared" si="7"/>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362.83469988048631</v>
      </c>
      <c r="CF14" s="5">
        <f>Table3[[#This Row],[exit velocity mean]]+$CC$25-Table3[[#This Row],[reduction]]*100</f>
        <v>117.5</v>
      </c>
      <c r="CG14" s="5">
        <f>MIN(Table3[[#This Row],[adjusted launch angle]]+Table3[[#This Row],[angle stdev]], 30)</f>
        <v>30</v>
      </c>
      <c r="CH14" s="122">
        <f>2*Table3[[#This Row],[+1stdv EV]]*SIN(RADIANS(Table3[[#This Row],[+1stdv LA]]))/$CC$28*60*60</f>
        <v>5.2874999999999988</v>
      </c>
      <c r="CI14" s="160">
        <f>Table3[[#This Row],[+1stdv EV]]^2*2*SIN(RADIANS(Table3[[#This Row],[+1stdv LA]]))/$CC$28*5280-Table3[[#This Row],[+1stdv flight time]]^2*$CE$25</f>
        <v>463.8900000000001</v>
      </c>
      <c r="CJ14" s="160">
        <f>Table3[[#This Row],[+1stdev distance]]-Table3[[#This Row],[actual distance]]</f>
        <v>101.05530011951379</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8"/>
        <v>0</v>
      </c>
      <c r="X15" s="54">
        <f>Table3[[#This Row],[ball factor]]/$X$32*(1-$X$34)+$X$34</f>
        <v>0.2</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 t="shared" si="2"/>
        <v>-4</v>
      </c>
      <c r="AG15" s="17">
        <f>$AG$25*($AG$34*Table3[[#This Row],[offense]])</f>
        <v>0</v>
      </c>
      <c r="AH15" s="17">
        <f t="shared" si="3"/>
        <v>0</v>
      </c>
      <c r="AI15" s="17">
        <f t="shared" si="4"/>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5"/>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6"/>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0.5</v>
      </c>
      <c r="BV15" s="17">
        <f>$BV$25+Table3[[#This Row],[offense]]*$BV$28</f>
        <v>10.5</v>
      </c>
      <c r="BW15" s="17">
        <f>$BW$25*$BW$28/($BW$28+Table3[[#This Row],[hit quality remainder]])</f>
        <v>20</v>
      </c>
      <c r="BX15" s="111">
        <f>_xlfn.NORM.DIST(10,Table3[[#This Row],[adjusted launch angle]],Table3[[#This Row],[angle stdev]],TRUE)</f>
        <v>0.49002748180476197</v>
      </c>
      <c r="BY15" s="111">
        <f>1-_xlfn.NORM.DIST(50, Table3[[#This Row],[adjusted launch angle]],Table3[[#This Row],[angle stdev]],TRUE)</f>
        <v>2.4134074004724781E-2</v>
      </c>
      <c r="BZ15" s="111">
        <f t="shared" si="7"/>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102.38970759427541</v>
      </c>
      <c r="CF15" s="17">
        <f>Table3[[#This Row],[exit velocity mean]]+$CC$25-Table3[[#This Row],[reduction]]*100</f>
        <v>84.5</v>
      </c>
      <c r="CG15" s="17">
        <f>MIN(Table3[[#This Row],[adjusted launch angle]]+Table3[[#This Row],[angle stdev]], 30)</f>
        <v>30</v>
      </c>
      <c r="CH15" s="123">
        <f>2*Table3[[#This Row],[+1stdv EV]]*SIN(RADIANS(Table3[[#This Row],[+1stdv LA]]))/$CC$28*60*60</f>
        <v>3.8024999999999993</v>
      </c>
      <c r="CI15" s="161">
        <f>Table3[[#This Row],[+1stdv EV]]^2*2*SIN(RADIANS(Table3[[#This Row],[+1stdv LA]]))/$CC$28*5280-Table3[[#This Row],[+1stdv flight time]]^2*$CE$25</f>
        <v>239.91240000000005</v>
      </c>
      <c r="CJ15" s="161">
        <f>Table3[[#This Row],[+1stdev distance]]-Table3[[#This Row],[actual distance]]</f>
        <v>137.52269240572463</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8"/>
        <v>0</v>
      </c>
      <c r="X16" s="55">
        <f>Table3[[#This Row],[ball factor]]/$X$32*(1-$X$34)+$X$34</f>
        <v>0.2</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 t="shared" si="2"/>
        <v>-4</v>
      </c>
      <c r="AG16" s="6">
        <f>$AG$25*($AG$34*Table3[[#This Row],[offense]])</f>
        <v>0</v>
      </c>
      <c r="AH16" s="6">
        <f t="shared" si="3"/>
        <v>0</v>
      </c>
      <c r="AI16" s="6">
        <f t="shared" si="4"/>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5"/>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6"/>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0.5</v>
      </c>
      <c r="BV16" s="6">
        <f>$BV$25+Table3[[#This Row],[offense]]*$BV$28</f>
        <v>12.5</v>
      </c>
      <c r="BW16" s="6">
        <f>$BW$25*$BW$28/($BW$28+Table3[[#This Row],[hit quality remainder]])</f>
        <v>20</v>
      </c>
      <c r="BX16" s="112">
        <f>_xlfn.NORM.DIST(10,Table3[[#This Row],[adjusted launch angle]],Table3[[#This Row],[angle stdev]],TRUE)</f>
        <v>0.45026177516988708</v>
      </c>
      <c r="BY16" s="112">
        <f>1-_xlfn.NORM.DIST(50, Table3[[#This Row],[adjusted launch angle]],Table3[[#This Row],[angle stdev]],TRUE)</f>
        <v>3.0396361765261393E-2</v>
      </c>
      <c r="BZ16" s="112">
        <f t="shared" si="7"/>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143.99215129474877</v>
      </c>
      <c r="CF16" s="6">
        <f>Table3[[#This Row],[exit velocity mean]]+$CC$25-Table3[[#This Row],[reduction]]*100</f>
        <v>92.5</v>
      </c>
      <c r="CG16" s="6">
        <f>MIN(Table3[[#This Row],[adjusted launch angle]]+Table3[[#This Row],[angle stdev]], 30)</f>
        <v>30</v>
      </c>
      <c r="CH16" s="124">
        <f>2*Table3[[#This Row],[+1stdv EV]]*SIN(RADIANS(Table3[[#This Row],[+1stdv LA]]))/$CC$28*60*60</f>
        <v>4.1624999999999988</v>
      </c>
      <c r="CI16" s="162">
        <f>Table3[[#This Row],[+1stdv EV]]^2*2*SIN(RADIANS(Table3[[#This Row],[+1stdv LA]]))/$CC$28*5280-Table3[[#This Row],[+1stdv flight time]]^2*$CE$25</f>
        <v>287.49</v>
      </c>
      <c r="CJ16" s="162">
        <f>Table3[[#This Row],[+1stdev distance]]-Table3[[#This Row],[actual distance]]</f>
        <v>143.49784870525124</v>
      </c>
    </row>
    <row r="17" spans="1:88"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8"/>
        <v>0</v>
      </c>
      <c r="X17" s="56">
        <f>Table3[[#This Row],[ball factor]]/$X$32*(1-$X$34)+$X$34</f>
        <v>0.2</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 t="shared" si="2"/>
        <v>-4</v>
      </c>
      <c r="AG17" s="23">
        <f>$AG$25*($AG$34*Table3[[#This Row],[offense]])</f>
        <v>0</v>
      </c>
      <c r="AH17" s="23">
        <f t="shared" si="3"/>
        <v>0</v>
      </c>
      <c r="AI17" s="23">
        <f t="shared" si="4"/>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5"/>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6"/>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0.5</v>
      </c>
      <c r="BV17" s="23">
        <f>$BV$25+Table3[[#This Row],[offense]]*$BV$28</f>
        <v>15</v>
      </c>
      <c r="BW17" s="23">
        <f>$BW$25*$BW$28/($BW$28+Table3[[#This Row],[hit quality remainder]])</f>
        <v>20</v>
      </c>
      <c r="BX17" s="113">
        <f>_xlfn.NORM.DIST(10,Table3[[#This Row],[adjusted launch angle]],Table3[[#This Row],[angle stdev]],TRUE)</f>
        <v>0.4012936743170763</v>
      </c>
      <c r="BY17" s="113">
        <f>1-_xlfn.NORM.DIST(50, Table3[[#This Row],[adjusted launch angle]],Table3[[#This Row],[angle stdev]],TRUE)</f>
        <v>4.0059156863817114E-2</v>
      </c>
      <c r="BZ17" s="113">
        <f t="shared" si="7"/>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206.40873696199137</v>
      </c>
      <c r="CF17" s="23">
        <f>Table3[[#This Row],[exit velocity mean]]+$CC$25-Table3[[#This Row],[reduction]]*100</f>
        <v>102.5</v>
      </c>
      <c r="CG17" s="23">
        <f>MIN(Table3[[#This Row],[adjusted launch angle]]+Table3[[#This Row],[angle stdev]], 30)</f>
        <v>30</v>
      </c>
      <c r="CH17" s="125">
        <f>2*Table3[[#This Row],[+1stdv EV]]*SIN(RADIANS(Table3[[#This Row],[+1stdv LA]]))/$CC$28*60*60</f>
        <v>4.6124999999999989</v>
      </c>
      <c r="CI17" s="163">
        <f>Table3[[#This Row],[+1stdv EV]]^2*2*SIN(RADIANS(Table3[[#This Row],[+1stdv LA]]))/$CC$28*5280-Table3[[#This Row],[+1stdv flight time]]^2*$CE$25</f>
        <v>353.01000000000005</v>
      </c>
      <c r="CJ17" s="163">
        <f>Table3[[#This Row],[+1stdev distance]]-Table3[[#This Row],[actual distance]]</f>
        <v>146.60126303800868</v>
      </c>
    </row>
    <row r="18" spans="1:88"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8"/>
        <v>0</v>
      </c>
      <c r="X18" s="55">
        <f>Table3[[#This Row],[ball factor]]/$X$32*(1-$X$34)+$X$34</f>
        <v>0.2</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 t="shared" si="2"/>
        <v>-4</v>
      </c>
      <c r="AG18" s="6">
        <f>$AG$25*($AG$34*Table3[[#This Row],[offense]])</f>
        <v>0</v>
      </c>
      <c r="AH18" s="6">
        <f t="shared" si="3"/>
        <v>0</v>
      </c>
      <c r="AI18" s="6">
        <f t="shared" si="4"/>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5"/>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6"/>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0.5</v>
      </c>
      <c r="BV18" s="6">
        <f>$BV$25+Table3[[#This Row],[offense]]*$BV$28</f>
        <v>20</v>
      </c>
      <c r="BW18" s="6">
        <f>$BW$25*$BW$28/($BW$28+Table3[[#This Row],[hit quality remainder]])</f>
        <v>20</v>
      </c>
      <c r="BX18" s="112">
        <f>_xlfn.NORM.DIST(10,Table3[[#This Row],[adjusted launch angle]],Table3[[#This Row],[angle stdev]],TRUE)</f>
        <v>0.30853753872598688</v>
      </c>
      <c r="BY18" s="112">
        <f>1-_xlfn.NORM.DIST(50, Table3[[#This Row],[adjusted launch angle]],Table3[[#This Row],[angle stdev]],TRUE)</f>
        <v>6.6807201268858085E-2</v>
      </c>
      <c r="BZ18" s="112">
        <f t="shared" si="7"/>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362.83469988048631</v>
      </c>
      <c r="CF18" s="6">
        <f>Table3[[#This Row],[exit velocity mean]]+$CC$25-Table3[[#This Row],[reduction]]*100</f>
        <v>122.5</v>
      </c>
      <c r="CG18" s="6">
        <f>MIN(Table3[[#This Row],[adjusted launch angle]]+Table3[[#This Row],[angle stdev]], 30)</f>
        <v>30</v>
      </c>
      <c r="CH18" s="124">
        <f>2*Table3[[#This Row],[+1stdv EV]]*SIN(RADIANS(Table3[[#This Row],[+1stdv LA]]))/$CC$28*60*60</f>
        <v>5.5124999999999993</v>
      </c>
      <c r="CI18" s="162">
        <f>Table3[[#This Row],[+1stdv EV]]^2*2*SIN(RADIANS(Table3[[#This Row],[+1stdv LA]]))/$CC$28*5280-Table3[[#This Row],[+1stdv flight time]]^2*$CE$25</f>
        <v>504.21000000000004</v>
      </c>
      <c r="CJ18" s="162">
        <f>Table3[[#This Row],[+1stdev distance]]-Table3[[#This Row],[actual distance]]</f>
        <v>141.37530011951372</v>
      </c>
    </row>
    <row r="19" spans="1:88"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8"/>
        <v>0</v>
      </c>
      <c r="X19" s="57">
        <f>Table3[[#This Row],[ball factor]]/$X$32*(1-$X$34)+$X$34</f>
        <v>0.2</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 t="shared" si="2"/>
        <v>-4</v>
      </c>
      <c r="AG19" s="15">
        <f>$AG$25*($AG$34*Table3[[#This Row],[offense]])</f>
        <v>0</v>
      </c>
      <c r="AH19" s="15">
        <f t="shared" si="3"/>
        <v>0</v>
      </c>
      <c r="AI19" s="15">
        <f t="shared" si="4"/>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5"/>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6"/>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0.5</v>
      </c>
      <c r="BV19" s="15">
        <f>$BV$25+Table3[[#This Row],[offense]]*$BV$28</f>
        <v>10.5</v>
      </c>
      <c r="BW19" s="15">
        <f>$BW$25*$BW$28/($BW$28+Table3[[#This Row],[hit quality remainder]])</f>
        <v>20</v>
      </c>
      <c r="BX19" s="114">
        <f>_xlfn.NORM.DIST(10,Table3[[#This Row],[adjusted launch angle]],Table3[[#This Row],[angle stdev]],TRUE)</f>
        <v>0.49002748180476197</v>
      </c>
      <c r="BY19" s="114">
        <f>1-_xlfn.NORM.DIST(50, Table3[[#This Row],[adjusted launch angle]],Table3[[#This Row],[angle stdev]],TRUE)</f>
        <v>2.4134074004724781E-2</v>
      </c>
      <c r="BZ19" s="114">
        <f t="shared" si="7"/>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102.38970759427541</v>
      </c>
      <c r="CF19" s="15">
        <f>Table3[[#This Row],[exit velocity mean]]+$CC$25-Table3[[#This Row],[reduction]]*100</f>
        <v>84.5</v>
      </c>
      <c r="CG19" s="15">
        <f>MIN(Table3[[#This Row],[adjusted launch angle]]+Table3[[#This Row],[angle stdev]], 30)</f>
        <v>30</v>
      </c>
      <c r="CH19" s="126">
        <f>2*Table3[[#This Row],[+1stdv EV]]*SIN(RADIANS(Table3[[#This Row],[+1stdv LA]]))/$CC$28*60*60</f>
        <v>3.8024999999999993</v>
      </c>
      <c r="CI19" s="164">
        <f>Table3[[#This Row],[+1stdv EV]]^2*2*SIN(RADIANS(Table3[[#This Row],[+1stdv LA]]))/$CC$28*5280-Table3[[#This Row],[+1stdv flight time]]^2*$CE$25</f>
        <v>239.91240000000005</v>
      </c>
      <c r="CJ19" s="164">
        <f>Table3[[#This Row],[+1stdev distance]]-Table3[[#This Row],[actual distance]]</f>
        <v>137.52269240572463</v>
      </c>
    </row>
    <row r="20" spans="1:88"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8"/>
        <v>0</v>
      </c>
      <c r="X20" s="58">
        <f>Table3[[#This Row],[ball factor]]/$X$32*(1-$X$34)+$X$34</f>
        <v>0.2</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 t="shared" si="2"/>
        <v>-4</v>
      </c>
      <c r="AG20" s="11">
        <f>$AG$25*($AG$34*Table3[[#This Row],[offense]])</f>
        <v>0</v>
      </c>
      <c r="AH20" s="11">
        <f t="shared" si="3"/>
        <v>0</v>
      </c>
      <c r="AI20" s="11">
        <f t="shared" si="4"/>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5"/>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6"/>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0.5</v>
      </c>
      <c r="BV20" s="11">
        <f>$BV$25+Table3[[#This Row],[offense]]*$BV$28</f>
        <v>12.5</v>
      </c>
      <c r="BW20" s="11">
        <f>$BW$25*$BW$28/($BW$28+Table3[[#This Row],[hit quality remainder]])</f>
        <v>20</v>
      </c>
      <c r="BX20" s="115">
        <f>_xlfn.NORM.DIST(10,Table3[[#This Row],[adjusted launch angle]],Table3[[#This Row],[angle stdev]],TRUE)</f>
        <v>0.45026177516988708</v>
      </c>
      <c r="BY20" s="115">
        <f>1-_xlfn.NORM.DIST(50, Table3[[#This Row],[adjusted launch angle]],Table3[[#This Row],[angle stdev]],TRUE)</f>
        <v>3.0396361765261393E-2</v>
      </c>
      <c r="BZ20" s="115">
        <f t="shared" si="7"/>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143.99215129474877</v>
      </c>
      <c r="CF20" s="11">
        <f>Table3[[#This Row],[exit velocity mean]]+$CC$25-Table3[[#This Row],[reduction]]*100</f>
        <v>92.5</v>
      </c>
      <c r="CG20" s="11">
        <f>MIN(Table3[[#This Row],[adjusted launch angle]]+Table3[[#This Row],[angle stdev]], 30)</f>
        <v>30</v>
      </c>
      <c r="CH20" s="127">
        <f>2*Table3[[#This Row],[+1stdv EV]]*SIN(RADIANS(Table3[[#This Row],[+1stdv LA]]))/$CC$28*60*60</f>
        <v>4.1624999999999988</v>
      </c>
      <c r="CI20" s="165">
        <f>Table3[[#This Row],[+1stdv EV]]^2*2*SIN(RADIANS(Table3[[#This Row],[+1stdv LA]]))/$CC$28*5280-Table3[[#This Row],[+1stdv flight time]]^2*$CE$25</f>
        <v>287.49</v>
      </c>
      <c r="CJ20" s="165">
        <f>Table3[[#This Row],[+1stdev distance]]-Table3[[#This Row],[actual distance]]</f>
        <v>143.49784870525124</v>
      </c>
    </row>
    <row r="21" spans="1:88"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8"/>
        <v>0</v>
      </c>
      <c r="X21" s="57">
        <f>Table3[[#This Row],[ball factor]]/$X$32*(1-$X$34)+$X$34</f>
        <v>0.2</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 t="shared" si="2"/>
        <v>-4</v>
      </c>
      <c r="AG21" s="15">
        <f>$AG$25*($AG$34*Table3[[#This Row],[offense]])</f>
        <v>0</v>
      </c>
      <c r="AH21" s="15">
        <f t="shared" si="3"/>
        <v>0</v>
      </c>
      <c r="AI21" s="15">
        <f t="shared" si="4"/>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5"/>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6"/>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0.5</v>
      </c>
      <c r="BV21" s="15">
        <f>$BV$25+Table3[[#This Row],[offense]]*$BV$28</f>
        <v>15</v>
      </c>
      <c r="BW21" s="15">
        <f>$BW$25*$BW$28/($BW$28+Table3[[#This Row],[hit quality remainder]])</f>
        <v>20</v>
      </c>
      <c r="BX21" s="114">
        <f>_xlfn.NORM.DIST(10,Table3[[#This Row],[adjusted launch angle]],Table3[[#This Row],[angle stdev]],TRUE)</f>
        <v>0.4012936743170763</v>
      </c>
      <c r="BY21" s="114">
        <f>1-_xlfn.NORM.DIST(50, Table3[[#This Row],[adjusted launch angle]],Table3[[#This Row],[angle stdev]],TRUE)</f>
        <v>4.0059156863817114E-2</v>
      </c>
      <c r="BZ21" s="114">
        <f t="shared" si="7"/>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206.40873696199137</v>
      </c>
      <c r="CF21" s="15">
        <f>Table3[[#This Row],[exit velocity mean]]+$CC$25-Table3[[#This Row],[reduction]]*100</f>
        <v>102.5</v>
      </c>
      <c r="CG21" s="15">
        <f>MIN(Table3[[#This Row],[adjusted launch angle]]+Table3[[#This Row],[angle stdev]], 30)</f>
        <v>30</v>
      </c>
      <c r="CH21" s="126">
        <f>2*Table3[[#This Row],[+1stdv EV]]*SIN(RADIANS(Table3[[#This Row],[+1stdv LA]]))/$CC$28*60*60</f>
        <v>4.6124999999999989</v>
      </c>
      <c r="CI21" s="164">
        <f>Table3[[#This Row],[+1stdv EV]]^2*2*SIN(RADIANS(Table3[[#This Row],[+1stdv LA]]))/$CC$28*5280-Table3[[#This Row],[+1stdv flight time]]^2*$CE$25</f>
        <v>353.01000000000005</v>
      </c>
      <c r="CJ21" s="164">
        <f>Table3[[#This Row],[+1stdev distance]]-Table3[[#This Row],[actual distance]]</f>
        <v>146.60126303800868</v>
      </c>
    </row>
    <row r="22" spans="1:88"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8"/>
        <v>0</v>
      </c>
      <c r="X22" s="59">
        <f>Table3[[#This Row],[ball factor]]/$X$32*(1-$X$34)+$X$34</f>
        <v>0.2</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 t="shared" si="2"/>
        <v>-4</v>
      </c>
      <c r="AG22" s="20">
        <f>$AG$25*($AG$34*Table3[[#This Row],[offense]])</f>
        <v>0</v>
      </c>
      <c r="AH22" s="20">
        <f t="shared" si="3"/>
        <v>0</v>
      </c>
      <c r="AI22" s="20">
        <f t="shared" si="4"/>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5"/>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6"/>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0.5</v>
      </c>
      <c r="BV22" s="20">
        <f>$BV$25+Table3[[#This Row],[offense]]*$BV$28</f>
        <v>20</v>
      </c>
      <c r="BW22" s="20">
        <f>$BW$25*$BW$28/($BW$28+Table3[[#This Row],[hit quality remainder]])</f>
        <v>20</v>
      </c>
      <c r="BX22" s="116">
        <f>_xlfn.NORM.DIST(10,Table3[[#This Row],[adjusted launch angle]],Table3[[#This Row],[angle stdev]],TRUE)</f>
        <v>0.30853753872598688</v>
      </c>
      <c r="BY22" s="116">
        <f>1-_xlfn.NORM.DIST(50, Table3[[#This Row],[adjusted launch angle]],Table3[[#This Row],[angle stdev]],TRUE)</f>
        <v>6.6807201268858085E-2</v>
      </c>
      <c r="BZ22" s="116">
        <f t="shared" si="7"/>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362.83469988048631</v>
      </c>
      <c r="CF22" s="20">
        <f>Table3[[#This Row],[exit velocity mean]]+$CC$25-Table3[[#This Row],[reduction]]*100</f>
        <v>122.5</v>
      </c>
      <c r="CG22" s="20">
        <f>MIN(Table3[[#This Row],[adjusted launch angle]]+Table3[[#This Row],[angle stdev]], 30)</f>
        <v>30</v>
      </c>
      <c r="CH22" s="128">
        <f>2*Table3[[#This Row],[+1stdv EV]]*SIN(RADIANS(Table3[[#This Row],[+1stdv LA]]))/$CC$28*60*60</f>
        <v>5.5124999999999993</v>
      </c>
      <c r="CI22" s="166">
        <f>Table3[[#This Row],[+1stdv EV]]^2*2*SIN(RADIANS(Table3[[#This Row],[+1stdv LA]]))/$CC$28*5280-Table3[[#This Row],[+1stdv flight time]]^2*$CE$25</f>
        <v>504.21000000000004</v>
      </c>
      <c r="CJ22" s="166">
        <f>Table3[[#This Row],[+1stdev distance]]-Table3[[#This Row],[actual distance]]</f>
        <v>141.37530011951372</v>
      </c>
    </row>
    <row r="23" spans="1:88" x14ac:dyDescent="0.25">
      <c r="AW23" s="154"/>
      <c r="BK23" s="73"/>
      <c r="BL23" s="73"/>
    </row>
    <row r="24" spans="1:88" x14ac:dyDescent="0.25">
      <c r="Y24" s="63" t="s">
        <v>141</v>
      </c>
      <c r="Z24" s="64"/>
      <c r="AA24" s="65"/>
      <c r="AB24" t="s">
        <v>160</v>
      </c>
      <c r="AF24" s="63" t="s">
        <v>169</v>
      </c>
      <c r="AG24" s="104" t="s">
        <v>178</v>
      </c>
      <c r="AH24" s="64"/>
      <c r="AI24" s="64"/>
      <c r="AJ24" s="65"/>
      <c r="AL24" t="s">
        <v>187</v>
      </c>
      <c r="AN24" t="s">
        <v>196</v>
      </c>
      <c r="AU24" t="s">
        <v>204</v>
      </c>
      <c r="AX24" t="s">
        <v>220</v>
      </c>
      <c r="BA24" t="s">
        <v>248</v>
      </c>
      <c r="BB24" t="s">
        <v>199</v>
      </c>
      <c r="BP24" t="s">
        <v>271</v>
      </c>
      <c r="BV24" t="s">
        <v>278</v>
      </c>
      <c r="BW24" t="s">
        <v>277</v>
      </c>
      <c r="BZ24" t="s">
        <v>285</v>
      </c>
      <c r="CA24" t="s">
        <v>289</v>
      </c>
      <c r="CC24" t="s">
        <v>291</v>
      </c>
      <c r="CE24" t="s">
        <v>295</v>
      </c>
    </row>
    <row r="25" spans="1:88"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16</v>
      </c>
    </row>
    <row r="26" spans="1:88" x14ac:dyDescent="0.25">
      <c r="D26">
        <v>0.1</v>
      </c>
      <c r="E26">
        <v>0.1</v>
      </c>
      <c r="G26">
        <v>0.1</v>
      </c>
      <c r="H26">
        <v>2.5000000000000001E-3</v>
      </c>
      <c r="K26">
        <v>0.2</v>
      </c>
      <c r="L26">
        <v>0.01</v>
      </c>
      <c r="O26" t="s">
        <v>87</v>
      </c>
      <c r="P26">
        <v>-3</v>
      </c>
      <c r="T26">
        <v>0.2</v>
      </c>
      <c r="W26">
        <v>3</v>
      </c>
      <c r="X26">
        <v>0.5</v>
      </c>
      <c r="Y26" s="68"/>
      <c r="Z26" s="69" t="s">
        <v>139</v>
      </c>
      <c r="AA26" s="70" t="s">
        <v>99</v>
      </c>
      <c r="AB26" t="s">
        <v>161</v>
      </c>
      <c r="AF26" s="60" t="s">
        <v>131</v>
      </c>
      <c r="AG26" s="60" t="s">
        <v>172</v>
      </c>
      <c r="AH26" s="60" t="s">
        <v>176</v>
      </c>
      <c r="AI26" s="60" t="s">
        <v>181</v>
      </c>
      <c r="AJ26" s="60" t="s">
        <v>183</v>
      </c>
      <c r="AL26" t="s">
        <v>190</v>
      </c>
      <c r="AN26" t="s">
        <v>197</v>
      </c>
      <c r="AU26" t="s">
        <v>205</v>
      </c>
      <c r="AX26" t="s">
        <v>263</v>
      </c>
      <c r="BP26" t="s">
        <v>267</v>
      </c>
      <c r="CA26" t="s">
        <v>288</v>
      </c>
    </row>
    <row r="27" spans="1:88"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276</v>
      </c>
      <c r="BV27" t="s">
        <v>246</v>
      </c>
      <c r="BW27" t="s">
        <v>281</v>
      </c>
      <c r="BZ27" t="s">
        <v>274</v>
      </c>
      <c r="CA27">
        <v>110</v>
      </c>
      <c r="CC27" t="s">
        <v>293</v>
      </c>
      <c r="CE27">
        <f>CE10/CE9</f>
        <v>1.7578456475284747</v>
      </c>
    </row>
    <row r="28" spans="1:88" x14ac:dyDescent="0.25">
      <c r="K28">
        <v>0.9</v>
      </c>
      <c r="W28">
        <v>0</v>
      </c>
      <c r="Y28" s="71" t="s">
        <v>148</v>
      </c>
      <c r="Z28" s="32">
        <v>-0.2</v>
      </c>
      <c r="AA28" s="67">
        <f>Z28</f>
        <v>-0.2</v>
      </c>
      <c r="AF28" s="61" t="s">
        <v>132</v>
      </c>
      <c r="AG28" s="61" t="s">
        <v>171</v>
      </c>
      <c r="AH28" s="61" t="s">
        <v>177</v>
      </c>
      <c r="AI28" s="61"/>
      <c r="AJ28" s="61"/>
      <c r="AL28" t="s">
        <v>189</v>
      </c>
      <c r="AM28" t="s">
        <v>189</v>
      </c>
      <c r="AU28" t="s">
        <v>222</v>
      </c>
      <c r="BB28" t="s">
        <v>136</v>
      </c>
      <c r="BU28">
        <v>1.5</v>
      </c>
      <c r="BV28">
        <v>5</v>
      </c>
      <c r="BW28">
        <v>0.5</v>
      </c>
      <c r="BZ28">
        <f>0.6*90</f>
        <v>54</v>
      </c>
      <c r="CC28">
        <v>80000</v>
      </c>
    </row>
    <row r="29" spans="1:88" x14ac:dyDescent="0.25">
      <c r="W29" t="s">
        <v>130</v>
      </c>
      <c r="Y29" s="71" t="s">
        <v>145</v>
      </c>
      <c r="Z29" s="32">
        <v>-0.4</v>
      </c>
      <c r="AA29" s="67">
        <f>IF(ISBLANK(AA26),0,Z29)</f>
        <v>-0.4</v>
      </c>
      <c r="AF29" s="61">
        <v>0</v>
      </c>
      <c r="AG29" s="61">
        <v>1</v>
      </c>
      <c r="AH29" s="61">
        <f>-POWER(AH27,1.5)/2</f>
        <v>0</v>
      </c>
      <c r="AI29" s="61"/>
      <c r="AJ29" s="61"/>
      <c r="AL29">
        <v>20</v>
      </c>
      <c r="AM29">
        <v>20</v>
      </c>
      <c r="AU29">
        <v>5</v>
      </c>
      <c r="AX29" t="s">
        <v>246</v>
      </c>
      <c r="BB29">
        <v>1</v>
      </c>
      <c r="BP29" t="s">
        <v>265</v>
      </c>
    </row>
    <row r="30" spans="1:88"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88" x14ac:dyDescent="0.25">
      <c r="W31" t="s">
        <v>133</v>
      </c>
      <c r="X31" t="s">
        <v>142</v>
      </c>
      <c r="Y31" s="71" t="s">
        <v>147</v>
      </c>
      <c r="Z31" s="32">
        <v>0.8</v>
      </c>
      <c r="AA31" s="67">
        <f>IF(ISBLANK(Y26),0,Z31)</f>
        <v>0</v>
      </c>
      <c r="AF31" s="61">
        <v>-0.2</v>
      </c>
      <c r="AG31" s="61"/>
      <c r="AH31" s="61" t="b">
        <v>0</v>
      </c>
      <c r="AI31" s="61"/>
      <c r="AJ31" s="61"/>
      <c r="AL31" t="s">
        <v>191</v>
      </c>
      <c r="AU31" t="s">
        <v>206</v>
      </c>
    </row>
    <row r="32" spans="1:88" x14ac:dyDescent="0.25">
      <c r="W32">
        <f>MAX(0, ((W26+X26)/(3+X26))-(W28/2))</f>
        <v>1</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81"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L6" sqref="L6"/>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-0.2</v>
      </c>
      <c r="N4" s="32" t="s">
        <v>81</v>
      </c>
      <c r="O4" s="39">
        <v>2</v>
      </c>
      <c r="P4" s="32"/>
      <c r="Q4" s="32"/>
      <c r="R4" s="32"/>
      <c r="S4" s="33"/>
    </row>
    <row r="5" spans="3:19" x14ac:dyDescent="0.25">
      <c r="C5" s="31" t="s">
        <v>92</v>
      </c>
      <c r="D5" s="39">
        <v>0.3</v>
      </c>
      <c r="E5" s="32">
        <f>_xlfn.NORM.S.INV(D5)</f>
        <v>-0.52440051270804089</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0.53982783727702899</v>
      </c>
      <c r="M6" s="44">
        <f t="shared" si="0"/>
        <v>0.5596176923702425</v>
      </c>
      <c r="N6" s="44">
        <f t="shared" si="0"/>
        <v>0.58901036286872965</v>
      </c>
      <c r="O6" s="44">
        <f t="shared" si="0"/>
        <v>0.6368306511756191</v>
      </c>
      <c r="P6" s="44">
        <f t="shared" si="0"/>
        <v>0.69146246127401312</v>
      </c>
      <c r="Q6" s="44">
        <f t="shared" si="0"/>
        <v>0.72574688224992645</v>
      </c>
      <c r="R6" s="44">
        <f t="shared" si="0"/>
        <v>0.80233745687730762</v>
      </c>
      <c r="S6" s="45">
        <f t="shared" si="0"/>
        <v>0.86433393905361733</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0.33982783727702898</v>
      </c>
      <c r="M8" s="46" t="str">
        <f>IF(ISBLANK(M7), "", M6-M7)</f>
        <v/>
      </c>
      <c r="N8" s="46" t="str">
        <f t="shared" ref="N8:S8" si="1">IF(ISBLANK(N7), "", N6-N7)</f>
        <v/>
      </c>
      <c r="O8" s="46" t="str">
        <f t="shared" si="1"/>
        <v/>
      </c>
      <c r="P8" s="46" t="str">
        <f t="shared" si="1"/>
        <v/>
      </c>
      <c r="Q8" s="46">
        <f t="shared" si="1"/>
        <v>0.17574688224992641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D1" workbookViewId="0">
      <selection activeCell="Z25" sqref="Z2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iterative</vt:lpstr>
      <vt:lpstr>gauss cruncher</vt:lpstr>
      <vt:lpstr>run speed</vt:lpstr>
      <vt:lpstr>pitch outcomes</vt:lpstr>
      <vt:lpstr>hit quality truth table</vt:lpstr>
      <vt:lpstr>dratings</vt:lpstr>
      <vt:lpstr>home</vt:lpstr>
      <vt:lpstr>oratings</vt:lpstr>
      <vt:lpstr>pitchmod</vt:lpstr>
      <vt:lpstr>pitchstdv</vt:lpstr>
      <vt:lpstr>stratfactor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2022-03-31T07:32:25Z</dcterms:modified>
</cp:coreProperties>
</file>