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cgiffenk\Desktop\newpy\xtreemblaseball99\plans\"/>
    </mc:Choice>
  </mc:AlternateContent>
  <xr:revisionPtr revIDLastSave="0" documentId="13_ncr:1_{304D5927-64A9-4B4E-9984-8600057850EE}" xr6:coauthVersionLast="47" xr6:coauthVersionMax="47" xr10:uidLastSave="{00000000-0000-0000-0000-000000000000}"/>
  <bookViews>
    <workbookView xWindow="-120" yWindow="-120" windowWidth="29040" windowHeight="15990" xr2:uid="{00000000-000D-0000-FFFF-FFFF00000000}"/>
  </bookViews>
  <sheets>
    <sheet name="iterative" sheetId="2" r:id="rId1"/>
    <sheet name="gauss cruncher" sheetId="5" r:id="rId2"/>
    <sheet name="run speed" sheetId="3" r:id="rId3"/>
    <sheet name="pitch outcomes" sheetId="1" r:id="rId4"/>
    <sheet name="hit quality truth table" sheetId="6" r:id="rId5"/>
  </sheets>
  <definedNames>
    <definedName name="basis">#REF!</definedName>
    <definedName name="bs">#REF!</definedName>
    <definedName name="counts">#REF!</definedName>
    <definedName name="dratings">iterative!$B$2:$L$2</definedName>
    <definedName name="factors">#REF!</definedName>
    <definedName name="home">Table3[[#Headers],[Rep '#]]</definedName>
    <definedName name="ms">#REF!</definedName>
    <definedName name="oratings">iterative!$B$1:$L$1</definedName>
    <definedName name="pitchmod">iterative!$AN$25</definedName>
    <definedName name="pitchstdv">iterative!$AN$27</definedName>
    <definedName name="stratfactor">iterative!$E$26</definedName>
    <definedName name="total">#REF!</definedName>
    <definedName name="values">#REF!</definedName>
    <definedName name="weightedvalues">#REF!</definedName>
    <definedName name="weights">#REF!</definedName>
    <definedName name="zeros">#REF!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Z18" i="2" l="1"/>
  <c r="BZ22" i="2"/>
  <c r="BZ28" i="2"/>
  <c r="BZ7" i="2" s="1"/>
  <c r="Q7" i="5"/>
  <c r="BI7" i="2"/>
  <c r="BI8" i="2"/>
  <c r="BI9" i="2"/>
  <c r="BI10" i="2"/>
  <c r="BI11" i="2"/>
  <c r="BI12" i="2"/>
  <c r="BI13" i="2"/>
  <c r="BI14" i="2"/>
  <c r="BI15" i="2"/>
  <c r="BI16" i="2"/>
  <c r="BI17" i="2"/>
  <c r="BI18" i="2"/>
  <c r="BI19" i="2"/>
  <c r="BI20" i="2"/>
  <c r="BI21" i="2"/>
  <c r="BI22" i="2"/>
  <c r="BB7" i="2"/>
  <c r="BB8" i="2"/>
  <c r="BB9" i="2"/>
  <c r="BB10" i="2"/>
  <c r="BB11" i="2"/>
  <c r="BB12" i="2"/>
  <c r="BB13" i="2"/>
  <c r="BB14" i="2"/>
  <c r="BB15" i="2"/>
  <c r="BB16" i="2"/>
  <c r="BB17" i="2"/>
  <c r="BB18" i="2"/>
  <c r="BB19" i="2"/>
  <c r="BB20" i="2"/>
  <c r="BB21" i="2"/>
  <c r="BB22" i="2"/>
  <c r="AU30" i="2"/>
  <c r="AU27" i="2"/>
  <c r="BZ14" i="2" l="1"/>
  <c r="BZ10" i="2"/>
  <c r="BZ21" i="2"/>
  <c r="BZ17" i="2"/>
  <c r="BZ13" i="2"/>
  <c r="BZ9" i="2"/>
  <c r="BZ20" i="2"/>
  <c r="BZ16" i="2"/>
  <c r="BZ12" i="2"/>
  <c r="BZ8" i="2"/>
  <c r="BZ19" i="2"/>
  <c r="BZ15" i="2"/>
  <c r="BZ11" i="2"/>
  <c r="AL34" i="2"/>
  <c r="AL32" i="2"/>
  <c r="AG34" i="2"/>
  <c r="AF34" i="2"/>
  <c r="AI34" i="2"/>
  <c r="AI7" i="2" s="1"/>
  <c r="AH32" i="2"/>
  <c r="AH29" i="2"/>
  <c r="AI22" i="2" l="1"/>
  <c r="AI18" i="2"/>
  <c r="AI10" i="2"/>
  <c r="AI21" i="2"/>
  <c r="AI17" i="2"/>
  <c r="AI13" i="2"/>
  <c r="AI9" i="2"/>
  <c r="AI14" i="2"/>
  <c r="AI20" i="2"/>
  <c r="AI16" i="2"/>
  <c r="AI12" i="2"/>
  <c r="AI8" i="2"/>
  <c r="AI19" i="2"/>
  <c r="AI15" i="2"/>
  <c r="AI11" i="2"/>
  <c r="AH34" i="2"/>
  <c r="AH7" i="2" l="1"/>
  <c r="AH11" i="2"/>
  <c r="AH15" i="2"/>
  <c r="AH19" i="2"/>
  <c r="AH8" i="2"/>
  <c r="AH12" i="2"/>
  <c r="AH16" i="2"/>
  <c r="AH20" i="2"/>
  <c r="AH9" i="2"/>
  <c r="AH13" i="2"/>
  <c r="AH17" i="2"/>
  <c r="AH21" i="2"/>
  <c r="AH10" i="2"/>
  <c r="AH14" i="2"/>
  <c r="AH18" i="2"/>
  <c r="AH22" i="2"/>
  <c r="AA41" i="2" l="1"/>
  <c r="AA40" i="2" s="1"/>
  <c r="AA39" i="2"/>
  <c r="AA38" i="2"/>
  <c r="AA31" i="2"/>
  <c r="AA30" i="2"/>
  <c r="AA29" i="2"/>
  <c r="AA28" i="2"/>
  <c r="AF7" i="2" l="1"/>
  <c r="AF11" i="2"/>
  <c r="AF15" i="2"/>
  <c r="AF19" i="2"/>
  <c r="AF13" i="2"/>
  <c r="AF21" i="2"/>
  <c r="AF18" i="2"/>
  <c r="AF8" i="2"/>
  <c r="AF12" i="2"/>
  <c r="AF16" i="2"/>
  <c r="AF20" i="2"/>
  <c r="AF9" i="2"/>
  <c r="AF14" i="2"/>
  <c r="AF22" i="2"/>
  <c r="AF17" i="2"/>
  <c r="AF10" i="2"/>
  <c r="AA32" i="2"/>
  <c r="AA33" i="2" s="1"/>
  <c r="Z7" i="2" l="1"/>
  <c r="Z11" i="2"/>
  <c r="Z15" i="2"/>
  <c r="Z19" i="2"/>
  <c r="Z18" i="2"/>
  <c r="Z8" i="2"/>
  <c r="Z12" i="2"/>
  <c r="Z16" i="2"/>
  <c r="Z20" i="2"/>
  <c r="Z10" i="2"/>
  <c r="Z14" i="2"/>
  <c r="Z22" i="2"/>
  <c r="Z9" i="2"/>
  <c r="Z13" i="2"/>
  <c r="Z17" i="2"/>
  <c r="Z21" i="2"/>
  <c r="W32" i="2" l="1"/>
  <c r="W7" i="2" s="1"/>
  <c r="X7" i="2" s="1"/>
  <c r="W30" i="2"/>
  <c r="W14" i="2" l="1"/>
  <c r="X14" i="2" s="1"/>
  <c r="W10" i="2"/>
  <c r="X10" i="2" s="1"/>
  <c r="W21" i="2"/>
  <c r="X21" i="2" s="1"/>
  <c r="W17" i="2"/>
  <c r="X17" i="2" s="1"/>
  <c r="W13" i="2"/>
  <c r="X13" i="2" s="1"/>
  <c r="W9" i="2"/>
  <c r="X9" i="2" s="1"/>
  <c r="W22" i="2"/>
  <c r="X22" i="2" s="1"/>
  <c r="W18" i="2"/>
  <c r="X18" i="2" s="1"/>
  <c r="W20" i="2"/>
  <c r="X20" i="2" s="1"/>
  <c r="W16" i="2"/>
  <c r="X16" i="2" s="1"/>
  <c r="W12" i="2"/>
  <c r="X12" i="2" s="1"/>
  <c r="W8" i="2"/>
  <c r="X8" i="2" s="1"/>
  <c r="W19" i="2"/>
  <c r="X19" i="2" s="1"/>
  <c r="W15" i="2"/>
  <c r="X15" i="2" s="1"/>
  <c r="W11" i="2"/>
  <c r="X11" i="2" s="1"/>
  <c r="N8" i="5" l="1"/>
  <c r="P8" i="5"/>
  <c r="R8" i="5"/>
  <c r="S6" i="5"/>
  <c r="S8" i="5" s="1"/>
  <c r="R6" i="5"/>
  <c r="Q6" i="5"/>
  <c r="Q8" i="5" s="1"/>
  <c r="P6" i="5"/>
  <c r="O6" i="5"/>
  <c r="O8" i="5" s="1"/>
  <c r="N6" i="5"/>
  <c r="M6" i="5"/>
  <c r="M8" i="5" s="1"/>
  <c r="L6" i="5"/>
  <c r="L8" i="5" s="1"/>
  <c r="E5" i="5"/>
  <c r="G8" i="5" s="1"/>
  <c r="H16" i="3"/>
  <c r="I16" i="3"/>
  <c r="J16" i="3"/>
  <c r="K16" i="3"/>
  <c r="L16" i="3"/>
  <c r="M16" i="3"/>
  <c r="N16" i="3"/>
  <c r="O16" i="3"/>
  <c r="P16" i="3"/>
  <c r="Q16" i="3"/>
  <c r="R16" i="3"/>
  <c r="S16" i="3"/>
  <c r="T16" i="3"/>
  <c r="U16" i="3"/>
  <c r="V16" i="3"/>
  <c r="W16" i="3"/>
  <c r="X16" i="3"/>
  <c r="Y16" i="3"/>
  <c r="G16" i="3"/>
  <c r="AA6" i="3"/>
  <c r="AB6" i="3" s="1"/>
  <c r="AA10" i="3"/>
  <c r="AB10" i="3" s="1"/>
  <c r="AA14" i="3"/>
  <c r="AB14" i="3" s="1"/>
  <c r="Z4" i="3"/>
  <c r="Z5" i="3"/>
  <c r="Z18" i="3" s="1"/>
  <c r="Z6" i="3"/>
  <c r="Z7" i="3"/>
  <c r="Z8" i="3"/>
  <c r="Z9" i="3"/>
  <c r="Z10" i="3"/>
  <c r="Z11" i="3"/>
  <c r="Z12" i="3"/>
  <c r="Z13" i="3"/>
  <c r="Z14" i="3"/>
  <c r="Z15" i="3"/>
  <c r="Z3" i="3"/>
  <c r="Z16" i="3" s="1"/>
  <c r="H2" i="3"/>
  <c r="I2" i="3"/>
  <c r="J2" i="3"/>
  <c r="K2" i="3"/>
  <c r="AA4" i="3" s="1"/>
  <c r="AB4" i="3" s="1"/>
  <c r="L2" i="3"/>
  <c r="M2" i="3"/>
  <c r="N2" i="3"/>
  <c r="O2" i="3"/>
  <c r="P2" i="3"/>
  <c r="Q2" i="3"/>
  <c r="R2" i="3"/>
  <c r="S2" i="3"/>
  <c r="T2" i="3"/>
  <c r="U2" i="3"/>
  <c r="V2" i="3"/>
  <c r="W2" i="3"/>
  <c r="X2" i="3"/>
  <c r="Y2" i="3"/>
  <c r="AA7" i="3" s="1"/>
  <c r="AB7" i="3" s="1"/>
  <c r="G2" i="3"/>
  <c r="AA13" i="3" l="1"/>
  <c r="AB13" i="3" s="1"/>
  <c r="AA9" i="3"/>
  <c r="AB9" i="3" s="1"/>
  <c r="AA5" i="3"/>
  <c r="AB5" i="3" s="1"/>
  <c r="Z17" i="3"/>
  <c r="AA3" i="3"/>
  <c r="AA12" i="3"/>
  <c r="AB12" i="3" s="1"/>
  <c r="AA8" i="3"/>
  <c r="AB8" i="3" s="1"/>
  <c r="AA15" i="3"/>
  <c r="AB15" i="3" s="1"/>
  <c r="AA11" i="3"/>
  <c r="AB11" i="3" s="1"/>
  <c r="E8" i="5"/>
  <c r="AA18" i="3" l="1"/>
  <c r="AB3" i="3"/>
  <c r="AB16" i="3" s="1"/>
  <c r="AA17" i="3"/>
  <c r="AA16" i="3"/>
  <c r="A8" i="2"/>
  <c r="C8" i="2" s="1"/>
  <c r="AZ8" i="2" s="1"/>
  <c r="A9" i="2"/>
  <c r="C9" i="2" s="1"/>
  <c r="AZ9" i="2" s="1"/>
  <c r="A10" i="2"/>
  <c r="C10" i="2" s="1"/>
  <c r="AZ10" i="2" s="1"/>
  <c r="A11" i="2"/>
  <c r="C11" i="2" s="1"/>
  <c r="AZ11" i="2" s="1"/>
  <c r="A12" i="2"/>
  <c r="C12" i="2" s="1"/>
  <c r="AZ12" i="2" s="1"/>
  <c r="A13" i="2"/>
  <c r="C13" i="2" s="1"/>
  <c r="AZ13" i="2" s="1"/>
  <c r="A14" i="2"/>
  <c r="B14" i="2" s="1"/>
  <c r="A15" i="2"/>
  <c r="C15" i="2" s="1"/>
  <c r="AZ15" i="2" s="1"/>
  <c r="A16" i="2"/>
  <c r="C16" i="2" s="1"/>
  <c r="AZ16" i="2" s="1"/>
  <c r="A17" i="2"/>
  <c r="C17" i="2" s="1"/>
  <c r="AZ17" i="2" s="1"/>
  <c r="A18" i="2"/>
  <c r="C18" i="2" s="1"/>
  <c r="AZ18" i="2" s="1"/>
  <c r="A19" i="2"/>
  <c r="C19" i="2" s="1"/>
  <c r="AZ19" i="2" s="1"/>
  <c r="A20" i="2"/>
  <c r="C20" i="2" s="1"/>
  <c r="AZ20" i="2" s="1"/>
  <c r="A21" i="2"/>
  <c r="C21" i="2" s="1"/>
  <c r="AZ21" i="2" s="1"/>
  <c r="A22" i="2"/>
  <c r="B22" i="2" s="1"/>
  <c r="A7" i="2"/>
  <c r="C7" i="2" s="1"/>
  <c r="AZ7" i="2" s="1"/>
  <c r="B3" i="2"/>
  <c r="BV22" i="2" l="1"/>
  <c r="CA22" i="2"/>
  <c r="BV14" i="2"/>
  <c r="CA14" i="2"/>
  <c r="BM22" i="2"/>
  <c r="BM14" i="2"/>
  <c r="BA15" i="2"/>
  <c r="BC15" i="2"/>
  <c r="BD15" i="2"/>
  <c r="AJ22" i="2"/>
  <c r="BE22" i="2"/>
  <c r="BA18" i="2"/>
  <c r="BD18" i="2"/>
  <c r="BC18" i="2"/>
  <c r="AJ14" i="2"/>
  <c r="BE14" i="2"/>
  <c r="BA10" i="2"/>
  <c r="BC10" i="2"/>
  <c r="BD10" i="2"/>
  <c r="BA7" i="2"/>
  <c r="BD7" i="2"/>
  <c r="BC7" i="2"/>
  <c r="BA11" i="2"/>
  <c r="BC11" i="2"/>
  <c r="BD11" i="2"/>
  <c r="BA21" i="2"/>
  <c r="BD21" i="2"/>
  <c r="BC21" i="2"/>
  <c r="BA17" i="2"/>
  <c r="BD17" i="2"/>
  <c r="BC17" i="2"/>
  <c r="BA13" i="2"/>
  <c r="BC13" i="2"/>
  <c r="BD13" i="2"/>
  <c r="BA9" i="2"/>
  <c r="BC9" i="2"/>
  <c r="BD9" i="2"/>
  <c r="BA19" i="2"/>
  <c r="BC19" i="2"/>
  <c r="BD19" i="2"/>
  <c r="BA20" i="2"/>
  <c r="BD20" i="2"/>
  <c r="BC20" i="2"/>
  <c r="BA16" i="2"/>
  <c r="BC16" i="2"/>
  <c r="BD16" i="2"/>
  <c r="BA12" i="2"/>
  <c r="BC12" i="2"/>
  <c r="BD12" i="2"/>
  <c r="BA8" i="2"/>
  <c r="BD8" i="2"/>
  <c r="BC8" i="2"/>
  <c r="AV15" i="2"/>
  <c r="AW15" i="2"/>
  <c r="AV18" i="2"/>
  <c r="AW18" i="2"/>
  <c r="AV10" i="2"/>
  <c r="AW10" i="2"/>
  <c r="AW7" i="2"/>
  <c r="AV7" i="2"/>
  <c r="AV11" i="2"/>
  <c r="AW11" i="2"/>
  <c r="AV21" i="2"/>
  <c r="AW21" i="2"/>
  <c r="AV17" i="2"/>
  <c r="AW17" i="2"/>
  <c r="AV13" i="2"/>
  <c r="AW13" i="2"/>
  <c r="AV9" i="2"/>
  <c r="AW9" i="2"/>
  <c r="AV19" i="2"/>
  <c r="AW19" i="2"/>
  <c r="AV20" i="2"/>
  <c r="AW20" i="2"/>
  <c r="AV16" i="2"/>
  <c r="AW16" i="2"/>
  <c r="AW12" i="2"/>
  <c r="AV12" i="2"/>
  <c r="AV8" i="2"/>
  <c r="AW8" i="2"/>
  <c r="E7" i="2"/>
  <c r="Y22" i="2"/>
  <c r="AA22" i="2" s="1"/>
  <c r="AB22" i="2" s="1"/>
  <c r="AG22" i="2"/>
  <c r="Y14" i="2"/>
  <c r="AA14" i="2" s="1"/>
  <c r="AE14" i="2" s="1"/>
  <c r="AG14" i="2"/>
  <c r="P16" i="2"/>
  <c r="R16" i="2" s="1"/>
  <c r="P7" i="2"/>
  <c r="R7" i="2" s="1"/>
  <c r="P19" i="2"/>
  <c r="R19" i="2" s="1"/>
  <c r="P15" i="2"/>
  <c r="R15" i="2" s="1"/>
  <c r="P11" i="2"/>
  <c r="R11" i="2" s="1"/>
  <c r="P21" i="2"/>
  <c r="R21" i="2" s="1"/>
  <c r="L22" i="2"/>
  <c r="M22" i="2" s="1"/>
  <c r="P18" i="2"/>
  <c r="R18" i="2" s="1"/>
  <c r="L14" i="2"/>
  <c r="M14" i="2" s="1"/>
  <c r="P10" i="2"/>
  <c r="R10" i="2" s="1"/>
  <c r="P17" i="2"/>
  <c r="R17" i="2" s="1"/>
  <c r="P13" i="2"/>
  <c r="R13" i="2" s="1"/>
  <c r="P9" i="2"/>
  <c r="R9" i="2" s="1"/>
  <c r="P20" i="2"/>
  <c r="R20" i="2" s="1"/>
  <c r="P12" i="2"/>
  <c r="R12" i="2" s="1"/>
  <c r="P8" i="2"/>
  <c r="R8" i="2" s="1"/>
  <c r="H20" i="2"/>
  <c r="I20" i="2" s="1"/>
  <c r="H16" i="2"/>
  <c r="I16" i="2" s="1"/>
  <c r="H12" i="2"/>
  <c r="I12" i="2" s="1"/>
  <c r="H8" i="2"/>
  <c r="I8" i="2" s="1"/>
  <c r="H7" i="2"/>
  <c r="I7" i="2" s="1"/>
  <c r="H19" i="2"/>
  <c r="I19" i="2" s="1"/>
  <c r="H15" i="2"/>
  <c r="I15" i="2" s="1"/>
  <c r="H11" i="2"/>
  <c r="I11" i="2" s="1"/>
  <c r="D22" i="2"/>
  <c r="K22" i="2"/>
  <c r="H18" i="2"/>
  <c r="I18" i="2" s="1"/>
  <c r="D14" i="2"/>
  <c r="K14" i="2"/>
  <c r="H10" i="2"/>
  <c r="I10" i="2" s="1"/>
  <c r="H21" i="2"/>
  <c r="I21" i="2" s="1"/>
  <c r="H17" i="2"/>
  <c r="I17" i="2" s="1"/>
  <c r="H13" i="2"/>
  <c r="I13" i="2" s="1"/>
  <c r="H9" i="2"/>
  <c r="I9" i="2" s="1"/>
  <c r="G20" i="2"/>
  <c r="G16" i="2"/>
  <c r="G12" i="2"/>
  <c r="G8" i="2"/>
  <c r="G7" i="2"/>
  <c r="G19" i="2"/>
  <c r="G15" i="2"/>
  <c r="G11" i="2"/>
  <c r="G18" i="2"/>
  <c r="G10" i="2"/>
  <c r="G21" i="2"/>
  <c r="G17" i="2"/>
  <c r="G13" i="2"/>
  <c r="G9" i="2"/>
  <c r="B18" i="2"/>
  <c r="B10" i="2"/>
  <c r="B21" i="2"/>
  <c r="B17" i="2"/>
  <c r="B13" i="2"/>
  <c r="B9" i="2"/>
  <c r="C22" i="2"/>
  <c r="AZ22" i="2" s="1"/>
  <c r="C14" i="2"/>
  <c r="AZ14" i="2" s="1"/>
  <c r="B20" i="2"/>
  <c r="B16" i="2"/>
  <c r="B12" i="2"/>
  <c r="B8" i="2"/>
  <c r="B19" i="2"/>
  <c r="B15" i="2"/>
  <c r="B11" i="2"/>
  <c r="B7" i="2"/>
  <c r="C17" i="1"/>
  <c r="D17" i="1"/>
  <c r="E17" i="1"/>
  <c r="F17" i="1"/>
  <c r="B17" i="1"/>
  <c r="CD14" i="2" l="1"/>
  <c r="CC14" i="2"/>
  <c r="CE14" i="2" s="1"/>
  <c r="BV15" i="2"/>
  <c r="CA15" i="2"/>
  <c r="BV16" i="2"/>
  <c r="CA16" i="2"/>
  <c r="BV9" i="2"/>
  <c r="CA9" i="2"/>
  <c r="BV10" i="2"/>
  <c r="CA10" i="2"/>
  <c r="BV12" i="2"/>
  <c r="CA12" i="2"/>
  <c r="BV13" i="2"/>
  <c r="CA13" i="2"/>
  <c r="BV18" i="2"/>
  <c r="CA18" i="2"/>
  <c r="CC22" i="2"/>
  <c r="CD22" i="2"/>
  <c r="BV11" i="2"/>
  <c r="CA11" i="2"/>
  <c r="BV21" i="2"/>
  <c r="CA21" i="2"/>
  <c r="BV19" i="2"/>
  <c r="CA19" i="2"/>
  <c r="BV20" i="2"/>
  <c r="CA20" i="2"/>
  <c r="BV7" i="2"/>
  <c r="CA7" i="2"/>
  <c r="BV8" i="2"/>
  <c r="CA8" i="2"/>
  <c r="BV17" i="2"/>
  <c r="CA17" i="2"/>
  <c r="BM19" i="2"/>
  <c r="BM18" i="2"/>
  <c r="BM7" i="2"/>
  <c r="BM8" i="2"/>
  <c r="BM17" i="2"/>
  <c r="BM20" i="2"/>
  <c r="BM12" i="2"/>
  <c r="BM21" i="2"/>
  <c r="BM13" i="2"/>
  <c r="BM11" i="2"/>
  <c r="BM15" i="2"/>
  <c r="BM16" i="2"/>
  <c r="BM9" i="2"/>
  <c r="BM10" i="2"/>
  <c r="AJ11" i="2"/>
  <c r="BE11" i="2"/>
  <c r="BF11" i="2" s="1"/>
  <c r="BA22" i="2"/>
  <c r="CB22" i="2" s="1"/>
  <c r="BC22" i="2"/>
  <c r="BF22" i="2" s="1"/>
  <c r="BG22" i="2" s="1"/>
  <c r="BD22" i="2"/>
  <c r="AJ21" i="2"/>
  <c r="BE21" i="2"/>
  <c r="BF21" i="2" s="1"/>
  <c r="AJ15" i="2"/>
  <c r="BE15" i="2"/>
  <c r="BF15" i="2" s="1"/>
  <c r="AJ9" i="2"/>
  <c r="BE9" i="2"/>
  <c r="BF9" i="2" s="1"/>
  <c r="AJ10" i="2"/>
  <c r="BE10" i="2"/>
  <c r="BF10" i="2" s="1"/>
  <c r="AJ16" i="2"/>
  <c r="BE16" i="2"/>
  <c r="BF16" i="2" s="1"/>
  <c r="AJ19" i="2"/>
  <c r="BE19" i="2"/>
  <c r="BF19" i="2" s="1"/>
  <c r="AJ20" i="2"/>
  <c r="BE20" i="2"/>
  <c r="BF20" i="2" s="1"/>
  <c r="AJ13" i="2"/>
  <c r="BE13" i="2"/>
  <c r="BF13" i="2" s="1"/>
  <c r="AJ18" i="2"/>
  <c r="BE18" i="2"/>
  <c r="BF18" i="2" s="1"/>
  <c r="AJ12" i="2"/>
  <c r="BE12" i="2"/>
  <c r="BF12" i="2" s="1"/>
  <c r="AJ7" i="2"/>
  <c r="BE7" i="2"/>
  <c r="BF7" i="2" s="1"/>
  <c r="AJ8" i="2"/>
  <c r="BE8" i="2"/>
  <c r="BF8" i="2" s="1"/>
  <c r="BA14" i="2"/>
  <c r="CB14" i="2" s="1"/>
  <c r="BC14" i="2"/>
  <c r="BF14" i="2" s="1"/>
  <c r="BG14" i="2" s="1"/>
  <c r="BD14" i="2"/>
  <c r="AJ17" i="2"/>
  <c r="BE17" i="2"/>
  <c r="BF17" i="2" s="1"/>
  <c r="AV14" i="2"/>
  <c r="AW14" i="2"/>
  <c r="AV22" i="2"/>
  <c r="AW22" i="2"/>
  <c r="AE22" i="2"/>
  <c r="AC22" i="2"/>
  <c r="AD22" i="2" s="1"/>
  <c r="AK14" i="2" a="1"/>
  <c r="AK14" i="2" s="1"/>
  <c r="AM14" i="2" s="1"/>
  <c r="E8" i="2"/>
  <c r="E16" i="2"/>
  <c r="E11" i="2"/>
  <c r="E9" i="2"/>
  <c r="E17" i="2"/>
  <c r="E15" i="2"/>
  <c r="E18" i="2"/>
  <c r="E14" i="2"/>
  <c r="F14" i="2" s="1"/>
  <c r="N14" i="2" s="1"/>
  <c r="E22" i="2"/>
  <c r="F22" i="2" s="1"/>
  <c r="N22" i="2" s="1"/>
  <c r="AK22" i="2" a="1"/>
  <c r="AK22" i="2" s="1"/>
  <c r="AM22" i="2" s="1"/>
  <c r="E12" i="2"/>
  <c r="E20" i="2"/>
  <c r="E19" i="2"/>
  <c r="E13" i="2"/>
  <c r="E21" i="2"/>
  <c r="E10" i="2"/>
  <c r="Y15" i="2"/>
  <c r="AA15" i="2" s="1"/>
  <c r="AE15" i="2" s="1"/>
  <c r="AG15" i="2"/>
  <c r="Y10" i="2"/>
  <c r="AA10" i="2" s="1"/>
  <c r="AE10" i="2" s="1"/>
  <c r="AG10" i="2"/>
  <c r="Y19" i="2"/>
  <c r="AA19" i="2" s="1"/>
  <c r="AE19" i="2" s="1"/>
  <c r="AG19" i="2"/>
  <c r="Y13" i="2"/>
  <c r="AA13" i="2" s="1"/>
  <c r="AB13" i="2" s="1"/>
  <c r="AG13" i="2"/>
  <c r="Y7" i="2"/>
  <c r="AA7" i="2" s="1"/>
  <c r="AE7" i="2" s="1"/>
  <c r="AG7" i="2"/>
  <c r="Y8" i="2"/>
  <c r="AA8" i="2" s="1"/>
  <c r="AC8" i="2" s="1"/>
  <c r="AG8" i="2"/>
  <c r="Y17" i="2"/>
  <c r="AA17" i="2" s="1"/>
  <c r="AE17" i="2" s="1"/>
  <c r="AG17" i="2"/>
  <c r="AB14" i="2"/>
  <c r="Y16" i="2"/>
  <c r="AA16" i="2" s="1"/>
  <c r="AE16" i="2" s="1"/>
  <c r="AG16" i="2"/>
  <c r="AK16" i="2" s="1" a="1"/>
  <c r="AK16" i="2" s="1"/>
  <c r="Y9" i="2"/>
  <c r="AA9" i="2" s="1"/>
  <c r="AE9" i="2" s="1"/>
  <c r="AG9" i="2"/>
  <c r="Y20" i="2"/>
  <c r="AA20" i="2" s="1"/>
  <c r="AC20" i="2" s="1"/>
  <c r="AG20" i="2"/>
  <c r="AK20" i="2" s="1" a="1"/>
  <c r="AK20" i="2" s="1"/>
  <c r="Y18" i="2"/>
  <c r="AA18" i="2" s="1"/>
  <c r="AE18" i="2" s="1"/>
  <c r="AG18" i="2"/>
  <c r="AC14" i="2"/>
  <c r="Y11" i="2"/>
  <c r="AA11" i="2" s="1"/>
  <c r="AC11" i="2" s="1"/>
  <c r="AG11" i="2"/>
  <c r="Y12" i="2"/>
  <c r="AA12" i="2" s="1"/>
  <c r="AC12" i="2" s="1"/>
  <c r="AG12" i="2"/>
  <c r="Y21" i="2"/>
  <c r="AA21" i="2" s="1"/>
  <c r="AC21" i="2" s="1"/>
  <c r="AG21" i="2"/>
  <c r="J12" i="2"/>
  <c r="T12" i="2" s="1"/>
  <c r="J7" i="2"/>
  <c r="T7" i="2" s="1"/>
  <c r="J20" i="2"/>
  <c r="T20" i="2" s="1"/>
  <c r="J15" i="2"/>
  <c r="T15" i="2" s="1"/>
  <c r="J17" i="2"/>
  <c r="T17" i="2" s="1"/>
  <c r="V12" i="2"/>
  <c r="V21" i="2"/>
  <c r="V20" i="2"/>
  <c r="V7" i="2"/>
  <c r="V17" i="2"/>
  <c r="L11" i="2"/>
  <c r="M11" i="2" s="1"/>
  <c r="L15" i="2"/>
  <c r="M15" i="2" s="1"/>
  <c r="L16" i="2"/>
  <c r="M16" i="2" s="1"/>
  <c r="L9" i="2"/>
  <c r="M9" i="2" s="1"/>
  <c r="L10" i="2"/>
  <c r="M10" i="2" s="1"/>
  <c r="V10" i="2"/>
  <c r="L19" i="2"/>
  <c r="M19" i="2" s="1"/>
  <c r="L20" i="2"/>
  <c r="M20" i="2" s="1"/>
  <c r="L13" i="2"/>
  <c r="M13" i="2" s="1"/>
  <c r="L18" i="2"/>
  <c r="M18" i="2" s="1"/>
  <c r="V19" i="2"/>
  <c r="L7" i="2"/>
  <c r="M7" i="2" s="1"/>
  <c r="L8" i="2"/>
  <c r="M8" i="2" s="1"/>
  <c r="V14" i="2"/>
  <c r="P14" i="2"/>
  <c r="R14" i="2" s="1"/>
  <c r="L17" i="2"/>
  <c r="M17" i="2" s="1"/>
  <c r="V8" i="2"/>
  <c r="V13" i="2"/>
  <c r="V18" i="2"/>
  <c r="V15" i="2"/>
  <c r="L12" i="2"/>
  <c r="M12" i="2" s="1"/>
  <c r="V22" i="2"/>
  <c r="P22" i="2"/>
  <c r="R22" i="2" s="1"/>
  <c r="L21" i="2"/>
  <c r="M21" i="2" s="1"/>
  <c r="V9" i="2"/>
  <c r="V11" i="2"/>
  <c r="V16" i="2"/>
  <c r="J9" i="2"/>
  <c r="T9" i="2" s="1"/>
  <c r="J10" i="2"/>
  <c r="T10" i="2" s="1"/>
  <c r="J13" i="2"/>
  <c r="T13" i="2" s="1"/>
  <c r="J18" i="2"/>
  <c r="T18" i="2" s="1"/>
  <c r="H22" i="2"/>
  <c r="I22" i="2" s="1"/>
  <c r="D16" i="2"/>
  <c r="K16" i="2"/>
  <c r="D7" i="2"/>
  <c r="K7" i="2"/>
  <c r="D8" i="2"/>
  <c r="K8" i="2"/>
  <c r="H14" i="2"/>
  <c r="I14" i="2" s="1"/>
  <c r="K17" i="2"/>
  <c r="D17" i="2"/>
  <c r="J19" i="2"/>
  <c r="T19" i="2" s="1"/>
  <c r="J16" i="2"/>
  <c r="T16" i="2" s="1"/>
  <c r="D11" i="2"/>
  <c r="K11" i="2"/>
  <c r="K21" i="2"/>
  <c r="D21" i="2"/>
  <c r="D15" i="2"/>
  <c r="K15" i="2"/>
  <c r="D10" i="2"/>
  <c r="K10" i="2"/>
  <c r="J11" i="2"/>
  <c r="T11" i="2" s="1"/>
  <c r="J8" i="2"/>
  <c r="T8" i="2" s="1"/>
  <c r="D12" i="2"/>
  <c r="K12" i="2"/>
  <c r="K9" i="2"/>
  <c r="D9" i="2"/>
  <c r="D19" i="2"/>
  <c r="K19" i="2"/>
  <c r="D20" i="2"/>
  <c r="K20" i="2"/>
  <c r="K13" i="2"/>
  <c r="D13" i="2"/>
  <c r="D18" i="2"/>
  <c r="K18" i="2"/>
  <c r="J21" i="2"/>
  <c r="T21" i="2" s="1"/>
  <c r="G14" i="2"/>
  <c r="G22" i="2"/>
  <c r="CF22" i="2" l="1"/>
  <c r="CB7" i="2"/>
  <c r="CF7" i="2"/>
  <c r="CD7" i="2"/>
  <c r="CC7" i="2"/>
  <c r="CB19" i="2"/>
  <c r="CF19" i="2"/>
  <c r="CD19" i="2"/>
  <c r="CC19" i="2"/>
  <c r="CE19" i="2" s="1"/>
  <c r="CB16" i="2"/>
  <c r="CF16" i="2"/>
  <c r="CD16" i="2"/>
  <c r="CC16" i="2"/>
  <c r="CE16" i="2" s="1"/>
  <c r="CB8" i="2"/>
  <c r="CF8" i="2"/>
  <c r="CD8" i="2"/>
  <c r="CC8" i="2"/>
  <c r="CE8" i="2" s="1"/>
  <c r="CB20" i="2"/>
  <c r="CF20" i="2"/>
  <c r="CD20" i="2"/>
  <c r="CC20" i="2"/>
  <c r="CE20" i="2" s="1"/>
  <c r="CB21" i="2"/>
  <c r="CF21" i="2"/>
  <c r="CD21" i="2"/>
  <c r="CC21" i="2"/>
  <c r="CE21" i="2" s="1"/>
  <c r="CB18" i="2"/>
  <c r="CC18" i="2"/>
  <c r="CF18" i="2"/>
  <c r="CD18" i="2"/>
  <c r="CB12" i="2"/>
  <c r="CF12" i="2"/>
  <c r="CD12" i="2"/>
  <c r="CC12" i="2"/>
  <c r="CE12" i="2" s="1"/>
  <c r="CB9" i="2"/>
  <c r="CF9" i="2"/>
  <c r="CD9" i="2"/>
  <c r="CC9" i="2"/>
  <c r="CE9" i="2" s="1"/>
  <c r="CB15" i="2"/>
  <c r="CF15" i="2"/>
  <c r="CD15" i="2"/>
  <c r="CC15" i="2"/>
  <c r="CE15" i="2" s="1"/>
  <c r="CF14" i="2"/>
  <c r="CB17" i="2"/>
  <c r="CF17" i="2"/>
  <c r="CD17" i="2"/>
  <c r="CC17" i="2"/>
  <c r="CB11" i="2"/>
  <c r="CF11" i="2"/>
  <c r="CD11" i="2"/>
  <c r="CC11" i="2"/>
  <c r="CB13" i="2"/>
  <c r="CF13" i="2"/>
  <c r="CD13" i="2"/>
  <c r="CC13" i="2"/>
  <c r="CB10" i="2"/>
  <c r="CC10" i="2"/>
  <c r="CE10" i="2" s="1"/>
  <c r="CF10" i="2"/>
  <c r="CD10" i="2"/>
  <c r="CE22" i="2"/>
  <c r="AK19" i="2" a="1"/>
  <c r="AK19" i="2" s="1"/>
  <c r="AL19" i="2" s="1"/>
  <c r="AK10" i="2" a="1"/>
  <c r="AK10" i="2" s="1"/>
  <c r="AM10" i="2" s="1"/>
  <c r="AK9" i="2" a="1"/>
  <c r="AK9" i="2" s="1"/>
  <c r="AM9" i="2" s="1"/>
  <c r="AK21" i="2" a="1"/>
  <c r="AK21" i="2" s="1"/>
  <c r="AM21" i="2" s="1"/>
  <c r="AB19" i="2"/>
  <c r="AK18" i="2" a="1"/>
  <c r="AK18" i="2" s="1"/>
  <c r="AL18" i="2" s="1"/>
  <c r="AK11" i="2" a="1"/>
  <c r="AK11" i="2" s="1"/>
  <c r="AL11" i="2" s="1"/>
  <c r="AK17" i="2" a="1"/>
  <c r="AK17" i="2" s="1"/>
  <c r="AM17" i="2" s="1"/>
  <c r="AK7" i="2" a="1"/>
  <c r="AK7" i="2" s="1"/>
  <c r="AM7" i="2" s="1"/>
  <c r="AK15" i="2" a="1"/>
  <c r="AK15" i="2" s="1"/>
  <c r="AL15" i="2" s="1"/>
  <c r="BG8" i="2"/>
  <c r="BH8" i="2" s="1"/>
  <c r="BJ8" i="2" s="1"/>
  <c r="BG12" i="2"/>
  <c r="BH12" i="2" s="1"/>
  <c r="BJ12" i="2" s="1"/>
  <c r="BG13" i="2"/>
  <c r="BH13" i="2" s="1"/>
  <c r="BJ13" i="2" s="1"/>
  <c r="BG19" i="2"/>
  <c r="BH19" i="2" s="1"/>
  <c r="BJ19" i="2" s="1"/>
  <c r="BG15" i="2"/>
  <c r="BH15" i="2" s="1"/>
  <c r="BJ15" i="2" s="1"/>
  <c r="BG9" i="2"/>
  <c r="BH9" i="2" s="1"/>
  <c r="BJ9" i="2" s="1"/>
  <c r="BG21" i="2"/>
  <c r="BH21" i="2" s="1"/>
  <c r="BJ21" i="2" s="1"/>
  <c r="BG11" i="2"/>
  <c r="BH11" i="2" s="1"/>
  <c r="BJ11" i="2" s="1"/>
  <c r="BG17" i="2"/>
  <c r="BH17" i="2" s="1"/>
  <c r="BJ17" i="2" s="1"/>
  <c r="BG7" i="2"/>
  <c r="BH7" i="2" s="1"/>
  <c r="BJ7" i="2" s="1"/>
  <c r="BG18" i="2"/>
  <c r="BH18" i="2" s="1"/>
  <c r="BJ18" i="2" s="1"/>
  <c r="BG20" i="2"/>
  <c r="BH20" i="2" s="1"/>
  <c r="BJ20" i="2" s="1"/>
  <c r="BG16" i="2"/>
  <c r="BH16" i="2" s="1"/>
  <c r="BJ16" i="2" s="1"/>
  <c r="BG10" i="2"/>
  <c r="BH10" i="2" s="1"/>
  <c r="BJ10" i="2" s="1"/>
  <c r="AC17" i="2"/>
  <c r="AK12" i="2" a="1"/>
  <c r="AK12" i="2" s="1"/>
  <c r="AM12" i="2" s="1"/>
  <c r="AK8" i="2" a="1"/>
  <c r="AK8" i="2" s="1"/>
  <c r="AL8" i="2" s="1"/>
  <c r="AK13" i="2" a="1"/>
  <c r="AK13" i="2" s="1"/>
  <c r="AM13" i="2" s="1"/>
  <c r="BH14" i="2"/>
  <c r="BJ14" i="2" s="1"/>
  <c r="BH22" i="2"/>
  <c r="BJ22" i="2" s="1"/>
  <c r="AC19" i="2"/>
  <c r="AB15" i="2"/>
  <c r="AB7" i="2"/>
  <c r="AB21" i="2"/>
  <c r="AD21" i="2" s="1"/>
  <c r="AB17" i="2"/>
  <c r="AE21" i="2"/>
  <c r="AE11" i="2"/>
  <c r="AL22" i="2"/>
  <c r="AL14" i="2"/>
  <c r="AC16" i="2"/>
  <c r="AB20" i="2"/>
  <c r="AD20" i="2" s="1"/>
  <c r="AP14" i="2"/>
  <c r="AN14" i="2"/>
  <c r="AX14" i="2" s="1"/>
  <c r="AO14" i="2"/>
  <c r="AM20" i="2"/>
  <c r="AL20" i="2"/>
  <c r="AM16" i="2"/>
  <c r="AL16" i="2"/>
  <c r="AP22" i="2"/>
  <c r="AN22" i="2"/>
  <c r="AX22" i="2" s="1"/>
  <c r="AO22" i="2"/>
  <c r="AC15" i="2"/>
  <c r="AB11" i="2"/>
  <c r="AD11" i="2" s="1"/>
  <c r="AC7" i="2"/>
  <c r="AC9" i="2"/>
  <c r="AE13" i="2"/>
  <c r="AB9" i="2"/>
  <c r="AB8" i="2"/>
  <c r="AD8" i="2" s="1"/>
  <c r="AB12" i="2"/>
  <c r="AD12" i="2" s="1"/>
  <c r="AC18" i="2"/>
  <c r="AE8" i="2"/>
  <c r="AE12" i="2"/>
  <c r="AC13" i="2"/>
  <c r="AD13" i="2" s="1"/>
  <c r="AB10" i="2"/>
  <c r="AB18" i="2"/>
  <c r="AC10" i="2"/>
  <c r="AB16" i="2"/>
  <c r="AE20" i="2"/>
  <c r="AD14" i="2"/>
  <c r="F20" i="2"/>
  <c r="N20" i="2" s="1"/>
  <c r="F13" i="2"/>
  <c r="S13" i="2" s="1"/>
  <c r="U13" i="2" s="1"/>
  <c r="F9" i="2"/>
  <c r="S9" i="2" s="1"/>
  <c r="U9" i="2" s="1"/>
  <c r="J22" i="2"/>
  <c r="T22" i="2" s="1"/>
  <c r="F12" i="2"/>
  <c r="N12" i="2" s="1"/>
  <c r="O12" i="2" s="1"/>
  <c r="Q12" i="2" s="1"/>
  <c r="F19" i="2"/>
  <c r="S19" i="2" s="1"/>
  <c r="U19" i="2" s="1"/>
  <c r="F7" i="2"/>
  <c r="S7" i="2" s="1"/>
  <c r="U7" i="2" s="1"/>
  <c r="F21" i="2"/>
  <c r="N21" i="2" s="1"/>
  <c r="O21" i="2" s="1"/>
  <c r="Q21" i="2" s="1"/>
  <c r="F11" i="2"/>
  <c r="S11" i="2" s="1"/>
  <c r="U11" i="2" s="1"/>
  <c r="S14" i="2"/>
  <c r="S22" i="2"/>
  <c r="F10" i="2"/>
  <c r="N10" i="2" s="1"/>
  <c r="J14" i="2"/>
  <c r="T14" i="2" s="1"/>
  <c r="F8" i="2"/>
  <c r="N8" i="2" s="1"/>
  <c r="F18" i="2"/>
  <c r="N18" i="2" s="1"/>
  <c r="F15" i="2"/>
  <c r="N15" i="2" s="1"/>
  <c r="F17" i="2"/>
  <c r="N17" i="2" s="1"/>
  <c r="F16" i="2"/>
  <c r="N16" i="2" s="1"/>
  <c r="CE7" i="2" l="1"/>
  <c r="CE27" i="2"/>
  <c r="CE18" i="2"/>
  <c r="CE13" i="2"/>
  <c r="CE11" i="2"/>
  <c r="CE17" i="2"/>
  <c r="AM19" i="2"/>
  <c r="AP19" i="2" s="1"/>
  <c r="AM11" i="2"/>
  <c r="AP11" i="2" s="1"/>
  <c r="AM18" i="2"/>
  <c r="AP18" i="2" s="1"/>
  <c r="AL10" i="2"/>
  <c r="AL21" i="2"/>
  <c r="AL9" i="2"/>
  <c r="BN22" i="2"/>
  <c r="BO22" i="2" s="1"/>
  <c r="AL7" i="2"/>
  <c r="BN14" i="2"/>
  <c r="BO14" i="2" s="1"/>
  <c r="AM15" i="2"/>
  <c r="AN15" i="2" s="1"/>
  <c r="AX15" i="2" s="1"/>
  <c r="AD19" i="2"/>
  <c r="AL17" i="2"/>
  <c r="AD7" i="2"/>
  <c r="AD17" i="2"/>
  <c r="AM8" i="2"/>
  <c r="AO8" i="2" s="1"/>
  <c r="AL12" i="2"/>
  <c r="AD15" i="2"/>
  <c r="AL13" i="2"/>
  <c r="AU22" i="2"/>
  <c r="BL22" i="2" s="1"/>
  <c r="AU14" i="2"/>
  <c r="BL14" i="2" s="1"/>
  <c r="AD16" i="2"/>
  <c r="AQ22" i="2"/>
  <c r="AQ14" i="2"/>
  <c r="AR14" i="2"/>
  <c r="AY14" i="2" s="1"/>
  <c r="AR22" i="2"/>
  <c r="AY22" i="2" s="1"/>
  <c r="AP13" i="2"/>
  <c r="AN13" i="2"/>
  <c r="AX13" i="2" s="1"/>
  <c r="AO13" i="2"/>
  <c r="AP17" i="2"/>
  <c r="AN17" i="2"/>
  <c r="AX17" i="2" s="1"/>
  <c r="AO17" i="2"/>
  <c r="AP12" i="2"/>
  <c r="AN12" i="2"/>
  <c r="AX12" i="2" s="1"/>
  <c r="AO12" i="2"/>
  <c r="AP20" i="2"/>
  <c r="AN20" i="2"/>
  <c r="AX20" i="2" s="1"/>
  <c r="AO20" i="2"/>
  <c r="AP10" i="2"/>
  <c r="AN10" i="2"/>
  <c r="AX10" i="2" s="1"/>
  <c r="AO10" i="2"/>
  <c r="AP21" i="2"/>
  <c r="AN21" i="2"/>
  <c r="AX21" i="2" s="1"/>
  <c r="AO21" i="2"/>
  <c r="AP16" i="2"/>
  <c r="AN16" i="2"/>
  <c r="AX16" i="2" s="1"/>
  <c r="AO16" i="2"/>
  <c r="AP9" i="2"/>
  <c r="AN9" i="2"/>
  <c r="AX9" i="2" s="1"/>
  <c r="AO9" i="2"/>
  <c r="AP7" i="2"/>
  <c r="AN7" i="2"/>
  <c r="AX7" i="2" s="1"/>
  <c r="AO7" i="2"/>
  <c r="AD9" i="2"/>
  <c r="S20" i="2"/>
  <c r="U20" i="2" s="1"/>
  <c r="AD18" i="2"/>
  <c r="N9" i="2"/>
  <c r="O9" i="2" s="1"/>
  <c r="Q9" i="2" s="1"/>
  <c r="AD10" i="2"/>
  <c r="N13" i="2"/>
  <c r="O13" i="2" s="1"/>
  <c r="Q13" i="2" s="1"/>
  <c r="S21" i="2"/>
  <c r="U21" i="2" s="1"/>
  <c r="U14" i="2"/>
  <c r="U22" i="2"/>
  <c r="N7" i="2"/>
  <c r="O7" i="2" s="1"/>
  <c r="Q7" i="2" s="1"/>
  <c r="N19" i="2"/>
  <c r="N11" i="2"/>
  <c r="O11" i="2" s="1"/>
  <c r="Q11" i="2" s="1"/>
  <c r="S12" i="2"/>
  <c r="U12" i="2" s="1"/>
  <c r="O22" i="2"/>
  <c r="Q22" i="2" s="1"/>
  <c r="O14" i="2"/>
  <c r="Q14" i="2" s="1"/>
  <c r="S8" i="2"/>
  <c r="U8" i="2" s="1"/>
  <c r="S10" i="2"/>
  <c r="U10" i="2" s="1"/>
  <c r="S15" i="2"/>
  <c r="U15" i="2" s="1"/>
  <c r="S17" i="2"/>
  <c r="U17" i="2" s="1"/>
  <c r="S16" i="2"/>
  <c r="U16" i="2" s="1"/>
  <c r="S18" i="2"/>
  <c r="U18" i="2" s="1"/>
  <c r="O10" i="2"/>
  <c r="Q10" i="2" s="1"/>
  <c r="O19" i="2"/>
  <c r="Q19" i="2" s="1"/>
  <c r="O16" i="2"/>
  <c r="Q16" i="2" s="1"/>
  <c r="O20" i="2"/>
  <c r="Q20" i="2" s="1"/>
  <c r="O18" i="2"/>
  <c r="Q18" i="2" s="1"/>
  <c r="O17" i="2"/>
  <c r="Q17" i="2" s="1"/>
  <c r="O15" i="2"/>
  <c r="Q15" i="2" s="1"/>
  <c r="O8" i="2"/>
  <c r="Q8" i="2" s="1"/>
  <c r="AO11" i="2" l="1"/>
  <c r="AN19" i="2"/>
  <c r="AX19" i="2" s="1"/>
  <c r="BN19" i="2" s="1"/>
  <c r="BO19" i="2" s="1"/>
  <c r="AO19" i="2"/>
  <c r="AN18" i="2"/>
  <c r="AX18" i="2" s="1"/>
  <c r="BN18" i="2" s="1"/>
  <c r="BO18" i="2" s="1"/>
  <c r="AO18" i="2"/>
  <c r="AN11" i="2"/>
  <c r="AX11" i="2" s="1"/>
  <c r="BN11" i="2" s="1"/>
  <c r="BO11" i="2" s="1"/>
  <c r="BS14" i="2"/>
  <c r="BT14" i="2"/>
  <c r="BU14" i="2" s="1"/>
  <c r="BW14" i="2" s="1"/>
  <c r="CG14" i="2" s="1"/>
  <c r="BS22" i="2"/>
  <c r="BT22" i="2"/>
  <c r="BU22" i="2" s="1"/>
  <c r="BW22" i="2" s="1"/>
  <c r="CG22" i="2" s="1"/>
  <c r="BQ22" i="2"/>
  <c r="BP22" i="2"/>
  <c r="BR22" i="2" s="1"/>
  <c r="BQ14" i="2"/>
  <c r="BP14" i="2"/>
  <c r="BR14" i="2" s="1"/>
  <c r="AP8" i="2"/>
  <c r="AO15" i="2"/>
  <c r="AP15" i="2"/>
  <c r="BN15" i="2"/>
  <c r="BO15" i="2" s="1"/>
  <c r="BN16" i="2"/>
  <c r="BO16" i="2" s="1"/>
  <c r="BN12" i="2"/>
  <c r="BO12" i="2" s="1"/>
  <c r="BN13" i="2"/>
  <c r="BO13" i="2" s="1"/>
  <c r="BN21" i="2"/>
  <c r="BO21" i="2" s="1"/>
  <c r="BN9" i="2"/>
  <c r="BO9" i="2" s="1"/>
  <c r="BN17" i="2"/>
  <c r="BO17" i="2" s="1"/>
  <c r="BN20" i="2"/>
  <c r="BO20" i="2" s="1"/>
  <c r="BN7" i="2"/>
  <c r="BN10" i="2"/>
  <c r="BO10" i="2" s="1"/>
  <c r="BK14" i="2"/>
  <c r="BK22" i="2"/>
  <c r="AN8" i="2"/>
  <c r="AX8" i="2" s="1"/>
  <c r="AU7" i="2"/>
  <c r="BL7" i="2" s="1"/>
  <c r="AU12" i="2"/>
  <c r="BL12" i="2" s="1"/>
  <c r="AU13" i="2"/>
  <c r="BL13" i="2" s="1"/>
  <c r="AU21" i="2"/>
  <c r="BL21" i="2" s="1"/>
  <c r="AU20" i="2"/>
  <c r="BL20" i="2" s="1"/>
  <c r="AU17" i="2"/>
  <c r="BL17" i="2" s="1"/>
  <c r="AU9" i="2"/>
  <c r="BL9" i="2" s="1"/>
  <c r="AU16" i="2"/>
  <c r="BL16" i="2" s="1"/>
  <c r="AU10" i="2"/>
  <c r="BL10" i="2" s="1"/>
  <c r="AU15" i="2"/>
  <c r="BL15" i="2" s="1"/>
  <c r="AS22" i="2"/>
  <c r="AQ21" i="2"/>
  <c r="AQ20" i="2"/>
  <c r="AQ17" i="2"/>
  <c r="AQ7" i="2"/>
  <c r="AQ12" i="2"/>
  <c r="AQ13" i="2"/>
  <c r="AQ16" i="2"/>
  <c r="AQ10" i="2"/>
  <c r="AQ15" i="2"/>
  <c r="AQ9" i="2"/>
  <c r="AQ11" i="2"/>
  <c r="AS14" i="2"/>
  <c r="AT14" i="2"/>
  <c r="AT22" i="2"/>
  <c r="AR16" i="2"/>
  <c r="AY16" i="2" s="1"/>
  <c r="AR15" i="2"/>
  <c r="AY15" i="2" s="1"/>
  <c r="AR9" i="2"/>
  <c r="AY9" i="2" s="1"/>
  <c r="AR10" i="2"/>
  <c r="AY10" i="2" s="1"/>
  <c r="AR7" i="2"/>
  <c r="AY7" i="2" s="1"/>
  <c r="AR12" i="2"/>
  <c r="AY12" i="2" s="1"/>
  <c r="AR13" i="2"/>
  <c r="AY13" i="2" s="1"/>
  <c r="AR21" i="2"/>
  <c r="AY21" i="2" s="1"/>
  <c r="AR20" i="2"/>
  <c r="AY20" i="2" s="1"/>
  <c r="AR17" i="2"/>
  <c r="AY17" i="2" s="1"/>
  <c r="AU19" i="2" l="1"/>
  <c r="BL19" i="2" s="1"/>
  <c r="AR19" i="2"/>
  <c r="AY19" i="2" s="1"/>
  <c r="AQ19" i="2"/>
  <c r="AU11" i="2"/>
  <c r="BL11" i="2" s="1"/>
  <c r="AR11" i="2"/>
  <c r="AY11" i="2" s="1"/>
  <c r="CH22" i="2"/>
  <c r="CI22" i="2" s="1"/>
  <c r="CJ22" i="2" s="1"/>
  <c r="CH14" i="2"/>
  <c r="CI14" i="2" s="1"/>
  <c r="CJ14" i="2" s="1"/>
  <c r="AU18" i="2"/>
  <c r="BL18" i="2" s="1"/>
  <c r="AR18" i="2"/>
  <c r="AY18" i="2" s="1"/>
  <c r="AQ18" i="2"/>
  <c r="BX14" i="2"/>
  <c r="BY14" i="2"/>
  <c r="BX22" i="2"/>
  <c r="BY22" i="2"/>
  <c r="BS20" i="2"/>
  <c r="BT20" i="2"/>
  <c r="BU20" i="2" s="1"/>
  <c r="BW20" i="2" s="1"/>
  <c r="CG20" i="2" s="1"/>
  <c r="BS15" i="2"/>
  <c r="BT15" i="2"/>
  <c r="BU15" i="2" s="1"/>
  <c r="BW15" i="2" s="1"/>
  <c r="CG15" i="2" s="1"/>
  <c r="BS19" i="2"/>
  <c r="BT19" i="2"/>
  <c r="BU19" i="2" s="1"/>
  <c r="BW19" i="2" s="1"/>
  <c r="CG19" i="2" s="1"/>
  <c r="BS17" i="2"/>
  <c r="BT17" i="2"/>
  <c r="BU17" i="2" s="1"/>
  <c r="BW17" i="2" s="1"/>
  <c r="CG17" i="2" s="1"/>
  <c r="BS13" i="2"/>
  <c r="BT13" i="2"/>
  <c r="BU13" i="2" s="1"/>
  <c r="BW13" i="2" s="1"/>
  <c r="CG13" i="2" s="1"/>
  <c r="BS21" i="2"/>
  <c r="BT21" i="2"/>
  <c r="BU21" i="2" s="1"/>
  <c r="BW21" i="2" s="1"/>
  <c r="CG21" i="2" s="1"/>
  <c r="BS9" i="2"/>
  <c r="BT9" i="2"/>
  <c r="BU9" i="2" s="1"/>
  <c r="BW9" i="2" s="1"/>
  <c r="CG9" i="2" s="1"/>
  <c r="BS12" i="2"/>
  <c r="BT12" i="2"/>
  <c r="BU12" i="2" s="1"/>
  <c r="BW12" i="2" s="1"/>
  <c r="CG12" i="2" s="1"/>
  <c r="BS10" i="2"/>
  <c r="BT10" i="2"/>
  <c r="BU10" i="2" s="1"/>
  <c r="BW10" i="2" s="1"/>
  <c r="CG10" i="2" s="1"/>
  <c r="BS18" i="2"/>
  <c r="BT18" i="2"/>
  <c r="BU18" i="2" s="1"/>
  <c r="BW18" i="2" s="1"/>
  <c r="CG18" i="2" s="1"/>
  <c r="BS11" i="2"/>
  <c r="BT11" i="2"/>
  <c r="BU11" i="2" s="1"/>
  <c r="BW11" i="2" s="1"/>
  <c r="CG11" i="2" s="1"/>
  <c r="BS16" i="2"/>
  <c r="BT16" i="2"/>
  <c r="BU16" i="2" s="1"/>
  <c r="BW16" i="2" s="1"/>
  <c r="CG16" i="2" s="1"/>
  <c r="BQ20" i="2"/>
  <c r="BP20" i="2"/>
  <c r="BR20" i="2" s="1"/>
  <c r="BQ19" i="2"/>
  <c r="BP19" i="2"/>
  <c r="BR19" i="2" s="1"/>
  <c r="BQ17" i="2"/>
  <c r="BP17" i="2"/>
  <c r="BR17" i="2" s="1"/>
  <c r="BQ13" i="2"/>
  <c r="BP13" i="2"/>
  <c r="BR13" i="2" s="1"/>
  <c r="BQ10" i="2"/>
  <c r="BP10" i="2"/>
  <c r="BR10" i="2" s="1"/>
  <c r="BQ21" i="2"/>
  <c r="BP21" i="2"/>
  <c r="BR21" i="2" s="1"/>
  <c r="BQ15" i="2"/>
  <c r="BP15" i="2"/>
  <c r="BR15" i="2" s="1"/>
  <c r="BQ9" i="2"/>
  <c r="BP9" i="2"/>
  <c r="BR9" i="2" s="1"/>
  <c r="BQ12" i="2"/>
  <c r="BP12" i="2"/>
  <c r="BR12" i="2" s="1"/>
  <c r="BQ18" i="2"/>
  <c r="BP18" i="2"/>
  <c r="BR18" i="2" s="1"/>
  <c r="BQ11" i="2"/>
  <c r="BP11" i="2"/>
  <c r="BR11" i="2" s="1"/>
  <c r="BQ16" i="2"/>
  <c r="BP16" i="2"/>
  <c r="BR16" i="2" s="1"/>
  <c r="BO7" i="2"/>
  <c r="BT7" i="2" s="1"/>
  <c r="BU7" i="2" s="1"/>
  <c r="BW7" i="2" s="1"/>
  <c r="CG7" i="2" s="1"/>
  <c r="BN8" i="2"/>
  <c r="BO8" i="2" s="1"/>
  <c r="AR8" i="2"/>
  <c r="AY8" i="2" s="1"/>
  <c r="AQ8" i="2"/>
  <c r="BK21" i="2"/>
  <c r="BK9" i="2"/>
  <c r="BK7" i="2"/>
  <c r="BK16" i="2"/>
  <c r="BK19" i="2"/>
  <c r="BK15" i="2"/>
  <c r="BK17" i="2"/>
  <c r="BK13" i="2"/>
  <c r="BK10" i="2"/>
  <c r="BK20" i="2"/>
  <c r="BK12" i="2"/>
  <c r="AU8" i="2"/>
  <c r="BL8" i="2" s="1"/>
  <c r="AS11" i="2"/>
  <c r="AS15" i="2"/>
  <c r="AS9" i="2"/>
  <c r="AT21" i="2"/>
  <c r="AT19" i="2"/>
  <c r="AS7" i="2"/>
  <c r="AS17" i="2"/>
  <c r="AS16" i="2"/>
  <c r="AS12" i="2"/>
  <c r="AS20" i="2"/>
  <c r="AS13" i="2"/>
  <c r="AS10" i="2"/>
  <c r="AT7" i="2"/>
  <c r="AT13" i="2"/>
  <c r="AS21" i="2"/>
  <c r="AT17" i="2"/>
  <c r="AT15" i="2"/>
  <c r="AT12" i="2"/>
  <c r="AT20" i="2"/>
  <c r="AT16" i="2"/>
  <c r="AT9" i="2"/>
  <c r="AT10" i="2"/>
  <c r="AS19" i="2" l="1"/>
  <c r="BK18" i="2"/>
  <c r="BK11" i="2"/>
  <c r="AT11" i="2"/>
  <c r="CH13" i="2"/>
  <c r="CI13" i="2" s="1"/>
  <c r="CJ13" i="2" s="1"/>
  <c r="AS18" i="2"/>
  <c r="CH7" i="2"/>
  <c r="CI7" i="2" s="1"/>
  <c r="CJ7" i="2" s="1"/>
  <c r="CH16" i="2"/>
  <c r="CI16" i="2" s="1"/>
  <c r="CJ16" i="2" s="1"/>
  <c r="CH18" i="2"/>
  <c r="CI18" i="2" s="1"/>
  <c r="CJ18" i="2" s="1"/>
  <c r="CH12" i="2"/>
  <c r="CI12" i="2" s="1"/>
  <c r="CJ12" i="2" s="1"/>
  <c r="CH21" i="2"/>
  <c r="CI21" i="2" s="1"/>
  <c r="CJ21" i="2" s="1"/>
  <c r="CH17" i="2"/>
  <c r="CI17" i="2" s="1"/>
  <c r="CJ17" i="2" s="1"/>
  <c r="CH15" i="2"/>
  <c r="CI15" i="2" s="1"/>
  <c r="CJ15" i="2" s="1"/>
  <c r="CH11" i="2"/>
  <c r="CI11" i="2" s="1"/>
  <c r="CJ11" i="2" s="1"/>
  <c r="CH10" i="2"/>
  <c r="CI10" i="2" s="1"/>
  <c r="CJ10" i="2" s="1"/>
  <c r="CH9" i="2"/>
  <c r="CI9" i="2" s="1"/>
  <c r="CJ9" i="2" s="1"/>
  <c r="CH19" i="2"/>
  <c r="CI19" i="2" s="1"/>
  <c r="CJ19" i="2" s="1"/>
  <c r="CH20" i="2"/>
  <c r="CI20" i="2" s="1"/>
  <c r="CJ20" i="2" s="1"/>
  <c r="AT18" i="2"/>
  <c r="BX16" i="2"/>
  <c r="BY16" i="2"/>
  <c r="BX21" i="2"/>
  <c r="BY21" i="2"/>
  <c r="BX15" i="2"/>
  <c r="BY15" i="2"/>
  <c r="BX11" i="2"/>
  <c r="BY11" i="2"/>
  <c r="BX10" i="2"/>
  <c r="BY10" i="2"/>
  <c r="BX9" i="2"/>
  <c r="BY9" i="2"/>
  <c r="BX13" i="2"/>
  <c r="BY13" i="2"/>
  <c r="BX19" i="2"/>
  <c r="BY19" i="2"/>
  <c r="BX20" i="2"/>
  <c r="BY20" i="2"/>
  <c r="BX18" i="2"/>
  <c r="BY18" i="2"/>
  <c r="BX12" i="2"/>
  <c r="BY12" i="2"/>
  <c r="BX17" i="2"/>
  <c r="BY17" i="2"/>
  <c r="BX7" i="2"/>
  <c r="BY7" i="2"/>
  <c r="BS8" i="2"/>
  <c r="BT8" i="2"/>
  <c r="BU8" i="2" s="1"/>
  <c r="BW8" i="2" s="1"/>
  <c r="CG8" i="2" s="1"/>
  <c r="BS7" i="2"/>
  <c r="BQ8" i="2"/>
  <c r="BP8" i="2"/>
  <c r="BR8" i="2" s="1"/>
  <c r="BQ7" i="2"/>
  <c r="BP7" i="2"/>
  <c r="BR7" i="2" s="1"/>
  <c r="AS8" i="2"/>
  <c r="AT8" i="2"/>
  <c r="BK8" i="2"/>
  <c r="CH8" i="2" l="1"/>
  <c r="CI8" i="2" s="1"/>
  <c r="CJ8" i="2" s="1"/>
  <c r="BX8" i="2"/>
  <c r="BY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Kayla McGiffen</author>
  </authors>
  <commentList>
    <comment ref="AF5" authorId="0" shapeId="0" xr:uid="{5526C213-69A1-4BFD-9AF8-C4E63A295006}">
      <text>
        <r>
          <rPr>
            <sz val="9"/>
            <color indexed="81"/>
            <rFont val="Tahoma"/>
            <family val="2"/>
          </rPr>
          <t>this is a lot of the same issues as hit targeting?</t>
        </r>
      </text>
    </comment>
    <comment ref="BM5" authorId="0" shapeId="0" xr:uid="{C847DBFB-6CF1-4738-A6B4-7C99158DE573}">
      <text>
        <r>
          <rPr>
            <sz val="9"/>
            <color indexed="81"/>
            <rFont val="Tahoma"/>
            <family val="2"/>
          </rPr>
          <t>MLB swinging results:
20% swings miss entirely
45% hit / out
35% foul (80%)</t>
        </r>
      </text>
    </comment>
    <comment ref="BU5" authorId="0" shapeId="0" xr:uid="{9AECA63B-12CF-412D-974D-013FAEE5E40C}">
      <text>
        <r>
          <rPr>
            <sz val="9"/>
            <color indexed="81"/>
            <rFont val="Tahoma"/>
            <family val="2"/>
          </rPr>
          <t>MLB BABIP is about 0.33,
HR percent on all hits is about 0.12</t>
        </r>
      </text>
    </comment>
    <comment ref="D6" authorId="0" shapeId="0" xr:uid="{00000000-0006-0000-0000-000001000000}">
      <text>
        <r>
          <rPr>
            <sz val="9"/>
            <color indexed="81"/>
            <rFont val="Tahoma"/>
            <family val="2"/>
          </rPr>
          <t>MLB average is about 10 feet for a 90 foot basepath, or a little above 0.1</t>
        </r>
      </text>
    </comment>
    <comment ref="G6" authorId="0" shapeId="0" xr:uid="{00000000-0006-0000-0000-000002000000}">
      <text>
        <r>
          <rPr>
            <sz val="9"/>
            <color indexed="81"/>
            <rFont val="Tahoma"/>
            <family val="2"/>
          </rPr>
          <t>0.9 - 1 second approx</t>
        </r>
      </text>
    </comment>
    <comment ref="H6" authorId="0" shapeId="0" xr:uid="{00000000-0006-0000-0000-000003000000}">
      <text>
        <r>
          <rPr>
            <sz val="9"/>
            <color indexed="81"/>
            <rFont val="Tahoma"/>
            <family val="2"/>
          </rPr>
          <t>(0.01 - 0.005 s/ft)</t>
        </r>
      </text>
    </comment>
    <comment ref="J6" authorId="0" shapeId="0" xr:uid="{00000000-0006-0000-0000-000004000000}">
      <text>
        <r>
          <rPr>
            <sz val="9"/>
            <color indexed="81"/>
            <rFont val="Tahoma"/>
            <family val="2"/>
          </rPr>
          <t>pickoff time is 1.3 - 1.5 seconds</t>
        </r>
      </text>
    </comment>
    <comment ref="K6" authorId="0" shapeId="0" xr:uid="{00000000-0006-0000-0000-000005000000}">
      <text>
        <r>
          <rPr>
            <sz val="9"/>
            <color indexed="81"/>
            <rFont val="Tahoma"/>
            <family val="2"/>
          </rPr>
          <t>0.8 - 1</t>
        </r>
      </text>
    </comment>
    <comment ref="L6" authorId="0" shapeId="0" xr:uid="{00000000-0006-0000-0000-000006000000}">
      <text>
        <r>
          <rPr>
            <sz val="9"/>
            <color indexed="81"/>
            <rFont val="Tahoma"/>
            <family val="2"/>
          </rPr>
          <t>0.035 - 0.050</t>
        </r>
      </text>
    </comment>
    <comment ref="P6" authorId="0" shapeId="0" xr:uid="{00000000-0006-0000-0000-000007000000}">
      <text>
        <r>
          <rPr>
            <sz val="9"/>
            <color indexed="81"/>
            <rFont val="Tahoma"/>
            <family val="2"/>
          </rPr>
          <t>MLB FP is 0.985 average, with a minimum around 0.95</t>
        </r>
      </text>
    </comment>
    <comment ref="X6" authorId="0" shapeId="0" xr:uid="{B5D1D0D3-DA2D-4D75-9B34-0F3E11A9E82E}">
      <text>
        <r>
          <rPr>
            <sz val="9"/>
            <color indexed="81"/>
            <rFont val="Tahoma"/>
            <family val="2"/>
          </rPr>
          <t>modifier for pitch read</t>
        </r>
      </text>
    </comment>
    <comment ref="Z6" authorId="0" shapeId="0" xr:uid="{E64EC8D7-40F7-410F-9574-1834399D7CBA}">
      <text>
        <r>
          <rPr>
            <sz val="9"/>
            <color indexed="81"/>
            <rFont val="Tahoma"/>
            <family val="2"/>
          </rPr>
          <t>negative 1 to positive 1
negative 1: striaght to third base
positive 1: straight to first base
do not worry about fouls in this calculation</t>
        </r>
      </text>
    </comment>
    <comment ref="AE6" authorId="0" shapeId="0" xr:uid="{78A19D0D-ED6C-46F4-A408-F5A6D2C23C68}">
      <text>
        <r>
          <rPr>
            <sz val="9"/>
            <color indexed="81"/>
            <rFont val="Tahoma"/>
            <family val="2"/>
          </rPr>
          <t xml:space="preserve">foul percent assuming target is right down the middle to 2nd. Should be very close to zero as actual fouls come from hit quality fuzzing (players basically should never accept fouls to get steer)
</t>
        </r>
      </text>
    </comment>
    <comment ref="AI6" authorId="0" shapeId="0" xr:uid="{7FB6F74D-C6BF-4F8E-A4DE-D1AFBFA9BA38}">
      <text>
        <r>
          <rPr>
            <sz val="9"/>
            <color indexed="81"/>
            <rFont val="Tahoma"/>
            <family val="2"/>
          </rPr>
          <t>at two outs, runners on base are less critical</t>
        </r>
      </text>
    </comment>
    <comment ref="AK6" authorId="0" shapeId="0" xr:uid="{A4D80CCE-A2B4-4732-B1A0-AC7EEBD37D7D}">
      <text>
        <r>
          <rPr>
            <sz val="9"/>
            <color indexed="81"/>
            <rFont val="Tahoma"/>
            <family val="2"/>
          </rPr>
          <t>cap the defense contribution because you don't want to throw too wide - 1 should be "exactly ideal"</t>
        </r>
      </text>
    </comment>
    <comment ref="AM6" authorId="0" shapeId="0" xr:uid="{F3290D02-D257-4972-96A2-CC4C60A9AFDE}">
      <text>
        <r>
          <rPr>
            <sz val="9"/>
            <color indexed="81"/>
            <rFont val="Tahoma"/>
            <family val="2"/>
          </rPr>
          <t>oh god I swear this makes sense somehow
MLB strike percent is about 65% strikes</t>
        </r>
      </text>
    </comment>
    <comment ref="AN6" authorId="0" shapeId="0" xr:uid="{A7127813-21E8-485B-ABDB-12F604DB7038}">
      <text>
        <r>
          <rPr>
            <sz val="9"/>
            <color indexed="81"/>
            <rFont val="Tahoma"/>
            <family val="2"/>
          </rPr>
          <t xml:space="preserve">a ton of work needs to be done to dial in the pitch curves, so we use a placeholder gaussian curve
</t>
        </r>
      </text>
    </comment>
    <comment ref="BL6" authorId="0" shapeId="0" xr:uid="{D5323934-9BB2-4745-A80F-4B798334BD80}">
      <text>
        <r>
          <rPr>
            <sz val="9"/>
            <color indexed="81"/>
            <rFont val="Tahoma"/>
            <family val="2"/>
          </rPr>
          <t>MLB odds are roughly 70% accurate for not swinging on balls</t>
        </r>
      </text>
    </comment>
    <comment ref="BO6" authorId="0" shapeId="0" xr:uid="{030483E2-7291-437D-9CB9-C1ED76C416CC}">
      <text>
        <r>
          <rPr>
            <sz val="9"/>
            <color indexed="81"/>
            <rFont val="Tahoma"/>
            <family val="2"/>
          </rPr>
          <t>higher is better</t>
        </r>
      </text>
    </comment>
    <comment ref="BS6" authorId="0" shapeId="0" xr:uid="{3C3DCC1F-579E-468F-A25A-5777BD4D0DAC}">
      <text>
        <r>
          <rPr>
            <b/>
            <sz val="9"/>
            <color indexed="81"/>
            <rFont val="Tahoma"/>
            <family val="2"/>
          </rPr>
          <t>this is scaled:</t>
        </r>
        <r>
          <rPr>
            <sz val="9"/>
            <color indexed="81"/>
            <rFont val="Tahoma"/>
            <family val="2"/>
          </rPr>
          <t xml:space="preserve">
0 is a hit,
1 is a clean hit</t>
        </r>
      </text>
    </comment>
    <comment ref="BV6" authorId="0" shapeId="0" xr:uid="{259376B0-816A-47FC-8F3F-92BC8B678A6F}">
      <text>
        <r>
          <rPr>
            <sz val="9"/>
            <color indexed="81"/>
            <rFont val="Tahoma"/>
            <family val="2"/>
          </rPr>
          <t>adjust based on power</t>
        </r>
      </text>
    </comment>
    <comment ref="BW6" authorId="0" shapeId="0" xr:uid="{52F96A88-13C3-4AB4-8C25-471D7B50E661}">
      <text>
        <r>
          <rPr>
            <sz val="9"/>
            <color indexed="81"/>
            <rFont val="Tahoma"/>
            <family val="2"/>
          </rPr>
          <t>25% mlb</t>
        </r>
      </text>
    </comment>
    <comment ref="BX6" authorId="0" shapeId="0" xr:uid="{F55B12B3-1631-44A2-8965-C3C748BF3FE0}">
      <text>
        <r>
          <rPr>
            <sz val="9"/>
            <color indexed="81"/>
            <rFont val="Tahoma"/>
            <family val="2"/>
          </rPr>
          <t>~45% for mlb</t>
        </r>
      </text>
    </comment>
    <comment ref="BY6" authorId="0" shapeId="0" xr:uid="{2C47AF57-CA61-4E9C-88D6-98F38269FEAF}">
      <text>
        <r>
          <rPr>
            <sz val="9"/>
            <color indexed="81"/>
            <rFont val="Tahoma"/>
            <family val="2"/>
          </rPr>
          <t>~7% mlb</t>
        </r>
      </text>
    </comment>
    <comment ref="CA6" authorId="0" shapeId="0" xr:uid="{324A6E89-AC6B-46CE-AC0E-9BAE4449F096}">
      <text>
        <r>
          <rPr>
            <sz val="9"/>
            <color indexed="81"/>
            <rFont val="Tahoma"/>
            <family val="2"/>
          </rPr>
          <t>mlb average is 89, 120 is star personal best</t>
        </r>
      </text>
    </comment>
    <comment ref="AH26" authorId="0" shapeId="0" xr:uid="{246EB7CA-2F63-49E7-863F-0B68F2A116B9}">
      <text>
        <r>
          <rPr>
            <sz val="9"/>
            <color indexed="81"/>
            <rFont val="Tahoma"/>
            <family val="2"/>
          </rPr>
          <t>how many runners advance on a walk</t>
        </r>
      </text>
    </comment>
    <comment ref="BZ28" authorId="0" shapeId="0" xr:uid="{3E980C62-8107-4CD7-8C3D-2CEF45CAC06D}">
      <text>
        <r>
          <rPr>
            <sz val="9"/>
            <color indexed="81"/>
            <rFont val="Tahoma"/>
            <family val="2"/>
          </rPr>
          <t>0 is right down 1b,
90 is right down 3b</t>
        </r>
      </text>
    </comment>
    <comment ref="BB29" authorId="0" shapeId="0" xr:uid="{CD03F520-A732-42DB-A03A-1C5169DFA082}">
      <text>
        <r>
          <rPr>
            <sz val="9"/>
            <color indexed="81"/>
            <rFont val="Tahoma"/>
            <family val="2"/>
          </rPr>
          <t>33% (3-0) to 114 (0-2)</t>
        </r>
      </text>
    </comment>
    <comment ref="W30" authorId="0" shapeId="0" xr:uid="{D8DCA7B9-678E-47DB-93A1-F525ACF3FE9E}">
      <text>
        <r>
          <rPr>
            <sz val="9"/>
            <color indexed="81"/>
            <rFont val="Tahoma"/>
            <family val="2"/>
          </rPr>
          <t>higher = more strikes</t>
        </r>
      </text>
    </comment>
    <comment ref="AF31" authorId="0" shapeId="0" xr:uid="{080A9050-38C4-44EF-984F-F1EB60F9CF1E}">
      <text>
        <r>
          <rPr>
            <sz val="9"/>
            <color indexed="81"/>
            <rFont val="Tahoma"/>
            <family val="2"/>
          </rPr>
          <t>MLB first pitch strike rate is about 58%</t>
        </r>
      </text>
    </comment>
    <comment ref="X32" authorId="0" shapeId="0" xr:uid="{EA3D68F0-83F8-43D1-BC3E-EBDFBE194F23}">
      <text>
        <r>
          <rPr>
            <sz val="9"/>
            <color indexed="81"/>
            <rFont val="Tahoma"/>
            <family val="2"/>
          </rPr>
          <t>ball factor for 100% desperation</t>
        </r>
      </text>
    </comment>
    <comment ref="X34" authorId="0" shapeId="0" xr:uid="{7E552806-34C7-44CA-B1E5-89A0535C46A0}">
      <text>
        <r>
          <rPr>
            <sz val="9"/>
            <color indexed="81"/>
            <rFont val="Tahoma"/>
            <family val="2"/>
          </rPr>
          <t>Lowest desperation modifier</t>
        </r>
      </text>
    </comment>
    <comment ref="AF34" authorId="0" shapeId="0" xr:uid="{2D594F3D-E80F-4E82-B70F-2DCBED2E888D}">
      <text>
        <r>
          <rPr>
            <sz val="9"/>
            <color indexed="81"/>
            <rFont val="Tahoma"/>
            <family val="2"/>
          </rPr>
          <t>higher = more strikes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<sst xmlns="http://schemas.openxmlformats.org/spreadsheetml/2006/main" count="379" uniqueCount="302">
  <si>
    <t>Ball</t>
  </si>
  <si>
    <t>Foul</t>
  </si>
  <si>
    <t>Strike, Swinging</t>
  </si>
  <si>
    <t>Strike, Looking</t>
  </si>
  <si>
    <t>Ball In Play</t>
  </si>
  <si>
    <t>offense ratings</t>
  </si>
  <si>
    <t>defense ratings</t>
  </si>
  <si>
    <t>perms</t>
  </si>
  <si>
    <t>Rep #</t>
  </si>
  <si>
    <t>offense</t>
  </si>
  <si>
    <t>defense</t>
  </si>
  <si>
    <t>base leadoff</t>
  </si>
  <si>
    <t>leadoff modifier</t>
  </si>
  <si>
    <t>total leadoff (ft)</t>
  </si>
  <si>
    <t>R</t>
  </si>
  <si>
    <t>1B</t>
  </si>
  <si>
    <t xml:space="preserve"> Pujols, Albert</t>
  </si>
  <si>
    <t xml:space="preserve"> LAD</t>
  </si>
  <si>
    <t xml:space="preserve"> Posey, Buster</t>
  </si>
  <si>
    <t xml:space="preserve"> SF</t>
  </si>
  <si>
    <t>C</t>
  </si>
  <si>
    <t>Rk.</t>
  </si>
  <si>
    <t>Player</t>
  </si>
  <si>
    <t>Bats</t>
  </si>
  <si>
    <t>Team</t>
  </si>
  <si>
    <t>Position</t>
  </si>
  <si>
    <t>Age</t>
  </si>
  <si>
    <t>0ft</t>
  </si>
  <si>
    <t>5ft</t>
  </si>
  <si>
    <t>10ft</t>
  </si>
  <si>
    <t>15ft</t>
  </si>
  <si>
    <t>20ft</t>
  </si>
  <si>
    <t>25ft</t>
  </si>
  <si>
    <t>30ft</t>
  </si>
  <si>
    <t>35ft</t>
  </si>
  <si>
    <t>40ft</t>
  </si>
  <si>
    <t>45ft</t>
  </si>
  <si>
    <t>50ft</t>
  </si>
  <si>
    <t>55ft</t>
  </si>
  <si>
    <t>60ft</t>
  </si>
  <si>
    <t>65ft</t>
  </si>
  <si>
    <t>70ft</t>
  </si>
  <si>
    <t>75ft</t>
  </si>
  <si>
    <t>80ft</t>
  </si>
  <si>
    <t>85ft</t>
  </si>
  <si>
    <t>90ft</t>
  </si>
  <si>
    <t xml:space="preserve"> Craig, Will</t>
  </si>
  <si>
    <t xml:space="preserve"> PIT</t>
  </si>
  <si>
    <t xml:space="preserve"> Garver, Mitch</t>
  </si>
  <si>
    <t xml:space="preserve"> MIN</t>
  </si>
  <si>
    <t xml:space="preserve"> Stephenson, Tyler</t>
  </si>
  <si>
    <t xml:space="preserve"> CIN</t>
  </si>
  <si>
    <t xml:space="preserve"> Bauers, Jake</t>
  </si>
  <si>
    <t>L</t>
  </si>
  <si>
    <t xml:space="preserve"> SEA</t>
  </si>
  <si>
    <t xml:space="preserve"> Davis, Jonathan</t>
  </si>
  <si>
    <t xml:space="preserve"> NYY</t>
  </si>
  <si>
    <t>CF</t>
  </si>
  <si>
    <t xml:space="preserve"> Reynolds, Bryan</t>
  </si>
  <si>
    <t xml:space="preserve"> Dyson, Jarrod</t>
  </si>
  <si>
    <t xml:space="preserve"> TOR</t>
  </si>
  <si>
    <t xml:space="preserve"> Ohtani, Shohei</t>
  </si>
  <si>
    <t xml:space="preserve"> LAA</t>
  </si>
  <si>
    <t>DH</t>
  </si>
  <si>
    <t>LF</t>
  </si>
  <si>
    <t xml:space="preserve"> Jiménez, Eloy</t>
  </si>
  <si>
    <t xml:space="preserve"> CWS</t>
  </si>
  <si>
    <t xml:space="preserve"> India, Jonathan</t>
  </si>
  <si>
    <t>2B</t>
  </si>
  <si>
    <t xml:space="preserve"> Fletcher, David</t>
  </si>
  <si>
    <t>reaction</t>
  </si>
  <si>
    <t>pickoff reaction 10ft</t>
  </si>
  <si>
    <t>speed (seconds per foot)</t>
  </si>
  <si>
    <t>pickoff time</t>
  </si>
  <si>
    <t>runner reaction</t>
  </si>
  <si>
    <t>throw speed (mph)</t>
  </si>
  <si>
    <t>runner speed (s/ft)</t>
  </si>
  <si>
    <t>throw speed (s/ft)</t>
  </si>
  <si>
    <t>pickoff manuver (s)</t>
  </si>
  <si>
    <t>runner speed (mph)</t>
  </si>
  <si>
    <t>pickoff evade time</t>
  </si>
  <si>
    <t>stdv:</t>
  </si>
  <si>
    <t>awe factor:</t>
  </si>
  <si>
    <t>force factor:</t>
  </si>
  <si>
    <t>timing factor:</t>
  </si>
  <si>
    <t>speed factor:</t>
  </si>
  <si>
    <t>stdv</t>
  </si>
  <si>
    <t>mean:</t>
  </si>
  <si>
    <t>pickoff probability</t>
  </si>
  <si>
    <t>bravery factor:</t>
  </si>
  <si>
    <t>strat factor:</t>
  </si>
  <si>
    <t>const:</t>
  </si>
  <si>
    <t>INVERTER BOX:</t>
  </si>
  <si>
    <t>probability</t>
  </si>
  <si>
    <t>z score</t>
  </si>
  <si>
    <t>stdev:</t>
  </si>
  <si>
    <t>x:</t>
  </si>
  <si>
    <t>GUASS CRUNCHER</t>
  </si>
  <si>
    <t>DOUBLE GAUSS CRUNCHER</t>
  </si>
  <si>
    <t>x</t>
  </si>
  <si>
    <t>prob:</t>
  </si>
  <si>
    <t>targets:</t>
  </si>
  <si>
    <t>diff:</t>
  </si>
  <si>
    <t>fielding fuzzer:</t>
  </si>
  <si>
    <t>Fielding Odds</t>
  </si>
  <si>
    <t>pickoff worth it?</t>
  </si>
  <si>
    <t>Error %</t>
  </si>
  <si>
    <t>Blatant steal time</t>
  </si>
  <si>
    <t>Response speed</t>
  </si>
  <si>
    <t>reaction factor</t>
  </si>
  <si>
    <t>blatant steal probability</t>
  </si>
  <si>
    <t>defense fear</t>
  </si>
  <si>
    <t>quality</t>
  </si>
  <si>
    <t>distance</t>
  </si>
  <si>
    <t>launch</t>
  </si>
  <si>
    <t>field</t>
  </si>
  <si>
    <t>result</t>
  </si>
  <si>
    <t>low</t>
  </si>
  <si>
    <t>high</t>
  </si>
  <si>
    <t>infield ground out</t>
  </si>
  <si>
    <t>single or fielder's choice</t>
  </si>
  <si>
    <t>double line drive</t>
  </si>
  <si>
    <t>foul</t>
  </si>
  <si>
    <t>fly out</t>
  </si>
  <si>
    <t>HR</t>
  </si>
  <si>
    <t>count</t>
  </si>
  <si>
    <t>leadoff + pickoff</t>
  </si>
  <si>
    <t>base stats</t>
  </si>
  <si>
    <t>steals</t>
  </si>
  <si>
    <t>hit intent</t>
  </si>
  <si>
    <t>net count</t>
  </si>
  <si>
    <t>balls</t>
  </si>
  <si>
    <t>strikes</t>
  </si>
  <si>
    <t>balls over</t>
  </si>
  <si>
    <t>ball factor</t>
  </si>
  <si>
    <t>bonus ball</t>
  </si>
  <si>
    <t>desperation</t>
  </si>
  <si>
    <t>player control</t>
  </si>
  <si>
    <t>third base v</t>
  </si>
  <si>
    <t>second base ^</t>
  </si>
  <si>
    <t>first base:</t>
  </si>
  <si>
    <t>base simulator:</t>
  </si>
  <si>
    <t>desp midpoint</t>
  </si>
  <si>
    <t>desp floor</t>
  </si>
  <si>
    <t>modifiers:</t>
  </si>
  <si>
    <t>first</t>
  </si>
  <si>
    <t>second</t>
  </si>
  <si>
    <t>third</t>
  </si>
  <si>
    <t>zero:</t>
  </si>
  <si>
    <t>actual?</t>
  </si>
  <si>
    <t>ideal steer</t>
  </si>
  <si>
    <t>sb mod:</t>
  </si>
  <si>
    <t>control at 0:</t>
  </si>
  <si>
    <t>control at 1:</t>
  </si>
  <si>
    <t>control at 2:</t>
  </si>
  <si>
    <t>scaled control</t>
  </si>
  <si>
    <t>seg 1 offset:</t>
  </si>
  <si>
    <t>seg 1 mult:</t>
  </si>
  <si>
    <t>seg 2 offset:</t>
  </si>
  <si>
    <t>seg 2 mult:</t>
  </si>
  <si>
    <t>base stdev</t>
  </si>
  <si>
    <t>accuracy scalar</t>
  </si>
  <si>
    <t>unmod foul percent 3rd</t>
  </si>
  <si>
    <t>unmod foul percent 1st</t>
  </si>
  <si>
    <t>total unmod foul percent</t>
  </si>
  <si>
    <t>unmod dead center foul%</t>
  </si>
  <si>
    <t>bad control calcs</t>
  </si>
  <si>
    <t>pitch location</t>
  </si>
  <si>
    <t>hitter discipline bias</t>
  </si>
  <si>
    <t>weight:</t>
  </si>
  <si>
    <t>power bias</t>
  </si>
  <si>
    <t>discipline (sample)</t>
  </si>
  <si>
    <t>power (sample)</t>
  </si>
  <si>
    <t>bases loaded</t>
  </si>
  <si>
    <t>number of outs</t>
  </si>
  <si>
    <t>current hitter vs next hitter</t>
  </si>
  <si>
    <t>runners to walk</t>
  </si>
  <si>
    <t>RtW scaled</t>
  </si>
  <si>
    <t>note: negative means inside bias (easier to hit, more strikes)</t>
  </si>
  <si>
    <t>runner on third?</t>
  </si>
  <si>
    <t>Total:</t>
  </si>
  <si>
    <t>outs:</t>
  </si>
  <si>
    <t>scaled:</t>
  </si>
  <si>
    <t>next hitter:</t>
  </si>
  <si>
    <t>first pitch bias</t>
  </si>
  <si>
    <t>called position</t>
  </si>
  <si>
    <t>calling modifier</t>
  </si>
  <si>
    <t>base:</t>
  </si>
  <si>
    <t>sigmoid strike percent</t>
  </si>
  <si>
    <t>width:</t>
  </si>
  <si>
    <t>vert scale</t>
  </si>
  <si>
    <t>min:</t>
  </si>
  <si>
    <t>max:</t>
  </si>
  <si>
    <t>tanh strike percent</t>
  </si>
  <si>
    <t>called pos 0.2 pitch</t>
  </si>
  <si>
    <t>called pos 2 pitch</t>
  </si>
  <si>
    <t>pitch spread modifier</t>
  </si>
  <si>
    <t>pitch spread max stdev</t>
  </si>
  <si>
    <t>the pitch</t>
  </si>
  <si>
    <t>location</t>
  </si>
  <si>
    <t>location +1 stdv</t>
  </si>
  <si>
    <t>obscurity</t>
  </si>
  <si>
    <t>min dist to sz 1stdv</t>
  </si>
  <si>
    <t>max dist to sz 1stdv</t>
  </si>
  <si>
    <t>max base obsc</t>
  </si>
  <si>
    <t>obsc den factor</t>
  </si>
  <si>
    <t>trickiness factor</t>
  </si>
  <si>
    <t>location -1  stdv</t>
  </si>
  <si>
    <t>ave obscurity</t>
  </si>
  <si>
    <t>Column95</t>
  </si>
  <si>
    <t>Column96</t>
  </si>
  <si>
    <t>Column97</t>
  </si>
  <si>
    <t>Column98</t>
  </si>
  <si>
    <t>Column99</t>
  </si>
  <si>
    <t>Column100</t>
  </si>
  <si>
    <t>Column101</t>
  </si>
  <si>
    <t>Column102</t>
  </si>
  <si>
    <t>Column103</t>
  </si>
  <si>
    <t>obscurity at 
0.5</t>
  </si>
  <si>
    <t>obscurity at  0.9</t>
  </si>
  <si>
    <t>distance factor</t>
  </si>
  <si>
    <t>average difficulty</t>
  </si>
  <si>
    <t>dist scale</t>
  </si>
  <si>
    <t>+1stdv difficulty</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</si>
  <si>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</si>
  <si>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</si>
  <si>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</si>
  <si>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</si>
  <si>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</si>
  <si>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</si>
  <si>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</si>
  <si>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</si>
  <si>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</si>
  <si>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</si>
  <si>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</si>
  <si>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</si>
  <si>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</si>
  <si>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</si>
  <si>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</si>
  <si>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</si>
  <si>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</si>
  <si>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</si>
  <si>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</si>
  <si>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</si>
  <si>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</si>
  <si>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</si>
  <si>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power factor</t>
  </si>
  <si>
    <t>reduction</t>
  </si>
  <si>
    <t>reduction factor</t>
  </si>
  <si>
    <t>Swing decision</t>
  </si>
  <si>
    <t>desperation echo</t>
  </si>
  <si>
    <t>Location</t>
  </si>
  <si>
    <t>Strike?</t>
  </si>
  <si>
    <t>discipline modifier</t>
  </si>
  <si>
    <t>effective obscurity</t>
  </si>
  <si>
    <t>odds of read</t>
  </si>
  <si>
    <t>unadjusted swing %</t>
  </si>
  <si>
    <t>adjusted swing %</t>
  </si>
  <si>
    <t>hit quality</t>
  </si>
  <si>
    <t>contact echo</t>
  </si>
  <si>
    <t>pitch carry forward diff</t>
  </si>
  <si>
    <t>pitch carry forward obsc</t>
  </si>
  <si>
    <t>CF odds of read</t>
  </si>
  <si>
    <t>center</t>
  </si>
  <si>
    <t>difficulty at 1</t>
  </si>
  <si>
    <t>stdev</t>
  </si>
  <si>
    <t>strike swinging %</t>
  </si>
  <si>
    <t>foul threshold</t>
  </si>
  <si>
    <t>foul %</t>
  </si>
  <si>
    <t>clean %</t>
  </si>
  <si>
    <t>CF contact readiness</t>
  </si>
  <si>
    <t>clean threshold</t>
  </si>
  <si>
    <t>ave. hit quality</t>
  </si>
  <si>
    <t>hit direction</t>
  </si>
  <si>
    <t>pull</t>
  </si>
  <si>
    <t>hit quality remainder</t>
  </si>
  <si>
    <t>sample hit quality</t>
  </si>
  <si>
    <t>launch angle base stdv</t>
  </si>
  <si>
    <t>base launch angle</t>
  </si>
  <si>
    <t>adjusted launch angle</t>
  </si>
  <si>
    <t>grounder % (&lt;10 deg)</t>
  </si>
  <si>
    <t>hit quality factor</t>
  </si>
  <si>
    <t>angle stdev</t>
  </si>
  <si>
    <t>hit quality +1stdv</t>
  </si>
  <si>
    <t>pop up % (&gt;50 deg)</t>
  </si>
  <si>
    <t>pull stdv</t>
  </si>
  <si>
    <t>odds of 3B</t>
  </si>
  <si>
    <t>exit velocity mean</t>
  </si>
  <si>
    <t>max EV ave</t>
  </si>
  <si>
    <t>min ev ave</t>
  </si>
  <si>
    <t>after reduction</t>
  </si>
  <si>
    <t>power stdv</t>
  </si>
  <si>
    <t>theoretical distance</t>
  </si>
  <si>
    <t>gravity in mph</t>
  </si>
  <si>
    <t>flight time</t>
  </si>
  <si>
    <t>wind resistance</t>
  </si>
  <si>
    <t>actual distance</t>
  </si>
  <si>
    <t>+1stdv EV</t>
  </si>
  <si>
    <t>+1stdv LA</t>
  </si>
  <si>
    <t>+1stdv flight time</t>
  </si>
  <si>
    <t>+1stdev distance</t>
  </si>
  <si>
    <t>+1stdev delta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</si>
</sst>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74" formatCode="0.000"/>
  </numFmts>
  <fonts count="10" x14ac:knownFonts="1">
    <font>
      <sz val="11"/>
      <color theme="1"/>
      <name val="Calibri"/>
      <family val="2"/>
      <scheme val="minor"/>
    </font>
    <font>
      <sz val="10"/>
      <color rgb="FF252C2F"/>
      <name val="Arial"/>
      <family val="2"/>
    </font>
    <font>
      <sz val="11"/>
      <color theme="1"/>
      <name val="Calibri"/>
      <family val="2"/>
      <scheme val="minor"/>
    </font>
    <font>
      <sz val="11"/>
      <color rgb="FF9C6500"/>
      <name val="Calibri"/>
      <family val="2"/>
      <scheme val="minor"/>
    </font>
    <font>
      <sz val="9"/>
      <color indexed="81"/>
      <name val="Tahoma"/>
      <family val="2"/>
    </font>
    <font>
      <b/>
      <sz val="11"/>
      <color theme="1"/>
      <name val="Calibri"/>
      <family val="2"/>
      <scheme val="minor"/>
    </font>
    <font>
      <strike/>
      <sz val="11"/>
      <color theme="1"/>
      <name val="Calibri"/>
      <family val="2"/>
      <scheme val="minor"/>
    </font>
    <font>
      <i/>
      <sz val="11"/>
      <color theme="1"/>
      <name val="Calibri"/>
      <family val="2"/>
      <scheme val="minor"/>
    </font>
    <font>
      <b/>
      <sz val="9"/>
      <color indexed="81"/>
      <name val="Tahoma"/>
      <family val="2"/>
    </font>
    <font>
      <sz val="8"/>
      <name val="Calibri"/>
      <family val="2"/>
      <scheme val="minor"/>
    </font>
  </fonts>
  <fills count="11">
    <fill>
      <patternFill patternType="none"/>
    </fill>
    <fill>
      <patternFill patternType="gray125"/>
    </fill>
    <fill>
      <patternFill patternType="solid">
        <fgColor rgb="FFFFEB9C"/>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2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style="medium">
        <color indexed="64"/>
      </bottom>
      <diagonal/>
    </border>
    <border>
      <left/>
      <right/>
      <top style="double">
        <color auto="1"/>
      </top>
      <bottom style="medium">
        <color indexed="64"/>
      </bottom>
      <diagonal/>
    </border>
    <border>
      <left/>
      <right style="double">
        <color auto="1"/>
      </right>
      <top style="double">
        <color auto="1"/>
      </top>
      <bottom style="medium">
        <color indexed="64"/>
      </bottom>
      <diagonal/>
    </border>
    <border>
      <left style="medium">
        <color indexed="64"/>
      </left>
      <right style="medium">
        <color indexed="64"/>
      </right>
      <top style="medium">
        <color indexed="64"/>
      </top>
      <bottom style="double">
        <color auto="1"/>
      </bottom>
      <diagonal/>
    </border>
    <border>
      <left style="medium">
        <color indexed="64"/>
      </left>
      <right style="double">
        <color auto="1"/>
      </right>
      <top style="medium">
        <color indexed="64"/>
      </top>
      <bottom style="double">
        <color auto="1"/>
      </bottom>
      <diagonal/>
    </border>
    <border>
      <left style="double">
        <color auto="1"/>
      </left>
      <right/>
      <top/>
      <bottom style="medium">
        <color indexed="64"/>
      </bottom>
      <diagonal/>
    </border>
    <border>
      <left/>
      <right/>
      <top/>
      <bottom style="medium">
        <color indexed="64"/>
      </bottom>
      <diagonal/>
    </border>
    <border>
      <left/>
      <right style="double">
        <color auto="1"/>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0" fontId="3" fillId="2" borderId="0" applyNumberFormat="0" applyBorder="0" applyAlignment="0" applyProtection="0"/>
  </cellStyleXfs>
  <cellXfs count="168">
    <xf numFmtId="0" fontId="0" fillId="0" borderId="0" xfId="0"/>
    <xf numFmtId="0" fontId="1" fillId="0" borderId="0" xfId="0" applyFont="1"/>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164" fontId="0" fillId="3" borderId="0" xfId="1" applyNumberFormat="1" applyFont="1" applyFill="1"/>
    <xf numFmtId="164" fontId="0" fillId="5" borderId="0" xfId="1" applyNumberFormat="1" applyFont="1" applyFill="1"/>
    <xf numFmtId="164" fontId="0" fillId="6" borderId="0" xfId="1" applyNumberFormat="1" applyFont="1" applyFill="1"/>
    <xf numFmtId="164" fontId="0" fillId="4" borderId="0" xfId="1" applyNumberFormat="1" applyFont="1" applyFill="1"/>
    <xf numFmtId="0" fontId="0" fillId="7" borderId="0" xfId="0" applyFill="1"/>
    <xf numFmtId="164" fontId="0" fillId="7" borderId="0" xfId="1" applyNumberFormat="1" applyFont="1" applyFill="1"/>
    <xf numFmtId="0" fontId="0" fillId="8" borderId="0" xfId="0" applyFill="1"/>
    <xf numFmtId="164" fontId="0" fillId="8" borderId="0" xfId="1" applyNumberFormat="1" applyFont="1" applyFill="1"/>
    <xf numFmtId="0" fontId="0" fillId="9" borderId="0" xfId="0" applyFill="1"/>
    <xf numFmtId="164" fontId="0" fillId="9" borderId="0" xfId="1" applyNumberFormat="1" applyFont="1" applyFill="1"/>
    <xf numFmtId="0" fontId="0" fillId="10" borderId="0" xfId="0" applyFill="1"/>
    <xf numFmtId="164" fontId="0" fillId="10" borderId="0" xfId="1" applyNumberFormat="1" applyFont="1" applyFill="1"/>
    <xf numFmtId="0" fontId="0" fillId="7" borderId="1" xfId="0" applyFill="1" applyBorder="1"/>
    <xf numFmtId="0" fontId="0" fillId="7" borderId="2" xfId="0" applyFill="1" applyBorder="1"/>
    <xf numFmtId="164" fontId="0" fillId="7" borderId="2" xfId="1" applyNumberFormat="1" applyFont="1" applyFill="1" applyBorder="1"/>
    <xf numFmtId="0" fontId="0" fillId="10" borderId="1" xfId="0" applyFill="1" applyBorder="1"/>
    <xf numFmtId="0" fontId="0" fillId="10" borderId="2" xfId="0" applyFill="1" applyBorder="1"/>
    <xf numFmtId="164" fontId="0" fillId="10" borderId="2" xfId="1" applyNumberFormat="1" applyFont="1" applyFill="1" applyBorder="1"/>
    <xf numFmtId="0" fontId="0" fillId="5" borderId="1" xfId="0" applyFill="1" applyBorder="1"/>
    <xf numFmtId="0" fontId="0" fillId="5" borderId="2" xfId="0" applyFill="1" applyBorder="1"/>
    <xf numFmtId="164" fontId="0" fillId="5" borderId="2" xfId="1" applyNumberFormat="1" applyFont="1" applyFill="1" applyBorder="1"/>
    <xf numFmtId="0" fontId="0" fillId="4" borderId="1" xfId="0" applyFill="1" applyBorder="1"/>
    <xf numFmtId="0" fontId="0" fillId="4" borderId="2" xfId="0" applyFill="1" applyBorder="1"/>
    <xf numFmtId="164" fontId="0" fillId="4" borderId="2" xfId="1" applyNumberFormat="1" applyFont="1" applyFill="1"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0" xfId="0" applyBorder="1"/>
    <xf numFmtId="0" fontId="3" fillId="2" borderId="0" xfId="2" applyBorder="1"/>
    <xf numFmtId="0" fontId="3" fillId="2" borderId="4" xfId="2" applyBorder="1"/>
    <xf numFmtId="0" fontId="0" fillId="0" borderId="11" xfId="0" applyBorder="1"/>
    <xf numFmtId="0" fontId="0" fillId="0" borderId="12" xfId="0" applyBorder="1"/>
    <xf numFmtId="0" fontId="0" fillId="0" borderId="13" xfId="0" applyBorder="1"/>
    <xf numFmtId="10" fontId="0" fillId="0" borderId="14" xfId="1" applyNumberFormat="1" applyFont="1" applyBorder="1"/>
    <xf numFmtId="10" fontId="0" fillId="0" borderId="15" xfId="1" applyNumberFormat="1" applyFont="1" applyBorder="1"/>
    <xf numFmtId="10" fontId="0" fillId="0" borderId="6" xfId="0" applyNumberFormat="1" applyBorder="1"/>
    <xf numFmtId="10" fontId="0" fillId="0" borderId="7" xfId="0" applyNumberFormat="1" applyBorder="1"/>
    <xf numFmtId="10" fontId="0" fillId="4" borderId="2" xfId="1" applyNumberFormat="1" applyFont="1" applyFill="1" applyBorder="1"/>
    <xf numFmtId="10" fontId="0" fillId="3" borderId="0" xfId="1" applyNumberFormat="1" applyFont="1" applyFill="1"/>
    <xf numFmtId="10" fontId="0" fillId="4" borderId="0" xfId="1" applyNumberFormat="1" applyFont="1" applyFill="1"/>
    <xf numFmtId="10" fontId="0" fillId="8" borderId="0" xfId="1" applyNumberFormat="1" applyFont="1" applyFill="1"/>
    <xf numFmtId="10" fontId="0" fillId="5" borderId="2" xfId="1" applyNumberFormat="1" applyFont="1" applyFill="1" applyBorder="1"/>
    <xf numFmtId="10" fontId="0" fillId="5" borderId="0" xfId="1" applyNumberFormat="1" applyFont="1" applyFill="1"/>
    <xf numFmtId="10" fontId="0" fillId="10" borderId="0" xfId="1" applyNumberFormat="1" applyFont="1" applyFill="1"/>
    <xf numFmtId="10" fontId="0" fillId="6" borderId="0" xfId="1" applyNumberFormat="1" applyFont="1" applyFill="1"/>
    <xf numFmtId="10" fontId="0" fillId="10" borderId="2" xfId="1" applyNumberFormat="1" applyFont="1" applyFill="1" applyBorder="1"/>
    <xf numFmtId="10" fontId="0" fillId="9" borderId="0" xfId="1" applyNumberFormat="1" applyFont="1" applyFill="1"/>
    <xf numFmtId="10" fontId="0" fillId="7" borderId="0" xfId="1" applyNumberFormat="1" applyFont="1" applyFill="1"/>
    <xf numFmtId="10" fontId="0" fillId="7" borderId="2" xfId="1" applyNumberFormat="1"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2" xfId="0" applyFill="1" applyBorder="1"/>
    <xf numFmtId="0" fontId="0" fillId="0" borderId="0" xfId="0" applyFill="1" applyBorder="1"/>
    <xf numFmtId="0" fontId="0" fillId="0" borderId="0" xfId="0" applyNumberFormat="1"/>
    <xf numFmtId="0" fontId="0" fillId="0" borderId="1" xfId="0" applyBorder="1"/>
    <xf numFmtId="0" fontId="0" fillId="0" borderId="2" xfId="0" applyBorder="1"/>
    <xf numFmtId="0" fontId="0" fillId="0" borderId="27" xfId="0" applyBorder="1"/>
    <xf numFmtId="0" fontId="0" fillId="0" borderId="19" xfId="0" applyFill="1" applyBorder="1"/>
    <xf numFmtId="0" fontId="5" fillId="0" borderId="26" xfId="0" applyFont="1" applyBorder="1"/>
    <xf numFmtId="0" fontId="6" fillId="0" borderId="0" xfId="0" applyFont="1" applyAlignment="1">
      <alignment wrapText="1"/>
    </xf>
    <xf numFmtId="0" fontId="6" fillId="4" borderId="2" xfId="0" applyFont="1" applyFill="1" applyBorder="1"/>
    <xf numFmtId="9" fontId="6" fillId="4" borderId="2" xfId="1" applyFont="1" applyFill="1" applyBorder="1"/>
    <xf numFmtId="0" fontId="6" fillId="3" borderId="0" xfId="0" applyFont="1" applyFill="1"/>
    <xf numFmtId="9" fontId="6" fillId="3" borderId="0" xfId="1" applyFont="1" applyFill="1"/>
    <xf numFmtId="0" fontId="6" fillId="4" borderId="0" xfId="0" applyFont="1" applyFill="1"/>
    <xf numFmtId="9" fontId="6" fillId="4" borderId="0" xfId="1" applyFont="1" applyFill="1"/>
    <xf numFmtId="0" fontId="6" fillId="8" borderId="0" xfId="0" applyFont="1" applyFill="1"/>
    <xf numFmtId="9" fontId="6" fillId="8" borderId="0" xfId="1" applyFont="1" applyFill="1"/>
    <xf numFmtId="0" fontId="6" fillId="5" borderId="2" xfId="0" applyFont="1" applyFill="1" applyBorder="1"/>
    <xf numFmtId="9" fontId="6" fillId="5" borderId="2" xfId="1" applyFont="1" applyFill="1" applyBorder="1"/>
    <xf numFmtId="0" fontId="6" fillId="5" borderId="0" xfId="0" applyFont="1" applyFill="1"/>
    <xf numFmtId="9" fontId="6" fillId="5" borderId="0" xfId="1" applyFont="1" applyFill="1"/>
    <xf numFmtId="0" fontId="6" fillId="10" borderId="0" xfId="0" applyFont="1" applyFill="1"/>
    <xf numFmtId="9" fontId="6" fillId="10" borderId="0" xfId="1" applyFont="1" applyFill="1"/>
    <xf numFmtId="0" fontId="6" fillId="6" borderId="0" xfId="0" applyFont="1" applyFill="1"/>
    <xf numFmtId="9" fontId="6" fillId="6" borderId="0" xfId="1" applyFont="1" applyFill="1"/>
    <xf numFmtId="0" fontId="6" fillId="10" borderId="2" xfId="0" applyFont="1" applyFill="1" applyBorder="1"/>
    <xf numFmtId="9" fontId="6" fillId="10" borderId="2" xfId="1" applyFont="1" applyFill="1" applyBorder="1"/>
    <xf numFmtId="0" fontId="6" fillId="9" borderId="0" xfId="0" applyFont="1" applyFill="1"/>
    <xf numFmtId="9" fontId="6" fillId="9" borderId="0" xfId="1" applyFont="1" applyFill="1"/>
    <xf numFmtId="0" fontId="6" fillId="7" borderId="0" xfId="0" applyFont="1" applyFill="1"/>
    <xf numFmtId="9" fontId="6" fillId="7" borderId="0" xfId="1" applyFont="1" applyFill="1"/>
    <xf numFmtId="0" fontId="6" fillId="7" borderId="2" xfId="0" applyFont="1" applyFill="1" applyBorder="1"/>
    <xf numFmtId="9" fontId="6" fillId="7" borderId="2" xfId="1" applyFont="1" applyFill="1" applyBorder="1"/>
    <xf numFmtId="0" fontId="7" fillId="0" borderId="20" xfId="0" applyFont="1" applyBorder="1"/>
    <xf numFmtId="9" fontId="0" fillId="4" borderId="2" xfId="1" applyFont="1" applyFill="1" applyBorder="1"/>
    <xf numFmtId="9" fontId="0" fillId="3" borderId="0" xfId="1" applyFont="1" applyFill="1"/>
    <xf numFmtId="9" fontId="0" fillId="4" borderId="0" xfId="1" applyFont="1" applyFill="1"/>
    <xf numFmtId="9" fontId="0" fillId="8" borderId="0" xfId="1" applyFont="1" applyFill="1"/>
    <xf numFmtId="9" fontId="0" fillId="5" borderId="2" xfId="1" applyFont="1" applyFill="1" applyBorder="1"/>
    <xf numFmtId="9" fontId="0" fillId="5" borderId="0" xfId="1" applyFont="1" applyFill="1"/>
    <xf numFmtId="9" fontId="0" fillId="10" borderId="0" xfId="1" applyFont="1" applyFill="1"/>
    <xf numFmtId="9" fontId="0" fillId="6" borderId="0" xfId="1" applyFont="1" applyFill="1"/>
    <xf numFmtId="9" fontId="0" fillId="10" borderId="2" xfId="1" applyFont="1" applyFill="1" applyBorder="1"/>
    <xf numFmtId="9" fontId="0" fillId="9" borderId="0" xfId="1" applyFont="1" applyFill="1"/>
    <xf numFmtId="9" fontId="0" fillId="7" borderId="0" xfId="1" applyFont="1" applyFill="1"/>
    <xf numFmtId="9" fontId="0" fillId="7" borderId="2" xfId="1" applyFont="1" applyFill="1" applyBorder="1"/>
    <xf numFmtId="174" fontId="0" fillId="4" borderId="2" xfId="0" applyNumberFormat="1" applyFill="1" applyBorder="1"/>
    <xf numFmtId="174" fontId="0" fillId="3" borderId="0" xfId="0" applyNumberFormat="1" applyFill="1"/>
    <xf numFmtId="174" fontId="0" fillId="4" borderId="0" xfId="0" applyNumberFormat="1" applyFill="1"/>
    <xf numFmtId="174" fontId="0" fillId="8" borderId="0" xfId="0" applyNumberFormat="1" applyFill="1"/>
    <xf numFmtId="174" fontId="0" fillId="5" borderId="2" xfId="0" applyNumberFormat="1" applyFill="1" applyBorder="1"/>
    <xf numFmtId="174" fontId="0" fillId="5" borderId="0" xfId="0" applyNumberFormat="1" applyFill="1"/>
    <xf numFmtId="174" fontId="0" fillId="10" borderId="0" xfId="0" applyNumberFormat="1" applyFill="1"/>
    <xf numFmtId="174" fontId="0" fillId="6" borderId="0" xfId="0" applyNumberFormat="1" applyFill="1"/>
    <xf numFmtId="174" fontId="0" fillId="10" borderId="2" xfId="0" applyNumberFormat="1" applyFill="1" applyBorder="1"/>
    <xf numFmtId="174" fontId="0" fillId="9" borderId="0" xfId="0" applyNumberFormat="1" applyFill="1"/>
    <xf numFmtId="174" fontId="0" fillId="7" borderId="0" xfId="0" applyNumberFormat="1" applyFill="1"/>
    <xf numFmtId="174" fontId="0" fillId="7" borderId="2" xfId="0" applyNumberFormat="1" applyFill="1" applyBorder="1"/>
    <xf numFmtId="2" fontId="0" fillId="4" borderId="2" xfId="1" applyNumberFormat="1" applyFont="1" applyFill="1" applyBorder="1"/>
    <xf numFmtId="2" fontId="0" fillId="4" borderId="2" xfId="0" applyNumberFormat="1" applyFill="1" applyBorder="1"/>
    <xf numFmtId="2" fontId="0" fillId="3" borderId="0" xfId="1" applyNumberFormat="1" applyFont="1" applyFill="1"/>
    <xf numFmtId="2" fontId="0" fillId="3" borderId="0" xfId="0" applyNumberFormat="1" applyFill="1"/>
    <xf numFmtId="2" fontId="0" fillId="4" borderId="0" xfId="1" applyNumberFormat="1" applyFont="1" applyFill="1"/>
    <xf numFmtId="2" fontId="0" fillId="4" borderId="0" xfId="0" applyNumberFormat="1" applyFill="1"/>
    <xf numFmtId="2" fontId="0" fillId="8" borderId="0" xfId="1" applyNumberFormat="1" applyFont="1" applyFill="1"/>
    <xf numFmtId="2" fontId="0" fillId="8" borderId="0" xfId="0" applyNumberFormat="1" applyFill="1"/>
    <xf numFmtId="2" fontId="0" fillId="5" borderId="2" xfId="1" applyNumberFormat="1" applyFont="1" applyFill="1" applyBorder="1"/>
    <xf numFmtId="2" fontId="0" fillId="5" borderId="2" xfId="0" applyNumberFormat="1" applyFill="1" applyBorder="1"/>
    <xf numFmtId="2" fontId="0" fillId="5" borderId="0" xfId="1" applyNumberFormat="1" applyFont="1" applyFill="1"/>
    <xf numFmtId="2" fontId="0" fillId="5" borderId="0" xfId="0" applyNumberFormat="1" applyFill="1"/>
    <xf numFmtId="2" fontId="0" fillId="10" borderId="0" xfId="1" applyNumberFormat="1" applyFont="1" applyFill="1"/>
    <xf numFmtId="2" fontId="0" fillId="10" borderId="0" xfId="0" applyNumberFormat="1" applyFill="1"/>
    <xf numFmtId="2" fontId="0" fillId="6" borderId="0" xfId="1" applyNumberFormat="1" applyFont="1" applyFill="1"/>
    <xf numFmtId="2" fontId="0" fillId="6" borderId="0" xfId="0" applyNumberFormat="1" applyFill="1"/>
    <xf numFmtId="2" fontId="0" fillId="10" borderId="2" xfId="1" applyNumberFormat="1" applyFont="1" applyFill="1" applyBorder="1"/>
    <xf numFmtId="2" fontId="0" fillId="10" borderId="2" xfId="0" applyNumberFormat="1" applyFill="1" applyBorder="1"/>
    <xf numFmtId="2" fontId="0" fillId="9" borderId="0" xfId="1" applyNumberFormat="1" applyFont="1" applyFill="1"/>
    <xf numFmtId="2" fontId="0" fillId="9" borderId="0" xfId="0" applyNumberFormat="1" applyFill="1"/>
    <xf numFmtId="2" fontId="0" fillId="7" borderId="0" xfId="1" applyNumberFormat="1" applyFont="1" applyFill="1"/>
    <xf numFmtId="2" fontId="0" fillId="7" borderId="0" xfId="0" applyNumberFormat="1" applyFill="1"/>
    <xf numFmtId="2" fontId="0" fillId="7" borderId="2" xfId="1" applyNumberFormat="1" applyFont="1" applyFill="1" applyBorder="1"/>
    <xf numFmtId="2" fontId="0" fillId="7" borderId="2" xfId="0" applyNumberFormat="1" applyFill="1" applyBorder="1"/>
    <xf numFmtId="0" fontId="0" fillId="0" borderId="0" xfId="0" quotePrefix="1" applyAlignment="1">
      <alignment wrapText="1"/>
    </xf>
    <xf numFmtId="2" fontId="0" fillId="0" borderId="0" xfId="0" applyNumberFormat="1"/>
    <xf numFmtId="1" fontId="0" fillId="4" borderId="2" xfId="0" applyNumberFormat="1" applyFill="1" applyBorder="1"/>
    <xf numFmtId="1" fontId="0" fillId="3" borderId="0" xfId="0" applyNumberFormat="1" applyFill="1"/>
    <xf numFmtId="1" fontId="0" fillId="4" borderId="0" xfId="0" applyNumberFormat="1" applyFill="1"/>
    <xf numFmtId="1" fontId="0" fillId="8" borderId="0" xfId="0" applyNumberFormat="1" applyFill="1"/>
    <xf numFmtId="1" fontId="0" fillId="5" borderId="2" xfId="0" applyNumberFormat="1" applyFill="1" applyBorder="1"/>
    <xf numFmtId="1" fontId="0" fillId="5" borderId="0" xfId="0" applyNumberFormat="1" applyFill="1"/>
    <xf numFmtId="1" fontId="0" fillId="10" borderId="0" xfId="0" applyNumberFormat="1" applyFill="1"/>
    <xf numFmtId="1" fontId="0" fillId="6" borderId="0" xfId="0" applyNumberFormat="1" applyFill="1"/>
    <xf numFmtId="1" fontId="0" fillId="10" borderId="2" xfId="0" applyNumberFormat="1" applyFill="1" applyBorder="1"/>
    <xf numFmtId="1" fontId="0" fillId="9" borderId="0" xfId="0" applyNumberFormat="1" applyFill="1"/>
    <xf numFmtId="1" fontId="0" fillId="7" borderId="0" xfId="0" applyNumberFormat="1" applyFill="1"/>
    <xf numFmtId="1" fontId="0" fillId="7" borderId="2" xfId="0" applyNumberFormat="1" applyFill="1" applyBorder="1"/>
    <xf numFmtId="0" fontId="0" fillId="0" borderId="28" xfId="0" applyBorder="1"/>
  </cellXfs>
  <cellStyles count="3">
    <cellStyle name="Neutral" xfId="2" builtinId="28"/>
    <cellStyle name="Normal" xfId="0" builtinId="0"/>
    <cellStyle name="Percent" xfId="1" builtinId="5"/>
  </cellStyles>
  <dxfs count="82">
    <dxf>
      <numFmt numFmtId="0" formatCode="General"/>
    </dxf>
    <dxf>
      <font>
        <color rgb="FF9C0006"/>
      </font>
      <fill>
        <patternFill>
          <bgColor rgb="FFFFC7CE"/>
        </patternFill>
      </fill>
    </dxf>
    <dxf>
      <numFmt numFmtId="1" formatCode="0"/>
    </dxf>
    <dxf>
      <numFmt numFmtId="1" formatCode="0"/>
    </dxf>
    <dxf>
      <numFmt numFmtId="174" formatCode="0.000"/>
    </dxf>
    <dxf>
      <numFmt numFmtId="0" formatCode="General"/>
    </dxf>
    <dxf>
      <numFmt numFmtId="1" formatCode="0"/>
    </dxf>
    <dxf>
      <numFmt numFmtId="174" formatCode="0.000"/>
    </dxf>
    <dxf>
      <numFmt numFmtId="1" formatCode="0"/>
    </dxf>
    <dxf>
      <numFmt numFmtId="0" formatCode="General"/>
    </dxf>
    <dxf>
      <numFmt numFmtId="0" formatCode="General"/>
    </dxf>
    <dxf>
      <numFmt numFmtId="13" formatCode="0%"/>
    </dxf>
    <dxf>
      <numFmt numFmtId="0" formatCode="General"/>
    </dxf>
    <dxf>
      <numFmt numFmtId="0" formatCode="General"/>
    </dxf>
    <dxf>
      <numFmt numFmtId="2" formatCode="0.00"/>
    </dxf>
    <dxf>
      <numFmt numFmtId="0" formatCode="General"/>
    </dxf>
    <dxf>
      <numFmt numFmtId="2" formatCode="0.00"/>
    </dxf>
    <dxf>
      <numFmt numFmtId="13" formatCode="0%"/>
    </dxf>
    <dxf>
      <numFmt numFmtId="13" formatCode="0%"/>
    </dxf>
    <dxf>
      <numFmt numFmtId="13" formatCode="0%"/>
    </dxf>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numFmt numFmtId="0" formatCode="General"/>
    </dxf>
    <dxf>
      <numFmt numFmtId="2" formatCode="0.00"/>
    </dxf>
    <dxf>
      <numFmt numFmtId="174" formatCode="0.000"/>
    </dxf>
    <dxf>
      <numFmt numFmtId="2" formatCode="0.00"/>
    </dxf>
    <dxf>
      <numFmt numFmtId="0" formatCode="General"/>
    </dxf>
    <dxf>
      <numFmt numFmtId="0" formatCode="Genera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numFmt numFmtId="2" formatCode="0.00"/>
    </dxf>
    <dxf>
      <numFmt numFmtId="2" formatCode="0.00"/>
    </dxf>
    <dxf>
      <numFmt numFmtId="2" formatCode="0.00"/>
    </dxf>
    <dxf>
      <numFmt numFmtId="13" formatCode="0%"/>
    </dxf>
    <dxf>
      <font>
        <b val="0"/>
        <i val="0"/>
        <strike/>
        <outline val="0"/>
        <shadow val="0"/>
        <u val="none"/>
        <vertAlign val="baseline"/>
        <sz val="11"/>
        <color theme="1"/>
        <name val="Calibri"/>
        <family val="2"/>
        <scheme val="minor"/>
      </font>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outline val="0"/>
        <shadow val="0"/>
        <u val="none"/>
        <vertAlign val="baseline"/>
        <sz val="11"/>
        <color theme="1"/>
        <name val="Calibri"/>
        <family val="2"/>
        <scheme val="minor"/>
      </font>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0" formatCode="General"/>
    </dxf>
    <dxf>
      <font>
        <b val="0"/>
        <i val="0"/>
        <strike/>
        <outline val="0"/>
        <shadow val="0"/>
        <u val="none"/>
        <vertAlign val="baseline"/>
        <sz val="11"/>
        <color theme="1"/>
        <name val="Calibri"/>
        <family val="2"/>
        <scheme val="minor"/>
      </font>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14" formatCode="0.00%"/>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speed'!$G$3:$Y$3</c:f>
              <c:numCache>
                <c:formatCode>General</c:formatCode>
                <c:ptCount val="19"/>
                <c:pt idx="0">
                  <c:v>0</c:v>
                </c:pt>
                <c:pt idx="1">
                  <c:v>0.59</c:v>
                </c:pt>
                <c:pt idx="2">
                  <c:v>0.94</c:v>
                </c:pt>
                <c:pt idx="3">
                  <c:v>1.23</c:v>
                </c:pt>
                <c:pt idx="4">
                  <c:v>1.5</c:v>
                </c:pt>
                <c:pt idx="5">
                  <c:v>1.75</c:v>
                </c:pt>
                <c:pt idx="6">
                  <c:v>1.99</c:v>
                </c:pt>
                <c:pt idx="7">
                  <c:v>2.2200000000000002</c:v>
                </c:pt>
                <c:pt idx="8">
                  <c:v>2.4500000000000002</c:v>
                </c:pt>
                <c:pt idx="9">
                  <c:v>2.66</c:v>
                </c:pt>
                <c:pt idx="10">
                  <c:v>2.88</c:v>
                </c:pt>
                <c:pt idx="11">
                  <c:v>3.09</c:v>
                </c:pt>
                <c:pt idx="12">
                  <c:v>3.3</c:v>
                </c:pt>
                <c:pt idx="13">
                  <c:v>3.51</c:v>
                </c:pt>
                <c:pt idx="14">
                  <c:v>3.72</c:v>
                </c:pt>
                <c:pt idx="15">
                  <c:v>3.94</c:v>
                </c:pt>
                <c:pt idx="16">
                  <c:v>4.16</c:v>
                </c:pt>
                <c:pt idx="17">
                  <c:v>4.38</c:v>
                </c:pt>
                <c:pt idx="18">
                  <c:v>4.62</c:v>
                </c:pt>
              </c:numCache>
            </c:numRef>
          </c:yVal>
          <c:smooth val="1"/>
          <c:extLst>
            <c:ext xmlns:c16="http://schemas.microsoft.com/office/drawing/2014/chart" uri="{C3380CC4-5D6E-409C-BE32-E72D297353CC}">
              <c16:uniqueId val="{00000000-523C-4E00-8692-DA6581FD0E20}"/>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speed'!$G$4:$Y$4</c:f>
              <c:numCache>
                <c:formatCode>General</c:formatCode>
                <c:ptCount val="19"/>
                <c:pt idx="0">
                  <c:v>0</c:v>
                </c:pt>
                <c:pt idx="1">
                  <c:v>0.57999999999999996</c:v>
                </c:pt>
                <c:pt idx="2">
                  <c:v>0.93</c:v>
                </c:pt>
                <c:pt idx="3">
                  <c:v>1.22</c:v>
                </c:pt>
                <c:pt idx="4">
                  <c:v>1.48</c:v>
                </c:pt>
                <c:pt idx="5">
                  <c:v>1.73</c:v>
                </c:pt>
                <c:pt idx="6">
                  <c:v>1.96</c:v>
                </c:pt>
                <c:pt idx="7">
                  <c:v>2.19</c:v>
                </c:pt>
                <c:pt idx="8">
                  <c:v>2.4</c:v>
                </c:pt>
                <c:pt idx="9">
                  <c:v>2.61</c:v>
                </c:pt>
                <c:pt idx="10">
                  <c:v>2.82</c:v>
                </c:pt>
                <c:pt idx="11">
                  <c:v>3.02</c:v>
                </c:pt>
                <c:pt idx="12">
                  <c:v>3.23</c:v>
                </c:pt>
                <c:pt idx="13">
                  <c:v>3.42</c:v>
                </c:pt>
                <c:pt idx="14">
                  <c:v>3.62</c:v>
                </c:pt>
                <c:pt idx="15">
                  <c:v>3.82</c:v>
                </c:pt>
                <c:pt idx="16">
                  <c:v>4.0199999999999996</c:v>
                </c:pt>
                <c:pt idx="17">
                  <c:v>4.22</c:v>
                </c:pt>
                <c:pt idx="18">
                  <c:v>4.43</c:v>
                </c:pt>
              </c:numCache>
            </c:numRef>
          </c:yVal>
          <c:smooth val="1"/>
          <c:extLst>
            <c:ext xmlns:c16="http://schemas.microsoft.com/office/drawing/2014/chart" uri="{C3380CC4-5D6E-409C-BE32-E72D297353CC}">
              <c16:uniqueId val="{00000001-523C-4E00-8692-DA6581FD0E20}"/>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speed'!$G$5:$Y$5</c:f>
              <c:numCache>
                <c:formatCode>General</c:formatCode>
                <c:ptCount val="19"/>
                <c:pt idx="0">
                  <c:v>0</c:v>
                </c:pt>
                <c:pt idx="1">
                  <c:v>0.6</c:v>
                </c:pt>
                <c:pt idx="2">
                  <c:v>0.93</c:v>
                </c:pt>
                <c:pt idx="3">
                  <c:v>1.2</c:v>
                </c:pt>
                <c:pt idx="4">
                  <c:v>1.45</c:v>
                </c:pt>
                <c:pt idx="5">
                  <c:v>1.69</c:v>
                </c:pt>
                <c:pt idx="6">
                  <c:v>1.92</c:v>
                </c:pt>
                <c:pt idx="7">
                  <c:v>2.14</c:v>
                </c:pt>
                <c:pt idx="8">
                  <c:v>2.36</c:v>
                </c:pt>
                <c:pt idx="9">
                  <c:v>2.56</c:v>
                </c:pt>
                <c:pt idx="10">
                  <c:v>2.76</c:v>
                </c:pt>
                <c:pt idx="11">
                  <c:v>2.95</c:v>
                </c:pt>
                <c:pt idx="12">
                  <c:v>3.14</c:v>
                </c:pt>
                <c:pt idx="13">
                  <c:v>3.33</c:v>
                </c:pt>
                <c:pt idx="14">
                  <c:v>3.52</c:v>
                </c:pt>
                <c:pt idx="15">
                  <c:v>3.71</c:v>
                </c:pt>
                <c:pt idx="16">
                  <c:v>3.89</c:v>
                </c:pt>
                <c:pt idx="17">
                  <c:v>4.09</c:v>
                </c:pt>
                <c:pt idx="18">
                  <c:v>4.29</c:v>
                </c:pt>
              </c:numCache>
            </c:numRef>
          </c:yVal>
          <c:smooth val="1"/>
          <c:extLst>
            <c:ext xmlns:c16="http://schemas.microsoft.com/office/drawing/2014/chart" uri="{C3380CC4-5D6E-409C-BE32-E72D297353CC}">
              <c16:uniqueId val="{00000002-523C-4E00-8692-DA6581FD0E20}"/>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speed'!$G$6:$Y$6</c:f>
              <c:numCache>
                <c:formatCode>General</c:formatCode>
                <c:ptCount val="19"/>
                <c:pt idx="0">
                  <c:v>0</c:v>
                </c:pt>
                <c:pt idx="1">
                  <c:v>0.56000000000000005</c:v>
                </c:pt>
                <c:pt idx="2">
                  <c:v>0.9</c:v>
                </c:pt>
                <c:pt idx="3">
                  <c:v>1.18</c:v>
                </c:pt>
                <c:pt idx="4">
                  <c:v>1.43</c:v>
                </c:pt>
                <c:pt idx="5">
                  <c:v>1.67</c:v>
                </c:pt>
                <c:pt idx="6">
                  <c:v>1.89</c:v>
                </c:pt>
                <c:pt idx="7">
                  <c:v>2.1</c:v>
                </c:pt>
                <c:pt idx="8">
                  <c:v>2.31</c:v>
                </c:pt>
                <c:pt idx="9">
                  <c:v>2.5099999999999998</c:v>
                </c:pt>
                <c:pt idx="10">
                  <c:v>2.71</c:v>
                </c:pt>
                <c:pt idx="11">
                  <c:v>2.9</c:v>
                </c:pt>
                <c:pt idx="12">
                  <c:v>3.09</c:v>
                </c:pt>
                <c:pt idx="13">
                  <c:v>3.28</c:v>
                </c:pt>
                <c:pt idx="14">
                  <c:v>3.46</c:v>
                </c:pt>
                <c:pt idx="15">
                  <c:v>3.65</c:v>
                </c:pt>
                <c:pt idx="16">
                  <c:v>3.84</c:v>
                </c:pt>
                <c:pt idx="17">
                  <c:v>4.0199999999999996</c:v>
                </c:pt>
                <c:pt idx="18">
                  <c:v>4.21</c:v>
                </c:pt>
              </c:numCache>
            </c:numRef>
          </c:yVal>
          <c:smooth val="1"/>
          <c:extLst>
            <c:ext xmlns:c16="http://schemas.microsoft.com/office/drawing/2014/chart" uri="{C3380CC4-5D6E-409C-BE32-E72D297353CC}">
              <c16:uniqueId val="{00000003-523C-4E00-8692-DA6581FD0E20}"/>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speed'!$G$7:$Y$7</c:f>
              <c:numCache>
                <c:formatCode>General</c:formatCode>
                <c:ptCount val="19"/>
                <c:pt idx="0">
                  <c:v>0</c:v>
                </c:pt>
                <c:pt idx="1">
                  <c:v>0.56000000000000005</c:v>
                </c:pt>
                <c:pt idx="2">
                  <c:v>0.89</c:v>
                </c:pt>
                <c:pt idx="3">
                  <c:v>1.17</c:v>
                </c:pt>
                <c:pt idx="4">
                  <c:v>1.42</c:v>
                </c:pt>
                <c:pt idx="5">
                  <c:v>1.65</c:v>
                </c:pt>
                <c:pt idx="6">
                  <c:v>1.86</c:v>
                </c:pt>
                <c:pt idx="7">
                  <c:v>2.0699999999999998</c:v>
                </c:pt>
                <c:pt idx="8">
                  <c:v>2.27</c:v>
                </c:pt>
                <c:pt idx="9">
                  <c:v>2.4700000000000002</c:v>
                </c:pt>
                <c:pt idx="10">
                  <c:v>2.66</c:v>
                </c:pt>
                <c:pt idx="11">
                  <c:v>2.85</c:v>
                </c:pt>
                <c:pt idx="12">
                  <c:v>3.03</c:v>
                </c:pt>
                <c:pt idx="13">
                  <c:v>3.22</c:v>
                </c:pt>
                <c:pt idx="14">
                  <c:v>3.4</c:v>
                </c:pt>
                <c:pt idx="15">
                  <c:v>3.58</c:v>
                </c:pt>
                <c:pt idx="16">
                  <c:v>3.76</c:v>
                </c:pt>
                <c:pt idx="17">
                  <c:v>3.95</c:v>
                </c:pt>
                <c:pt idx="18">
                  <c:v>4.1500000000000004</c:v>
                </c:pt>
              </c:numCache>
            </c:numRef>
          </c:yVal>
          <c:smooth val="1"/>
          <c:extLst>
            <c:ext xmlns:c16="http://schemas.microsoft.com/office/drawing/2014/chart" uri="{C3380CC4-5D6E-409C-BE32-E72D297353CC}">
              <c16:uniqueId val="{00000004-523C-4E00-8692-DA6581FD0E20}"/>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speed'!$G$8:$Y$8</c:f>
              <c:numCache>
                <c:formatCode>General</c:formatCode>
                <c:ptCount val="19"/>
                <c:pt idx="0">
                  <c:v>0</c:v>
                </c:pt>
                <c:pt idx="1">
                  <c:v>0.54</c:v>
                </c:pt>
                <c:pt idx="2">
                  <c:v>0.86</c:v>
                </c:pt>
                <c:pt idx="3">
                  <c:v>1.1299999999999999</c:v>
                </c:pt>
                <c:pt idx="4">
                  <c:v>1.36</c:v>
                </c:pt>
                <c:pt idx="5">
                  <c:v>1.59</c:v>
                </c:pt>
                <c:pt idx="6">
                  <c:v>1.79</c:v>
                </c:pt>
                <c:pt idx="7">
                  <c:v>1.99</c:v>
                </c:pt>
                <c:pt idx="8">
                  <c:v>2.1800000000000002</c:v>
                </c:pt>
                <c:pt idx="9">
                  <c:v>2.37</c:v>
                </c:pt>
                <c:pt idx="10">
                  <c:v>2.56</c:v>
                </c:pt>
                <c:pt idx="11">
                  <c:v>2.74</c:v>
                </c:pt>
                <c:pt idx="12">
                  <c:v>2.92</c:v>
                </c:pt>
                <c:pt idx="13">
                  <c:v>3.1</c:v>
                </c:pt>
                <c:pt idx="14">
                  <c:v>3.27</c:v>
                </c:pt>
                <c:pt idx="15">
                  <c:v>3.44</c:v>
                </c:pt>
                <c:pt idx="16">
                  <c:v>3.62</c:v>
                </c:pt>
                <c:pt idx="17">
                  <c:v>3.79</c:v>
                </c:pt>
                <c:pt idx="18">
                  <c:v>3.98</c:v>
                </c:pt>
              </c:numCache>
            </c:numRef>
          </c:yVal>
          <c:smooth val="1"/>
          <c:extLst>
            <c:ext xmlns:c16="http://schemas.microsoft.com/office/drawing/2014/chart" uri="{C3380CC4-5D6E-409C-BE32-E72D297353CC}">
              <c16:uniqueId val="{00000005-523C-4E00-8692-DA6581FD0E20}"/>
            </c:ext>
          </c:extLst>
        </c:ser>
        <c:ser>
          <c:idx val="6"/>
          <c:order val="6"/>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speed'!$G$9:$Y$9</c:f>
              <c:numCache>
                <c:formatCode>General</c:formatCode>
                <c:ptCount val="19"/>
                <c:pt idx="0">
                  <c:v>0</c:v>
                </c:pt>
                <c:pt idx="1">
                  <c:v>0.56999999999999995</c:v>
                </c:pt>
                <c:pt idx="2">
                  <c:v>0.88</c:v>
                </c:pt>
                <c:pt idx="3">
                  <c:v>1.1299999999999999</c:v>
                </c:pt>
                <c:pt idx="4">
                  <c:v>1.37</c:v>
                </c:pt>
                <c:pt idx="5">
                  <c:v>1.58</c:v>
                </c:pt>
                <c:pt idx="6">
                  <c:v>1.78</c:v>
                </c:pt>
                <c:pt idx="7">
                  <c:v>1.97</c:v>
                </c:pt>
                <c:pt idx="8">
                  <c:v>2.16</c:v>
                </c:pt>
                <c:pt idx="9">
                  <c:v>2.35</c:v>
                </c:pt>
                <c:pt idx="10">
                  <c:v>2.52</c:v>
                </c:pt>
                <c:pt idx="11">
                  <c:v>2.7</c:v>
                </c:pt>
                <c:pt idx="12">
                  <c:v>2.88</c:v>
                </c:pt>
                <c:pt idx="13">
                  <c:v>3.06</c:v>
                </c:pt>
                <c:pt idx="14">
                  <c:v>3.23</c:v>
                </c:pt>
                <c:pt idx="15">
                  <c:v>3.39</c:v>
                </c:pt>
                <c:pt idx="16">
                  <c:v>3.56</c:v>
                </c:pt>
                <c:pt idx="17">
                  <c:v>3.73</c:v>
                </c:pt>
                <c:pt idx="18">
                  <c:v>3.91</c:v>
                </c:pt>
              </c:numCache>
            </c:numRef>
          </c:yVal>
          <c:smooth val="1"/>
          <c:extLst>
            <c:ext xmlns:c16="http://schemas.microsoft.com/office/drawing/2014/chart" uri="{C3380CC4-5D6E-409C-BE32-E72D297353CC}">
              <c16:uniqueId val="{00000006-523C-4E00-8692-DA6581FD0E20}"/>
            </c:ext>
          </c:extLst>
        </c:ser>
        <c:ser>
          <c:idx val="7"/>
          <c:order val="7"/>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speed'!$G$10:$Y$10</c:f>
              <c:numCache>
                <c:formatCode>General</c:formatCode>
                <c:ptCount val="19"/>
                <c:pt idx="0">
                  <c:v>0</c:v>
                </c:pt>
                <c:pt idx="1">
                  <c:v>0.53</c:v>
                </c:pt>
                <c:pt idx="2">
                  <c:v>0.83</c:v>
                </c:pt>
                <c:pt idx="3">
                  <c:v>1.0900000000000001</c:v>
                </c:pt>
                <c:pt idx="4">
                  <c:v>1.31</c:v>
                </c:pt>
                <c:pt idx="5">
                  <c:v>1.53</c:v>
                </c:pt>
                <c:pt idx="6">
                  <c:v>1.73</c:v>
                </c:pt>
                <c:pt idx="7">
                  <c:v>1.93</c:v>
                </c:pt>
                <c:pt idx="8">
                  <c:v>2.12</c:v>
                </c:pt>
                <c:pt idx="9">
                  <c:v>2.2999999999999998</c:v>
                </c:pt>
                <c:pt idx="10">
                  <c:v>2.48</c:v>
                </c:pt>
                <c:pt idx="11">
                  <c:v>2.66</c:v>
                </c:pt>
                <c:pt idx="12">
                  <c:v>2.84</c:v>
                </c:pt>
                <c:pt idx="13">
                  <c:v>3.01</c:v>
                </c:pt>
                <c:pt idx="14">
                  <c:v>3.18</c:v>
                </c:pt>
                <c:pt idx="15">
                  <c:v>3.35</c:v>
                </c:pt>
                <c:pt idx="16">
                  <c:v>3.52</c:v>
                </c:pt>
                <c:pt idx="17">
                  <c:v>3.7</c:v>
                </c:pt>
                <c:pt idx="18">
                  <c:v>3.9</c:v>
                </c:pt>
              </c:numCache>
            </c:numRef>
          </c:yVal>
          <c:smooth val="1"/>
          <c:extLst>
            <c:ext xmlns:c16="http://schemas.microsoft.com/office/drawing/2014/chart" uri="{C3380CC4-5D6E-409C-BE32-E72D297353CC}">
              <c16:uniqueId val="{00000007-523C-4E00-8692-DA6581FD0E20}"/>
            </c:ext>
          </c:extLst>
        </c:ser>
        <c:ser>
          <c:idx val="8"/>
          <c:order val="8"/>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speed'!$G$11:$Y$11</c:f>
              <c:numCache>
                <c:formatCode>General</c:formatCode>
                <c:ptCount val="19"/>
                <c:pt idx="0">
                  <c:v>0</c:v>
                </c:pt>
                <c:pt idx="1">
                  <c:v>0.53</c:v>
                </c:pt>
                <c:pt idx="2">
                  <c:v>0.81</c:v>
                </c:pt>
                <c:pt idx="3">
                  <c:v>1.06</c:v>
                </c:pt>
                <c:pt idx="4">
                  <c:v>1.28</c:v>
                </c:pt>
                <c:pt idx="5">
                  <c:v>1.48</c:v>
                </c:pt>
                <c:pt idx="6">
                  <c:v>1.67</c:v>
                </c:pt>
                <c:pt idx="7">
                  <c:v>1.86</c:v>
                </c:pt>
                <c:pt idx="8">
                  <c:v>2.04</c:v>
                </c:pt>
                <c:pt idx="9">
                  <c:v>2.23</c:v>
                </c:pt>
                <c:pt idx="10">
                  <c:v>2.4</c:v>
                </c:pt>
                <c:pt idx="11">
                  <c:v>2.58</c:v>
                </c:pt>
                <c:pt idx="12">
                  <c:v>2.75</c:v>
                </c:pt>
                <c:pt idx="13">
                  <c:v>2.93</c:v>
                </c:pt>
                <c:pt idx="14">
                  <c:v>3.1</c:v>
                </c:pt>
                <c:pt idx="15">
                  <c:v>3.28</c:v>
                </c:pt>
                <c:pt idx="16">
                  <c:v>3.45</c:v>
                </c:pt>
                <c:pt idx="17">
                  <c:v>3.65</c:v>
                </c:pt>
                <c:pt idx="18">
                  <c:v>3.82</c:v>
                </c:pt>
              </c:numCache>
            </c:numRef>
          </c:yVal>
          <c:smooth val="1"/>
          <c:extLst>
            <c:ext xmlns:c16="http://schemas.microsoft.com/office/drawing/2014/chart" uri="{C3380CC4-5D6E-409C-BE32-E72D297353CC}">
              <c16:uniqueId val="{00000008-523C-4E00-8692-DA6581FD0E20}"/>
            </c:ext>
          </c:extLst>
        </c:ser>
        <c:ser>
          <c:idx val="9"/>
          <c:order val="9"/>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speed'!$G$12:$Y$12</c:f>
              <c:numCache>
                <c:formatCode>General</c:formatCode>
                <c:ptCount val="19"/>
                <c:pt idx="0">
                  <c:v>0</c:v>
                </c:pt>
                <c:pt idx="1">
                  <c:v>0.54</c:v>
                </c:pt>
                <c:pt idx="2">
                  <c:v>0.84</c:v>
                </c:pt>
                <c:pt idx="3">
                  <c:v>1.0900000000000001</c:v>
                </c:pt>
                <c:pt idx="4">
                  <c:v>1.32</c:v>
                </c:pt>
                <c:pt idx="5">
                  <c:v>1.53</c:v>
                </c:pt>
                <c:pt idx="6">
                  <c:v>1.74</c:v>
                </c:pt>
                <c:pt idx="7">
                  <c:v>1.93</c:v>
                </c:pt>
                <c:pt idx="8">
                  <c:v>2.12</c:v>
                </c:pt>
                <c:pt idx="9">
                  <c:v>2.2999999999999998</c:v>
                </c:pt>
                <c:pt idx="10">
                  <c:v>2.48</c:v>
                </c:pt>
                <c:pt idx="11">
                  <c:v>2.65</c:v>
                </c:pt>
                <c:pt idx="12">
                  <c:v>2.83</c:v>
                </c:pt>
                <c:pt idx="13">
                  <c:v>3</c:v>
                </c:pt>
                <c:pt idx="14">
                  <c:v>3.17</c:v>
                </c:pt>
                <c:pt idx="15">
                  <c:v>3.33</c:v>
                </c:pt>
                <c:pt idx="16">
                  <c:v>3.5</c:v>
                </c:pt>
                <c:pt idx="17">
                  <c:v>3.67</c:v>
                </c:pt>
                <c:pt idx="18">
                  <c:v>3.86</c:v>
                </c:pt>
              </c:numCache>
            </c:numRef>
          </c:yVal>
          <c:smooth val="1"/>
          <c:extLst>
            <c:ext xmlns:c16="http://schemas.microsoft.com/office/drawing/2014/chart" uri="{C3380CC4-5D6E-409C-BE32-E72D297353CC}">
              <c16:uniqueId val="{00000009-523C-4E00-8692-DA6581FD0E20}"/>
            </c:ext>
          </c:extLst>
        </c:ser>
        <c:ser>
          <c:idx val="10"/>
          <c:order val="10"/>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speed'!$G$13:$Y$13</c:f>
              <c:numCache>
                <c:formatCode>General</c:formatCode>
                <c:ptCount val="19"/>
                <c:pt idx="0">
                  <c:v>0</c:v>
                </c:pt>
                <c:pt idx="1">
                  <c:v>0.56999999999999995</c:v>
                </c:pt>
                <c:pt idx="2">
                  <c:v>0.9</c:v>
                </c:pt>
                <c:pt idx="3">
                  <c:v>1.17</c:v>
                </c:pt>
                <c:pt idx="4">
                  <c:v>1.41</c:v>
                </c:pt>
                <c:pt idx="5">
                  <c:v>1.63</c:v>
                </c:pt>
                <c:pt idx="6">
                  <c:v>1.85</c:v>
                </c:pt>
                <c:pt idx="7">
                  <c:v>2.0499999999999998</c:v>
                </c:pt>
                <c:pt idx="8">
                  <c:v>2.25</c:v>
                </c:pt>
                <c:pt idx="9">
                  <c:v>2.44</c:v>
                </c:pt>
                <c:pt idx="10">
                  <c:v>2.62</c:v>
                </c:pt>
                <c:pt idx="11">
                  <c:v>2.8</c:v>
                </c:pt>
                <c:pt idx="12">
                  <c:v>2.97</c:v>
                </c:pt>
                <c:pt idx="13">
                  <c:v>3.15</c:v>
                </c:pt>
                <c:pt idx="14">
                  <c:v>3.32</c:v>
                </c:pt>
                <c:pt idx="15">
                  <c:v>3.5</c:v>
                </c:pt>
                <c:pt idx="16">
                  <c:v>3.67</c:v>
                </c:pt>
                <c:pt idx="17">
                  <c:v>3.85</c:v>
                </c:pt>
                <c:pt idx="18">
                  <c:v>4.03</c:v>
                </c:pt>
              </c:numCache>
            </c:numRef>
          </c:yVal>
          <c:smooth val="1"/>
          <c:extLst>
            <c:ext xmlns:c16="http://schemas.microsoft.com/office/drawing/2014/chart" uri="{C3380CC4-5D6E-409C-BE32-E72D297353CC}">
              <c16:uniqueId val="{0000000A-523C-4E00-8692-DA6581FD0E20}"/>
            </c:ext>
          </c:extLst>
        </c:ser>
        <c:ser>
          <c:idx val="11"/>
          <c:order val="11"/>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speed'!$G$14:$Y$14</c:f>
              <c:numCache>
                <c:formatCode>General</c:formatCode>
                <c:ptCount val="19"/>
                <c:pt idx="0">
                  <c:v>0</c:v>
                </c:pt>
                <c:pt idx="1">
                  <c:v>0.56999999999999995</c:v>
                </c:pt>
                <c:pt idx="2">
                  <c:v>0.9</c:v>
                </c:pt>
                <c:pt idx="3">
                  <c:v>1.17</c:v>
                </c:pt>
                <c:pt idx="4">
                  <c:v>1.41</c:v>
                </c:pt>
                <c:pt idx="5">
                  <c:v>1.63</c:v>
                </c:pt>
                <c:pt idx="6">
                  <c:v>1.84</c:v>
                </c:pt>
                <c:pt idx="7">
                  <c:v>2.04</c:v>
                </c:pt>
                <c:pt idx="8">
                  <c:v>2.23</c:v>
                </c:pt>
                <c:pt idx="9">
                  <c:v>2.42</c:v>
                </c:pt>
                <c:pt idx="10">
                  <c:v>2.61</c:v>
                </c:pt>
                <c:pt idx="11">
                  <c:v>2.79</c:v>
                </c:pt>
                <c:pt idx="12">
                  <c:v>2.96</c:v>
                </c:pt>
                <c:pt idx="13">
                  <c:v>3.14</c:v>
                </c:pt>
                <c:pt idx="14">
                  <c:v>3.31</c:v>
                </c:pt>
                <c:pt idx="15">
                  <c:v>3.48</c:v>
                </c:pt>
                <c:pt idx="16">
                  <c:v>3.65</c:v>
                </c:pt>
                <c:pt idx="17">
                  <c:v>3.82</c:v>
                </c:pt>
                <c:pt idx="18">
                  <c:v>4</c:v>
                </c:pt>
              </c:numCache>
            </c:numRef>
          </c:yVal>
          <c:smooth val="1"/>
          <c:extLst>
            <c:ext xmlns:c16="http://schemas.microsoft.com/office/drawing/2014/chart" uri="{C3380CC4-5D6E-409C-BE32-E72D297353CC}">
              <c16:uniqueId val="{0000000B-523C-4E00-8692-DA6581FD0E20}"/>
            </c:ext>
          </c:extLst>
        </c:ser>
        <c:ser>
          <c:idx val="12"/>
          <c:order val="12"/>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speed'!$G$15:$Y$15</c:f>
              <c:numCache>
                <c:formatCode>General</c:formatCode>
                <c:ptCount val="19"/>
                <c:pt idx="0">
                  <c:v>0</c:v>
                </c:pt>
                <c:pt idx="1">
                  <c:v>0.56000000000000005</c:v>
                </c:pt>
                <c:pt idx="2">
                  <c:v>0.87</c:v>
                </c:pt>
                <c:pt idx="3">
                  <c:v>1.1399999999999999</c:v>
                </c:pt>
                <c:pt idx="4">
                  <c:v>1.37</c:v>
                </c:pt>
                <c:pt idx="5">
                  <c:v>1.59</c:v>
                </c:pt>
                <c:pt idx="6">
                  <c:v>1.8</c:v>
                </c:pt>
                <c:pt idx="7">
                  <c:v>2</c:v>
                </c:pt>
                <c:pt idx="8">
                  <c:v>2.2000000000000002</c:v>
                </c:pt>
                <c:pt idx="9">
                  <c:v>2.39</c:v>
                </c:pt>
                <c:pt idx="10">
                  <c:v>2.57</c:v>
                </c:pt>
                <c:pt idx="11">
                  <c:v>2.76</c:v>
                </c:pt>
                <c:pt idx="12">
                  <c:v>2.94</c:v>
                </c:pt>
                <c:pt idx="13">
                  <c:v>3.12</c:v>
                </c:pt>
                <c:pt idx="14">
                  <c:v>3.29</c:v>
                </c:pt>
                <c:pt idx="15">
                  <c:v>3.47</c:v>
                </c:pt>
                <c:pt idx="16">
                  <c:v>3.65</c:v>
                </c:pt>
                <c:pt idx="17">
                  <c:v>3.82</c:v>
                </c:pt>
                <c:pt idx="18">
                  <c:v>4.01</c:v>
                </c:pt>
              </c:numCache>
            </c:numRef>
          </c:yVal>
          <c:smooth val="1"/>
          <c:extLst>
            <c:ext xmlns:c16="http://schemas.microsoft.com/office/drawing/2014/chart" uri="{C3380CC4-5D6E-409C-BE32-E72D297353CC}">
              <c16:uniqueId val="{0000000C-523C-4E00-8692-DA6581FD0E20}"/>
            </c:ext>
          </c:extLst>
        </c:ser>
        <c:dLbls>
          <c:showLegendKey val="0"/>
          <c:showVal val="0"/>
          <c:showCatName val="0"/>
          <c:showSerName val="0"/>
          <c:showPercent val="0"/>
          <c:showBubbleSize val="0"/>
        </c:dLbls>
        <c:axId val="514732648"/>
        <c:axId val="514733632"/>
      </c:scatterChart>
      <c:valAx>
        <c:axId val="514732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3632"/>
        <c:crosses val="autoZero"/>
        <c:crossBetween val="midCat"/>
      </c:valAx>
      <c:valAx>
        <c:axId val="514733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2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'pitch outcomes'!$B$1</c:f>
              <c:strCache>
                <c:ptCount val="1"/>
                <c:pt idx="0">
                  <c:v>Ball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outcomes'!$B$2:$B$13</c:f>
              <c:numCache>
                <c:formatCode>General</c:formatCode>
                <c:ptCount val="12"/>
                <c:pt idx="0">
                  <c:v>0.4269</c:v>
                </c:pt>
                <c:pt idx="1">
                  <c:v>0.39779999999999999</c:v>
                </c:pt>
                <c:pt idx="2">
                  <c:v>0.38600000000000001</c:v>
                </c:pt>
                <c:pt idx="3">
                  <c:v>0.3528</c:v>
                </c:pt>
                <c:pt idx="4">
                  <c:v>0.31290000000000001</c:v>
                </c:pt>
                <c:pt idx="5">
                  <c:v>0.26369999999999999</c:v>
                </c:pt>
                <c:pt idx="6">
                  <c:v>0.2505</c:v>
                </c:pt>
                <c:pt idx="7">
                  <c:v>0.23499999999999999</c:v>
                </c:pt>
                <c:pt idx="8">
                  <c:v>0.22650000000000001</c:v>
                </c:pt>
                <c:pt idx="9">
                  <c:v>0.21079999999999999</c:v>
                </c:pt>
                <c:pt idx="10">
                  <c:v>0.21149999999999999</c:v>
                </c:pt>
                <c:pt idx="11">
                  <c:v>0.20449999999999999</c:v>
                </c:pt>
              </c:numCache>
            </c:numRef>
          </c:val>
          <c:smooth val="0"/>
          <c:extLst>
            <c:ext xmlns:c16="http://schemas.microsoft.com/office/drawing/2014/chart" uri="{C3380CC4-5D6E-409C-BE32-E72D297353CC}">
              <c16:uniqueId val="{00000000-3918-4B34-9165-7963C2BF81FF}"/>
            </c:ext>
          </c:extLst>
        </c:ser>
        <c:ser>
          <c:idx val="1"/>
          <c:order val="1"/>
          <c:tx>
            <c:strRef>
              <c:f>'pitch outcomes'!$C$1</c:f>
              <c:strCache>
                <c:ptCount val="1"/>
                <c:pt idx="0">
                  <c:v>Strike, Looking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outcomes'!$C$2:$C$13</c:f>
              <c:numCache>
                <c:formatCode>General</c:formatCode>
                <c:ptCount val="12"/>
                <c:pt idx="0">
                  <c:v>0.28660000000000002</c:v>
                </c:pt>
                <c:pt idx="1">
                  <c:v>0.1666</c:v>
                </c:pt>
                <c:pt idx="2">
                  <c:v>0.1285</c:v>
                </c:pt>
                <c:pt idx="3">
                  <c:v>0.11700000000000001</c:v>
                </c:pt>
                <c:pt idx="4">
                  <c:v>7.6700000000000004E-2</c:v>
                </c:pt>
                <c:pt idx="5">
                  <c:v>4.3999999999999997E-2</c:v>
                </c:pt>
                <c:pt idx="6">
                  <c:v>4.0500000000000001E-2</c:v>
                </c:pt>
                <c:pt idx="7">
                  <c:v>3.8199999999999998E-2</c:v>
                </c:pt>
                <c:pt idx="8">
                  <c:v>3.5999999999999997E-2</c:v>
                </c:pt>
                <c:pt idx="9">
                  <c:v>3.2000000000000001E-2</c:v>
                </c:pt>
                <c:pt idx="10">
                  <c:v>3.2500000000000001E-2</c:v>
                </c:pt>
                <c:pt idx="11">
                  <c:v>3.56E-2</c:v>
                </c:pt>
              </c:numCache>
            </c:numRef>
          </c:val>
          <c:smooth val="0"/>
          <c:extLst>
            <c:ext xmlns:c16="http://schemas.microsoft.com/office/drawing/2014/chart" uri="{C3380CC4-5D6E-409C-BE32-E72D297353CC}">
              <c16:uniqueId val="{00000001-3918-4B34-9165-7963C2BF81FF}"/>
            </c:ext>
          </c:extLst>
        </c:ser>
        <c:ser>
          <c:idx val="2"/>
          <c:order val="2"/>
          <c:tx>
            <c:strRef>
              <c:f>'pitch outcomes'!$D$1</c:f>
              <c:strCache>
                <c:ptCount val="1"/>
                <c:pt idx="0">
                  <c:v>Foul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outcomes'!$D$2:$D$13</c:f>
              <c:numCache>
                <c:formatCode>General</c:formatCode>
                <c:ptCount val="12"/>
                <c:pt idx="0">
                  <c:v>0.1007</c:v>
                </c:pt>
                <c:pt idx="1">
                  <c:v>0.1575</c:v>
                </c:pt>
                <c:pt idx="2">
                  <c:v>0.1787</c:v>
                </c:pt>
                <c:pt idx="3">
                  <c:v>0.19789999999999999</c:v>
                </c:pt>
                <c:pt idx="4">
                  <c:v>0.23</c:v>
                </c:pt>
                <c:pt idx="5">
                  <c:v>0.26490000000000002</c:v>
                </c:pt>
                <c:pt idx="6">
                  <c:v>0.27650000000000002</c:v>
                </c:pt>
                <c:pt idx="7">
                  <c:v>0.28849999999999998</c:v>
                </c:pt>
                <c:pt idx="8">
                  <c:v>0.29699999999999999</c:v>
                </c:pt>
                <c:pt idx="9">
                  <c:v>0.314</c:v>
                </c:pt>
                <c:pt idx="10">
                  <c:v>0.31419999999999998</c:v>
                </c:pt>
                <c:pt idx="11">
                  <c:v>0.31430000000000002</c:v>
                </c:pt>
              </c:numCache>
            </c:numRef>
          </c:val>
          <c:smooth val="0"/>
          <c:extLst>
            <c:ext xmlns:c16="http://schemas.microsoft.com/office/drawing/2014/chart" uri="{C3380CC4-5D6E-409C-BE32-E72D297353CC}">
              <c16:uniqueId val="{00000002-3918-4B34-9165-7963C2BF81FF}"/>
            </c:ext>
          </c:extLst>
        </c:ser>
        <c:ser>
          <c:idx val="3"/>
          <c:order val="3"/>
          <c:tx>
            <c:strRef>
              <c:f>'pitch outcomes'!$E$1</c:f>
              <c:strCache>
                <c:ptCount val="1"/>
                <c:pt idx="0">
                  <c:v>Strike, Swinging</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outcomes'!$E$2:$E$13</c:f>
              <c:numCache>
                <c:formatCode>General</c:formatCode>
                <c:ptCount val="12"/>
                <c:pt idx="0">
                  <c:v>5.8200000000000002E-2</c:v>
                </c:pt>
                <c:pt idx="1">
                  <c:v>9.0399999999999994E-2</c:v>
                </c:pt>
                <c:pt idx="2">
                  <c:v>9.9400000000000002E-2</c:v>
                </c:pt>
                <c:pt idx="3">
                  <c:v>0.1057</c:v>
                </c:pt>
                <c:pt idx="4">
                  <c:v>0.112</c:v>
                </c:pt>
                <c:pt idx="5">
                  <c:v>0.1154</c:v>
                </c:pt>
                <c:pt idx="6">
                  <c:v>0.1104</c:v>
                </c:pt>
                <c:pt idx="7">
                  <c:v>0.1062</c:v>
                </c:pt>
                <c:pt idx="8">
                  <c:v>0.1031</c:v>
                </c:pt>
                <c:pt idx="9">
                  <c:v>0.1033</c:v>
                </c:pt>
                <c:pt idx="10">
                  <c:v>0.10489999999999999</c:v>
                </c:pt>
                <c:pt idx="11">
                  <c:v>0.10580000000000001</c:v>
                </c:pt>
              </c:numCache>
            </c:numRef>
          </c:val>
          <c:smooth val="0"/>
          <c:extLst>
            <c:ext xmlns:c16="http://schemas.microsoft.com/office/drawing/2014/chart" uri="{C3380CC4-5D6E-409C-BE32-E72D297353CC}">
              <c16:uniqueId val="{00000003-3918-4B34-9165-7963C2BF81FF}"/>
            </c:ext>
          </c:extLst>
        </c:ser>
        <c:ser>
          <c:idx val="4"/>
          <c:order val="4"/>
          <c:tx>
            <c:strRef>
              <c:f>'pitch outcomes'!$F$1</c:f>
              <c:strCache>
                <c:ptCount val="1"/>
                <c:pt idx="0">
                  <c:v>Ball In Play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outcomes'!$F$2:$F$13</c:f>
              <c:numCache>
                <c:formatCode>General</c:formatCode>
                <c:ptCount val="12"/>
                <c:pt idx="0">
                  <c:v>0.12759999999999999</c:v>
                </c:pt>
                <c:pt idx="1">
                  <c:v>0.18770000000000001</c:v>
                </c:pt>
                <c:pt idx="2">
                  <c:v>0.20730000000000001</c:v>
                </c:pt>
                <c:pt idx="3">
                  <c:v>0.2266</c:v>
                </c:pt>
                <c:pt idx="4">
                  <c:v>0.26850000000000002</c:v>
                </c:pt>
                <c:pt idx="5">
                  <c:v>0.31190000000000001</c:v>
                </c:pt>
                <c:pt idx="6">
                  <c:v>0.32200000000000001</c:v>
                </c:pt>
                <c:pt idx="7">
                  <c:v>0.3322</c:v>
                </c:pt>
                <c:pt idx="8">
                  <c:v>0.33739999999999998</c:v>
                </c:pt>
                <c:pt idx="9">
                  <c:v>0.34</c:v>
                </c:pt>
                <c:pt idx="10">
                  <c:v>0.33689999999999998</c:v>
                </c:pt>
                <c:pt idx="11">
                  <c:v>0.33979999999999999</c:v>
                </c:pt>
              </c:numCache>
            </c:numRef>
          </c:val>
          <c:smooth val="0"/>
          <c:extLst>
            <c:ext xmlns:c16="http://schemas.microsoft.com/office/drawing/2014/chart" uri="{C3380CC4-5D6E-409C-BE32-E72D297353CC}">
              <c16:uniqueId val="{00000004-3918-4B34-9165-7963C2BF81FF}"/>
            </c:ext>
          </c:extLst>
        </c:ser>
        <c:dLbls>
          <c:showLegendKey val="0"/>
          <c:showVal val="0"/>
          <c:showCatName val="0"/>
          <c:showSerName val="0"/>
          <c:showPercent val="0"/>
          <c:showBubbleSize val="0"/>
        </c:dLbls>
        <c:marker val="1"/>
        <c:smooth val="0"/>
        <c:axId val="271374992"/>
        <c:axId val="271375320"/>
      </c:lineChart>
      <c:catAx>
        <c:axId val="2713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5320"/>
        <c:crosses val="autoZero"/>
        <c:auto val="1"/>
        <c:lblAlgn val="ctr"/>
        <c:lblOffset val="100"/>
        <c:noMultiLvlLbl val="0"/>
      </c:catAx>
      <c:valAx>
        <c:axId val="271375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4F-4A35-B5E6-B71F36E171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4F-4A35-B5E6-B71F36E1716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4F-4A35-B5E6-B71F36E1716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A4F-4A35-B5E6-B71F36E1716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A4F-4A35-B5E6-B71F36E1716A}"/>
              </c:ext>
            </c:extLst>
          </c:dPt>
          <c:cat>
            <c:strRef>
              <c:f>'pitch outcomes'!$B$1:$F$1</c:f>
              <c:strCache>
                <c:ptCount val="5"/>
                <c:pt idx="0">
                  <c:v>Ball</c:v>
                </c:pt>
                <c:pt idx="1">
                  <c:v>Strike, Looking</c:v>
                </c:pt>
                <c:pt idx="2">
                  <c:v>Foul</c:v>
                </c:pt>
                <c:pt idx="3">
                  <c:v>Strike, Swinging</c:v>
                </c:pt>
                <c:pt idx="4">
                  <c:v>Ball In Play</c:v>
                </c:pt>
              </c:strCache>
            </c:strRef>
          </c:cat>
          <c:val>
            <c:numRef>
              <c:f>'pitch outcomes'!$B$17:$F$17</c:f>
              <c:numCache>
                <c:formatCode>General</c:formatCode>
                <c:ptCount val="5"/>
                <c:pt idx="0">
                  <c:v>0.28990833333333332</c:v>
                </c:pt>
                <c:pt idx="1">
                  <c:v>8.6183333333333348E-2</c:v>
                </c:pt>
                <c:pt idx="2">
                  <c:v>0.24451666666666663</c:v>
                </c:pt>
                <c:pt idx="3">
                  <c:v>0.10123333333333333</c:v>
                </c:pt>
                <c:pt idx="4">
                  <c:v>0.27815833333333334</c:v>
                </c:pt>
              </c:numCache>
            </c:numRef>
          </c:val>
          <c:extLst>
            <c:ext xmlns:c16="http://schemas.microsoft.com/office/drawing/2014/chart" uri="{C3380CC4-5D6E-409C-BE32-E72D297353CC}">
              <c16:uniqueId val="{00000000-A7F3-4FBF-9343-F144DCC8B97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47624</xdr:colOff>
      <xdr:row>18</xdr:row>
      <xdr:rowOff>38100</xdr:rowOff>
    </xdr:from>
    <xdr:to>
      <xdr:col>22</xdr:col>
      <xdr:colOff>219075</xdr:colOff>
      <xdr:row>59</xdr:row>
      <xdr:rowOff>152400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200024</xdr:colOff>
      <xdr:row>1</xdr:row>
      <xdr:rowOff>38100</xdr:rowOff>
    </xdr:from>
    <xdr:to>
      <xdr:col>19</xdr:col>
      <xdr:colOff>228599</xdr:colOff>
      <xdr:row>25</xdr:row>
      <xdr:rowOff>85725</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514350</xdr:colOff>
      <xdr:row>2</xdr:row>
      <xdr:rowOff>47625</xdr:rowOff>
    </xdr:from>
    <xdr:to>
      <xdr:col>26</xdr:col>
      <xdr:colOff>361950</xdr:colOff>
      <xdr:row>25</xdr:row>
      <xdr:rowOff>9525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6:DO22" totalsRowShown="0" headerRowDxfId="81">
  <autoFilter ref="A6:DO22" xr:uid="{00000000-0009-0000-0100-000003000000}"/>
  <tableColumns count="119">
    <tableColumn id="1" xr3:uid="{00000000-0010-0000-0000-000001000000}" name="Rep #">
      <calculatedColumnFormula>ROW()-ROW(home)</calculatedColumnFormula>
    </tableColumn>
    <tableColumn id="2" xr3:uid="{00000000-0010-0000-0000-000002000000}" name="offense" dataDxfId="80">
      <calculatedColumnFormula>INDEX(oratings, 1, 1+MOD(Table3[[#This Row],[Rep '#]]-1, COUNT(oratings)))</calculatedColumnFormula>
    </tableColumn>
    <tableColumn id="3" xr3:uid="{00000000-0010-0000-0000-000003000000}" name="defense" dataDxfId="79">
      <calculatedColumnFormula>INDEX(dratings, 1, MOD(FLOOR( (Table3[[#This Row],[Rep '#]]-1) / COUNT(oratings), 1), COUNT(dratings))+1)</calculatedColumnFormula>
    </tableColumn>
    <tableColumn id="4" xr3:uid="{00000000-0010-0000-0000-000004000000}" name="base leadoff" dataDxfId="78">
      <calculatedColumnFormula>Table3[[#This Row],[offense]]*$D$26+0.05</calculatedColumnFormula>
    </tableColumn>
    <tableColumn id="5" xr3:uid="{00000000-0010-0000-0000-000005000000}" name="leadoff modifier" dataDxfId="40">
      <calculatedColumnFormula>((2*Table3[[#This Row],[defense]]+1*Table3[[#This Row],[defense]])-1.5)*Table3[[#This Row],[offense]]*$E$26</calculatedColumnFormula>
    </tableColumn>
    <tableColumn id="6" xr3:uid="{00000000-0010-0000-0000-000006000000}" name="total leadoff (ft)" dataDxfId="77">
      <calculatedColumnFormula>MAX(Table3[[#This Row],[base leadoff]]*(1-Table3[[#This Row],[leadoff modifier]]) * 90, 0)</calculatedColumnFormula>
    </tableColumn>
    <tableColumn id="7" xr3:uid="{00000000-0010-0000-0000-000007000000}" name="pickoff manuver (s)" dataDxfId="76">
      <calculatedColumnFormula>1.1 - Table3[[#This Row],[defense]]*0.1</calculatedColumnFormula>
    </tableColumn>
    <tableColumn id="8" xr3:uid="{00000000-0010-0000-0000-000008000000}" name="throw speed (s/ft)" dataDxfId="75">
      <calculatedColumnFormula xml:space="preserve"> 0.01 - 0.0025 *  Table3[[#This Row],[defense]]</calculatedColumnFormula>
    </tableColumn>
    <tableColumn id="32" xr3:uid="{00000000-0010-0000-0000-000020000000}" name="throw speed (mph)" dataDxfId="74">
      <calculatedColumnFormula>1 / Table3[[#This Row],[throw speed (s/ft)]] * ((60 * 60)/5280)</calculatedColumnFormula>
    </tableColumn>
    <tableColumn id="9" xr3:uid="{00000000-0010-0000-0000-000009000000}" name="pickoff time" dataDxfId="73">
      <calculatedColumnFormula>Table3[[#This Row],[pickoff manuver (s)]]+60*Table3[[#This Row],[throw speed (s/ft)]]</calculatedColumnFormula>
    </tableColumn>
    <tableColumn id="10" xr3:uid="{00000000-0010-0000-0000-00000A000000}" name="runner reaction" dataDxfId="72">
      <calculatedColumnFormula>$K$28-$K$26*Table3[[#This Row],[offense]]</calculatedColumnFormula>
    </tableColumn>
    <tableColumn id="11" xr3:uid="{00000000-0010-0000-0000-00000B000000}" name="runner speed (s/ft)" dataDxfId="71">
      <calculatedColumnFormula>0.05 - Table3[[#This Row],[offense]]*$L$26</calculatedColumnFormula>
    </tableColumn>
    <tableColumn id="12" xr3:uid="{00000000-0010-0000-0000-00000C000000}" name="runner speed (mph)" dataDxfId="70">
      <calculatedColumnFormula>1 / Table3[[#This Row],[runner speed (s/ft)]] * ((60 * 60)/5280)</calculatedColumnFormula>
    </tableColumn>
    <tableColumn id="13" xr3:uid="{00000000-0010-0000-0000-00000D000000}" name="pickoff evade time" dataDxfId="69">
      <calculatedColumnFormula>Table3[[#This Row],[runner reaction]]+Table3[[#This Row],[runner speed (s/ft)]]*Table3[[#This Row],[total leadoff (ft)]]</calculatedColumnFormula>
    </tableColumn>
    <tableColumn id="14" xr3:uid="{00000000-0010-0000-0000-00000E000000}" name="pickoff probability" dataDxfId="68" dataCellStyle="Percent">
      <calculatedColumnFormula>1 - _xlfn.NORM.DIST(Table3[[#This Row],[pickoff time]], Table3[[#This Row],[pickoff evade time]], $O$4, TRUE)</calculatedColumnFormula>
    </tableColumn>
    <tableColumn id="17" xr3:uid="{00000000-0010-0000-0000-000011000000}" name="Fielding Odds" dataDxfId="67" dataCellStyle="Percent">
      <calculatedColumnFormula>_xlfn.NORM.DIST(Table3[[#This Row],[defense]], $P$26, $P$27, TRUE)</calculatedColumnFormula>
    </tableColumn>
    <tableColumn id="18" xr3:uid="{00000000-0010-0000-0000-000012000000}" name="pickoff worth it?" dataDxfId="66">
      <calculatedColumnFormula>Table3[[#This Row],[pickoff probability]] &gt; 1-Table3[[#This Row],[Fielding Odds]]</calculatedColumnFormula>
    </tableColumn>
    <tableColumn id="19" xr3:uid="{00000000-0010-0000-0000-000013000000}" name="Error %" dataDxfId="65" dataCellStyle="Percent">
      <calculatedColumnFormula>1-Table3[[#This Row],[Fielding Odds]]</calculatedColumnFormula>
    </tableColumn>
    <tableColumn id="20" xr3:uid="{00000000-0010-0000-0000-000014000000}" name="Blatant steal time" dataDxfId="64">
      <calculatedColumnFormula>(90-Table3[[#This Row],[total leadoff (ft)]])*Table3[[#This Row],[runner speed (s/ft)]]</calculatedColumnFormula>
    </tableColumn>
    <tableColumn id="21" xr3:uid="{00000000-0010-0000-0000-000015000000}" name="Response speed" dataDxfId="63">
      <calculatedColumnFormula>$T$26*(2-Table3[[#This Row],[defense]]) + Table3[[#This Row],[pickoff time]]</calculatedColumnFormula>
    </tableColumn>
    <tableColumn id="22" xr3:uid="{00000000-0010-0000-0000-000016000000}" name="blatant steal probability" dataDxfId="62" dataCellStyle="Percent">
      <calculatedColumnFormula>_xlfn.NORM.DIST(Table3[[#This Row],[Response speed]], Table3[[#This Row],[Blatant steal time]], $U$4, TRUE)</calculatedColumnFormula>
    </tableColumn>
    <tableColumn id="23" xr3:uid="{00000000-0010-0000-0000-000017000000}" name="defense fear" dataDxfId="61">
      <calculatedColumnFormula>Table3[[#This Row],[defense]]+Table3[[#This Row],[defense]]*Table3[[#This Row],[offense]]*$E$26</calculatedColumnFormula>
    </tableColumn>
    <tableColumn id="24" xr3:uid="{00000000-0010-0000-0000-000018000000}" name="ball factor" dataDxfId="60">
      <calculatedColumnFormula>(1-$W$32)</calculatedColumnFormula>
    </tableColumn>
    <tableColumn id="25" xr3:uid="{00000000-0010-0000-0000-000019000000}" name="desperation" dataDxfId="59" dataCellStyle="Percent">
      <calculatedColumnFormula>Table3[[#This Row],[ball factor]]/$X$32*(1-$X$34)+$X$34</calculatedColumnFormula>
    </tableColumn>
    <tableColumn id="26" xr3:uid="{00000000-0010-0000-0000-00001A000000}" name="player control" dataDxfId="58">
      <calculatedColumnFormula>Table3[[#This Row],[offense]]</calculatedColumnFormula>
    </tableColumn>
    <tableColumn id="27" xr3:uid="{00000000-0010-0000-0000-00001B000000}" name="ideal steer" dataDxfId="57">
      <calculatedColumnFormula>$AA$33</calculatedColumnFormula>
    </tableColumn>
    <tableColumn id="28" xr3:uid="{00000000-0010-0000-0000-00001C000000}" name="scaled control" dataDxfId="56">
      <calculatedColumnFormula>IF(Table3[[#This Row],[player control]]&gt;1,Table3[[#This Row],[player control]]*$AA$41+$AA$40,Table3[[#This Row],[player control]]*$AA$39+$AA$38)</calculatedColumnFormula>
    </tableColumn>
    <tableColumn id="29" xr3:uid="{00000000-0010-0000-0000-00001D000000}" name="unmod foul percent 3rd" dataDxfId="55" dataCellStyle="Percent">
      <calculatedColumnFormula>_xlfn.NORM.DIST(-1,Table3[[#This Row],[ideal steer]],($AB$25-Table3[[#This Row],[scaled control]])*$AB$27,TRUE)</calculatedColumnFormula>
    </tableColumn>
    <tableColumn id="30" xr3:uid="{00000000-0010-0000-0000-00001E000000}" name="unmod foul percent 1st" dataDxfId="54" dataCellStyle="Percent">
      <calculatedColumnFormula>1-_xlfn.NORM.DIST(1,Table3[[#This Row],[ideal steer]],($AB$25-Table3[[#This Row],[scaled control]])*$AB$27,TRUE)</calculatedColumnFormula>
    </tableColumn>
    <tableColumn id="31" xr3:uid="{00000000-0010-0000-0000-00001F000000}" name="total unmod foul percent" dataDxfId="53" dataCellStyle="Percent">
      <calculatedColumnFormula>1-(1-Table3[[#This Row],[unmod foul percent 3rd]])*(1-Table3[[#This Row],[unmod foul percent 1st]])</calculatedColumnFormula>
    </tableColumn>
    <tableColumn id="15" xr3:uid="{00000000-0010-0000-0000-00000F000000}" name="unmod dead center foul%" dataDxfId="52" dataCellStyle="Percent">
      <calculatedColumnFormula>1-((1-_xlfn.NORM.DIST(-1,0,($AB$25-Table3[[#This Row],[scaled control]])*$AB$27,TRUE))*_xlfn.NORM.DIST(1,0,($AB$25-Table3[[#This Row],[scaled control]])*$AB$27,TRUE))</calculatedColumnFormula>
    </tableColumn>
    <tableColumn id="16" xr3:uid="{00000000-0010-0000-0000-000010000000}" name="count" dataDxfId="51">
      <calculatedColumnFormula>$AF$34*$AF$25</calculatedColumnFormula>
    </tableColumn>
    <tableColumn id="33" xr3:uid="{00000000-0010-0000-0000-000021000000}" name="hitter discipline bias" dataDxfId="50">
      <calculatedColumnFormula>$AG$25*($AG$34*Table3[[#This Row],[offense]])</calculatedColumnFormula>
    </tableColumn>
    <tableColumn id="34" xr3:uid="{00000000-0010-0000-0000-000022000000}" name="bases loaded" dataDxfId="49">
      <calculatedColumnFormula>$AH$25*$AH$34</calculatedColumnFormula>
    </tableColumn>
    <tableColumn id="35" xr3:uid="{00000000-0010-0000-0000-000023000000}" name="number of outs" dataDxfId="48">
      <calculatedColumnFormula>$AI$34*$AI$25</calculatedColumnFormula>
    </tableColumn>
    <tableColumn id="36" xr3:uid="{00000000-0010-0000-0000-000024000000}" name="current hitter vs next hitter" dataDxfId="47">
      <calculatedColumnFormula>$AJ$25*(Table3[[#This Row],[offense]]-$AJ$27)</calculatedColumnFormula>
    </tableColumn>
    <tableColumn id="37" xr3:uid="{00000000-0010-0000-0000-000025000000}" name="calling modifier" dataDxfId="46">
      <calculatedColumnFormula array="1">SUM(Table3[[#This Row],[count]:[current hitter vs next hitter]]*MIN(1, Table3[[#This Row],[defense]]))</calculatedColumnFormula>
    </tableColumn>
    <tableColumn id="38" xr3:uid="{00000000-0010-0000-0000-000026000000}" name="sigmoid strike percent" dataDxfId="45" dataCellStyle="Percent">
      <calculatedColumnFormula>$AL$25-(Table3[[#This Row],[calling modifier]]/(ABS(Table3[[#This Row],[calling modifier]])+$AL$29)*$AL$27)</calculatedColumnFormula>
    </tableColumn>
    <tableColumn id="39" xr3:uid="{00000000-0010-0000-0000-000027000000}" name="tanh strike percent" dataDxfId="44" dataCellStyle="Percent">
      <calculatedColumnFormula>$AL$25-$AL$27*TANH(Table3[[#This Row],[calling modifier]]/$AM$29)</calculatedColumnFormula>
    </tableColumn>
    <tableColumn id="40" xr3:uid="{00000000-0010-0000-0000-000028000000}" name="called position" dataDxfId="43" dataCellStyle="Percent">
      <calculatedColumnFormula>MAX(0, 1-_xlfn.NORM.S.INV(Table3[[#This Row],[tanh strike percent]])*($AN$25*($AN$27-Table3[[#This Row],[defense]])))</calculatedColumnFormula>
    </tableColumn>
    <tableColumn id="41" xr3:uid="{00000000-0010-0000-0000-000029000000}" name="called pos 0.2 pitch" dataDxfId="42">
      <calculatedColumnFormula>MAX(0, 1-_xlfn.NORM.S.INV(Table3[[#This Row],[tanh strike percent]])*($AN$25*($AN$27-0.2)))</calculatedColumnFormula>
    </tableColumn>
    <tableColumn id="42" xr3:uid="{00000000-0010-0000-0000-00002A000000}" name="called pos 2 pitch" dataDxfId="41">
      <calculatedColumnFormula>MAX(0, 1-_xlfn.NORM.S.INV(Table3[[#This Row],[tanh strike percent]])*($AN$25*($AN$27-2)))</calculatedColumnFormula>
    </tableColumn>
    <tableColumn id="43" xr3:uid="{00000000-0010-0000-0000-00002B000000}" name="location -1  stdv" dataDxfId="38">
      <calculatedColumnFormula>Table3[[#This Row],[called position]]-pitchmod*(pitchstdv-Table3[[#This Row],[defense]])</calculatedColumnFormula>
    </tableColumn>
    <tableColumn id="44" xr3:uid="{00000000-0010-0000-0000-00002C000000}" name="location +1 stdv" dataDxfId="39">
      <calculatedColumnFormula>ABS(Table3[[#This Row],[called position]]+pitchmod*(pitchstdv-Table3[[#This Row],[defense]]))</calculatedColumnFormula>
    </tableColumn>
    <tableColumn id="46" xr3:uid="{00000000-0010-0000-0000-00002E000000}" name="min dist to sz 1stdv" dataDxfId="37">
      <calculatedColumnFormula>IF(AND(Table3[[#This Row],[location -1  stdv]]&lt;1, Table3[[#This Row],[location +1 stdv]]&gt;1),0, MIN(Table3[[#This Row],[location -1  stdv]]+1, 1-Table3[[#This Row],[location +1 stdv]]))</calculatedColumnFormula>
    </tableColumn>
    <tableColumn id="47" xr3:uid="{00000000-0010-0000-0000-00002F000000}" name="max dist to sz 1stdv" dataDxfId="36">
      <calculatedColumnFormula>IF(AND(Table3[[#This Row],[location -1  stdv]]&lt;0, Table3[[#This Row],[location +1 stdv]]&gt;0),1, MAX(1-ABS(Table3[[#This Row],[location -1  stdv]]), Table3[[#This Row],[location +1 stdv]]-1))</calculatedColumnFormula>
    </tableColumn>
    <tableColumn id="48" xr3:uid="{00000000-0010-0000-0000-000030000000}" name="ave obscurity" dataDxfId="35">
      <calculatedColumnFormula>$AU$30/(ABS(Table3[[#This Row],[called position]]-1)+$AU$27)+$AU$32*Table3[[#This Row],[defense]]</calculatedColumnFormula>
    </tableColumn>
    <tableColumn id="51" xr3:uid="{00000000-0010-0000-0000-000033000000}" name="obscurity at _x000a_0.5" dataDxfId="34">
      <calculatedColumnFormula>$AU$30/(ABS(0.5-1)+$AU$27)+$AU$32*Table3[[#This Row],[defense]]</calculatedColumnFormula>
    </tableColumn>
    <tableColumn id="52" xr3:uid="{00000000-0010-0000-0000-000034000000}" name="obscurity at  0.9" dataDxfId="33">
      <calculatedColumnFormula>$AU$30/(ABS(0.9-1)+$AU$27)+$AU$32*Table3[[#This Row],[defense]]</calculatedColumnFormula>
    </tableColumn>
    <tableColumn id="53" xr3:uid="{00000000-0010-0000-0000-000035000000}" name="average difficulty" dataDxfId="23">
      <calculatedColumnFormula>Table3[[#This Row],[defense]]*$AX$30+MAX(0, Table3[[#This Row],[called position]]-$AX$27)^$AX$25</calculatedColumnFormula>
    </tableColumn>
    <tableColumn id="54" xr3:uid="{00000000-0010-0000-0000-000036000000}" name="+1stdv difficulty" dataDxfId="22">
      <calculatedColumnFormula>Table3[[#This Row],[defense]]*$AX$30 + MAX(0, Table3[[#This Row],[location +1 stdv]]-$AX$27)^$AX$25</calculatedColumnFormula>
    </tableColumn>
    <tableColumn id="55" xr3:uid="{00000000-0010-0000-0000-000037000000}" name="difficulty at 1" dataDxfId="21">
      <calculatedColumnFormula>Table3[[#This Row],[defense]]*$AX$30+MAX(0, 1-$AX$27)^$AX$25</calculatedColumnFormula>
    </tableColumn>
    <tableColumn id="62" xr3:uid="{6513900D-2CAC-4022-A6B3-8A00EE6C566B}" name="reduction" dataDxfId="32">
      <calculatedColumnFormula>MAX(0, 0.1*(1-Table3[[#This Row],[defense]]))</calculatedColumnFormula>
    </tableColumn>
    <tableColumn id="63" xr3:uid="{12464915-1D8C-4EB5-9BBD-0FF526658E5B}" name="Location" dataDxfId="31">
      <calculatedColumnFormula>$BB$25</calculatedColumnFormula>
    </tableColumn>
    <tableColumn id="64" xr3:uid="{5F0F19BE-6D04-4E9E-81B2-B324AB353F5C}" name="obscurity" dataDxfId="30">
      <calculatedColumnFormula>$AU$30/(ABS(Table3[[#This Row],[Location]]-1)+$AU$27)+$AU$32*Table3[[#This Row],[defense]]</calculatedColumnFormula>
    </tableColumn>
    <tableColumn id="65" xr3:uid="{EA3D32E7-A2E2-482C-B6E9-2E17651C5F77}" name="Strike?" dataDxfId="27">
      <calculatedColumnFormula>Table3[[#This Row],[Location]]&lt;= (1+MAX(0, (Table3[[#This Row],[defense]]-1)*0.1))</calculatedColumnFormula>
    </tableColumn>
    <tableColumn id="66" xr3:uid="{0C7E9B06-240B-481E-B495-54026E2F00AA}" name="discipline modifier" dataDxfId="29">
      <calculatedColumnFormula>1/(1+Table3[[#This Row],[offense]])</calculatedColumnFormula>
    </tableColumn>
    <tableColumn id="67" xr3:uid="{D3B0837D-02D4-4F62-A2E2-876739E497B0}" name="effective obscurity" dataDxfId="28">
      <calculatedColumnFormula>Table3[[#This Row],[obscurity]]*Table3[[#This Row],[discipline modifier]]</calculatedColumnFormula>
    </tableColumn>
    <tableColumn id="69" xr3:uid="{39822A5F-1791-48DC-BA9F-A066931C0292}" name="odds of read" dataCellStyle="Percent">
      <calculatedColumnFormula>1/(1+Table3[[#This Row],[effective obscurity]])</calculatedColumnFormula>
    </tableColumn>
    <tableColumn id="70" xr3:uid="{1CCD1432-14D3-4491-941D-9748ABEC7AE0}" name="unadjusted swing %" dataCellStyle="Percent">
      <calculatedColumnFormula>IF(Table3[[#This Row],[Strike?]],Table3[[#This Row],[odds of read]],1-Table3[[#This Row],[odds of read]])</calculatedColumnFormula>
    </tableColumn>
    <tableColumn id="71" xr3:uid="{F2B199DA-BBC9-49CD-B1D2-0193DC26B3AB}" name="desperation echo">
      <calculatedColumnFormula>$BB$29</calculatedColumnFormula>
    </tableColumn>
    <tableColumn id="72" xr3:uid="{3E21C76F-F55B-4E49-9BE2-FEE046008C15}" name="adjusted swing %" dataCellStyle="Percent">
      <calculatedColumnFormula>Table3[[#This Row],[desperation echo]]*Table3[[#This Row],[unadjusted swing %]]</calculatedColumnFormula>
    </tableColumn>
    <tableColumn id="130" xr3:uid="{827C9303-3867-43F7-A79B-BC2EAB3F896D}" name="pitch carry forward obsc" dataDxfId="25">
      <calculatedColumnFormula>Table3[[#This Row],[ave obscurity]]</calculatedColumnFormula>
    </tableColumn>
    <tableColumn id="131" xr3:uid="{F26B1E2C-89D5-4F6D-877A-1BEA7F7DF5A9}" name="CF odds of read" dataCellStyle="Percent">
      <calculatedColumnFormula>1/(1+Table3[[#This Row],[ave obscurity]]*Table3[[#This Row],[discipline modifier]])</calculatedColumnFormula>
    </tableColumn>
    <tableColumn id="73" xr3:uid="{77BBE784-030D-4E46-9A29-8783B89762BC}" name="contact echo" dataDxfId="26">
      <calculatedColumnFormula>Table3[[#This Row],[offense]]</calculatedColumnFormula>
    </tableColumn>
    <tableColumn id="75" xr3:uid="{074A9F48-3941-4E36-90C2-7710217D32C8}" name="pitch carry forward diff" dataDxfId="24">
      <calculatedColumnFormula>Table3[[#This Row],[average difficulty]]</calculatedColumnFormula>
    </tableColumn>
    <tableColumn id="76" xr3:uid="{628DDA60-D380-4EE8-AA7D-7EF6C4AAD8A5}" name="CF contact readiness" dataDxfId="20">
      <calculatedColumnFormula>Table3[[#This Row],[contact echo]]-Table3[[#This Row],[pitch carry forward diff]]</calculatedColumnFormula>
    </tableColumn>
    <tableColumn id="77" xr3:uid="{DBF18AD6-8593-42C7-9058-D19737088E6D}" name="foul %" dataDxfId="18" dataCellStyle="Percent">
      <calculatedColumnFormula>1-_xlfn.NORM.DIST($BP$27,Table3[[#This Row],[CF contact readiness]], $BP$30,TRUE)</calculatedColumnFormula>
    </tableColumn>
    <tableColumn id="78" xr3:uid="{6354951A-151E-4E04-9897-9CB39D6098C8}" name="clean %" dataDxfId="19" dataCellStyle="Percent">
      <calculatedColumnFormula>1-_xlfn.NORM.DIST($BP$25,Table3[[#This Row],[CF contact readiness]], $BP$30,TRUE)</calculatedColumnFormula>
    </tableColumn>
    <tableColumn id="79" xr3:uid="{0070F673-D13C-467D-95AC-FF8413A02F3F}" name="strike swinging %" dataDxfId="17" dataCellStyle="Percent">
      <calculatedColumnFormula>1-Table3[[#This Row],[foul %]]</calculatedColumnFormula>
    </tableColumn>
    <tableColumn id="80" xr3:uid="{9504D0CF-7CD0-472F-8289-44B30538D80C}" name="ave. hit quality" dataDxfId="16">
      <calculatedColumnFormula>(Table3[[#This Row],[CF contact readiness]]-$BP$27)/$BP$30</calculatedColumnFormula>
    </tableColumn>
    <tableColumn id="132" xr3:uid="{0BB169E4-F345-4B7D-A549-DE28DC5FB113}" name="hit quality +1stdv" dataDxfId="14">
      <calculatedColumnFormula>(Table3[[#This Row],[CF contact readiness]]+$BP$30-$BP$27)/$BP$30</calculatedColumnFormula>
    </tableColumn>
    <tableColumn id="81" xr3:uid="{37438EAA-344A-486C-A4C2-68EE17D67C60}" name="hit quality remainder" dataDxfId="13">
      <calculatedColumnFormula>MAX(0, IF(ISBLANK($BU$28), Table3[[#This Row],[hit quality +1stdv]], $BU$28)-1)</calculatedColumnFormula>
    </tableColumn>
    <tableColumn id="82" xr3:uid="{CBA11BEE-0412-44C3-979C-1888629B3C7A}" name="adjusted launch angle" dataDxfId="12">
      <calculatedColumnFormula>$BV$25+Table3[[#This Row],[offense]]*$BV$28</calculatedColumnFormula>
    </tableColumn>
    <tableColumn id="83" xr3:uid="{8DC0E209-2987-40FE-9521-B3339A7D8E1F}" name="angle stdev" dataDxfId="15">
      <calculatedColumnFormula>$BW$25*$BW$28/($BW$28+Table3[[#This Row],[hit quality remainder]])</calculatedColumnFormula>
    </tableColumn>
    <tableColumn id="84" xr3:uid="{F8EB7F4C-5D31-472E-A363-210E62A7E683}" name="grounder % (&lt;10 deg)" dataCellStyle="Percent">
      <calculatedColumnFormula>_xlfn.NORM.DIST(10,Table3[[#This Row],[adjusted launch angle]],Table3[[#This Row],[angle stdev]],TRUE)</calculatedColumnFormula>
    </tableColumn>
    <tableColumn id="85" xr3:uid="{56DD6E0A-39C0-4DF0-B1CB-47EB71B71306}" name="pop up % (&gt;50 deg)" dataCellStyle="Percent">
      <calculatedColumnFormula>1-_xlfn.NORM.DIST(50, Table3[[#This Row],[adjusted launch angle]],Table3[[#This Row],[angle stdev]],TRUE)</calculatedColumnFormula>
    </tableColumn>
    <tableColumn id="86" xr3:uid="{6ED971D4-0303-4AEB-B7CD-9516517F447E}" name="odds of 3B" dataDxfId="11" dataCellStyle="Percent">
      <calculatedColumnFormula>1-_xlfn.NORM.DIST(70, $BZ$28,$BZ$25,TRUE)</calculatedColumnFormula>
    </tableColumn>
    <tableColumn id="87" xr3:uid="{E9F9DFB6-4A26-4CA7-9318-6ECA478690D6}" name="exit velocity mean" dataDxfId="10">
      <calculatedColumnFormula>$CA$25+Table3[[#This Row],[offense]]*($CA$27-$CA$25)/2</calculatedColumnFormula>
    </tableColumn>
    <tableColumn id="88" xr3:uid="{EB865A5D-CC1D-49FA-9709-DC5F30F55DD8}" name="after reduction" dataDxfId="9">
      <calculatedColumnFormula>Table3[[#This Row],[exit velocity mean]]-Table3[[#This Row],[reduction]]*100</calculatedColumnFormula>
    </tableColumn>
    <tableColumn id="89" xr3:uid="{949E8C38-C424-4A4E-9A6F-FCA93496D192}" name="theoretical distance" dataDxfId="8">
      <calculatedColumnFormula>Table3[[#This Row],[exit velocity mean]]^2*2*SIN(RADIANS(Table3[[#This Row],[adjusted launch angle]]))/$CC$28*5280</calculatedColumnFormula>
    </tableColumn>
    <tableColumn id="90" xr3:uid="{9FD0A88A-D0D9-4369-8D70-6C7485CA1509}" name="flight time" dataDxfId="7">
      <calculatedColumnFormula>2*Table3[[#This Row],[exit velocity mean]]*SIN(RADIANS(Table3[[#This Row],[adjusted launch angle]]))/$CC$28*60*60</calculatedColumnFormula>
    </tableColumn>
    <tableColumn id="91" xr3:uid="{D9D5DFED-BD09-4CB6-A82E-D289D2DAB08D}" name="actual distance" dataDxfId="6">
      <calculatedColumnFormula>Table3[[#This Row],[theoretical distance]]-Table3[[#This Row],[flight time]]^2*$CE$25</calculatedColumnFormula>
    </tableColumn>
    <tableColumn id="92" xr3:uid="{3D80331E-564D-462D-81B5-E5CE730D1EE5}" name="+1stdv EV" dataDxfId="5">
      <calculatedColumnFormula>Table3[[#This Row],[exit velocity mean]]+$CC$25-Table3[[#This Row],[reduction]]*100</calculatedColumnFormula>
    </tableColumn>
    <tableColumn id="93" xr3:uid="{211123A1-65C0-4F59-AB86-C344CFF47F70}" name="+1stdv LA" dataDxfId="0">
      <calculatedColumnFormula>MIN(Table3[[#This Row],[adjusted launch angle]]+Table3[[#This Row],[angle stdev]], 30)</calculatedColumnFormula>
    </tableColumn>
    <tableColumn id="94" xr3:uid="{C8736D16-AF27-436D-BF61-CA3E58298CD3}" name="+1stdv flight time" dataDxfId="4">
      <calculatedColumnFormula>2*Table3[[#This Row],[+1stdv EV]]*SIN(RADIANS(Table3[[#This Row],[+1stdv LA]]))/$CC$28*60*60</calculatedColumnFormula>
    </tableColumn>
    <tableColumn id="95" xr3:uid="{C9967388-9755-4293-82E9-4E43A4770599}" name="+1stdev distance" dataDxfId="3">
      <calculatedColumnFormula>Table3[[#This Row],[+1stdv EV]]^2*2*SIN(RADIANS(Table3[[#This Row],[+1stdv LA]]))/$CC$28*5280-Table3[[#This Row],[+1stdv flight time]]^2*$CE$25</calculatedColumnFormula>
    </tableColumn>
    <tableColumn id="96" xr3:uid="{52B6BA3A-87F7-49FD-BFE7-811EA76B03FD}" name="+1stdev delta" dataDxfId="2">
      <calculatedColumnFormula>Table3[[#This Row],[+1stdev distance]]-Table3[[#This Row],[actual distance]]</calculatedColumnFormula>
    </tableColumn>
    <tableColumn id="97" xr3:uid="{50EEB2EF-C836-4BBC-A8B3-EAD31BF29B54}" name="Column95"/>
    <tableColumn id="98" xr3:uid="{823DCE3F-2A43-4BFF-AFF7-BC15E601D901}" name="Column96"/>
    <tableColumn id="99" xr3:uid="{28288627-7AF0-454A-B8A1-A3BC42ECE940}" name="Column97"/>
    <tableColumn id="100" xr3:uid="{575103B5-2CCC-44DD-BB88-FB18F1E23A08}" name="Column98"/>
    <tableColumn id="101" xr3:uid="{C55306D8-624E-4BCE-834B-AF49B8202CED}" name="Column99"/>
    <tableColumn id="102" xr3:uid="{D4B7A9EE-3E5D-4A60-A3A7-9AC9B0C85C8D}" name="Column100"/>
    <tableColumn id="103" xr3:uid="{14722E20-E84C-4080-B1F7-34CDEEB8D6D5}" name="Column101"/>
    <tableColumn id="104" xr3:uid="{546EB089-7CB2-42F5-A234-0BF4E6D3CA3F}" name="Column102"/>
    <tableColumn id="105" xr3:uid="{FCDE521F-FE20-4005-8883-74ACF18E3663}" name="Column103"/>
    <tableColumn id="106" xr3:uid="{D5E70DC2-6EAD-4645-A27D-33A983DFE6D3}" name="Column104"/>
    <tableColumn id="107" xr3:uid="{C1E5C749-C609-4DE9-A9D1-AD23F05A572A}" name="Column105"/>
    <tableColumn id="108" xr3:uid="{2EF4C913-BAE3-4FA8-ACFA-701315426FF4}" name="Column106"/>
    <tableColumn id="109" xr3:uid="{74253C35-D1D6-46FD-A6C6-740C5888F758}" name="Column107"/>
    <tableColumn id="110" xr3:uid="{DFDD0EA9-C398-4F30-9749-4F45A4A12120}" name="Column108"/>
    <tableColumn id="111" xr3:uid="{22BDF745-2AA8-449D-A75C-DC5410FF1EFD}" name="Column109"/>
    <tableColumn id="112" xr3:uid="{4B9A95F7-CA51-4C0F-89BD-32AF75C35AD8}" name="Column110"/>
    <tableColumn id="113" xr3:uid="{99F530A4-750E-4C4E-BB55-5745E48FBFD0}" name="Column111"/>
    <tableColumn id="114" xr3:uid="{88B2C7D2-FBF8-4937-AB6A-734A3C93BB6B}" name="Column112"/>
    <tableColumn id="115" xr3:uid="{27CEB9E3-F8CF-4F1B-9E7C-06936A156EA8}" name="Column113"/>
    <tableColumn id="116" xr3:uid="{701BA705-23F9-4382-BE13-C15CD875F2F4}" name="Column114"/>
    <tableColumn id="117" xr3:uid="{D8082764-2F18-48BE-92ED-C07F4FFF7FDA}" name="Column115"/>
    <tableColumn id="118" xr3:uid="{C54C08C2-EE30-4EE4-B0B9-792D1DB77397}" name="Column116"/>
    <tableColumn id="119" xr3:uid="{E6D689BB-DD0D-4D6A-881C-24DA40F4971B}" name="Column117"/>
    <tableColumn id="120" xr3:uid="{8FE0AEE0-77A6-4EA2-A68A-70EA44BA8F69}" name="Column118"/>
    <tableColumn id="121" xr3:uid="{CE1D1007-A159-43AA-A7B9-878132D9CB7C}" name="Column119"/>
    <tableColumn id="122" xr3:uid="{E97F281B-5F66-4894-BB19-1EEF9AFAE886}" name="Column120"/>
    <tableColumn id="123" xr3:uid="{FF6BCFE2-3C84-4E3A-BA0A-D96AB8B520B8}" name="Column121"/>
    <tableColumn id="124" xr3:uid="{4BD16D0C-AA84-40F8-844B-ADB543279ECA}" name="Column122"/>
    <tableColumn id="125" xr3:uid="{5EC4C442-B4E7-410B-8F1C-684A18D55779}" name="Column123"/>
    <tableColumn id="126" xr3:uid="{38BD33B3-15CD-47C0-8334-87CB7F96C30E}" name="Column124"/>
    <tableColumn id="127" xr3:uid="{69A8AE3A-0213-42AF-9FC7-17D03726B015}" name="Column125"/>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41"/>
  <sheetViews>
    <sheetView tabSelected="1" topLeftCell="CA1" zoomScaleNormal="100" workbookViewId="0">
      <selection activeCell="CI28" sqref="CI28"/>
    </sheetView>
  </sheetViews>
  <sheetFormatPr defaultColWidth="14.28515625" defaultRowHeight="15" x14ac:dyDescent="0.25"/>
  <sheetData>
    <row r="1" spans="1:119" x14ac:dyDescent="0.25">
      <c r="A1" t="s">
        <v>5</v>
      </c>
      <c r="B1">
        <v>0.1</v>
      </c>
      <c r="C1">
        <v>0.5</v>
      </c>
      <c r="D1">
        <v>1</v>
      </c>
      <c r="E1">
        <v>2</v>
      </c>
    </row>
    <row r="2" spans="1:119" x14ac:dyDescent="0.25">
      <c r="A2" t="s">
        <v>6</v>
      </c>
      <c r="B2">
        <v>0.1</v>
      </c>
      <c r="C2">
        <v>0.5</v>
      </c>
      <c r="D2">
        <v>1</v>
      </c>
      <c r="E2">
        <v>2</v>
      </c>
    </row>
    <row r="3" spans="1:119" x14ac:dyDescent="0.25">
      <c r="A3" t="s">
        <v>7</v>
      </c>
      <c r="B3">
        <f>COUNT(oratings)*COUNT(dratings)</f>
        <v>16</v>
      </c>
      <c r="O3" t="s">
        <v>81</v>
      </c>
      <c r="U3" t="s">
        <v>86</v>
      </c>
    </row>
    <row r="4" spans="1:119" x14ac:dyDescent="0.25">
      <c r="O4">
        <v>0.2</v>
      </c>
      <c r="U4">
        <v>0.6</v>
      </c>
    </row>
    <row r="5" spans="1:119" x14ac:dyDescent="0.25">
      <c r="A5" s="74" t="s">
        <v>127</v>
      </c>
      <c r="B5" s="75"/>
      <c r="C5" s="76"/>
      <c r="D5" s="74" t="s">
        <v>126</v>
      </c>
      <c r="E5" s="75"/>
      <c r="F5" s="75"/>
      <c r="G5" s="75"/>
      <c r="H5" s="75"/>
      <c r="I5" s="75"/>
      <c r="J5" s="75"/>
      <c r="K5" s="75"/>
      <c r="L5" s="75"/>
      <c r="M5" s="75"/>
      <c r="N5" s="75"/>
      <c r="O5" s="75"/>
      <c r="P5" s="75"/>
      <c r="Q5" s="75"/>
      <c r="R5" s="76"/>
      <c r="S5" s="74" t="s">
        <v>128</v>
      </c>
      <c r="T5" s="75"/>
      <c r="U5" s="75"/>
      <c r="V5" s="76"/>
      <c r="W5" s="74" t="s">
        <v>129</v>
      </c>
      <c r="X5" s="76"/>
      <c r="Y5" s="74" t="s">
        <v>166</v>
      </c>
      <c r="Z5" s="75"/>
      <c r="AA5" s="75"/>
      <c r="AB5" s="75"/>
      <c r="AC5" s="75"/>
      <c r="AD5" s="75"/>
      <c r="AE5" s="76"/>
      <c r="AF5" s="74" t="s">
        <v>167</v>
      </c>
      <c r="AG5" s="75"/>
      <c r="AH5" s="75"/>
      <c r="AI5" s="75"/>
      <c r="AJ5" s="75"/>
      <c r="AK5" s="75"/>
      <c r="AL5" s="75"/>
      <c r="AM5" s="75"/>
      <c r="AN5" s="76"/>
      <c r="AO5" s="74"/>
      <c r="AP5" s="76"/>
      <c r="AQ5" s="74" t="s">
        <v>198</v>
      </c>
      <c r="AR5" s="75"/>
      <c r="AS5" s="75"/>
      <c r="AT5" s="75"/>
      <c r="AU5" s="75"/>
      <c r="AV5" s="75"/>
      <c r="AW5" s="75"/>
      <c r="AX5" s="75"/>
      <c r="AY5" s="75"/>
      <c r="AZ5" s="75"/>
      <c r="BA5" s="76"/>
      <c r="BB5" s="74" t="s">
        <v>249</v>
      </c>
      <c r="BC5" s="75"/>
      <c r="BD5" s="75"/>
      <c r="BE5" s="75"/>
      <c r="BF5" s="75"/>
      <c r="BG5" s="75"/>
      <c r="BH5" s="75"/>
      <c r="BI5" s="75"/>
      <c r="BJ5" s="76"/>
      <c r="BK5" s="74"/>
      <c r="BL5" s="76"/>
      <c r="BM5" s="74" t="s">
        <v>258</v>
      </c>
      <c r="BN5" s="75"/>
      <c r="BO5" s="75"/>
      <c r="BP5" s="75"/>
      <c r="BQ5" s="75"/>
      <c r="BR5" s="75"/>
      <c r="BS5" s="76"/>
      <c r="BT5" s="167"/>
      <c r="BU5" s="74" t="s">
        <v>273</v>
      </c>
      <c r="BV5" s="75"/>
      <c r="BW5" s="75"/>
      <c r="BX5" s="75"/>
      <c r="BY5" s="75"/>
      <c r="BZ5" s="75"/>
      <c r="CA5" s="75"/>
      <c r="CB5" s="75"/>
      <c r="CC5" s="75"/>
      <c r="CD5" s="75"/>
      <c r="CE5" s="76"/>
    </row>
    <row r="6" spans="1:119" s="2" customFormat="1" ht="30" x14ac:dyDescent="0.25">
      <c r="A6" s="2" t="s">
        <v>8</v>
      </c>
      <c r="B6" s="2" t="s">
        <v>9</v>
      </c>
      <c r="C6" s="2" t="s">
        <v>10</v>
      </c>
      <c r="D6" s="2" t="s">
        <v>11</v>
      </c>
      <c r="E6" s="2" t="s">
        <v>12</v>
      </c>
      <c r="F6" s="2" t="s">
        <v>13</v>
      </c>
      <c r="G6" s="2" t="s">
        <v>78</v>
      </c>
      <c r="H6" s="2" t="s">
        <v>77</v>
      </c>
      <c r="I6" s="2" t="s">
        <v>75</v>
      </c>
      <c r="J6" s="2" t="s">
        <v>73</v>
      </c>
      <c r="K6" s="2" t="s">
        <v>74</v>
      </c>
      <c r="L6" s="2" t="s">
        <v>76</v>
      </c>
      <c r="M6" s="2" t="s">
        <v>79</v>
      </c>
      <c r="N6" s="2" t="s">
        <v>80</v>
      </c>
      <c r="O6" s="2" t="s">
        <v>88</v>
      </c>
      <c r="P6" s="2" t="s">
        <v>104</v>
      </c>
      <c r="Q6" s="2" t="s">
        <v>105</v>
      </c>
      <c r="R6" s="2" t="s">
        <v>106</v>
      </c>
      <c r="S6" s="2" t="s">
        <v>107</v>
      </c>
      <c r="T6" s="2" t="s">
        <v>108</v>
      </c>
      <c r="U6" s="2" t="s">
        <v>110</v>
      </c>
      <c r="V6" s="2" t="s">
        <v>111</v>
      </c>
      <c r="W6" s="2" t="s">
        <v>134</v>
      </c>
      <c r="X6" s="2" t="s">
        <v>136</v>
      </c>
      <c r="Y6" s="2" t="s">
        <v>137</v>
      </c>
      <c r="Z6" s="79" t="s">
        <v>150</v>
      </c>
      <c r="AA6" s="79" t="s">
        <v>155</v>
      </c>
      <c r="AB6" s="79" t="s">
        <v>162</v>
      </c>
      <c r="AC6" s="79" t="s">
        <v>163</v>
      </c>
      <c r="AD6" s="79" t="s">
        <v>164</v>
      </c>
      <c r="AE6" s="79" t="s">
        <v>165</v>
      </c>
      <c r="AF6" s="2" t="s">
        <v>125</v>
      </c>
      <c r="AG6" s="2" t="s">
        <v>168</v>
      </c>
      <c r="AH6" s="2" t="s">
        <v>173</v>
      </c>
      <c r="AI6" s="2" t="s">
        <v>174</v>
      </c>
      <c r="AJ6" s="2" t="s">
        <v>175</v>
      </c>
      <c r="AK6" s="2" t="s">
        <v>186</v>
      </c>
      <c r="AL6" s="79" t="s">
        <v>188</v>
      </c>
      <c r="AM6" s="2" t="s">
        <v>193</v>
      </c>
      <c r="AN6" s="2" t="s">
        <v>185</v>
      </c>
      <c r="AO6" s="2" t="s">
        <v>194</v>
      </c>
      <c r="AP6" s="2" t="s">
        <v>195</v>
      </c>
      <c r="AQ6" s="2" t="s">
        <v>207</v>
      </c>
      <c r="AR6" s="2" t="s">
        <v>200</v>
      </c>
      <c r="AS6" s="2" t="s">
        <v>202</v>
      </c>
      <c r="AT6" s="2" t="s">
        <v>203</v>
      </c>
      <c r="AU6" s="2" t="s">
        <v>208</v>
      </c>
      <c r="AV6" s="2" t="s">
        <v>218</v>
      </c>
      <c r="AW6" s="2" t="s">
        <v>219</v>
      </c>
      <c r="AX6" s="2" t="s">
        <v>221</v>
      </c>
      <c r="AY6" s="153" t="s">
        <v>223</v>
      </c>
      <c r="AZ6" s="2" t="s">
        <v>264</v>
      </c>
      <c r="BA6" s="2" t="s">
        <v>247</v>
      </c>
      <c r="BB6" s="2" t="s">
        <v>251</v>
      </c>
      <c r="BC6" s="2" t="s">
        <v>201</v>
      </c>
      <c r="BD6" s="2" t="s">
        <v>252</v>
      </c>
      <c r="BE6" s="2" t="s">
        <v>253</v>
      </c>
      <c r="BF6" s="2" t="s">
        <v>254</v>
      </c>
      <c r="BG6" s="2" t="s">
        <v>255</v>
      </c>
      <c r="BH6" s="2" t="s">
        <v>256</v>
      </c>
      <c r="BI6" s="2" t="s">
        <v>250</v>
      </c>
      <c r="BJ6" s="2" t="s">
        <v>257</v>
      </c>
      <c r="BK6" s="2" t="s">
        <v>261</v>
      </c>
      <c r="BL6" s="2" t="s">
        <v>262</v>
      </c>
      <c r="BM6" s="2" t="s">
        <v>259</v>
      </c>
      <c r="BN6" s="2" t="s">
        <v>260</v>
      </c>
      <c r="BO6" s="2" t="s">
        <v>270</v>
      </c>
      <c r="BP6" s="2" t="s">
        <v>268</v>
      </c>
      <c r="BQ6" s="2" t="s">
        <v>269</v>
      </c>
      <c r="BR6" s="2" t="s">
        <v>266</v>
      </c>
      <c r="BS6" s="2" t="s">
        <v>272</v>
      </c>
      <c r="BT6" s="2" t="s">
        <v>283</v>
      </c>
      <c r="BU6" s="2" t="s">
        <v>275</v>
      </c>
      <c r="BV6" s="2" t="s">
        <v>279</v>
      </c>
      <c r="BW6" s="2" t="s">
        <v>282</v>
      </c>
      <c r="BX6" s="2" t="s">
        <v>280</v>
      </c>
      <c r="BY6" s="2" t="s">
        <v>284</v>
      </c>
      <c r="BZ6" s="2" t="s">
        <v>286</v>
      </c>
      <c r="CA6" s="2" t="s">
        <v>287</v>
      </c>
      <c r="CB6" s="2" t="s">
        <v>290</v>
      </c>
      <c r="CC6" s="2" t="s">
        <v>292</v>
      </c>
      <c r="CD6" s="2" t="s">
        <v>294</v>
      </c>
      <c r="CE6" s="2" t="s">
        <v>296</v>
      </c>
      <c r="CF6" s="153" t="s">
        <v>297</v>
      </c>
      <c r="CG6" s="153" t="s">
        <v>298</v>
      </c>
      <c r="CH6" s="153" t="s">
        <v>299</v>
      </c>
      <c r="CI6" s="153" t="s">
        <v>300</v>
      </c>
      <c r="CJ6" s="153" t="s">
        <v>301</v>
      </c>
      <c r="CK6" s="2" t="s">
        <v>209</v>
      </c>
      <c r="CL6" s="2" t="s">
        <v>210</v>
      </c>
      <c r="CM6" s="2" t="s">
        <v>211</v>
      </c>
      <c r="CN6" s="2" t="s">
        <v>212</v>
      </c>
      <c r="CO6" s="2" t="s">
        <v>213</v>
      </c>
      <c r="CP6" s="2" t="s">
        <v>214</v>
      </c>
      <c r="CQ6" s="2" t="s">
        <v>215</v>
      </c>
      <c r="CR6" s="2" t="s">
        <v>216</v>
      </c>
      <c r="CS6" s="2" t="s">
        <v>217</v>
      </c>
      <c r="CT6" s="2" t="s">
        <v>224</v>
      </c>
      <c r="CU6" s="2" t="s">
        <v>225</v>
      </c>
      <c r="CV6" s="2" t="s">
        <v>226</v>
      </c>
      <c r="CW6" s="2" t="s">
        <v>227</v>
      </c>
      <c r="CX6" s="2" t="s">
        <v>228</v>
      </c>
      <c r="CY6" s="2" t="s">
        <v>229</v>
      </c>
      <c r="CZ6" s="2" t="s">
        <v>230</v>
      </c>
      <c r="DA6" s="2" t="s">
        <v>231</v>
      </c>
      <c r="DB6" s="2" t="s">
        <v>232</v>
      </c>
      <c r="DC6" s="2" t="s">
        <v>233</v>
      </c>
      <c r="DD6" s="2" t="s">
        <v>234</v>
      </c>
      <c r="DE6" s="2" t="s">
        <v>235</v>
      </c>
      <c r="DF6" s="2" t="s">
        <v>236</v>
      </c>
      <c r="DG6" s="2" t="s">
        <v>237</v>
      </c>
      <c r="DH6" s="2" t="s">
        <v>238</v>
      </c>
      <c r="DI6" s="2" t="s">
        <v>239</v>
      </c>
      <c r="DJ6" s="2" t="s">
        <v>240</v>
      </c>
      <c r="DK6" s="2" t="s">
        <v>241</v>
      </c>
      <c r="DL6" s="2" t="s">
        <v>242</v>
      </c>
      <c r="DM6" s="2" t="s">
        <v>243</v>
      </c>
      <c r="DN6" s="2" t="s">
        <v>244</v>
      </c>
      <c r="DO6" s="2" t="s">
        <v>245</v>
      </c>
    </row>
    <row r="7" spans="1:119" s="29" customFormat="1" x14ac:dyDescent="0.25">
      <c r="A7" s="28">
        <f t="shared" ref="A7:A22" si="0">ROW()-ROW(home)</f>
        <v>1</v>
      </c>
      <c r="B7" s="29">
        <f>INDEX(oratings, 1, 1+MOD(Table3[[#This Row],[Rep '#]]-1, COUNT(oratings)))</f>
        <v>0.1</v>
      </c>
      <c r="C7" s="29">
        <f>INDEX(dratings, 1, MOD(FLOOR( (Table3[[#This Row],[Rep '#]]-1) / COUNT(oratings), 1), COUNT(dratings))+1)</f>
        <v>0.1</v>
      </c>
      <c r="D7" s="29">
        <f>Table3[[#This Row],[offense]]*$D$26+0.05</f>
        <v>6.0000000000000005E-2</v>
      </c>
      <c r="E7" s="29">
        <f>((2*Table3[[#This Row],[defense]]+1*Table3[[#This Row],[defense]])-1.5)*$E$26</f>
        <v>-0.12</v>
      </c>
      <c r="F7" s="29">
        <f>MAX(Table3[[#This Row],[base leadoff]]*(1-Table3[[#This Row],[leadoff modifier]]) * 90, 0)</f>
        <v>6.0480000000000009</v>
      </c>
      <c r="G7" s="29">
        <f>1.1 - Table3[[#This Row],[defense]]*0.1</f>
        <v>1.0900000000000001</v>
      </c>
      <c r="H7" s="29">
        <f xml:space="preserve"> 0.01 - 0.0025 *  Table3[[#This Row],[defense]]</f>
        <v>9.75E-3</v>
      </c>
      <c r="I7" s="29">
        <f>1 / Table3[[#This Row],[throw speed (s/ft)]] * ((60 * 60)/5280)</f>
        <v>69.930069930069934</v>
      </c>
      <c r="J7" s="29">
        <f>Table3[[#This Row],[pickoff manuver (s)]]+60*Table3[[#This Row],[throw speed (s/ft)]]</f>
        <v>1.675</v>
      </c>
      <c r="K7" s="29">
        <f>$K$28-$K$26*Table3[[#This Row],[offense]]</f>
        <v>0.88</v>
      </c>
      <c r="L7" s="29">
        <f>0.05 - Table3[[#This Row],[offense]]*$L$26</f>
        <v>4.9000000000000002E-2</v>
      </c>
      <c r="M7" s="29">
        <f>1 / Table3[[#This Row],[runner speed (s/ft)]] * ((60 * 60)/5280)</f>
        <v>13.914656771799628</v>
      </c>
      <c r="N7" s="29">
        <f>Table3[[#This Row],[runner reaction]]+Table3[[#This Row],[runner speed (s/ft)]]*Table3[[#This Row],[total leadoff (ft)]]</f>
        <v>1.1763520000000001</v>
      </c>
      <c r="O7" s="30">
        <f>1 - _xlfn.NORM.DIST(Table3[[#This Row],[pickoff time]], Table3[[#This Row],[pickoff evade time]], $O$4, TRUE)</f>
        <v>6.3291626390171718E-3</v>
      </c>
      <c r="P7" s="48">
        <f>_xlfn.NORM.DIST(Table3[[#This Row],[defense]], $P$26, $P$27, TRUE)</f>
        <v>0.96588837667724492</v>
      </c>
      <c r="Q7" s="29" t="b">
        <f>Table3[[#This Row],[pickoff probability]] &gt; 1-Table3[[#This Row],[Fielding Odds]]</f>
        <v>0</v>
      </c>
      <c r="R7" s="48">
        <f>1-Table3[[#This Row],[Fielding Odds]]</f>
        <v>3.411162332275508E-2</v>
      </c>
      <c r="S7" s="29">
        <f>(90-Table3[[#This Row],[total leadoff (ft)]])*Table3[[#This Row],[runner speed (s/ft)]]</f>
        <v>4.1136480000000004</v>
      </c>
      <c r="T7" s="29">
        <f>$T$26*(2-Table3[[#This Row],[defense]]) + Table3[[#This Row],[pickoff time]]</f>
        <v>2.0550000000000002</v>
      </c>
      <c r="U7" s="48">
        <f>_xlfn.NORM.DIST(Table3[[#This Row],[Response speed]], Table3[[#This Row],[Blatant steal time]], $U$4, TRUE)</f>
        <v>3.005916388905331E-4</v>
      </c>
      <c r="V7" s="29">
        <f>Table3[[#This Row],[defense]]+Table3[[#This Row],[defense]]*Table3[[#This Row],[offense]]*$E$26</f>
        <v>0.10100000000000001</v>
      </c>
      <c r="W7" s="29">
        <f>(1-$W$32)</f>
        <v>0</v>
      </c>
      <c r="X7" s="48">
        <f>Table3[[#This Row],[ball factor]]/$X$32*(1-$X$34)+$X$34</f>
        <v>0.2</v>
      </c>
      <c r="Y7" s="29">
        <f>Table3[[#This Row],[offense]]</f>
        <v>0.1</v>
      </c>
      <c r="Z7" s="80">
        <f t="shared" ref="Z7:Z22" si="1">$AA$33</f>
        <v>-0.90000000000000013</v>
      </c>
      <c r="AA7" s="80">
        <f>IF(Table3[[#This Row],[player control]]&gt;1,Table3[[#This Row],[player control]]*$AA$41+$AA$40,Table3[[#This Row],[player control]]*$AA$39+$AA$38)</f>
        <v>-0.14000000000000001</v>
      </c>
      <c r="AB7" s="81">
        <f>_xlfn.NORM.DIST(-1,Table3[[#This Row],[ideal steer]],($AB$25-Table3[[#This Row],[scaled control]])*$AB$27,TRUE)</f>
        <v>0.40456602559459909</v>
      </c>
      <c r="AC7" s="81">
        <f>1-_xlfn.NORM.DIST(1,Table3[[#This Row],[ideal steer]],($AB$25-Table3[[#This Row],[scaled control]])*$AB$27,TRUE)</f>
        <v>2.2229077858426649E-6</v>
      </c>
      <c r="AD7" s="81">
        <f>1-(1-Table3[[#This Row],[unmod foul percent 3rd]])*(1-Table3[[#This Row],[unmod foul percent 1st]])</f>
        <v>0.40456734918941673</v>
      </c>
      <c r="AE7" s="81">
        <f>1-((1-_xlfn.NORM.DIST(-1,0,($AB$25-Table3[[#This Row],[scaled control]])*$AB$27,TRUE))*_xlfn.NORM.DIST(1,0,($AB$25-Table3[[#This Row],[scaled control]])*$AB$27,TRUE))</f>
        <v>1.5653650964326582E-2</v>
      </c>
      <c r="AF7" s="29">
        <f>$AF$34*$AF$25</f>
        <v>-4</v>
      </c>
      <c r="AG7" s="29">
        <f>$AG$25*($AG$34*Table3[[#This Row],[offense]])</f>
        <v>0</v>
      </c>
      <c r="AH7" s="29">
        <f t="shared" ref="AH7:AH22" si="2">$AH$25*$AH$34</f>
        <v>0</v>
      </c>
      <c r="AI7" s="29">
        <f>$AI$34*$AI$25</f>
        <v>0</v>
      </c>
      <c r="AJ7" s="29">
        <f>$AJ$25*(Table3[[#This Row],[offense]]-$AJ$27)</f>
        <v>-0.9</v>
      </c>
      <c r="AK7" s="29" cm="1">
        <f t="array" ref="AK7">SUM(Table3[[#This Row],[count]:[current hitter vs next hitter]]*MIN(1, Table3[[#This Row],[defense]]))</f>
        <v>-0.49000000000000005</v>
      </c>
      <c r="AL7" s="81">
        <f>$AL$25-(Table3[[#This Row],[calling modifier]]/(ABS(Table3[[#This Row],[calling modifier]])+$AL$29)*$AL$27)</f>
        <v>0.60956564177647632</v>
      </c>
      <c r="AM7" s="105">
        <f>$AL$25-$AL$27*TANH(Table3[[#This Row],[calling modifier]]/$AM$29)</f>
        <v>0.60979803965401103</v>
      </c>
      <c r="AN7" s="129">
        <f>MAX(0, 1-_xlfn.NORM.S.INV(Table3[[#This Row],[tanh strike percent]])*($AN$25*($AN$27-Table3[[#This Row],[defense]])))</f>
        <v>0.67660047359294584</v>
      </c>
      <c r="AO7" s="130">
        <f>MAX(0, 1-_xlfn.NORM.S.INV(Table3[[#This Row],[tanh strike percent]])*($AN$25*($AN$27-0.2)))</f>
        <v>0.68775218140008576</v>
      </c>
      <c r="AP7" s="130">
        <f>MAX(0, 1-_xlfn.NORM.S.INV(Table3[[#This Row],[tanh strike percent]])*($AN$25*($AN$27-2)))</f>
        <v>0.88848292192860201</v>
      </c>
      <c r="AQ7" s="130">
        <f>Table3[[#This Row],[called position]]-pitchmod*(pitchstdv-Table3[[#This Row],[defense]])</f>
        <v>-0.48339952640705408</v>
      </c>
      <c r="AR7" s="130">
        <f>ABS(Table3[[#This Row],[called position]]+pitchmod*(pitchstdv-Table3[[#This Row],[defense]]))</f>
        <v>1.8366004735929458</v>
      </c>
      <c r="AS7" s="130">
        <f>IF(AND(Table3[[#This Row],[location -1  stdv]]&lt;1, Table3[[#This Row],[location +1 stdv]]&gt;1),0, MIN(Table3[[#This Row],[location -1  stdv]]+1, 1-Table3[[#This Row],[location +1 stdv]]))</f>
        <v>0</v>
      </c>
      <c r="AT7" s="130">
        <f>IF(AND(Table3[[#This Row],[location -1  stdv]]&lt;0, Table3[[#This Row],[location +1 stdv]]&gt;0),1, MAX(1-ABS(Table3[[#This Row],[location -1  stdv]]), Table3[[#This Row],[location +1 stdv]]-1))</f>
        <v>1</v>
      </c>
      <c r="AU7" s="130">
        <f>$AU$30/(ABS(Table3[[#This Row],[called position]]-1)+$AU$27)+$AU$32*Table3[[#This Row],[defense]]</f>
        <v>0.52236708481275207</v>
      </c>
      <c r="AV7" s="130">
        <f>$AU$30/(ABS(0.5-1)+$AU$27)+$AU$32*Table3[[#This Row],[defense]]</f>
        <v>0.38333333333333336</v>
      </c>
      <c r="AW7" s="130">
        <f>$AU$30/(ABS(0.9-1)+$AU$27)+$AU$32*Table3[[#This Row],[defense]]</f>
        <v>1.0500000000000003</v>
      </c>
      <c r="AX7" s="130">
        <f>Table3[[#This Row],[defense]]*$AX$30+MAX(0, Table3[[#This Row],[called position]]-$AX$27)^$AX$25</f>
        <v>0.17421433424038829</v>
      </c>
      <c r="AY7" s="130">
        <f>Table3[[#This Row],[defense]]*$AX$30 + MAX(0, Table3[[#This Row],[location +1 stdv]]-$AX$27)^$AX$25</f>
        <v>1.6452630358996061</v>
      </c>
      <c r="AZ7" s="130">
        <f>Table3[[#This Row],[defense]]*$AX$30+MAX(0, 1-$AX$27)^$AX$25</f>
        <v>0.45355339059327382</v>
      </c>
      <c r="BA7" s="29">
        <f>MAX(0, 0.1*(1-Table3[[#This Row],[defense]]))</f>
        <v>9.0000000000000011E-2</v>
      </c>
      <c r="BB7" s="29">
        <f t="shared" ref="BB7:BB22" si="3">$BB$25</f>
        <v>0.5</v>
      </c>
      <c r="BC7" s="130">
        <f>$AU$30/(ABS(Table3[[#This Row],[Location]]-1)+$AU$27)+$AU$32*Table3[[#This Row],[defense]]</f>
        <v>0.38333333333333336</v>
      </c>
      <c r="BD7" s="29" t="b">
        <f>Table3[[#This Row],[Location]]&lt;= (1+MAX(0, (Table3[[#This Row],[defense]]-1)*0.1))</f>
        <v>1</v>
      </c>
      <c r="BE7" s="117">
        <f>1/(1+Table3[[#This Row],[offense]])</f>
        <v>0.90909090909090906</v>
      </c>
      <c r="BF7" s="130">
        <f>Table3[[#This Row],[obscurity]]*Table3[[#This Row],[discipline modifier]]</f>
        <v>0.34848484848484851</v>
      </c>
      <c r="BG7" s="105">
        <f>1/(1+Table3[[#This Row],[effective obscurity]])</f>
        <v>0.74157303370786509</v>
      </c>
      <c r="BH7" s="105">
        <f>IF(Table3[[#This Row],[Strike?]],Table3[[#This Row],[odds of read]],1-Table3[[#This Row],[odds of read]])</f>
        <v>0.74157303370786509</v>
      </c>
      <c r="BI7" s="29">
        <f t="shared" ref="BI7:BI22" si="4">$BB$29</f>
        <v>1</v>
      </c>
      <c r="BJ7" s="105">
        <f>Table3[[#This Row],[desperation echo]]*Table3[[#This Row],[unadjusted swing %]]</f>
        <v>0.74157303370786509</v>
      </c>
      <c r="BK7" s="129">
        <f>Table3[[#This Row],[ave obscurity]]</f>
        <v>0.52236708481275207</v>
      </c>
      <c r="BL7" s="105">
        <f>1/(1+Table3[[#This Row],[ave obscurity]]*Table3[[#This Row],[discipline modifier]])</f>
        <v>0.67802164522276298</v>
      </c>
      <c r="BM7" s="29">
        <f>Table3[[#This Row],[offense]]</f>
        <v>0.1</v>
      </c>
      <c r="BN7" s="130">
        <f>Table3[[#This Row],[average difficulty]]</f>
        <v>0.17421433424038829</v>
      </c>
      <c r="BO7" s="130">
        <f>Table3[[#This Row],[contact echo]]-Table3[[#This Row],[pitch carry forward diff]]</f>
        <v>-7.4214334240388286E-2</v>
      </c>
      <c r="BP7" s="105">
        <f>1-_xlfn.NORM.DIST($BP$27,Table3[[#This Row],[CF contact readiness]], $BP$30,TRUE)</f>
        <v>0.73954021373108914</v>
      </c>
      <c r="BQ7" s="105">
        <f>1-_xlfn.NORM.DIST($BP$25,Table3[[#This Row],[CF contact readiness]], $BP$30,TRUE)</f>
        <v>0.36014492398006948</v>
      </c>
      <c r="BR7" s="105">
        <f>1-Table3[[#This Row],[foul %]]</f>
        <v>0.26045978626891086</v>
      </c>
      <c r="BS7" s="130">
        <f>(Table3[[#This Row],[CF contact readiness]]-$BP$27)/$BP$30</f>
        <v>0.64192855525320391</v>
      </c>
      <c r="BT7" s="130">
        <f>(Table3[[#This Row],[CF contact readiness]]+$BP$30-$BP$27)/$BP$30</f>
        <v>1.6419285552532041</v>
      </c>
      <c r="BU7" s="29">
        <f>MAX(0, IF(ISBLANK($BU$28), Table3[[#This Row],[hit quality +1stdv]], $BU$28)-1)</f>
        <v>0.5</v>
      </c>
      <c r="BV7" s="29">
        <f>$BV$25+Table3[[#This Row],[offense]]*$BV$28</f>
        <v>10.5</v>
      </c>
      <c r="BW7" s="29">
        <f>$BW$25*$BW$28/($BW$28+Table3[[#This Row],[hit quality remainder]])</f>
        <v>20</v>
      </c>
      <c r="BX7" s="105">
        <f>_xlfn.NORM.DIST(10,Table3[[#This Row],[adjusted launch angle]],Table3[[#This Row],[angle stdev]],TRUE)</f>
        <v>0.49002748180476197</v>
      </c>
      <c r="BY7" s="105">
        <f>1-_xlfn.NORM.DIST(50, Table3[[#This Row],[adjusted launch angle]],Table3[[#This Row],[angle stdev]],TRUE)</f>
        <v>2.4134074004724781E-2</v>
      </c>
      <c r="BZ7" s="105">
        <f t="shared" ref="BZ7:BZ22" si="5">1-_xlfn.NORM.DIST(70, $BZ$28,$BZ$25,TRUE)</f>
        <v>0.42944875004736094</v>
      </c>
      <c r="CA7" s="29">
        <f>$CA$25+Table3[[#This Row],[offense]]*($CA$27-$CA$25)/2</f>
        <v>72</v>
      </c>
      <c r="CB7" s="29">
        <f>Table3[[#This Row],[exit velocity mean]]-Table3[[#This Row],[reduction]]*100</f>
        <v>63</v>
      </c>
      <c r="CC7" s="155">
        <f>Table3[[#This Row],[exit velocity mean]]^2*2*SIN(RADIANS(Table3[[#This Row],[adjusted launch angle]]))/$CC$28*5280</f>
        <v>124.70158326797061</v>
      </c>
      <c r="CD7" s="117">
        <f>2*Table3[[#This Row],[exit velocity mean]]*SIN(RADIANS(Table3[[#This Row],[adjusted launch angle]]))/$CC$28*60*60</f>
        <v>1.1808862051891156</v>
      </c>
      <c r="CE7" s="155">
        <f>Table3[[#This Row],[theoretical distance]]-Table3[[#This Row],[flight time]]^2*$CE$25</f>
        <v>102.38970759427541</v>
      </c>
      <c r="CF7" s="29">
        <f>Table3[[#This Row],[exit velocity mean]]+$CC$25-Table3[[#This Row],[reduction]]*100</f>
        <v>75.5</v>
      </c>
      <c r="CG7" s="29">
        <f>MIN(Table3[[#This Row],[adjusted launch angle]]+Table3[[#This Row],[angle stdev]], 30)</f>
        <v>30</v>
      </c>
      <c r="CH7" s="117">
        <f>2*Table3[[#This Row],[+1stdv EV]]*SIN(RADIANS(Table3[[#This Row],[+1stdv LA]]))/$CC$28*60*60</f>
        <v>3.3974999999999991</v>
      </c>
      <c r="CI7" s="155">
        <f>Table3[[#This Row],[+1stdv EV]]^2*2*SIN(RADIANS(Table3[[#This Row],[+1stdv LA]]))/$CC$28*5280-Table3[[#This Row],[+1stdv flight time]]^2*$CE$25</f>
        <v>191.52840000000003</v>
      </c>
      <c r="CJ7" s="155">
        <f>Table3[[#This Row],[+1stdev distance]]-Table3[[#This Row],[actual distance]]</f>
        <v>89.138692405724626</v>
      </c>
    </row>
    <row r="8" spans="1:119" s="3" customFormat="1" x14ac:dyDescent="0.25">
      <c r="A8" s="3">
        <f t="shared" si="0"/>
        <v>2</v>
      </c>
      <c r="B8" s="3">
        <f>INDEX(oratings, 1, 1+MOD(Table3[[#This Row],[Rep '#]]-1, COUNT(oratings)))</f>
        <v>0.5</v>
      </c>
      <c r="C8" s="3">
        <f>INDEX(dratings, 1, MOD(FLOOR( (Table3[[#This Row],[Rep '#]]-1) / COUNT(oratings), 1), COUNT(dratings))+1)</f>
        <v>0.1</v>
      </c>
      <c r="D8" s="3">
        <f>Table3[[#This Row],[offense]]*$D$26+0.05</f>
        <v>0.1</v>
      </c>
      <c r="E8" s="3">
        <f>((2*Table3[[#This Row],[defense]]+1*Table3[[#This Row],[defense]])-1.5)*Table3[[#This Row],[offense]]*$E$26</f>
        <v>-0.06</v>
      </c>
      <c r="F8" s="3">
        <f>MAX(Table3[[#This Row],[base leadoff]]*(1-Table3[[#This Row],[leadoff modifier]]) * 90, 0)</f>
        <v>9.5400000000000009</v>
      </c>
      <c r="G8" s="3">
        <f>1.1 - Table3[[#This Row],[defense]]*0.1</f>
        <v>1.0900000000000001</v>
      </c>
      <c r="H8" s="3">
        <f xml:space="preserve"> 0.01 - 0.0025 *  Table3[[#This Row],[defense]]</f>
        <v>9.75E-3</v>
      </c>
      <c r="I8" s="3">
        <f>1 / Table3[[#This Row],[throw speed (s/ft)]] * ((60 * 60)/5280)</f>
        <v>69.930069930069934</v>
      </c>
      <c r="J8" s="3">
        <f>Table3[[#This Row],[pickoff manuver (s)]]+60*Table3[[#This Row],[throw speed (s/ft)]]</f>
        <v>1.675</v>
      </c>
      <c r="K8" s="3">
        <f>$K$28-$K$26*Table3[[#This Row],[offense]]</f>
        <v>0.8</v>
      </c>
      <c r="L8" s="3">
        <f>0.05 - Table3[[#This Row],[offense]]*$L$26</f>
        <v>4.5000000000000005E-2</v>
      </c>
      <c r="M8" s="3">
        <f>1 / Table3[[#This Row],[runner speed (s/ft)]] * ((60 * 60)/5280)</f>
        <v>15.151515151515147</v>
      </c>
      <c r="N8" s="3">
        <f>Table3[[#This Row],[runner reaction]]+Table3[[#This Row],[runner speed (s/ft)]]*Table3[[#This Row],[total leadoff (ft)]]</f>
        <v>1.2293000000000001</v>
      </c>
      <c r="O8" s="7">
        <f>1 - _xlfn.NORM.DIST(Table3[[#This Row],[pickoff time]], Table3[[#This Row],[pickoff evade time]], $O$4, TRUE)</f>
        <v>1.2923595669015353E-2</v>
      </c>
      <c r="P8" s="49">
        <f>_xlfn.NORM.DIST(Table3[[#This Row],[defense]], $P$26, $P$27, TRUE)</f>
        <v>0.96588837667724492</v>
      </c>
      <c r="Q8" s="3" t="b">
        <f>Table3[[#This Row],[pickoff probability]] &gt; 1-Table3[[#This Row],[Fielding Odds]]</f>
        <v>0</v>
      </c>
      <c r="R8" s="49">
        <f>1-Table3[[#This Row],[Fielding Odds]]</f>
        <v>3.411162332275508E-2</v>
      </c>
      <c r="S8" s="3">
        <f>(90-Table3[[#This Row],[total leadoff (ft)]])*Table3[[#This Row],[runner speed (s/ft)]]</f>
        <v>3.6207000000000003</v>
      </c>
      <c r="T8" s="3">
        <f>$T$26*(2-Table3[[#This Row],[defense]]) + Table3[[#This Row],[pickoff time]]</f>
        <v>2.0550000000000002</v>
      </c>
      <c r="U8" s="49">
        <f>_xlfn.NORM.DIST(Table3[[#This Row],[Response speed]], Table3[[#This Row],[Blatant steal time]], $U$4, TRUE)</f>
        <v>4.5337323029872069E-3</v>
      </c>
      <c r="V8" s="3">
        <f>Table3[[#This Row],[defense]]+Table3[[#This Row],[defense]]*Table3[[#This Row],[offense]]*$E$26</f>
        <v>0.10500000000000001</v>
      </c>
      <c r="W8" s="3">
        <f t="shared" ref="W8:W22" si="6">(1-$W$32)</f>
        <v>0</v>
      </c>
      <c r="X8" s="49">
        <f>Table3[[#This Row],[ball factor]]/$X$32*(1-$X$34)+$X$34</f>
        <v>0.2</v>
      </c>
      <c r="Y8" s="3">
        <f>Table3[[#This Row],[offense]]</f>
        <v>0.5</v>
      </c>
      <c r="Z8" s="82">
        <f t="shared" si="1"/>
        <v>-0.90000000000000013</v>
      </c>
      <c r="AA8" s="82">
        <f>IF(Table3[[#This Row],[player control]]&gt;1,Table3[[#This Row],[player control]]*$AA$41+$AA$40,Table3[[#This Row],[player control]]*$AA$39+$AA$38)</f>
        <v>0.10000000000000003</v>
      </c>
      <c r="AB8" s="83">
        <f>_xlfn.NORM.DIST(-1,Table3[[#This Row],[ideal steer]],($AB$25-Table3[[#This Row],[scaled control]])*$AB$27,TRUE)</f>
        <v>0.39881703452798722</v>
      </c>
      <c r="AC8" s="83">
        <f>1-_xlfn.NORM.DIST(1,Table3[[#This Row],[ideal steer]],($AB$25-Table3[[#This Row],[scaled control]])*$AB$27,TRUE)</f>
        <v>5.5294477940837083E-7</v>
      </c>
      <c r="AD8" s="83">
        <f>1-(1-Table3[[#This Row],[unmod foul percent 3rd]])*(1-Table3[[#This Row],[unmod foul percent 1st]])</f>
        <v>0.39881736694896941</v>
      </c>
      <c r="AE8" s="83">
        <f>1-((1-_xlfn.NORM.DIST(-1,0,($AB$25-Table3[[#This Row],[scaled control]])*$AB$27,TRUE))*_xlfn.NORM.DIST(1,0,($AB$25-Table3[[#This Row],[scaled control]])*$AB$27,TRUE))</f>
        <v>1.0317546081842099E-2</v>
      </c>
      <c r="AF8" s="3">
        <f>$AF$34*$AF$25</f>
        <v>-4</v>
      </c>
      <c r="AG8" s="3">
        <f>$AG$25*($AG$34*Table3[[#This Row],[offense]])</f>
        <v>0</v>
      </c>
      <c r="AH8" s="3">
        <f t="shared" si="2"/>
        <v>0</v>
      </c>
      <c r="AI8" s="3">
        <f>$AI$34*$AI$25</f>
        <v>0</v>
      </c>
      <c r="AJ8" s="3">
        <f>$AJ$25*(Table3[[#This Row],[offense]]-$AJ$27)</f>
        <v>-0.5</v>
      </c>
      <c r="AK8" s="3" cm="1">
        <f t="array" ref="AK8">SUM(Table3[[#This Row],[count]:[current hitter vs next hitter]]*MIN(1, Table3[[#This Row],[defense]]))</f>
        <v>-0.45</v>
      </c>
      <c r="AL8" s="83">
        <f>$AL$25-(Table3[[#This Row],[calling modifier]]/(ABS(Table3[[#This Row],[calling modifier]])+$AL$29)*$AL$27)</f>
        <v>0.60880195599022002</v>
      </c>
      <c r="AM8" s="106">
        <f>$AL$25-$AL$27*TANH(Table3[[#This Row],[calling modifier]]/$AM$29)</f>
        <v>0.60899848155748382</v>
      </c>
      <c r="AN8" s="131">
        <f>MAX(0, 1-_xlfn.NORM.S.INV(Table3[[#This Row],[tanh strike percent]])*($AN$25*($AN$27-Table3[[#This Row],[defense]])))</f>
        <v>0.6790167688539277</v>
      </c>
      <c r="AO8" s="132">
        <f>MAX(0, 1-_xlfn.NORM.S.INV(Table3[[#This Row],[tanh strike percent]])*($AN$25*($AN$27-0.2)))</f>
        <v>0.69008515613482679</v>
      </c>
      <c r="AP8" s="132">
        <f>MAX(0, 1-_xlfn.NORM.S.INV(Table3[[#This Row],[tanh strike percent]])*($AN$25*($AN$27-2)))</f>
        <v>0.8893161271910095</v>
      </c>
      <c r="AQ8" s="132">
        <f>Table3[[#This Row],[called position]]-pitchmod*(pitchstdv-Table3[[#This Row],[defense]])</f>
        <v>-0.48098323114607222</v>
      </c>
      <c r="AR8" s="132">
        <f>ABS(Table3[[#This Row],[called position]]+pitchmod*(pitchstdv-Table3[[#This Row],[defense]]))</f>
        <v>1.8390167688539276</v>
      </c>
      <c r="AS8" s="132">
        <f>IF(AND(Table3[[#This Row],[location -1  stdv]]&lt;1, Table3[[#This Row],[location +1 stdv]]&gt;1),0, MIN(Table3[[#This Row],[location -1  stdv]]+1, 1-Table3[[#This Row],[location +1 stdv]]))</f>
        <v>0</v>
      </c>
      <c r="AT8" s="132">
        <f>IF(AND(Table3[[#This Row],[location -1  stdv]]&lt;0, Table3[[#This Row],[location +1 stdv]]&gt;0),1, MAX(1-ABS(Table3[[#This Row],[location -1  stdv]]), Table3[[#This Row],[location +1 stdv]]-1))</f>
        <v>1</v>
      </c>
      <c r="AU8" s="132">
        <f>$AU$30/(ABS(Table3[[#This Row],[called position]]-1)+$AU$27)+$AU$32*Table3[[#This Row],[defense]]</f>
        <v>0.52507830527008392</v>
      </c>
      <c r="AV8" s="132">
        <f>$AU$30/(ABS(0.5-1)+$AU$27)+$AU$32*Table3[[#This Row],[defense]]</f>
        <v>0.38333333333333336</v>
      </c>
      <c r="AW8" s="132">
        <f>$AU$30/(ABS(0.9-1)+$AU$27)+$AU$32*Table3[[#This Row],[defense]]</f>
        <v>1.0500000000000003</v>
      </c>
      <c r="AX8" s="132">
        <f>Table3[[#This Row],[defense]]*$AX$30+MAX(0, Table3[[#This Row],[called position]]-$AX$27)^$AX$25</f>
        <v>0.17574266316648918</v>
      </c>
      <c r="AY8" s="132">
        <f>Table3[[#This Row],[defense]]*$AX$30 + MAX(0, Table3[[#This Row],[location +1 stdv]]-$AX$27)^$AX$25</f>
        <v>1.6494551996816886</v>
      </c>
      <c r="AZ8" s="132">
        <f>Table3[[#This Row],[defense]]*$AX$30+MAX(0, 1-$AX$27)^$AX$25</f>
        <v>0.45355339059327382</v>
      </c>
      <c r="BA8" s="3">
        <f>MAX(0, 0.1*(1-Table3[[#This Row],[defense]]))</f>
        <v>9.0000000000000011E-2</v>
      </c>
      <c r="BB8" s="3">
        <f t="shared" si="3"/>
        <v>0.5</v>
      </c>
      <c r="BC8" s="132">
        <f>$AU$30/(ABS(Table3[[#This Row],[Location]]-1)+$AU$27)+$AU$32*Table3[[#This Row],[defense]]</f>
        <v>0.38333333333333336</v>
      </c>
      <c r="BD8" s="3" t="b">
        <f>Table3[[#This Row],[Location]]&lt;= (1+MAX(0, (Table3[[#This Row],[defense]]-1)*0.1))</f>
        <v>1</v>
      </c>
      <c r="BE8" s="118">
        <f>1/(1+Table3[[#This Row],[offense]])</f>
        <v>0.66666666666666663</v>
      </c>
      <c r="BF8" s="132">
        <f>Table3[[#This Row],[obscurity]]*Table3[[#This Row],[discipline modifier]]</f>
        <v>0.25555555555555554</v>
      </c>
      <c r="BG8" s="106">
        <f>1/(1+Table3[[#This Row],[effective obscurity]])</f>
        <v>0.79646017699115046</v>
      </c>
      <c r="BH8" s="106">
        <f>IF(Table3[[#This Row],[Strike?]],Table3[[#This Row],[odds of read]],1-Table3[[#This Row],[odds of read]])</f>
        <v>0.79646017699115046</v>
      </c>
      <c r="BI8" s="3">
        <f t="shared" si="4"/>
        <v>1</v>
      </c>
      <c r="BJ8" s="106">
        <f>Table3[[#This Row],[desperation echo]]*Table3[[#This Row],[unadjusted swing %]]</f>
        <v>0.79646017699115046</v>
      </c>
      <c r="BK8" s="131">
        <f>Table3[[#This Row],[ave obscurity]]</f>
        <v>0.52507830527008392</v>
      </c>
      <c r="BL8" s="106">
        <f>1/(1+Table3[[#This Row],[ave obscurity]]*Table3[[#This Row],[discipline modifier]])</f>
        <v>0.74071209794524251</v>
      </c>
      <c r="BM8" s="3">
        <f>Table3[[#This Row],[offense]]</f>
        <v>0.5</v>
      </c>
      <c r="BN8" s="132">
        <f>Table3[[#This Row],[average difficulty]]</f>
        <v>0.17574266316648918</v>
      </c>
      <c r="BO8" s="132">
        <f>Table3[[#This Row],[contact echo]]-Table3[[#This Row],[pitch carry forward diff]]</f>
        <v>0.32425733683351082</v>
      </c>
      <c r="BP8" s="106">
        <f>1-_xlfn.NORM.DIST($BP$27,Table3[[#This Row],[CF contact readiness]], $BP$30,TRUE)</f>
        <v>0.78075702290809812</v>
      </c>
      <c r="BQ8" s="106">
        <f>1-_xlfn.NORM.DIST($BP$25,Table3[[#This Row],[CF contact readiness]], $BP$30,TRUE)</f>
        <v>0.41089334838820257</v>
      </c>
      <c r="BR8" s="106">
        <f>1-Table3[[#This Row],[foul %]]</f>
        <v>0.21924297709190188</v>
      </c>
      <c r="BS8" s="132">
        <f>(Table3[[#This Row],[CF contact readiness]]-$BP$27)/$BP$30</f>
        <v>0.77475244561117018</v>
      </c>
      <c r="BT8" s="132">
        <f>(Table3[[#This Row],[CF contact readiness]]+$BP$30-$BP$27)/$BP$30</f>
        <v>1.7747524456111703</v>
      </c>
      <c r="BU8" s="3">
        <f>MAX(0, IF(ISBLANK($BU$28), Table3[[#This Row],[hit quality +1stdv]], $BU$28)-1)</f>
        <v>0.5</v>
      </c>
      <c r="BV8" s="3">
        <f>$BV$25+Table3[[#This Row],[offense]]*$BV$28</f>
        <v>12.5</v>
      </c>
      <c r="BW8" s="3">
        <f>$BW$25*$BW$28/($BW$28+Table3[[#This Row],[hit quality remainder]])</f>
        <v>20</v>
      </c>
      <c r="BX8" s="106">
        <f>_xlfn.NORM.DIST(10,Table3[[#This Row],[adjusted launch angle]],Table3[[#This Row],[angle stdev]],TRUE)</f>
        <v>0.45026177516988708</v>
      </c>
      <c r="BY8" s="106">
        <f>1-_xlfn.NORM.DIST(50, Table3[[#This Row],[adjusted launch angle]],Table3[[#This Row],[angle stdev]],TRUE)</f>
        <v>3.0396361765261393E-2</v>
      </c>
      <c r="BZ8" s="106">
        <f t="shared" si="5"/>
        <v>0.42944875004736094</v>
      </c>
      <c r="CA8" s="3">
        <f>$CA$25+Table3[[#This Row],[offense]]*($CA$27-$CA$25)/2</f>
        <v>80</v>
      </c>
      <c r="CB8" s="3">
        <f>Table3[[#This Row],[exit velocity mean]]-Table3[[#This Row],[reduction]]*100</f>
        <v>71</v>
      </c>
      <c r="CC8" s="156">
        <f>Table3[[#This Row],[exit velocity mean]]^2*2*SIN(RADIANS(Table3[[#This Row],[adjusted launch angle]]))/$CC$28*5280</f>
        <v>182.8481858549093</v>
      </c>
      <c r="CD8" s="118">
        <f>2*Table3[[#This Row],[exit velocity mean]]*SIN(RADIANS(Table3[[#This Row],[adjusted launch angle]]))/$CC$28*60*60</f>
        <v>1.558365220354341</v>
      </c>
      <c r="CE8" s="156">
        <f>Table3[[#This Row],[theoretical distance]]-Table3[[#This Row],[flight time]]^2*$CE$25</f>
        <v>143.99215129474877</v>
      </c>
      <c r="CF8" s="3">
        <f>Table3[[#This Row],[exit velocity mean]]+$CC$25-Table3[[#This Row],[reduction]]*100</f>
        <v>83.5</v>
      </c>
      <c r="CG8" s="3">
        <f>MIN(Table3[[#This Row],[adjusted launch angle]]+Table3[[#This Row],[angle stdev]], 30)</f>
        <v>30</v>
      </c>
      <c r="CH8" s="118">
        <f>2*Table3[[#This Row],[+1stdv EV]]*SIN(RADIANS(Table3[[#This Row],[+1stdv LA]]))/$CC$28*60*60</f>
        <v>3.7574999999999994</v>
      </c>
      <c r="CI8" s="156">
        <f>Table3[[#This Row],[+1stdv EV]]^2*2*SIN(RADIANS(Table3[[#This Row],[+1stdv LA]]))/$CC$28*5280-Table3[[#This Row],[+1stdv flight time]]^2*$CE$25</f>
        <v>234.26760000000002</v>
      </c>
      <c r="CJ8" s="156">
        <f>Table3[[#This Row],[+1stdev distance]]-Table3[[#This Row],[actual distance]]</f>
        <v>90.27544870525125</v>
      </c>
    </row>
    <row r="9" spans="1:119" s="4" customFormat="1" x14ac:dyDescent="0.25">
      <c r="A9" s="4">
        <f t="shared" si="0"/>
        <v>3</v>
      </c>
      <c r="B9" s="4">
        <f>INDEX(oratings, 1, 1+MOD(Table3[[#This Row],[Rep '#]]-1, COUNT(oratings)))</f>
        <v>1</v>
      </c>
      <c r="C9" s="4">
        <f>INDEX(dratings, 1, MOD(FLOOR( (Table3[[#This Row],[Rep '#]]-1) / COUNT(oratings), 1), COUNT(dratings))+1)</f>
        <v>0.1</v>
      </c>
      <c r="D9" s="4">
        <f>Table3[[#This Row],[offense]]*$D$26+0.05</f>
        <v>0.15000000000000002</v>
      </c>
      <c r="E9" s="4">
        <f>((2*Table3[[#This Row],[defense]]+1*Table3[[#This Row],[defense]])-1.5)*Table3[[#This Row],[offense]]*$E$26</f>
        <v>-0.12</v>
      </c>
      <c r="F9" s="4">
        <f>MAX(Table3[[#This Row],[base leadoff]]*(1-Table3[[#This Row],[leadoff modifier]]) * 90, 0)</f>
        <v>15.120000000000003</v>
      </c>
      <c r="G9" s="4">
        <f>1.1 - Table3[[#This Row],[defense]]*0.1</f>
        <v>1.0900000000000001</v>
      </c>
      <c r="H9" s="4">
        <f xml:space="preserve"> 0.01 - 0.0025 *  Table3[[#This Row],[defense]]</f>
        <v>9.75E-3</v>
      </c>
      <c r="I9" s="4">
        <f>1 / Table3[[#This Row],[throw speed (s/ft)]] * ((60 * 60)/5280)</f>
        <v>69.930069930069934</v>
      </c>
      <c r="J9" s="4">
        <f>Table3[[#This Row],[pickoff manuver (s)]]+60*Table3[[#This Row],[throw speed (s/ft)]]</f>
        <v>1.675</v>
      </c>
      <c r="K9" s="4">
        <f>$K$28-$K$26*Table3[[#This Row],[offense]]</f>
        <v>0.7</v>
      </c>
      <c r="L9" s="4">
        <f>0.05 - Table3[[#This Row],[offense]]*$L$26</f>
        <v>0.04</v>
      </c>
      <c r="M9" s="4">
        <f>1 / Table3[[#This Row],[runner speed (s/ft)]] * ((60 * 60)/5280)</f>
        <v>17.045454545454543</v>
      </c>
      <c r="N9" s="4">
        <f>Table3[[#This Row],[runner reaction]]+Table3[[#This Row],[runner speed (s/ft)]]*Table3[[#This Row],[total leadoff (ft)]]</f>
        <v>1.3048000000000002</v>
      </c>
      <c r="O9" s="10">
        <f>1 - _xlfn.NORM.DIST(Table3[[#This Row],[pickoff time]], Table3[[#This Row],[pickoff evade time]], $O$4, TRUE)</f>
        <v>3.208477655219244E-2</v>
      </c>
      <c r="P9" s="50">
        <f>_xlfn.NORM.DIST(Table3[[#This Row],[defense]], $P$26, $P$27, TRUE)</f>
        <v>0.96588837667724492</v>
      </c>
      <c r="Q9" s="4" t="b">
        <f>Table3[[#This Row],[pickoff probability]] &gt; 1-Table3[[#This Row],[Fielding Odds]]</f>
        <v>0</v>
      </c>
      <c r="R9" s="50">
        <f>1-Table3[[#This Row],[Fielding Odds]]</f>
        <v>3.411162332275508E-2</v>
      </c>
      <c r="S9" s="4">
        <f>(90-Table3[[#This Row],[total leadoff (ft)]])*Table3[[#This Row],[runner speed (s/ft)]]</f>
        <v>2.9952000000000001</v>
      </c>
      <c r="T9" s="4">
        <f>$T$26*(2-Table3[[#This Row],[defense]]) + Table3[[#This Row],[pickoff time]]</f>
        <v>2.0550000000000002</v>
      </c>
      <c r="U9" s="50">
        <f>_xlfn.NORM.DIST(Table3[[#This Row],[Response speed]], Table3[[#This Row],[Blatant steal time]], $U$4, TRUE)</f>
        <v>5.8557345807363756E-2</v>
      </c>
      <c r="V9" s="4">
        <f>Table3[[#This Row],[defense]]+Table3[[#This Row],[defense]]*Table3[[#This Row],[offense]]*$E$26</f>
        <v>0.11000000000000001</v>
      </c>
      <c r="W9" s="4">
        <f t="shared" si="6"/>
        <v>0</v>
      </c>
      <c r="X9" s="50">
        <f>Table3[[#This Row],[ball factor]]/$X$32*(1-$X$34)+$X$34</f>
        <v>0.2</v>
      </c>
      <c r="Y9" s="4">
        <f>Table3[[#This Row],[offense]]</f>
        <v>1</v>
      </c>
      <c r="Z9" s="84">
        <f t="shared" si="1"/>
        <v>-0.90000000000000013</v>
      </c>
      <c r="AA9" s="84">
        <f>IF(Table3[[#This Row],[player control]]&gt;1,Table3[[#This Row],[player control]]*$AA$41+$AA$40,Table3[[#This Row],[player control]]*$AA$39+$AA$38)</f>
        <v>0.40000000000000008</v>
      </c>
      <c r="AB9" s="85">
        <f>_xlfn.NORM.DIST(-1,Table3[[#This Row],[ideal steer]],($AB$25-Table3[[#This Row],[scaled control]])*$AB$27,TRUE)</f>
        <v>0.39059147543357509</v>
      </c>
      <c r="AC9" s="85">
        <f>1-_xlfn.NORM.DIST(1,Table3[[#This Row],[ideal steer]],($AB$25-Table3[[#This Row],[scaled control]])*$AB$27,TRUE)</f>
        <v>6.5379949898414225E-8</v>
      </c>
      <c r="AD9" s="85">
        <f>1-(1-Table3[[#This Row],[unmod foul percent 3rd]])*(1-Table3[[#This Row],[unmod foul percent 1st]])</f>
        <v>0.39059151527667391</v>
      </c>
      <c r="AE9" s="85">
        <f>1-((1-_xlfn.NORM.DIST(-1,0,($AB$25-Table3[[#This Row],[scaled control]])*$AB$27,TRUE))*_xlfn.NORM.DIST(1,0,($AB$25-Table3[[#This Row],[scaled control]])*$AB$27,TRUE))</f>
        <v>5.465714583151815E-3</v>
      </c>
      <c r="AF9" s="4">
        <f>$AF$34*$AF$25</f>
        <v>-4</v>
      </c>
      <c r="AG9" s="4">
        <f>$AG$25*($AG$34*Table3[[#This Row],[offense]])</f>
        <v>0</v>
      </c>
      <c r="AH9" s="4">
        <f t="shared" si="2"/>
        <v>0</v>
      </c>
      <c r="AI9" s="4">
        <f>$AI$34*$AI$25</f>
        <v>0</v>
      </c>
      <c r="AJ9" s="4">
        <f>$AJ$25*(Table3[[#This Row],[offense]]-$AJ$27)</f>
        <v>0</v>
      </c>
      <c r="AK9" s="4" cm="1">
        <f t="array" ref="AK9">SUM(Table3[[#This Row],[count]:[current hitter vs next hitter]]*MIN(1, Table3[[#This Row],[defense]]))</f>
        <v>-0.4</v>
      </c>
      <c r="AL9" s="85">
        <f>$AL$25-(Table3[[#This Row],[calling modifier]]/(ABS(Table3[[#This Row],[calling modifier]])+$AL$29)*$AL$27)</f>
        <v>0.60784313725490191</v>
      </c>
      <c r="AM9" s="107">
        <f>$AL$25-$AL$27*TANH(Table3[[#This Row],[calling modifier]]/$AM$29)</f>
        <v>0.60799893350397238</v>
      </c>
      <c r="AN9" s="133">
        <f>MAX(0, 1-_xlfn.NORM.S.INV(Table3[[#This Row],[tanh strike percent]])*($AN$25*($AN$27-Table3[[#This Row],[defense]])))</f>
        <v>0.68203548515294243</v>
      </c>
      <c r="AO9" s="134">
        <f>MAX(0, 1-_xlfn.NORM.S.INV(Table3[[#This Row],[tanh strike percent]])*($AN$25*($AN$27-0.2)))</f>
        <v>0.69299977876835817</v>
      </c>
      <c r="AP9" s="134">
        <f>MAX(0, 1-_xlfn.NORM.S.INV(Table3[[#This Row],[tanh strike percent]])*($AN$25*($AN$27-2)))</f>
        <v>0.89035706384584223</v>
      </c>
      <c r="AQ9" s="134">
        <f>Table3[[#This Row],[called position]]-pitchmod*(pitchstdv-Table3[[#This Row],[defense]])</f>
        <v>-0.47796451484705749</v>
      </c>
      <c r="AR9" s="134">
        <f>ABS(Table3[[#This Row],[called position]]+pitchmod*(pitchstdv-Table3[[#This Row],[defense]]))</f>
        <v>1.8420354851529424</v>
      </c>
      <c r="AS9" s="134">
        <f>IF(AND(Table3[[#This Row],[location -1  stdv]]&lt;1, Table3[[#This Row],[location +1 stdv]]&gt;1),0, MIN(Table3[[#This Row],[location -1  stdv]]+1, 1-Table3[[#This Row],[location +1 stdv]]))</f>
        <v>0</v>
      </c>
      <c r="AT9" s="134">
        <f>IF(AND(Table3[[#This Row],[location -1  stdv]]&lt;0, Table3[[#This Row],[location +1 stdv]]&gt;0),1, MAX(1-ABS(Table3[[#This Row],[location -1  stdv]]), Table3[[#This Row],[location +1 stdv]]-1))</f>
        <v>1</v>
      </c>
      <c r="AU9" s="134">
        <f>$AU$30/(ABS(Table3[[#This Row],[called position]]-1)+$AU$27)+$AU$32*Table3[[#This Row],[defense]]</f>
        <v>0.52850952149175734</v>
      </c>
      <c r="AV9" s="134">
        <f>$AU$30/(ABS(0.5-1)+$AU$27)+$AU$32*Table3[[#This Row],[defense]]</f>
        <v>0.38333333333333336</v>
      </c>
      <c r="AW9" s="134">
        <f>$AU$30/(ABS(0.9-1)+$AU$27)+$AU$32*Table3[[#This Row],[defense]]</f>
        <v>1.0500000000000003</v>
      </c>
      <c r="AX9" s="134">
        <f>Table3[[#This Row],[defense]]*$AX$30+MAX(0, Table3[[#This Row],[called position]]-$AX$27)^$AX$25</f>
        <v>0.17766656242028445</v>
      </c>
      <c r="AY9" s="134">
        <f>Table3[[#This Row],[defense]]*$AX$30 + MAX(0, Table3[[#This Row],[location +1 stdv]]-$AX$27)^$AX$25</f>
        <v>1.6546978534488685</v>
      </c>
      <c r="AZ9" s="134">
        <f>Table3[[#This Row],[defense]]*$AX$30+MAX(0, 1-$AX$27)^$AX$25</f>
        <v>0.45355339059327382</v>
      </c>
      <c r="BA9" s="4">
        <f>MAX(0, 0.1*(1-Table3[[#This Row],[defense]]))</f>
        <v>9.0000000000000011E-2</v>
      </c>
      <c r="BB9" s="4">
        <f t="shared" si="3"/>
        <v>0.5</v>
      </c>
      <c r="BC9" s="134">
        <f>$AU$30/(ABS(Table3[[#This Row],[Location]]-1)+$AU$27)+$AU$32*Table3[[#This Row],[defense]]</f>
        <v>0.38333333333333336</v>
      </c>
      <c r="BD9" s="4" t="b">
        <f>Table3[[#This Row],[Location]]&lt;= (1+MAX(0, (Table3[[#This Row],[defense]]-1)*0.1))</f>
        <v>1</v>
      </c>
      <c r="BE9" s="119">
        <f>1/(1+Table3[[#This Row],[offense]])</f>
        <v>0.5</v>
      </c>
      <c r="BF9" s="134">
        <f>Table3[[#This Row],[obscurity]]*Table3[[#This Row],[discipline modifier]]</f>
        <v>0.19166666666666668</v>
      </c>
      <c r="BG9" s="107">
        <f>1/(1+Table3[[#This Row],[effective obscurity]])</f>
        <v>0.83916083916083917</v>
      </c>
      <c r="BH9" s="107">
        <f>IF(Table3[[#This Row],[Strike?]],Table3[[#This Row],[odds of read]],1-Table3[[#This Row],[odds of read]])</f>
        <v>0.83916083916083917</v>
      </c>
      <c r="BI9" s="4">
        <f t="shared" si="4"/>
        <v>1</v>
      </c>
      <c r="BJ9" s="107">
        <f>Table3[[#This Row],[desperation echo]]*Table3[[#This Row],[unadjusted swing %]]</f>
        <v>0.83916083916083917</v>
      </c>
      <c r="BK9" s="133">
        <f>Table3[[#This Row],[ave obscurity]]</f>
        <v>0.52850952149175734</v>
      </c>
      <c r="BL9" s="107">
        <f>1/(1+Table3[[#This Row],[ave obscurity]]*Table3[[#This Row],[discipline modifier]])</f>
        <v>0.79097981755672808</v>
      </c>
      <c r="BM9" s="4">
        <f>Table3[[#This Row],[offense]]</f>
        <v>1</v>
      </c>
      <c r="BN9" s="134">
        <f>Table3[[#This Row],[average difficulty]]</f>
        <v>0.17766656242028445</v>
      </c>
      <c r="BO9" s="134">
        <f>Table3[[#This Row],[contact echo]]-Table3[[#This Row],[pitch carry forward diff]]</f>
        <v>0.82233343757971555</v>
      </c>
      <c r="BP9" s="107">
        <f>1-_xlfn.NORM.DIST($BP$27,Table3[[#This Row],[CF contact readiness]], $BP$30,TRUE)</f>
        <v>0.82659063331786464</v>
      </c>
      <c r="BQ9" s="107">
        <f>1-_xlfn.NORM.DIST($BP$25,Table3[[#This Row],[CF contact readiness]], $BP$30,TRUE)</f>
        <v>0.47638756880377942</v>
      </c>
      <c r="BR9" s="107">
        <f>1-Table3[[#This Row],[foul %]]</f>
        <v>0.17340936668213536</v>
      </c>
      <c r="BS9" s="134">
        <f>(Table3[[#This Row],[CF contact readiness]]-$BP$27)/$BP$30</f>
        <v>0.94077781252657189</v>
      </c>
      <c r="BT9" s="134">
        <f>(Table3[[#This Row],[CF contact readiness]]+$BP$30-$BP$27)/$BP$30</f>
        <v>1.9407778125265718</v>
      </c>
      <c r="BU9" s="4">
        <f>MAX(0, IF(ISBLANK($BU$28), Table3[[#This Row],[hit quality +1stdv]], $BU$28)-1)</f>
        <v>0.5</v>
      </c>
      <c r="BV9" s="4">
        <f>$BV$25+Table3[[#This Row],[offense]]*$BV$28</f>
        <v>15</v>
      </c>
      <c r="BW9" s="4">
        <f>$BW$25*$BW$28/($BW$28+Table3[[#This Row],[hit quality remainder]])</f>
        <v>20</v>
      </c>
      <c r="BX9" s="107">
        <f>_xlfn.NORM.DIST(10,Table3[[#This Row],[adjusted launch angle]],Table3[[#This Row],[angle stdev]],TRUE)</f>
        <v>0.4012936743170763</v>
      </c>
      <c r="BY9" s="107">
        <f>1-_xlfn.NORM.DIST(50, Table3[[#This Row],[adjusted launch angle]],Table3[[#This Row],[angle stdev]],TRUE)</f>
        <v>4.0059156863817114E-2</v>
      </c>
      <c r="BZ9" s="107">
        <f t="shared" si="5"/>
        <v>0.42944875004736094</v>
      </c>
      <c r="CA9" s="4">
        <f>$CA$25+Table3[[#This Row],[offense]]*($CA$27-$CA$25)/2</f>
        <v>90</v>
      </c>
      <c r="CB9" s="4">
        <f>Table3[[#This Row],[exit velocity mean]]-Table3[[#This Row],[reduction]]*100</f>
        <v>81</v>
      </c>
      <c r="CC9" s="157">
        <f>Table3[[#This Row],[exit velocity mean]]^2*2*SIN(RADIANS(Table3[[#This Row],[adjusted launch angle]]))/$CC$28*5280</f>
        <v>276.72932302361517</v>
      </c>
      <c r="CD9" s="119">
        <f>2*Table3[[#This Row],[exit velocity mean]]*SIN(RADIANS(Table3[[#This Row],[adjusted launch angle]]))/$CC$28*60*60</f>
        <v>2.0964342653304175</v>
      </c>
      <c r="CE9" s="157">
        <f>Table3[[#This Row],[theoretical distance]]-Table3[[#This Row],[flight time]]^2*$CE$25</f>
        <v>206.40873696199137</v>
      </c>
      <c r="CF9" s="4">
        <f>Table3[[#This Row],[exit velocity mean]]+$CC$25-Table3[[#This Row],[reduction]]*100</f>
        <v>93.5</v>
      </c>
      <c r="CG9" s="4">
        <f>MIN(Table3[[#This Row],[adjusted launch angle]]+Table3[[#This Row],[angle stdev]], 30)</f>
        <v>30</v>
      </c>
      <c r="CH9" s="119">
        <f>2*Table3[[#This Row],[+1stdv EV]]*SIN(RADIANS(Table3[[#This Row],[+1stdv LA]]))/$CC$28*60*60</f>
        <v>4.2074999999999996</v>
      </c>
      <c r="CI9" s="157">
        <f>Table3[[#This Row],[+1stdv EV]]^2*2*SIN(RADIANS(Table3[[#This Row],[+1stdv LA]]))/$CC$28*5280-Table3[[#This Row],[+1stdv flight time]]^2*$CE$25</f>
        <v>293.73959999999988</v>
      </c>
      <c r="CJ9" s="157">
        <f>Table3[[#This Row],[+1stdev distance]]-Table3[[#This Row],[actual distance]]</f>
        <v>87.330863038008516</v>
      </c>
    </row>
    <row r="10" spans="1:119" s="3" customFormat="1" x14ac:dyDescent="0.25">
      <c r="A10" s="3">
        <f t="shared" si="0"/>
        <v>4</v>
      </c>
      <c r="B10" s="3">
        <f>INDEX(oratings, 1, 1+MOD(Table3[[#This Row],[Rep '#]]-1, COUNT(oratings)))</f>
        <v>2</v>
      </c>
      <c r="C10" s="3">
        <f>INDEX(dratings, 1, MOD(FLOOR( (Table3[[#This Row],[Rep '#]]-1) / COUNT(oratings), 1), COUNT(dratings))+1)</f>
        <v>0.1</v>
      </c>
      <c r="D10" s="3">
        <f>Table3[[#This Row],[offense]]*$D$26+0.05</f>
        <v>0.25</v>
      </c>
      <c r="E10" s="3">
        <f>((2*Table3[[#This Row],[defense]]+1*Table3[[#This Row],[defense]])-1.5)*Table3[[#This Row],[offense]]*$E$26</f>
        <v>-0.24</v>
      </c>
      <c r="F10" s="3">
        <f>MAX(Table3[[#This Row],[base leadoff]]*(1-Table3[[#This Row],[leadoff modifier]]) * 90, 0)</f>
        <v>27.9</v>
      </c>
      <c r="G10" s="3">
        <f>1.1 - Table3[[#This Row],[defense]]*0.1</f>
        <v>1.0900000000000001</v>
      </c>
      <c r="H10" s="3">
        <f xml:space="preserve"> 0.01 - 0.0025 *  Table3[[#This Row],[defense]]</f>
        <v>9.75E-3</v>
      </c>
      <c r="I10" s="3">
        <f>1 / Table3[[#This Row],[throw speed (s/ft)]] * ((60 * 60)/5280)</f>
        <v>69.930069930069934</v>
      </c>
      <c r="J10" s="3">
        <f>Table3[[#This Row],[pickoff manuver (s)]]+60*Table3[[#This Row],[throw speed (s/ft)]]</f>
        <v>1.675</v>
      </c>
      <c r="K10" s="3">
        <f>$K$28-$K$26*Table3[[#This Row],[offense]]</f>
        <v>0.5</v>
      </c>
      <c r="L10" s="3">
        <f>0.05 - Table3[[#This Row],[offense]]*$L$26</f>
        <v>3.0000000000000002E-2</v>
      </c>
      <c r="M10" s="3">
        <f>1 / Table3[[#This Row],[runner speed (s/ft)]] * ((60 * 60)/5280)</f>
        <v>22.727272727272723</v>
      </c>
      <c r="N10" s="3">
        <f>Table3[[#This Row],[runner reaction]]+Table3[[#This Row],[runner speed (s/ft)]]*Table3[[#This Row],[total leadoff (ft)]]</f>
        <v>1.3370000000000002</v>
      </c>
      <c r="O10" s="7">
        <f>1 - _xlfn.NORM.DIST(Table3[[#This Row],[pickoff time]], Table3[[#This Row],[pickoff evade time]], $O$4, TRUE)</f>
        <v>4.5513977321549826E-2</v>
      </c>
      <c r="P10" s="49">
        <f>_xlfn.NORM.DIST(Table3[[#This Row],[defense]], $P$26, $P$27, TRUE)</f>
        <v>0.96588837667724492</v>
      </c>
      <c r="Q10" s="3" t="b">
        <f>Table3[[#This Row],[pickoff probability]] &gt; 1-Table3[[#This Row],[Fielding Odds]]</f>
        <v>1</v>
      </c>
      <c r="R10" s="49">
        <f>1-Table3[[#This Row],[Fielding Odds]]</f>
        <v>3.411162332275508E-2</v>
      </c>
      <c r="S10" s="3">
        <f>(90-Table3[[#This Row],[total leadoff (ft)]])*Table3[[#This Row],[runner speed (s/ft)]]</f>
        <v>1.8630000000000002</v>
      </c>
      <c r="T10" s="3">
        <f>$T$26*(2-Table3[[#This Row],[defense]]) + Table3[[#This Row],[pickoff time]]</f>
        <v>2.0550000000000002</v>
      </c>
      <c r="U10" s="49">
        <f>_xlfn.NORM.DIST(Table3[[#This Row],[Response speed]], Table3[[#This Row],[Blatant steal time]], $U$4, TRUE)</f>
        <v>0.62551583472332006</v>
      </c>
      <c r="V10" s="3">
        <f>Table3[[#This Row],[defense]]+Table3[[#This Row],[defense]]*Table3[[#This Row],[offense]]*$E$26</f>
        <v>0.12000000000000001</v>
      </c>
      <c r="W10" s="3">
        <f t="shared" si="6"/>
        <v>0</v>
      </c>
      <c r="X10" s="49">
        <f>Table3[[#This Row],[ball factor]]/$X$32*(1-$X$34)+$X$34</f>
        <v>0.2</v>
      </c>
      <c r="Y10" s="3">
        <f>Table3[[#This Row],[offense]]</f>
        <v>2</v>
      </c>
      <c r="Z10" s="82">
        <f t="shared" si="1"/>
        <v>-0.90000000000000013</v>
      </c>
      <c r="AA10" s="82">
        <f>IF(Table3[[#This Row],[player control]]&gt;1,Table3[[#This Row],[player control]]*$AA$41+$AA$40,Table3[[#This Row],[player control]]*$AA$39+$AA$38)</f>
        <v>2</v>
      </c>
      <c r="AB10" s="83">
        <f>_xlfn.NORM.DIST(-1,Table3[[#This Row],[ideal steer]],($AB$25-Table3[[#This Row],[scaled control]])*$AB$27,TRUE)</f>
        <v>0.3085375387259871</v>
      </c>
      <c r="AC10" s="83">
        <f>1-_xlfn.NORM.DIST(1,Table3[[#This Row],[ideal steer]],($AB$25-Table3[[#This Row],[scaled control]])*$AB$27,TRUE)</f>
        <v>0</v>
      </c>
      <c r="AD10" s="83">
        <f>1-(1-Table3[[#This Row],[unmod foul percent 3rd]])*(1-Table3[[#This Row],[unmod foul percent 1st]])</f>
        <v>0.3085375387259871</v>
      </c>
      <c r="AE10" s="83">
        <f>1-((1-_xlfn.NORM.DIST(-1,0,($AB$25-Table3[[#This Row],[scaled control]])*$AB$27,TRUE))*_xlfn.NORM.DIST(1,0,($AB$25-Table3[[#This Row],[scaled control]])*$AB$27,TRUE))</f>
        <v>5.7330306169056655E-7</v>
      </c>
      <c r="AF10" s="3">
        <f>$AF$34*$AF$25</f>
        <v>-4</v>
      </c>
      <c r="AG10" s="3">
        <f>$AG$25*($AG$34*Table3[[#This Row],[offense]])</f>
        <v>0</v>
      </c>
      <c r="AH10" s="3">
        <f t="shared" si="2"/>
        <v>0</v>
      </c>
      <c r="AI10" s="3">
        <f>$AI$34*$AI$25</f>
        <v>0</v>
      </c>
      <c r="AJ10" s="3">
        <f>$AJ$25*(Table3[[#This Row],[offense]]-$AJ$27)</f>
        <v>1</v>
      </c>
      <c r="AK10" s="3" cm="1">
        <f t="array" ref="AK10">SUM(Table3[[#This Row],[count]:[current hitter vs next hitter]]*MIN(1, Table3[[#This Row],[defense]]))</f>
        <v>-0.30000000000000004</v>
      </c>
      <c r="AL10" s="83">
        <f>$AL$25-(Table3[[#This Row],[calling modifier]]/(ABS(Table3[[#This Row],[calling modifier]])+$AL$29)*$AL$27)</f>
        <v>0.60591133004926101</v>
      </c>
      <c r="AM10" s="106">
        <f>$AL$25-$AL$27*TANH(Table3[[#This Row],[calling modifier]]/$AM$29)</f>
        <v>0.60599955004049633</v>
      </c>
      <c r="AN10" s="131">
        <f>MAX(0, 1-_xlfn.NORM.S.INV(Table3[[#This Row],[tanh strike percent]])*($AN$25*($AN$27-Table3[[#This Row],[defense]])))</f>
        <v>0.68806735214557979</v>
      </c>
      <c r="AO10" s="132">
        <f>MAX(0, 1-_xlfn.NORM.S.INV(Table3[[#This Row],[tanh strike percent]])*($AN$25*($AN$27-0.2)))</f>
        <v>0.6988236503474563</v>
      </c>
      <c r="AP10" s="132">
        <f>MAX(0, 1-_xlfn.NORM.S.INV(Table3[[#This Row],[tanh strike percent]])*($AN$25*($AN$27-2)))</f>
        <v>0.89243701798123443</v>
      </c>
      <c r="AQ10" s="132">
        <f>Table3[[#This Row],[called position]]-pitchmod*(pitchstdv-Table3[[#This Row],[defense]])</f>
        <v>-0.47193264785442013</v>
      </c>
      <c r="AR10" s="132">
        <f>ABS(Table3[[#This Row],[called position]]+pitchmod*(pitchstdv-Table3[[#This Row],[defense]]))</f>
        <v>1.8480673521455797</v>
      </c>
      <c r="AS10" s="132">
        <f>IF(AND(Table3[[#This Row],[location -1  stdv]]&lt;1, Table3[[#This Row],[location +1 stdv]]&gt;1),0, MIN(Table3[[#This Row],[location -1  stdv]]+1, 1-Table3[[#This Row],[location +1 stdv]]))</f>
        <v>0</v>
      </c>
      <c r="AT10" s="132">
        <f>IF(AND(Table3[[#This Row],[location -1  stdv]]&lt;0, Table3[[#This Row],[location +1 stdv]]&gt;0),1, MAX(1-ABS(Table3[[#This Row],[location -1  stdv]]), Table3[[#This Row],[location +1 stdv]]-1))</f>
        <v>1</v>
      </c>
      <c r="AU10" s="132">
        <f>$AU$30/(ABS(Table3[[#This Row],[called position]]-1)+$AU$27)+$AU$32*Table3[[#This Row],[defense]]</f>
        <v>0.53551626350014725</v>
      </c>
      <c r="AV10" s="132">
        <f>$AU$30/(ABS(0.5-1)+$AU$27)+$AU$32*Table3[[#This Row],[defense]]</f>
        <v>0.38333333333333336</v>
      </c>
      <c r="AW10" s="132">
        <f>$AU$30/(ABS(0.9-1)+$AU$27)+$AU$32*Table3[[#This Row],[defense]]</f>
        <v>1.0500000000000003</v>
      </c>
      <c r="AX10" s="132">
        <f>Table3[[#This Row],[defense]]*$AX$30+MAX(0, Table3[[#This Row],[called position]]-$AX$27)^$AX$25</f>
        <v>0.18155866625617012</v>
      </c>
      <c r="AY10" s="132">
        <f>Table3[[#This Row],[defense]]*$AX$30 + MAX(0, Table3[[#This Row],[location +1 stdv]]-$AX$27)^$AX$25</f>
        <v>1.6651911601796676</v>
      </c>
      <c r="AZ10" s="132">
        <f>Table3[[#This Row],[defense]]*$AX$30+MAX(0, 1-$AX$27)^$AX$25</f>
        <v>0.45355339059327382</v>
      </c>
      <c r="BA10" s="3">
        <f>MAX(0, 0.1*(1-Table3[[#This Row],[defense]]))</f>
        <v>9.0000000000000011E-2</v>
      </c>
      <c r="BB10" s="3">
        <f t="shared" si="3"/>
        <v>0.5</v>
      </c>
      <c r="BC10" s="132">
        <f>$AU$30/(ABS(Table3[[#This Row],[Location]]-1)+$AU$27)+$AU$32*Table3[[#This Row],[defense]]</f>
        <v>0.38333333333333336</v>
      </c>
      <c r="BD10" s="3" t="b">
        <f>Table3[[#This Row],[Location]]&lt;= (1+MAX(0, (Table3[[#This Row],[defense]]-1)*0.1))</f>
        <v>1</v>
      </c>
      <c r="BE10" s="118">
        <f>1/(1+Table3[[#This Row],[offense]])</f>
        <v>0.33333333333333331</v>
      </c>
      <c r="BF10" s="132">
        <f>Table3[[#This Row],[obscurity]]*Table3[[#This Row],[discipline modifier]]</f>
        <v>0.12777777777777777</v>
      </c>
      <c r="BG10" s="106">
        <f>1/(1+Table3[[#This Row],[effective obscurity]])</f>
        <v>0.88669950738916259</v>
      </c>
      <c r="BH10" s="106">
        <f>IF(Table3[[#This Row],[Strike?]],Table3[[#This Row],[odds of read]],1-Table3[[#This Row],[odds of read]])</f>
        <v>0.88669950738916259</v>
      </c>
      <c r="BI10" s="3">
        <f t="shared" si="4"/>
        <v>1</v>
      </c>
      <c r="BJ10" s="106">
        <f>Table3[[#This Row],[desperation echo]]*Table3[[#This Row],[unadjusted swing %]]</f>
        <v>0.88669950738916259</v>
      </c>
      <c r="BK10" s="131">
        <f>Table3[[#This Row],[ave obscurity]]</f>
        <v>0.53551626350014725</v>
      </c>
      <c r="BL10" s="106">
        <f>1/(1+Table3[[#This Row],[ave obscurity]]*Table3[[#This Row],[discipline modifier]])</f>
        <v>0.84853237162880757</v>
      </c>
      <c r="BM10" s="3">
        <f>Table3[[#This Row],[offense]]</f>
        <v>2</v>
      </c>
      <c r="BN10" s="132">
        <f>Table3[[#This Row],[average difficulty]]</f>
        <v>0.18155866625617012</v>
      </c>
      <c r="BO10" s="132">
        <f>Table3[[#This Row],[contact echo]]-Table3[[#This Row],[pitch carry forward diff]]</f>
        <v>1.8184413337438299</v>
      </c>
      <c r="BP10" s="106">
        <f>1-_xlfn.NORM.DIST($BP$27,Table3[[#This Row],[CF contact readiness]], $BP$30,TRUE)</f>
        <v>0.89845793456050538</v>
      </c>
      <c r="BQ10" s="106">
        <f>1-_xlfn.NORM.DIST($BP$25,Table3[[#This Row],[CF contact readiness]], $BP$30,TRUE)</f>
        <v>0.60750181603215569</v>
      </c>
      <c r="BR10" s="106">
        <f>1-Table3[[#This Row],[foul %]]</f>
        <v>0.10154206543949462</v>
      </c>
      <c r="BS10" s="132">
        <f>(Table3[[#This Row],[CF contact readiness]]-$BP$27)/$BP$30</f>
        <v>1.27281377791461</v>
      </c>
      <c r="BT10" s="132">
        <f>(Table3[[#This Row],[CF contact readiness]]+$BP$30-$BP$27)/$BP$30</f>
        <v>2.2728137779146098</v>
      </c>
      <c r="BU10" s="3">
        <f>MAX(0, IF(ISBLANK($BU$28), Table3[[#This Row],[hit quality +1stdv]], $BU$28)-1)</f>
        <v>0.5</v>
      </c>
      <c r="BV10" s="3">
        <f>$BV$25+Table3[[#This Row],[offense]]*$BV$28</f>
        <v>20</v>
      </c>
      <c r="BW10" s="3">
        <f>$BW$25*$BW$28/($BW$28+Table3[[#This Row],[hit quality remainder]])</f>
        <v>20</v>
      </c>
      <c r="BX10" s="106">
        <f>_xlfn.NORM.DIST(10,Table3[[#This Row],[adjusted launch angle]],Table3[[#This Row],[angle stdev]],TRUE)</f>
        <v>0.30853753872598688</v>
      </c>
      <c r="BY10" s="106">
        <f>1-_xlfn.NORM.DIST(50, Table3[[#This Row],[adjusted launch angle]],Table3[[#This Row],[angle stdev]],TRUE)</f>
        <v>6.6807201268858085E-2</v>
      </c>
      <c r="BZ10" s="106">
        <f t="shared" si="5"/>
        <v>0.42944875004736094</v>
      </c>
      <c r="CA10" s="3">
        <f>$CA$25+Table3[[#This Row],[offense]]*($CA$27-$CA$25)/2</f>
        <v>110</v>
      </c>
      <c r="CB10" s="3">
        <f>Table3[[#This Row],[exit velocity mean]]-Table3[[#This Row],[reduction]]*100</f>
        <v>101</v>
      </c>
      <c r="CC10" s="156">
        <f>Table3[[#This Row],[exit velocity mean]]^2*2*SIN(RADIANS(Table3[[#This Row],[adjusted launch angle]]))/$CC$28*5280</f>
        <v>546.27457291975804</v>
      </c>
      <c r="CD10" s="118">
        <f>2*Table3[[#This Row],[exit velocity mean]]*SIN(RADIANS(Table3[[#This Row],[adjusted launch angle]]))/$CC$28*60*60</f>
        <v>3.3859994189241207</v>
      </c>
      <c r="CE10" s="156">
        <f>Table3[[#This Row],[theoretical distance]]-Table3[[#This Row],[flight time]]^2*$CE$25</f>
        <v>362.83469988048631</v>
      </c>
      <c r="CF10" s="3">
        <f>Table3[[#This Row],[exit velocity mean]]+$CC$25-Table3[[#This Row],[reduction]]*100</f>
        <v>113.5</v>
      </c>
      <c r="CG10" s="3">
        <f>MIN(Table3[[#This Row],[adjusted launch angle]]+Table3[[#This Row],[angle stdev]], 30)</f>
        <v>30</v>
      </c>
      <c r="CH10" s="118">
        <f>2*Table3[[#This Row],[+1stdv EV]]*SIN(RADIANS(Table3[[#This Row],[+1stdv LA]]))/$CC$28*60*60</f>
        <v>5.1074999999999999</v>
      </c>
      <c r="CI10" s="156">
        <f>Table3[[#This Row],[+1stdv EV]]^2*2*SIN(RADIANS(Table3[[#This Row],[+1stdv LA]]))/$CC$28*5280-Table3[[#This Row],[+1stdv flight time]]^2*$CE$25</f>
        <v>432.84359999999981</v>
      </c>
      <c r="CJ10" s="156">
        <f>Table3[[#This Row],[+1stdev distance]]-Table3[[#This Row],[actual distance]]</f>
        <v>70.008900119513498</v>
      </c>
    </row>
    <row r="11" spans="1:119" s="13" customFormat="1" x14ac:dyDescent="0.25">
      <c r="A11" s="13">
        <f t="shared" si="0"/>
        <v>5</v>
      </c>
      <c r="B11" s="13">
        <f>INDEX(oratings, 1, 1+MOD(Table3[[#This Row],[Rep '#]]-1, COUNT(oratings)))</f>
        <v>0.1</v>
      </c>
      <c r="C11" s="13">
        <f>INDEX(dratings, 1, MOD(FLOOR( (Table3[[#This Row],[Rep '#]]-1) / COUNT(oratings), 1), COUNT(dratings))+1)</f>
        <v>0.5</v>
      </c>
      <c r="D11" s="13">
        <f>Table3[[#This Row],[offense]]*$D$26+0.05</f>
        <v>6.0000000000000005E-2</v>
      </c>
      <c r="E11" s="13">
        <f>((2*Table3[[#This Row],[defense]]+1*Table3[[#This Row],[defense]])-1.5)*Table3[[#This Row],[offense]]*$E$26</f>
        <v>0</v>
      </c>
      <c r="F11" s="13">
        <f>MAX(Table3[[#This Row],[base leadoff]]*(1-Table3[[#This Row],[leadoff modifier]]) * 90, 0)</f>
        <v>5.4</v>
      </c>
      <c r="G11" s="13">
        <f>1.1 - Table3[[#This Row],[defense]]*0.1</f>
        <v>1.05</v>
      </c>
      <c r="H11" s="13">
        <f xml:space="preserve"> 0.01 - 0.0025 *  Table3[[#This Row],[defense]]</f>
        <v>8.7500000000000008E-3</v>
      </c>
      <c r="I11" s="13">
        <f>1 / Table3[[#This Row],[throw speed (s/ft)]] * ((60 * 60)/5280)</f>
        <v>77.922077922077918</v>
      </c>
      <c r="J11" s="13">
        <f>Table3[[#This Row],[pickoff manuver (s)]]+60*Table3[[#This Row],[throw speed (s/ft)]]</f>
        <v>1.5750000000000002</v>
      </c>
      <c r="K11" s="13">
        <f>$K$28-$K$26*Table3[[#This Row],[offense]]</f>
        <v>0.88</v>
      </c>
      <c r="L11" s="13">
        <f>0.05 - Table3[[#This Row],[offense]]*$L$26</f>
        <v>4.9000000000000002E-2</v>
      </c>
      <c r="M11" s="13">
        <f>1 / Table3[[#This Row],[runner speed (s/ft)]] * ((60 * 60)/5280)</f>
        <v>13.914656771799628</v>
      </c>
      <c r="N11" s="13">
        <f>Table3[[#This Row],[runner reaction]]+Table3[[#This Row],[runner speed (s/ft)]]*Table3[[#This Row],[total leadoff (ft)]]</f>
        <v>1.1446000000000001</v>
      </c>
      <c r="O11" s="14">
        <f>1 - _xlfn.NORM.DIST(Table3[[#This Row],[pickoff time]], Table3[[#This Row],[pickoff evade time]], $O$4, TRUE)</f>
        <v>1.5698677182155896E-2</v>
      </c>
      <c r="P11" s="51">
        <f>_xlfn.NORM.DIST(Table3[[#This Row],[defense]], $P$26, $P$27, TRUE)</f>
        <v>0.98024442661121902</v>
      </c>
      <c r="Q11" s="13" t="b">
        <f>Table3[[#This Row],[pickoff probability]] &gt; 1-Table3[[#This Row],[Fielding Odds]]</f>
        <v>0</v>
      </c>
      <c r="R11" s="51">
        <f>1-Table3[[#This Row],[Fielding Odds]]</f>
        <v>1.9755573388780978E-2</v>
      </c>
      <c r="S11" s="13">
        <f>(90-Table3[[#This Row],[total leadoff (ft)]])*Table3[[#This Row],[runner speed (s/ft)]]</f>
        <v>4.1453999999999995</v>
      </c>
      <c r="T11" s="13">
        <f>$T$26*(2-Table3[[#This Row],[defense]]) + Table3[[#This Row],[pickoff time]]</f>
        <v>1.8750000000000002</v>
      </c>
      <c r="U11" s="51">
        <f>_xlfn.NORM.DIST(Table3[[#This Row],[Response speed]], Table3[[#This Row],[Blatant steal time]], $U$4, TRUE)</f>
        <v>7.7163911324126927E-5</v>
      </c>
      <c r="V11" s="13">
        <f>Table3[[#This Row],[defense]]+Table3[[#This Row],[defense]]*Table3[[#This Row],[offense]]*$E$26</f>
        <v>0.505</v>
      </c>
      <c r="W11" s="13">
        <f t="shared" si="6"/>
        <v>0</v>
      </c>
      <c r="X11" s="51">
        <f>Table3[[#This Row],[ball factor]]/$X$32*(1-$X$34)+$X$34</f>
        <v>0.2</v>
      </c>
      <c r="Y11" s="13">
        <f>Table3[[#This Row],[offense]]</f>
        <v>0.1</v>
      </c>
      <c r="Z11" s="86">
        <f t="shared" si="1"/>
        <v>-0.90000000000000013</v>
      </c>
      <c r="AA11" s="86">
        <f>IF(Table3[[#This Row],[player control]]&gt;1,Table3[[#This Row],[player control]]*$AA$41+$AA$40,Table3[[#This Row],[player control]]*$AA$39+$AA$38)</f>
        <v>-0.14000000000000001</v>
      </c>
      <c r="AB11" s="87">
        <f>_xlfn.NORM.DIST(-1,Table3[[#This Row],[ideal steer]],($AB$25-Table3[[#This Row],[scaled control]])*$AB$27,TRUE)</f>
        <v>0.40456602559459909</v>
      </c>
      <c r="AC11" s="87">
        <f>1-_xlfn.NORM.DIST(1,Table3[[#This Row],[ideal steer]],($AB$25-Table3[[#This Row],[scaled control]])*$AB$27,TRUE)</f>
        <v>2.2229077858426649E-6</v>
      </c>
      <c r="AD11" s="87">
        <f>1-(1-Table3[[#This Row],[unmod foul percent 3rd]])*(1-Table3[[#This Row],[unmod foul percent 1st]])</f>
        <v>0.40456734918941673</v>
      </c>
      <c r="AE11" s="87">
        <f>1-((1-_xlfn.NORM.DIST(-1,0,($AB$25-Table3[[#This Row],[scaled control]])*$AB$27,TRUE))*_xlfn.NORM.DIST(1,0,($AB$25-Table3[[#This Row],[scaled control]])*$AB$27,TRUE))</f>
        <v>1.5653650964326582E-2</v>
      </c>
      <c r="AF11" s="13">
        <f>$AF$34*$AF$25</f>
        <v>-4</v>
      </c>
      <c r="AG11" s="13">
        <f>$AG$25*($AG$34*Table3[[#This Row],[offense]])</f>
        <v>0</v>
      </c>
      <c r="AH11" s="13">
        <f t="shared" si="2"/>
        <v>0</v>
      </c>
      <c r="AI11" s="13">
        <f>$AI$34*$AI$25</f>
        <v>0</v>
      </c>
      <c r="AJ11" s="13">
        <f>$AJ$25*(Table3[[#This Row],[offense]]-$AJ$27)</f>
        <v>-0.9</v>
      </c>
      <c r="AK11" s="13" cm="1">
        <f t="array" ref="AK11">SUM(Table3[[#This Row],[count]:[current hitter vs next hitter]]*MIN(1, Table3[[#This Row],[defense]]))</f>
        <v>-2.4500000000000002</v>
      </c>
      <c r="AL11" s="87">
        <f>$AL$25-(Table3[[#This Row],[calling modifier]]/(ABS(Table3[[#This Row],[calling modifier]])+$AL$29)*$AL$27)</f>
        <v>0.64365256124721604</v>
      </c>
      <c r="AM11" s="108">
        <f>$AL$25-$AL$27*TANH(Table3[[#This Row],[calling modifier]]/$AM$29)</f>
        <v>0.6487563602597729</v>
      </c>
      <c r="AN11" s="135">
        <f>MAX(0, 1-_xlfn.NORM.S.INV(Table3[[#This Row],[tanh strike percent]])*($AN$25*($AN$27-Table3[[#This Row],[defense]])))</f>
        <v>0.61803493756775341</v>
      </c>
      <c r="AO11" s="136">
        <f>MAX(0, 1-_xlfn.NORM.S.INV(Table3[[#This Row],[tanh strike percent]])*($AN$25*($AN$27-0.2)))</f>
        <v>0.57219913007588374</v>
      </c>
      <c r="AP11" s="136">
        <f>MAX(0, 1-_xlfn.NORM.S.INV(Table3[[#This Row],[tanh strike percent]])*($AN$25*($AN$27-2)))</f>
        <v>0.84721397502710127</v>
      </c>
      <c r="AQ11" s="136">
        <f>Table3[[#This Row],[called position]]-pitchmod*(pitchstdv-Table3[[#This Row],[defense]])</f>
        <v>-0.38196506243224659</v>
      </c>
      <c r="AR11" s="136">
        <f>ABS(Table3[[#This Row],[called position]]+pitchmod*(pitchstdv-Table3[[#This Row],[defense]]))</f>
        <v>1.6180349375677534</v>
      </c>
      <c r="AS11" s="136">
        <f>IF(AND(Table3[[#This Row],[location -1  stdv]]&lt;1, Table3[[#This Row],[location +1 stdv]]&gt;1),0, MIN(Table3[[#This Row],[location -1  stdv]]+1, 1-Table3[[#This Row],[location +1 stdv]]))</f>
        <v>0</v>
      </c>
      <c r="AT11" s="136">
        <f>IF(AND(Table3[[#This Row],[location -1  stdv]]&lt;0, Table3[[#This Row],[location +1 stdv]]&gt;0),1, MAX(1-ABS(Table3[[#This Row],[location -1  stdv]]), Table3[[#This Row],[location +1 stdv]]-1))</f>
        <v>1</v>
      </c>
      <c r="AU11" s="136">
        <f>$AU$30/(ABS(Table3[[#This Row],[called position]]-1)+$AU$27)+$AU$32*Table3[[#This Row],[defense]]</f>
        <v>0.66496783810572468</v>
      </c>
      <c r="AV11" s="136">
        <f>$AU$30/(ABS(0.5-1)+$AU$27)+$AU$32*Table3[[#This Row],[defense]]</f>
        <v>0.58333333333333337</v>
      </c>
      <c r="AW11" s="136">
        <f>$AU$30/(ABS(0.9-1)+$AU$27)+$AU$32*Table3[[#This Row],[defense]]</f>
        <v>1.2500000000000002</v>
      </c>
      <c r="AX11" s="136">
        <f>Table3[[#This Row],[defense]]*$AX$30+MAX(0, Table3[[#This Row],[called position]]-$AX$27)^$AX$25</f>
        <v>0.54055233463349739</v>
      </c>
      <c r="AY11" s="136">
        <f>Table3[[#This Row],[defense]]*$AX$30 + MAX(0, Table3[[#This Row],[location +1 stdv]]-$AX$27)^$AX$25</f>
        <v>1.6821785161333958</v>
      </c>
      <c r="AZ11" s="136">
        <f>Table3[[#This Row],[defense]]*$AX$30+MAX(0, 1-$AX$27)^$AX$25</f>
        <v>0.85355339059327373</v>
      </c>
      <c r="BA11" s="13">
        <f>MAX(0, 0.1*(1-Table3[[#This Row],[defense]]))</f>
        <v>0.05</v>
      </c>
      <c r="BB11" s="13">
        <f t="shared" si="3"/>
        <v>0.5</v>
      </c>
      <c r="BC11" s="136">
        <f>$AU$30/(ABS(Table3[[#This Row],[Location]]-1)+$AU$27)+$AU$32*Table3[[#This Row],[defense]]</f>
        <v>0.58333333333333337</v>
      </c>
      <c r="BD11" s="13" t="b">
        <f>Table3[[#This Row],[Location]]&lt;= (1+MAX(0, (Table3[[#This Row],[defense]]-1)*0.1))</f>
        <v>1</v>
      </c>
      <c r="BE11" s="120">
        <f>1/(1+Table3[[#This Row],[offense]])</f>
        <v>0.90909090909090906</v>
      </c>
      <c r="BF11" s="136">
        <f>Table3[[#This Row],[obscurity]]*Table3[[#This Row],[discipline modifier]]</f>
        <v>0.53030303030303028</v>
      </c>
      <c r="BG11" s="108">
        <f>1/(1+Table3[[#This Row],[effective obscurity]])</f>
        <v>0.65346534653465349</v>
      </c>
      <c r="BH11" s="108">
        <f>IF(Table3[[#This Row],[Strike?]],Table3[[#This Row],[odds of read]],1-Table3[[#This Row],[odds of read]])</f>
        <v>0.65346534653465349</v>
      </c>
      <c r="BI11" s="13">
        <f t="shared" si="4"/>
        <v>1</v>
      </c>
      <c r="BJ11" s="108">
        <f>Table3[[#This Row],[desperation echo]]*Table3[[#This Row],[unadjusted swing %]]</f>
        <v>0.65346534653465349</v>
      </c>
      <c r="BK11" s="135">
        <f>Table3[[#This Row],[ave obscurity]]</f>
        <v>0.66496783810572468</v>
      </c>
      <c r="BL11" s="108">
        <f>1/(1+Table3[[#This Row],[ave obscurity]]*Table3[[#This Row],[discipline modifier]])</f>
        <v>0.62324081847326451</v>
      </c>
      <c r="BM11" s="13">
        <f>Table3[[#This Row],[offense]]</f>
        <v>0.1</v>
      </c>
      <c r="BN11" s="136">
        <f>Table3[[#This Row],[average difficulty]]</f>
        <v>0.54055233463349739</v>
      </c>
      <c r="BO11" s="136">
        <f>Table3[[#This Row],[contact echo]]-Table3[[#This Row],[pitch carry forward diff]]</f>
        <v>-0.44055233463349741</v>
      </c>
      <c r="BP11" s="108">
        <f>1-_xlfn.NORM.DIST($BP$27,Table3[[#This Row],[CF contact readiness]], $BP$30,TRUE)</f>
        <v>0.69840404788718113</v>
      </c>
      <c r="BQ11" s="108">
        <f>1-_xlfn.NORM.DIST($BP$25,Table3[[#This Row],[CF contact readiness]], $BP$30,TRUE)</f>
        <v>0.31554824176592611</v>
      </c>
      <c r="BR11" s="108">
        <f>1-Table3[[#This Row],[foul %]]</f>
        <v>0.30159595211281887</v>
      </c>
      <c r="BS11" s="136">
        <f>(Table3[[#This Row],[CF contact readiness]]-$BP$27)/$BP$30</f>
        <v>0.51981588845550086</v>
      </c>
      <c r="BT11" s="136">
        <f>(Table3[[#This Row],[CF contact readiness]]+$BP$30-$BP$27)/$BP$30</f>
        <v>1.5198158884555009</v>
      </c>
      <c r="BU11" s="13">
        <f>MAX(0, IF(ISBLANK($BU$28), Table3[[#This Row],[hit quality +1stdv]], $BU$28)-1)</f>
        <v>0.5</v>
      </c>
      <c r="BV11" s="13">
        <f>$BV$25+Table3[[#This Row],[offense]]*$BV$28</f>
        <v>10.5</v>
      </c>
      <c r="BW11" s="13">
        <f>$BW$25*$BW$28/($BW$28+Table3[[#This Row],[hit quality remainder]])</f>
        <v>20</v>
      </c>
      <c r="BX11" s="108">
        <f>_xlfn.NORM.DIST(10,Table3[[#This Row],[adjusted launch angle]],Table3[[#This Row],[angle stdev]],TRUE)</f>
        <v>0.49002748180476197</v>
      </c>
      <c r="BY11" s="108">
        <f>1-_xlfn.NORM.DIST(50, Table3[[#This Row],[adjusted launch angle]],Table3[[#This Row],[angle stdev]],TRUE)</f>
        <v>2.4134074004724781E-2</v>
      </c>
      <c r="BZ11" s="108">
        <f t="shared" si="5"/>
        <v>0.42944875004736094</v>
      </c>
      <c r="CA11" s="13">
        <f>$CA$25+Table3[[#This Row],[offense]]*($CA$27-$CA$25)/2</f>
        <v>72</v>
      </c>
      <c r="CB11" s="13">
        <f>Table3[[#This Row],[exit velocity mean]]-Table3[[#This Row],[reduction]]*100</f>
        <v>67</v>
      </c>
      <c r="CC11" s="158">
        <f>Table3[[#This Row],[exit velocity mean]]^2*2*SIN(RADIANS(Table3[[#This Row],[adjusted launch angle]]))/$CC$28*5280</f>
        <v>124.70158326797061</v>
      </c>
      <c r="CD11" s="120">
        <f>2*Table3[[#This Row],[exit velocity mean]]*SIN(RADIANS(Table3[[#This Row],[adjusted launch angle]]))/$CC$28*60*60</f>
        <v>1.1808862051891156</v>
      </c>
      <c r="CE11" s="158">
        <f>Table3[[#This Row],[theoretical distance]]-Table3[[#This Row],[flight time]]^2*$CE$25</f>
        <v>102.38970759427541</v>
      </c>
      <c r="CF11" s="13">
        <f>Table3[[#This Row],[exit velocity mean]]+$CC$25-Table3[[#This Row],[reduction]]*100</f>
        <v>79.5</v>
      </c>
      <c r="CG11" s="13">
        <f>MIN(Table3[[#This Row],[adjusted launch angle]]+Table3[[#This Row],[angle stdev]], 30)</f>
        <v>30</v>
      </c>
      <c r="CH11" s="120">
        <f>2*Table3[[#This Row],[+1stdv EV]]*SIN(RADIANS(Table3[[#This Row],[+1stdv LA]]))/$CC$28*60*60</f>
        <v>3.5774999999999992</v>
      </c>
      <c r="CI11" s="158">
        <f>Table3[[#This Row],[+1stdv EV]]^2*2*SIN(RADIANS(Table3[[#This Row],[+1stdv LA]]))/$CC$28*5280-Table3[[#This Row],[+1stdv flight time]]^2*$CE$25</f>
        <v>212.36040000000006</v>
      </c>
      <c r="CJ11" s="158">
        <f>Table3[[#This Row],[+1stdev distance]]-Table3[[#This Row],[actual distance]]</f>
        <v>109.97069240572465</v>
      </c>
    </row>
    <row r="12" spans="1:119" s="26" customFormat="1" x14ac:dyDescent="0.25">
      <c r="A12" s="25">
        <f t="shared" si="0"/>
        <v>6</v>
      </c>
      <c r="B12" s="26">
        <f>INDEX(oratings, 1, 1+MOD(Table3[[#This Row],[Rep '#]]-1, COUNT(oratings)))</f>
        <v>0.5</v>
      </c>
      <c r="C12" s="26">
        <f>INDEX(dratings, 1, MOD(FLOOR( (Table3[[#This Row],[Rep '#]]-1) / COUNT(oratings), 1), COUNT(dratings))+1)</f>
        <v>0.5</v>
      </c>
      <c r="D12" s="26">
        <f>Table3[[#This Row],[offense]]*$D$26+0.05</f>
        <v>0.1</v>
      </c>
      <c r="E12" s="26">
        <f>((2*Table3[[#This Row],[defense]]+1*Table3[[#This Row],[defense]])-1.5)*Table3[[#This Row],[offense]]*$E$26</f>
        <v>0</v>
      </c>
      <c r="F12" s="26">
        <f>MAX(Table3[[#This Row],[base leadoff]]*(1-Table3[[#This Row],[leadoff modifier]]) * 90, 0)</f>
        <v>9</v>
      </c>
      <c r="G12" s="26">
        <f>1.1 - Table3[[#This Row],[defense]]*0.1</f>
        <v>1.05</v>
      </c>
      <c r="H12" s="26">
        <f xml:space="preserve"> 0.01 - 0.0025 *  Table3[[#This Row],[defense]]</f>
        <v>8.7500000000000008E-3</v>
      </c>
      <c r="I12" s="26">
        <f>1 / Table3[[#This Row],[throw speed (s/ft)]] * ((60 * 60)/5280)</f>
        <v>77.922077922077918</v>
      </c>
      <c r="J12" s="26">
        <f>Table3[[#This Row],[pickoff manuver (s)]]+60*Table3[[#This Row],[throw speed (s/ft)]]</f>
        <v>1.5750000000000002</v>
      </c>
      <c r="K12" s="26">
        <f>$K$28-$K$26*Table3[[#This Row],[offense]]</f>
        <v>0.8</v>
      </c>
      <c r="L12" s="26">
        <f>0.05 - Table3[[#This Row],[offense]]*$L$26</f>
        <v>4.5000000000000005E-2</v>
      </c>
      <c r="M12" s="26">
        <f>1 / Table3[[#This Row],[runner speed (s/ft)]] * ((60 * 60)/5280)</f>
        <v>15.151515151515147</v>
      </c>
      <c r="N12" s="26">
        <f>Table3[[#This Row],[runner reaction]]+Table3[[#This Row],[runner speed (s/ft)]]*Table3[[#This Row],[total leadoff (ft)]]</f>
        <v>1.2050000000000001</v>
      </c>
      <c r="O12" s="27">
        <f>1 - _xlfn.NORM.DIST(Table3[[#This Row],[pickoff time]], Table3[[#This Row],[pickoff evade time]], $O$4, TRUE)</f>
        <v>3.215677479561363E-2</v>
      </c>
      <c r="P12" s="52">
        <f>_xlfn.NORM.DIST(Table3[[#This Row],[defense]], $P$26, $P$27, TRUE)</f>
        <v>0.98024442661121902</v>
      </c>
      <c r="Q12" s="26" t="b">
        <f>Table3[[#This Row],[pickoff probability]] &gt; 1-Table3[[#This Row],[Fielding Odds]]</f>
        <v>1</v>
      </c>
      <c r="R12" s="52">
        <f>1-Table3[[#This Row],[Fielding Odds]]</f>
        <v>1.9755573388780978E-2</v>
      </c>
      <c r="S12" s="26">
        <f>(90-Table3[[#This Row],[total leadoff (ft)]])*Table3[[#This Row],[runner speed (s/ft)]]</f>
        <v>3.6450000000000005</v>
      </c>
      <c r="T12" s="26">
        <f>$T$26*(2-Table3[[#This Row],[defense]]) + Table3[[#This Row],[pickoff time]]</f>
        <v>1.8750000000000002</v>
      </c>
      <c r="U12" s="52">
        <f>_xlfn.NORM.DIST(Table3[[#This Row],[Response speed]], Table3[[#This Row],[Blatant steal time]], $U$4, TRUE)</f>
        <v>1.5888696473648632E-3</v>
      </c>
      <c r="V12" s="26">
        <f>Table3[[#This Row],[defense]]+Table3[[#This Row],[defense]]*Table3[[#This Row],[offense]]*$E$26</f>
        <v>0.52500000000000002</v>
      </c>
      <c r="W12" s="26">
        <f t="shared" si="6"/>
        <v>0</v>
      </c>
      <c r="X12" s="52">
        <f>Table3[[#This Row],[ball factor]]/$X$32*(1-$X$34)+$X$34</f>
        <v>0.2</v>
      </c>
      <c r="Y12" s="26">
        <f>Table3[[#This Row],[offense]]</f>
        <v>0.5</v>
      </c>
      <c r="Z12" s="88">
        <f t="shared" si="1"/>
        <v>-0.90000000000000013</v>
      </c>
      <c r="AA12" s="88">
        <f>IF(Table3[[#This Row],[player control]]&gt;1,Table3[[#This Row],[player control]]*$AA$41+$AA$40,Table3[[#This Row],[player control]]*$AA$39+$AA$38)</f>
        <v>0.10000000000000003</v>
      </c>
      <c r="AB12" s="89">
        <f>_xlfn.NORM.DIST(-1,Table3[[#This Row],[ideal steer]],($AB$25-Table3[[#This Row],[scaled control]])*$AB$27,TRUE)</f>
        <v>0.39881703452798722</v>
      </c>
      <c r="AC12" s="89">
        <f>1-_xlfn.NORM.DIST(1,Table3[[#This Row],[ideal steer]],($AB$25-Table3[[#This Row],[scaled control]])*$AB$27,TRUE)</f>
        <v>5.5294477940837083E-7</v>
      </c>
      <c r="AD12" s="89">
        <f>1-(1-Table3[[#This Row],[unmod foul percent 3rd]])*(1-Table3[[#This Row],[unmod foul percent 1st]])</f>
        <v>0.39881736694896941</v>
      </c>
      <c r="AE12" s="89">
        <f>1-((1-_xlfn.NORM.DIST(-1,0,($AB$25-Table3[[#This Row],[scaled control]])*$AB$27,TRUE))*_xlfn.NORM.DIST(1,0,($AB$25-Table3[[#This Row],[scaled control]])*$AB$27,TRUE))</f>
        <v>1.0317546081842099E-2</v>
      </c>
      <c r="AF12" s="26">
        <f>$AF$34*$AF$25</f>
        <v>-4</v>
      </c>
      <c r="AG12" s="26">
        <f>$AG$25*($AG$34*Table3[[#This Row],[offense]])</f>
        <v>0</v>
      </c>
      <c r="AH12" s="26">
        <f t="shared" si="2"/>
        <v>0</v>
      </c>
      <c r="AI12" s="26">
        <f>$AI$34*$AI$25</f>
        <v>0</v>
      </c>
      <c r="AJ12" s="26">
        <f>$AJ$25*(Table3[[#This Row],[offense]]-$AJ$27)</f>
        <v>-0.5</v>
      </c>
      <c r="AK12" s="26" cm="1">
        <f t="array" ref="AK12">SUM(Table3[[#This Row],[count]:[current hitter vs next hitter]]*MIN(1, Table3[[#This Row],[defense]]))</f>
        <v>-2.25</v>
      </c>
      <c r="AL12" s="89">
        <f>$AL$25-(Table3[[#This Row],[calling modifier]]/(ABS(Table3[[#This Row],[calling modifier]])+$AL$29)*$AL$27)</f>
        <v>0.6404494382022472</v>
      </c>
      <c r="AM12" s="109">
        <f>$AL$25-$AL$27*TANH(Table3[[#This Row],[calling modifier]]/$AM$29)</f>
        <v>0.64481111243569589</v>
      </c>
      <c r="AN12" s="137">
        <f>MAX(0, 1-_xlfn.NORM.S.INV(Table3[[#This Row],[tanh strike percent]])*($AN$25*($AN$27-Table3[[#This Row],[defense]])))</f>
        <v>0.62865122691042474</v>
      </c>
      <c r="AO12" s="138">
        <f>MAX(0, 1-_xlfn.NORM.S.INV(Table3[[#This Row],[tanh strike percent]])*($AN$25*($AN$27-0.2)))</f>
        <v>0.58408937413967577</v>
      </c>
      <c r="AP12" s="138">
        <f>MAX(0, 1-_xlfn.NORM.S.INV(Table3[[#This Row],[tanh strike percent]])*($AN$25*($AN$27-2)))</f>
        <v>0.85146049076416985</v>
      </c>
      <c r="AQ12" s="138">
        <f>Table3[[#This Row],[called position]]-pitchmod*(pitchstdv-Table3[[#This Row],[defense]])</f>
        <v>-0.37134877308957526</v>
      </c>
      <c r="AR12" s="138">
        <f>ABS(Table3[[#This Row],[called position]]+pitchmod*(pitchstdv-Table3[[#This Row],[defense]]))</f>
        <v>1.6286512269104247</v>
      </c>
      <c r="AS12" s="138">
        <f>IF(AND(Table3[[#This Row],[location -1  stdv]]&lt;1, Table3[[#This Row],[location +1 stdv]]&gt;1),0, MIN(Table3[[#This Row],[location -1  stdv]]+1, 1-Table3[[#This Row],[location +1 stdv]]))</f>
        <v>0</v>
      </c>
      <c r="AT12" s="138">
        <f>IF(AND(Table3[[#This Row],[location -1  stdv]]&lt;0, Table3[[#This Row],[location +1 stdv]]&gt;0),1, MAX(1-ABS(Table3[[#This Row],[location -1  stdv]]), Table3[[#This Row],[location +1 stdv]]-1))</f>
        <v>1</v>
      </c>
      <c r="AU12" s="138">
        <f>$AU$30/(ABS(Table3[[#This Row],[called position]]-1)+$AU$27)+$AU$32*Table3[[#This Row],[defense]]</f>
        <v>0.67431424757732839</v>
      </c>
      <c r="AV12" s="138">
        <f>$AU$30/(ABS(0.5-1)+$AU$27)+$AU$32*Table3[[#This Row],[defense]]</f>
        <v>0.58333333333333337</v>
      </c>
      <c r="AW12" s="138">
        <f>$AU$30/(ABS(0.9-1)+$AU$27)+$AU$32*Table3[[#This Row],[defense]]</f>
        <v>1.2500000000000002</v>
      </c>
      <c r="AX12" s="138">
        <f>Table3[[#This Row],[defense]]*$AX$30+MAX(0, Table3[[#This Row],[called position]]-$AX$27)^$AX$25</f>
        <v>0.54614460135634468</v>
      </c>
      <c r="AY12" s="138">
        <f>Table3[[#This Row],[defense]]*$AX$30 + MAX(0, Table3[[#This Row],[location +1 stdv]]-$AX$27)^$AX$25</f>
        <v>1.6990564705310101</v>
      </c>
      <c r="AZ12" s="138">
        <f>Table3[[#This Row],[defense]]*$AX$30+MAX(0, 1-$AX$27)^$AX$25</f>
        <v>0.85355339059327373</v>
      </c>
      <c r="BA12" s="26">
        <f>MAX(0, 0.1*(1-Table3[[#This Row],[defense]]))</f>
        <v>0.05</v>
      </c>
      <c r="BB12" s="26">
        <f t="shared" si="3"/>
        <v>0.5</v>
      </c>
      <c r="BC12" s="138">
        <f>$AU$30/(ABS(Table3[[#This Row],[Location]]-1)+$AU$27)+$AU$32*Table3[[#This Row],[defense]]</f>
        <v>0.58333333333333337</v>
      </c>
      <c r="BD12" s="26" t="b">
        <f>Table3[[#This Row],[Location]]&lt;= (1+MAX(0, (Table3[[#This Row],[defense]]-1)*0.1))</f>
        <v>1</v>
      </c>
      <c r="BE12" s="121">
        <f>1/(1+Table3[[#This Row],[offense]])</f>
        <v>0.66666666666666663</v>
      </c>
      <c r="BF12" s="138">
        <f>Table3[[#This Row],[obscurity]]*Table3[[#This Row],[discipline modifier]]</f>
        <v>0.3888888888888889</v>
      </c>
      <c r="BG12" s="109">
        <f>1/(1+Table3[[#This Row],[effective obscurity]])</f>
        <v>0.72</v>
      </c>
      <c r="BH12" s="109">
        <f>IF(Table3[[#This Row],[Strike?]],Table3[[#This Row],[odds of read]],1-Table3[[#This Row],[odds of read]])</f>
        <v>0.72</v>
      </c>
      <c r="BI12" s="26">
        <f t="shared" si="4"/>
        <v>1</v>
      </c>
      <c r="BJ12" s="109">
        <f>Table3[[#This Row],[desperation echo]]*Table3[[#This Row],[unadjusted swing %]]</f>
        <v>0.72</v>
      </c>
      <c r="BK12" s="137">
        <f>Table3[[#This Row],[ave obscurity]]</f>
        <v>0.67431424757732839</v>
      </c>
      <c r="BL12" s="109">
        <f>1/(1+Table3[[#This Row],[ave obscurity]]*Table3[[#This Row],[discipline modifier]])</f>
        <v>0.68987268131611379</v>
      </c>
      <c r="BM12" s="26">
        <f>Table3[[#This Row],[offense]]</f>
        <v>0.5</v>
      </c>
      <c r="BN12" s="138">
        <f>Table3[[#This Row],[average difficulty]]</f>
        <v>0.54614460135634468</v>
      </c>
      <c r="BO12" s="138">
        <f>Table3[[#This Row],[contact echo]]-Table3[[#This Row],[pitch carry forward diff]]</f>
        <v>-4.6144601356344683E-2</v>
      </c>
      <c r="BP12" s="109">
        <f>1-_xlfn.NORM.DIST($BP$27,Table3[[#This Row],[CF contact readiness]], $BP$30,TRUE)</f>
        <v>0.74256877816899158</v>
      </c>
      <c r="BQ12" s="109">
        <f>1-_xlfn.NORM.DIST($BP$25,Table3[[#This Row],[CF contact readiness]], $BP$30,TRUE)</f>
        <v>0.3636516908695604</v>
      </c>
      <c r="BR12" s="109">
        <f>1-Table3[[#This Row],[foul %]]</f>
        <v>0.25743122183100842</v>
      </c>
      <c r="BS12" s="138">
        <f>(Table3[[#This Row],[CF contact readiness]]-$BP$27)/$BP$30</f>
        <v>0.65128513288121848</v>
      </c>
      <c r="BT12" s="138">
        <f>(Table3[[#This Row],[CF contact readiness]]+$BP$30-$BP$27)/$BP$30</f>
        <v>1.6512851328812186</v>
      </c>
      <c r="BU12" s="26">
        <f>MAX(0, IF(ISBLANK($BU$28), Table3[[#This Row],[hit quality +1stdv]], $BU$28)-1)</f>
        <v>0.5</v>
      </c>
      <c r="BV12" s="26">
        <f>$BV$25+Table3[[#This Row],[offense]]*$BV$28</f>
        <v>12.5</v>
      </c>
      <c r="BW12" s="26">
        <f>$BW$25*$BW$28/($BW$28+Table3[[#This Row],[hit quality remainder]])</f>
        <v>20</v>
      </c>
      <c r="BX12" s="109">
        <f>_xlfn.NORM.DIST(10,Table3[[#This Row],[adjusted launch angle]],Table3[[#This Row],[angle stdev]],TRUE)</f>
        <v>0.45026177516988708</v>
      </c>
      <c r="BY12" s="109">
        <f>1-_xlfn.NORM.DIST(50, Table3[[#This Row],[adjusted launch angle]],Table3[[#This Row],[angle stdev]],TRUE)</f>
        <v>3.0396361765261393E-2</v>
      </c>
      <c r="BZ12" s="109">
        <f t="shared" si="5"/>
        <v>0.42944875004736094</v>
      </c>
      <c r="CA12" s="26">
        <f>$CA$25+Table3[[#This Row],[offense]]*($CA$27-$CA$25)/2</f>
        <v>80</v>
      </c>
      <c r="CB12" s="26">
        <f>Table3[[#This Row],[exit velocity mean]]-Table3[[#This Row],[reduction]]*100</f>
        <v>75</v>
      </c>
      <c r="CC12" s="159">
        <f>Table3[[#This Row],[exit velocity mean]]^2*2*SIN(RADIANS(Table3[[#This Row],[adjusted launch angle]]))/$CC$28*5280</f>
        <v>182.8481858549093</v>
      </c>
      <c r="CD12" s="121">
        <f>2*Table3[[#This Row],[exit velocity mean]]*SIN(RADIANS(Table3[[#This Row],[adjusted launch angle]]))/$CC$28*60*60</f>
        <v>1.558365220354341</v>
      </c>
      <c r="CE12" s="159">
        <f>Table3[[#This Row],[theoretical distance]]-Table3[[#This Row],[flight time]]^2*$CE$25</f>
        <v>143.99215129474877</v>
      </c>
      <c r="CF12" s="26">
        <f>Table3[[#This Row],[exit velocity mean]]+$CC$25-Table3[[#This Row],[reduction]]*100</f>
        <v>87.5</v>
      </c>
      <c r="CG12" s="26">
        <f>MIN(Table3[[#This Row],[adjusted launch angle]]+Table3[[#This Row],[angle stdev]], 30)</f>
        <v>30</v>
      </c>
      <c r="CH12" s="121">
        <f>2*Table3[[#This Row],[+1stdv EV]]*SIN(RADIANS(Table3[[#This Row],[+1stdv LA]]))/$CC$28*60*60</f>
        <v>3.9374999999999991</v>
      </c>
      <c r="CI12" s="159">
        <f>Table3[[#This Row],[+1stdv EV]]^2*2*SIN(RADIANS(Table3[[#This Row],[+1stdv LA]]))/$CC$28*5280-Table3[[#This Row],[+1stdv flight time]]^2*$CE$25</f>
        <v>257.25000000000006</v>
      </c>
      <c r="CJ12" s="159">
        <f>Table3[[#This Row],[+1stdev distance]]-Table3[[#This Row],[actual distance]]</f>
        <v>113.25784870525129</v>
      </c>
    </row>
    <row r="13" spans="1:119" s="13" customFormat="1" x14ac:dyDescent="0.25">
      <c r="A13" s="13">
        <f t="shared" si="0"/>
        <v>7</v>
      </c>
      <c r="B13" s="13">
        <f>INDEX(oratings, 1, 1+MOD(Table3[[#This Row],[Rep '#]]-1, COUNT(oratings)))</f>
        <v>1</v>
      </c>
      <c r="C13" s="13">
        <f>INDEX(dratings, 1, MOD(FLOOR( (Table3[[#This Row],[Rep '#]]-1) / COUNT(oratings), 1), COUNT(dratings))+1)</f>
        <v>0.5</v>
      </c>
      <c r="D13" s="13">
        <f>Table3[[#This Row],[offense]]*$D$26+0.05</f>
        <v>0.15000000000000002</v>
      </c>
      <c r="E13" s="13">
        <f>((2*Table3[[#This Row],[defense]]+1*Table3[[#This Row],[defense]])-1.5)*Table3[[#This Row],[offense]]*$E$26</f>
        <v>0</v>
      </c>
      <c r="F13" s="13">
        <f>MAX(Table3[[#This Row],[base leadoff]]*(1-Table3[[#This Row],[leadoff modifier]]) * 90, 0)</f>
        <v>13.500000000000002</v>
      </c>
      <c r="G13" s="13">
        <f>1.1 - Table3[[#This Row],[defense]]*0.1</f>
        <v>1.05</v>
      </c>
      <c r="H13" s="13">
        <f xml:space="preserve"> 0.01 - 0.0025 *  Table3[[#This Row],[defense]]</f>
        <v>8.7500000000000008E-3</v>
      </c>
      <c r="I13" s="13">
        <f>1 / Table3[[#This Row],[throw speed (s/ft)]] * ((60 * 60)/5280)</f>
        <v>77.922077922077918</v>
      </c>
      <c r="J13" s="13">
        <f>Table3[[#This Row],[pickoff manuver (s)]]+60*Table3[[#This Row],[throw speed (s/ft)]]</f>
        <v>1.5750000000000002</v>
      </c>
      <c r="K13" s="13">
        <f>$K$28-$K$26*Table3[[#This Row],[offense]]</f>
        <v>0.7</v>
      </c>
      <c r="L13" s="13">
        <f>0.05 - Table3[[#This Row],[offense]]*$L$26</f>
        <v>0.04</v>
      </c>
      <c r="M13" s="13">
        <f>1 / Table3[[#This Row],[runner speed (s/ft)]] * ((60 * 60)/5280)</f>
        <v>17.045454545454543</v>
      </c>
      <c r="N13" s="13">
        <f>Table3[[#This Row],[runner reaction]]+Table3[[#This Row],[runner speed (s/ft)]]*Table3[[#This Row],[total leadoff (ft)]]</f>
        <v>1.24</v>
      </c>
      <c r="O13" s="14">
        <f>1 - _xlfn.NORM.DIST(Table3[[#This Row],[pickoff time]], Table3[[#This Row],[pickoff evade time]], $O$4, TRUE)</f>
        <v>4.6967115830745643E-2</v>
      </c>
      <c r="P13" s="51">
        <f>_xlfn.NORM.DIST(Table3[[#This Row],[defense]], $P$26, $P$27, TRUE)</f>
        <v>0.98024442661121902</v>
      </c>
      <c r="Q13" s="13" t="b">
        <f>Table3[[#This Row],[pickoff probability]] &gt; 1-Table3[[#This Row],[Fielding Odds]]</f>
        <v>1</v>
      </c>
      <c r="R13" s="51">
        <f>1-Table3[[#This Row],[Fielding Odds]]</f>
        <v>1.9755573388780978E-2</v>
      </c>
      <c r="S13" s="13">
        <f>(90-Table3[[#This Row],[total leadoff (ft)]])*Table3[[#This Row],[runner speed (s/ft)]]</f>
        <v>3.06</v>
      </c>
      <c r="T13" s="13">
        <f>$T$26*(2-Table3[[#This Row],[defense]]) + Table3[[#This Row],[pickoff time]]</f>
        <v>1.8750000000000002</v>
      </c>
      <c r="U13" s="51">
        <f>_xlfn.NORM.DIST(Table3[[#This Row],[Response speed]], Table3[[#This Row],[Blatant steal time]], $U$4, TRUE)</f>
        <v>2.4134074004724768E-2</v>
      </c>
      <c r="V13" s="13">
        <f>Table3[[#This Row],[defense]]+Table3[[#This Row],[defense]]*Table3[[#This Row],[offense]]*$E$26</f>
        <v>0.55000000000000004</v>
      </c>
      <c r="W13" s="13">
        <f t="shared" si="6"/>
        <v>0</v>
      </c>
      <c r="X13" s="51">
        <f>Table3[[#This Row],[ball factor]]/$X$32*(1-$X$34)+$X$34</f>
        <v>0.2</v>
      </c>
      <c r="Y13" s="13">
        <f>Table3[[#This Row],[offense]]</f>
        <v>1</v>
      </c>
      <c r="Z13" s="86">
        <f t="shared" si="1"/>
        <v>-0.90000000000000013</v>
      </c>
      <c r="AA13" s="86">
        <f>IF(Table3[[#This Row],[player control]]&gt;1,Table3[[#This Row],[player control]]*$AA$41+$AA$40,Table3[[#This Row],[player control]]*$AA$39+$AA$38)</f>
        <v>0.40000000000000008</v>
      </c>
      <c r="AB13" s="87">
        <f>_xlfn.NORM.DIST(-1,Table3[[#This Row],[ideal steer]],($AB$25-Table3[[#This Row],[scaled control]])*$AB$27,TRUE)</f>
        <v>0.39059147543357509</v>
      </c>
      <c r="AC13" s="87">
        <f>1-_xlfn.NORM.DIST(1,Table3[[#This Row],[ideal steer]],($AB$25-Table3[[#This Row],[scaled control]])*$AB$27,TRUE)</f>
        <v>6.5379949898414225E-8</v>
      </c>
      <c r="AD13" s="87">
        <f>1-(1-Table3[[#This Row],[unmod foul percent 3rd]])*(1-Table3[[#This Row],[unmod foul percent 1st]])</f>
        <v>0.39059151527667391</v>
      </c>
      <c r="AE13" s="87">
        <f>1-((1-_xlfn.NORM.DIST(-1,0,($AB$25-Table3[[#This Row],[scaled control]])*$AB$27,TRUE))*_xlfn.NORM.DIST(1,0,($AB$25-Table3[[#This Row],[scaled control]])*$AB$27,TRUE))</f>
        <v>5.465714583151815E-3</v>
      </c>
      <c r="AF13" s="13">
        <f>$AF$34*$AF$25</f>
        <v>-4</v>
      </c>
      <c r="AG13" s="13">
        <f>$AG$25*($AG$34*Table3[[#This Row],[offense]])</f>
        <v>0</v>
      </c>
      <c r="AH13" s="13">
        <f t="shared" si="2"/>
        <v>0</v>
      </c>
      <c r="AI13" s="13">
        <f>$AI$34*$AI$25</f>
        <v>0</v>
      </c>
      <c r="AJ13" s="13">
        <f>$AJ$25*(Table3[[#This Row],[offense]]-$AJ$27)</f>
        <v>0</v>
      </c>
      <c r="AK13" s="13" cm="1">
        <f t="array" ref="AK13">SUM(Table3[[#This Row],[count]:[current hitter vs next hitter]]*MIN(1, Table3[[#This Row],[defense]]))</f>
        <v>-2</v>
      </c>
      <c r="AL13" s="87">
        <f>$AL$25-(Table3[[#This Row],[calling modifier]]/(ABS(Table3[[#This Row],[calling modifier]])+$AL$29)*$AL$27)</f>
        <v>0.63636363636363635</v>
      </c>
      <c r="AM13" s="108">
        <f>$AL$25-$AL$27*TANH(Table3[[#This Row],[calling modifier]]/$AM$29)</f>
        <v>0.63986719784998236</v>
      </c>
      <c r="AN13" s="135">
        <f>MAX(0, 1-_xlfn.NORM.S.INV(Table3[[#This Row],[tanh strike percent]])*($AN$25*($AN$27-Table3[[#This Row],[defense]])))</f>
        <v>0.64189615844593195</v>
      </c>
      <c r="AO13" s="136">
        <f>MAX(0, 1-_xlfn.NORM.S.INV(Table3[[#This Row],[tanh strike percent]])*($AN$25*($AN$27-0.2)))</f>
        <v>0.59892369745944385</v>
      </c>
      <c r="AP13" s="136">
        <f>MAX(0, 1-_xlfn.NORM.S.INV(Table3[[#This Row],[tanh strike percent]])*($AN$25*($AN$27-2)))</f>
        <v>0.8567584633783728</v>
      </c>
      <c r="AQ13" s="136">
        <f>Table3[[#This Row],[called position]]-pitchmod*(pitchstdv-Table3[[#This Row],[defense]])</f>
        <v>-0.35810384155406805</v>
      </c>
      <c r="AR13" s="136">
        <f>ABS(Table3[[#This Row],[called position]]+pitchmod*(pitchstdv-Table3[[#This Row],[defense]]))</f>
        <v>1.641896158445932</v>
      </c>
      <c r="AS13" s="136">
        <f>IF(AND(Table3[[#This Row],[location -1  stdv]]&lt;1, Table3[[#This Row],[location +1 stdv]]&gt;1),0, MIN(Table3[[#This Row],[location -1  stdv]]+1, 1-Table3[[#This Row],[location +1 stdv]]))</f>
        <v>0</v>
      </c>
      <c r="AT13" s="136">
        <f>IF(AND(Table3[[#This Row],[location -1  stdv]]&lt;0, Table3[[#This Row],[location +1 stdv]]&gt;0),1, MAX(1-ABS(Table3[[#This Row],[location -1  stdv]]), Table3[[#This Row],[location +1 stdv]]-1))</f>
        <v>1</v>
      </c>
      <c r="AU13" s="136">
        <f>$AU$30/(ABS(Table3[[#This Row],[called position]]-1)+$AU$27)+$AU$32*Table3[[#This Row],[defense]]</f>
        <v>0.68658223716596989</v>
      </c>
      <c r="AV13" s="136">
        <f>$AU$30/(ABS(0.5-1)+$AU$27)+$AU$32*Table3[[#This Row],[defense]]</f>
        <v>0.58333333333333337</v>
      </c>
      <c r="AW13" s="136">
        <f>$AU$30/(ABS(0.9-1)+$AU$27)+$AU$32*Table3[[#This Row],[defense]]</f>
        <v>1.2500000000000002</v>
      </c>
      <c r="AX13" s="136">
        <f>Table3[[#This Row],[defense]]*$AX$30+MAX(0, Table3[[#This Row],[called position]]-$AX$27)^$AX$25</f>
        <v>0.55345101504348349</v>
      </c>
      <c r="AY13" s="136">
        <f>Table3[[#This Row],[defense]]*$AX$30 + MAX(0, Table3[[#This Row],[location +1 stdv]]-$AX$27)^$AX$25</f>
        <v>1.7202249979786981</v>
      </c>
      <c r="AZ13" s="136">
        <f>Table3[[#This Row],[defense]]*$AX$30+MAX(0, 1-$AX$27)^$AX$25</f>
        <v>0.85355339059327373</v>
      </c>
      <c r="BA13" s="13">
        <f>MAX(0, 0.1*(1-Table3[[#This Row],[defense]]))</f>
        <v>0.05</v>
      </c>
      <c r="BB13" s="13">
        <f t="shared" si="3"/>
        <v>0.5</v>
      </c>
      <c r="BC13" s="136">
        <f>$AU$30/(ABS(Table3[[#This Row],[Location]]-1)+$AU$27)+$AU$32*Table3[[#This Row],[defense]]</f>
        <v>0.58333333333333337</v>
      </c>
      <c r="BD13" s="13" t="b">
        <f>Table3[[#This Row],[Location]]&lt;= (1+MAX(0, (Table3[[#This Row],[defense]]-1)*0.1))</f>
        <v>1</v>
      </c>
      <c r="BE13" s="120">
        <f>1/(1+Table3[[#This Row],[offense]])</f>
        <v>0.5</v>
      </c>
      <c r="BF13" s="136">
        <f>Table3[[#This Row],[obscurity]]*Table3[[#This Row],[discipline modifier]]</f>
        <v>0.29166666666666669</v>
      </c>
      <c r="BG13" s="108">
        <f>1/(1+Table3[[#This Row],[effective obscurity]])</f>
        <v>0.77419354838709675</v>
      </c>
      <c r="BH13" s="108">
        <f>IF(Table3[[#This Row],[Strike?]],Table3[[#This Row],[odds of read]],1-Table3[[#This Row],[odds of read]])</f>
        <v>0.77419354838709675</v>
      </c>
      <c r="BI13" s="13">
        <f t="shared" si="4"/>
        <v>1</v>
      </c>
      <c r="BJ13" s="108">
        <f>Table3[[#This Row],[desperation echo]]*Table3[[#This Row],[unadjusted swing %]]</f>
        <v>0.77419354838709675</v>
      </c>
      <c r="BK13" s="135">
        <f>Table3[[#This Row],[ave obscurity]]</f>
        <v>0.68658223716596989</v>
      </c>
      <c r="BL13" s="108">
        <f>1/(1+Table3[[#This Row],[ave obscurity]]*Table3[[#This Row],[discipline modifier]])</f>
        <v>0.74444026776182592</v>
      </c>
      <c r="BM13" s="13">
        <f>Table3[[#This Row],[offense]]</f>
        <v>1</v>
      </c>
      <c r="BN13" s="136">
        <f>Table3[[#This Row],[average difficulty]]</f>
        <v>0.55345101504348349</v>
      </c>
      <c r="BO13" s="136">
        <f>Table3[[#This Row],[contact echo]]-Table3[[#This Row],[pitch carry forward diff]]</f>
        <v>0.44654898495651651</v>
      </c>
      <c r="BP13" s="108">
        <f>1-_xlfn.NORM.DIST($BP$27,Table3[[#This Row],[CF contact readiness]], $BP$30,TRUE)</f>
        <v>0.7926115890058304</v>
      </c>
      <c r="BQ13" s="108">
        <f>1-_xlfn.NORM.DIST($BP$25,Table3[[#This Row],[CF contact readiness]], $BP$30,TRUE)</f>
        <v>0.42681701771302238</v>
      </c>
      <c r="BR13" s="108">
        <f>1-Table3[[#This Row],[foul %]]</f>
        <v>0.2073884109941696</v>
      </c>
      <c r="BS13" s="136">
        <f>(Table3[[#This Row],[CF contact readiness]]-$BP$27)/$BP$30</f>
        <v>0.8155163283188388</v>
      </c>
      <c r="BT13" s="136">
        <f>(Table3[[#This Row],[CF contact readiness]]+$BP$30-$BP$27)/$BP$30</f>
        <v>1.8155163283188387</v>
      </c>
      <c r="BU13" s="13">
        <f>MAX(0, IF(ISBLANK($BU$28), Table3[[#This Row],[hit quality +1stdv]], $BU$28)-1)</f>
        <v>0.5</v>
      </c>
      <c r="BV13" s="13">
        <f>$BV$25+Table3[[#This Row],[offense]]*$BV$28</f>
        <v>15</v>
      </c>
      <c r="BW13" s="13">
        <f>$BW$25*$BW$28/($BW$28+Table3[[#This Row],[hit quality remainder]])</f>
        <v>20</v>
      </c>
      <c r="BX13" s="108">
        <f>_xlfn.NORM.DIST(10,Table3[[#This Row],[adjusted launch angle]],Table3[[#This Row],[angle stdev]],TRUE)</f>
        <v>0.4012936743170763</v>
      </c>
      <c r="BY13" s="108">
        <f>1-_xlfn.NORM.DIST(50, Table3[[#This Row],[adjusted launch angle]],Table3[[#This Row],[angle stdev]],TRUE)</f>
        <v>4.0059156863817114E-2</v>
      </c>
      <c r="BZ13" s="108">
        <f t="shared" si="5"/>
        <v>0.42944875004736094</v>
      </c>
      <c r="CA13" s="13">
        <f>$CA$25+Table3[[#This Row],[offense]]*($CA$27-$CA$25)/2</f>
        <v>90</v>
      </c>
      <c r="CB13" s="13">
        <f>Table3[[#This Row],[exit velocity mean]]-Table3[[#This Row],[reduction]]*100</f>
        <v>85</v>
      </c>
      <c r="CC13" s="158">
        <f>Table3[[#This Row],[exit velocity mean]]^2*2*SIN(RADIANS(Table3[[#This Row],[adjusted launch angle]]))/$CC$28*5280</f>
        <v>276.72932302361517</v>
      </c>
      <c r="CD13" s="120">
        <f>2*Table3[[#This Row],[exit velocity mean]]*SIN(RADIANS(Table3[[#This Row],[adjusted launch angle]]))/$CC$28*60*60</f>
        <v>2.0964342653304175</v>
      </c>
      <c r="CE13" s="158">
        <f>Table3[[#This Row],[theoretical distance]]-Table3[[#This Row],[flight time]]^2*$CE$25</f>
        <v>206.40873696199137</v>
      </c>
      <c r="CF13" s="13">
        <f>Table3[[#This Row],[exit velocity mean]]+$CC$25-Table3[[#This Row],[reduction]]*100</f>
        <v>97.5</v>
      </c>
      <c r="CG13" s="13">
        <f>MIN(Table3[[#This Row],[adjusted launch angle]]+Table3[[#This Row],[angle stdev]], 30)</f>
        <v>30</v>
      </c>
      <c r="CH13" s="120">
        <f>2*Table3[[#This Row],[+1stdv EV]]*SIN(RADIANS(Table3[[#This Row],[+1stdv LA]]))/$CC$28*60*60</f>
        <v>4.3874999999999993</v>
      </c>
      <c r="CI13" s="158">
        <f>Table3[[#This Row],[+1stdv EV]]^2*2*SIN(RADIANS(Table3[[#This Row],[+1stdv LA]]))/$CC$28*5280-Table3[[#This Row],[+1stdv flight time]]^2*$CE$25</f>
        <v>319.41000000000003</v>
      </c>
      <c r="CJ13" s="158">
        <f>Table3[[#This Row],[+1stdev distance]]-Table3[[#This Row],[actual distance]]</f>
        <v>113.00126303800866</v>
      </c>
    </row>
    <row r="14" spans="1:119" s="5" customFormat="1" x14ac:dyDescent="0.25">
      <c r="A14" s="5">
        <f t="shared" si="0"/>
        <v>8</v>
      </c>
      <c r="B14" s="5">
        <f>INDEX(oratings, 1, 1+MOD(Table3[[#This Row],[Rep '#]]-1, COUNT(oratings)))</f>
        <v>2</v>
      </c>
      <c r="C14" s="5">
        <f>INDEX(dratings, 1, MOD(FLOOR( (Table3[[#This Row],[Rep '#]]-1) / COUNT(oratings), 1), COUNT(dratings))+1)</f>
        <v>0.5</v>
      </c>
      <c r="D14" s="5">
        <f>Table3[[#This Row],[offense]]*$D$26+0.05</f>
        <v>0.25</v>
      </c>
      <c r="E14" s="5">
        <f>((2*Table3[[#This Row],[defense]]+1*Table3[[#This Row],[defense]])-1.5)*Table3[[#This Row],[offense]]*$E$26</f>
        <v>0</v>
      </c>
      <c r="F14" s="5">
        <f>MAX(Table3[[#This Row],[base leadoff]]*(1-Table3[[#This Row],[leadoff modifier]]) * 90, 0)</f>
        <v>22.5</v>
      </c>
      <c r="G14" s="5">
        <f>1.1 - Table3[[#This Row],[defense]]*0.1</f>
        <v>1.05</v>
      </c>
      <c r="H14" s="5">
        <f xml:space="preserve"> 0.01 - 0.0025 *  Table3[[#This Row],[defense]]</f>
        <v>8.7500000000000008E-3</v>
      </c>
      <c r="I14" s="5">
        <f>1 / Table3[[#This Row],[throw speed (s/ft)]] * ((60 * 60)/5280)</f>
        <v>77.922077922077918</v>
      </c>
      <c r="J14" s="5">
        <f>Table3[[#This Row],[pickoff manuver (s)]]+60*Table3[[#This Row],[throw speed (s/ft)]]</f>
        <v>1.5750000000000002</v>
      </c>
      <c r="K14" s="5">
        <f>$K$28-$K$26*Table3[[#This Row],[offense]]</f>
        <v>0.5</v>
      </c>
      <c r="L14" s="5">
        <f>0.05 - Table3[[#This Row],[offense]]*$L$26</f>
        <v>3.0000000000000002E-2</v>
      </c>
      <c r="M14" s="5">
        <f>1 / Table3[[#This Row],[runner speed (s/ft)]] * ((60 * 60)/5280)</f>
        <v>22.727272727272723</v>
      </c>
      <c r="N14" s="5">
        <f>Table3[[#This Row],[runner reaction]]+Table3[[#This Row],[runner speed (s/ft)]]*Table3[[#This Row],[total leadoff (ft)]]</f>
        <v>1.175</v>
      </c>
      <c r="O14" s="8">
        <f>1 - _xlfn.NORM.DIST(Table3[[#This Row],[pickoff time]], Table3[[#This Row],[pickoff evade time]], $O$4, TRUE)</f>
        <v>2.2750131948179209E-2</v>
      </c>
      <c r="P14" s="53">
        <f>_xlfn.NORM.DIST(Table3[[#This Row],[defense]], $P$26, $P$27, TRUE)</f>
        <v>0.98024442661121902</v>
      </c>
      <c r="Q14" s="5" t="b">
        <f>Table3[[#This Row],[pickoff probability]] &gt; 1-Table3[[#This Row],[Fielding Odds]]</f>
        <v>1</v>
      </c>
      <c r="R14" s="53">
        <f>1-Table3[[#This Row],[Fielding Odds]]</f>
        <v>1.9755573388780978E-2</v>
      </c>
      <c r="S14" s="5">
        <f>(90-Table3[[#This Row],[total leadoff (ft)]])*Table3[[#This Row],[runner speed (s/ft)]]</f>
        <v>2.0250000000000004</v>
      </c>
      <c r="T14" s="5">
        <f>$T$26*(2-Table3[[#This Row],[defense]]) + Table3[[#This Row],[pickoff time]]</f>
        <v>1.8750000000000002</v>
      </c>
      <c r="U14" s="53">
        <f>_xlfn.NORM.DIST(Table3[[#This Row],[Response speed]], Table3[[#This Row],[Blatant steal time]], $U$4, TRUE)</f>
        <v>0.40129367431707619</v>
      </c>
      <c r="V14" s="5">
        <f>Table3[[#This Row],[defense]]+Table3[[#This Row],[defense]]*Table3[[#This Row],[offense]]*$E$26</f>
        <v>0.6</v>
      </c>
      <c r="W14" s="5">
        <f t="shared" si="6"/>
        <v>0</v>
      </c>
      <c r="X14" s="53">
        <f>Table3[[#This Row],[ball factor]]/$X$32*(1-$X$34)+$X$34</f>
        <v>0.2</v>
      </c>
      <c r="Y14" s="5">
        <f>Table3[[#This Row],[offense]]</f>
        <v>2</v>
      </c>
      <c r="Z14" s="90">
        <f t="shared" si="1"/>
        <v>-0.90000000000000013</v>
      </c>
      <c r="AA14" s="90">
        <f>IF(Table3[[#This Row],[player control]]&gt;1,Table3[[#This Row],[player control]]*$AA$41+$AA$40,Table3[[#This Row],[player control]]*$AA$39+$AA$38)</f>
        <v>2</v>
      </c>
      <c r="AB14" s="91">
        <f>_xlfn.NORM.DIST(-1,Table3[[#This Row],[ideal steer]],($AB$25-Table3[[#This Row],[scaled control]])*$AB$27,TRUE)</f>
        <v>0.3085375387259871</v>
      </c>
      <c r="AC14" s="91">
        <f>1-_xlfn.NORM.DIST(1,Table3[[#This Row],[ideal steer]],($AB$25-Table3[[#This Row],[scaled control]])*$AB$27,TRUE)</f>
        <v>0</v>
      </c>
      <c r="AD14" s="91">
        <f>1-(1-Table3[[#This Row],[unmod foul percent 3rd]])*(1-Table3[[#This Row],[unmod foul percent 1st]])</f>
        <v>0.3085375387259871</v>
      </c>
      <c r="AE14" s="91">
        <f>1-((1-_xlfn.NORM.DIST(-1,0,($AB$25-Table3[[#This Row],[scaled control]])*$AB$27,TRUE))*_xlfn.NORM.DIST(1,0,($AB$25-Table3[[#This Row],[scaled control]])*$AB$27,TRUE))</f>
        <v>5.7330306169056655E-7</v>
      </c>
      <c r="AF14" s="5">
        <f>$AF$34*$AF$25</f>
        <v>-4</v>
      </c>
      <c r="AG14" s="5">
        <f>$AG$25*($AG$34*Table3[[#This Row],[offense]])</f>
        <v>0</v>
      </c>
      <c r="AH14" s="5">
        <f t="shared" si="2"/>
        <v>0</v>
      </c>
      <c r="AI14" s="5">
        <f>$AI$34*$AI$25</f>
        <v>0</v>
      </c>
      <c r="AJ14" s="5">
        <f>$AJ$25*(Table3[[#This Row],[offense]]-$AJ$27)</f>
        <v>1</v>
      </c>
      <c r="AK14" s="5" cm="1">
        <f t="array" ref="AK14">SUM(Table3[[#This Row],[count]:[current hitter vs next hitter]]*MIN(1, Table3[[#This Row],[defense]]))</f>
        <v>-1.5</v>
      </c>
      <c r="AL14" s="91">
        <f>$AL$25-(Table3[[#This Row],[calling modifier]]/(ABS(Table3[[#This Row],[calling modifier]])+$AL$29)*$AL$27)</f>
        <v>0.62790697674418605</v>
      </c>
      <c r="AM14" s="110">
        <f>$AL$25-$AL$27*TANH(Table3[[#This Row],[calling modifier]]/$AM$29)</f>
        <v>0.62994387627499959</v>
      </c>
      <c r="AN14" s="139">
        <f>MAX(0, 1-_xlfn.NORM.S.INV(Table3[[#This Row],[tanh strike percent]])*($AN$25*($AN$27-Table3[[#This Row],[defense]])))</f>
        <v>0.66829529483385297</v>
      </c>
      <c r="AO14" s="140">
        <f>MAX(0, 1-_xlfn.NORM.S.INV(Table3[[#This Row],[tanh strike percent]])*($AN$25*($AN$27-0.2)))</f>
        <v>0.62849073021391533</v>
      </c>
      <c r="AP14" s="140">
        <f>MAX(0, 1-_xlfn.NORM.S.INV(Table3[[#This Row],[tanh strike percent]])*($AN$25*($AN$27-2)))</f>
        <v>0.86731811793354119</v>
      </c>
      <c r="AQ14" s="140">
        <f>Table3[[#This Row],[called position]]-pitchmod*(pitchstdv-Table3[[#This Row],[defense]])</f>
        <v>-0.33170470516614703</v>
      </c>
      <c r="AR14" s="140">
        <f>ABS(Table3[[#This Row],[called position]]+pitchmod*(pitchstdv-Table3[[#This Row],[defense]]))</f>
        <v>1.668295294833853</v>
      </c>
      <c r="AS14" s="140">
        <f>IF(AND(Table3[[#This Row],[location -1  stdv]]&lt;1, Table3[[#This Row],[location +1 stdv]]&gt;1),0, MIN(Table3[[#This Row],[location -1  stdv]]+1, 1-Table3[[#This Row],[location +1 stdv]]))</f>
        <v>0</v>
      </c>
      <c r="AT14" s="140">
        <f>IF(AND(Table3[[#This Row],[location -1  stdv]]&lt;0, Table3[[#This Row],[location +1 stdv]]&gt;0),1, MAX(1-ABS(Table3[[#This Row],[location -1  stdv]]), Table3[[#This Row],[location +1 stdv]]-1))</f>
        <v>1</v>
      </c>
      <c r="AU14" s="140">
        <f>$AU$30/(ABS(Table3[[#This Row],[called position]]-1)+$AU$27)+$AU$32*Table3[[#This Row],[defense]]</f>
        <v>0.7132796390834506</v>
      </c>
      <c r="AV14" s="140">
        <f>$AU$30/(ABS(0.5-1)+$AU$27)+$AU$32*Table3[[#This Row],[defense]]</f>
        <v>0.58333333333333337</v>
      </c>
      <c r="AW14" s="140">
        <f>$AU$30/(ABS(0.9-1)+$AU$27)+$AU$32*Table3[[#This Row],[defense]]</f>
        <v>1.2500000000000002</v>
      </c>
      <c r="AX14" s="140">
        <f>Table3[[#This Row],[defense]]*$AX$30+MAX(0, Table3[[#This Row],[called position]]-$AX$27)^$AX$25</f>
        <v>0.56904114120028026</v>
      </c>
      <c r="AY14" s="140">
        <f>Table3[[#This Row],[defense]]*$AX$30 + MAX(0, Table3[[#This Row],[location +1 stdv]]-$AX$27)^$AX$25</f>
        <v>1.7627836245649673</v>
      </c>
      <c r="AZ14" s="140">
        <f>Table3[[#This Row],[defense]]*$AX$30+MAX(0, 1-$AX$27)^$AX$25</f>
        <v>0.85355339059327373</v>
      </c>
      <c r="BA14" s="5">
        <f>MAX(0, 0.1*(1-Table3[[#This Row],[defense]]))</f>
        <v>0.05</v>
      </c>
      <c r="BB14" s="5">
        <f t="shared" si="3"/>
        <v>0.5</v>
      </c>
      <c r="BC14" s="140">
        <f>$AU$30/(ABS(Table3[[#This Row],[Location]]-1)+$AU$27)+$AU$32*Table3[[#This Row],[defense]]</f>
        <v>0.58333333333333337</v>
      </c>
      <c r="BD14" s="5" t="b">
        <f>Table3[[#This Row],[Location]]&lt;= (1+MAX(0, (Table3[[#This Row],[defense]]-1)*0.1))</f>
        <v>1</v>
      </c>
      <c r="BE14" s="122">
        <f>1/(1+Table3[[#This Row],[offense]])</f>
        <v>0.33333333333333331</v>
      </c>
      <c r="BF14" s="140">
        <f>Table3[[#This Row],[obscurity]]*Table3[[#This Row],[discipline modifier]]</f>
        <v>0.19444444444444445</v>
      </c>
      <c r="BG14" s="110">
        <f>1/(1+Table3[[#This Row],[effective obscurity]])</f>
        <v>0.83720930232558144</v>
      </c>
      <c r="BH14" s="110">
        <f>IF(Table3[[#This Row],[Strike?]],Table3[[#This Row],[odds of read]],1-Table3[[#This Row],[odds of read]])</f>
        <v>0.83720930232558144</v>
      </c>
      <c r="BI14" s="5">
        <f t="shared" si="4"/>
        <v>1</v>
      </c>
      <c r="BJ14" s="110">
        <f>Table3[[#This Row],[desperation echo]]*Table3[[#This Row],[unadjusted swing %]]</f>
        <v>0.83720930232558144</v>
      </c>
      <c r="BK14" s="139">
        <f>Table3[[#This Row],[ave obscurity]]</f>
        <v>0.7132796390834506</v>
      </c>
      <c r="BL14" s="110">
        <f>1/(1+Table3[[#This Row],[ave obscurity]]*Table3[[#This Row],[discipline modifier]])</f>
        <v>0.80791114367580741</v>
      </c>
      <c r="BM14" s="5">
        <f>Table3[[#This Row],[offense]]</f>
        <v>2</v>
      </c>
      <c r="BN14" s="140">
        <f>Table3[[#This Row],[average difficulty]]</f>
        <v>0.56904114120028026</v>
      </c>
      <c r="BO14" s="140">
        <f>Table3[[#This Row],[contact echo]]-Table3[[#This Row],[pitch carry forward diff]]</f>
        <v>1.4309588587997197</v>
      </c>
      <c r="BP14" s="110">
        <f>1-_xlfn.NORM.DIST($BP$27,Table3[[#This Row],[CF contact readiness]], $BP$30,TRUE)</f>
        <v>0.87361620408643792</v>
      </c>
      <c r="BQ14" s="110">
        <f>1-_xlfn.NORM.DIST($BP$25,Table3[[#This Row],[CF contact readiness]], $BP$30,TRUE)</f>
        <v>0.5571127380642914</v>
      </c>
      <c r="BR14" s="110">
        <f>1-Table3[[#This Row],[foul %]]</f>
        <v>0.12638379591356208</v>
      </c>
      <c r="BS14" s="140">
        <f>(Table3[[#This Row],[CF contact readiness]]-$BP$27)/$BP$30</f>
        <v>1.14365295293324</v>
      </c>
      <c r="BT14" s="140">
        <f>(Table3[[#This Row],[CF contact readiness]]+$BP$30-$BP$27)/$BP$30</f>
        <v>2.1436529529332398</v>
      </c>
      <c r="BU14" s="5">
        <f>MAX(0, IF(ISBLANK($BU$28), Table3[[#This Row],[hit quality +1stdv]], $BU$28)-1)</f>
        <v>0.5</v>
      </c>
      <c r="BV14" s="5">
        <f>$BV$25+Table3[[#This Row],[offense]]*$BV$28</f>
        <v>20</v>
      </c>
      <c r="BW14" s="5">
        <f>$BW$25*$BW$28/($BW$28+Table3[[#This Row],[hit quality remainder]])</f>
        <v>20</v>
      </c>
      <c r="BX14" s="110">
        <f>_xlfn.NORM.DIST(10,Table3[[#This Row],[adjusted launch angle]],Table3[[#This Row],[angle stdev]],TRUE)</f>
        <v>0.30853753872598688</v>
      </c>
      <c r="BY14" s="110">
        <f>1-_xlfn.NORM.DIST(50, Table3[[#This Row],[adjusted launch angle]],Table3[[#This Row],[angle stdev]],TRUE)</f>
        <v>6.6807201268858085E-2</v>
      </c>
      <c r="BZ14" s="110">
        <f t="shared" si="5"/>
        <v>0.42944875004736094</v>
      </c>
      <c r="CA14" s="5">
        <f>$CA$25+Table3[[#This Row],[offense]]*($CA$27-$CA$25)/2</f>
        <v>110</v>
      </c>
      <c r="CB14" s="5">
        <f>Table3[[#This Row],[exit velocity mean]]-Table3[[#This Row],[reduction]]*100</f>
        <v>105</v>
      </c>
      <c r="CC14" s="160">
        <f>Table3[[#This Row],[exit velocity mean]]^2*2*SIN(RADIANS(Table3[[#This Row],[adjusted launch angle]]))/$CC$28*5280</f>
        <v>546.27457291975804</v>
      </c>
      <c r="CD14" s="122">
        <f>2*Table3[[#This Row],[exit velocity mean]]*SIN(RADIANS(Table3[[#This Row],[adjusted launch angle]]))/$CC$28*60*60</f>
        <v>3.3859994189241207</v>
      </c>
      <c r="CE14" s="160">
        <f>Table3[[#This Row],[theoretical distance]]-Table3[[#This Row],[flight time]]^2*$CE$25</f>
        <v>362.83469988048631</v>
      </c>
      <c r="CF14" s="5">
        <f>Table3[[#This Row],[exit velocity mean]]+$CC$25-Table3[[#This Row],[reduction]]*100</f>
        <v>117.5</v>
      </c>
      <c r="CG14" s="5">
        <f>MIN(Table3[[#This Row],[adjusted launch angle]]+Table3[[#This Row],[angle stdev]], 30)</f>
        <v>30</v>
      </c>
      <c r="CH14" s="122">
        <f>2*Table3[[#This Row],[+1stdv EV]]*SIN(RADIANS(Table3[[#This Row],[+1stdv LA]]))/$CC$28*60*60</f>
        <v>5.2874999999999988</v>
      </c>
      <c r="CI14" s="160">
        <f>Table3[[#This Row],[+1stdv EV]]^2*2*SIN(RADIANS(Table3[[#This Row],[+1stdv LA]]))/$CC$28*5280-Table3[[#This Row],[+1stdv flight time]]^2*$CE$25</f>
        <v>463.8900000000001</v>
      </c>
      <c r="CJ14" s="160">
        <f>Table3[[#This Row],[+1stdev distance]]-Table3[[#This Row],[actual distance]]</f>
        <v>101.05530011951379</v>
      </c>
    </row>
    <row r="15" spans="1:119" s="17" customFormat="1" x14ac:dyDescent="0.25">
      <c r="A15" s="17">
        <f t="shared" si="0"/>
        <v>9</v>
      </c>
      <c r="B15" s="17">
        <f>INDEX(oratings, 1, 1+MOD(Table3[[#This Row],[Rep '#]]-1, COUNT(oratings)))</f>
        <v>0.1</v>
      </c>
      <c r="C15" s="17">
        <f>INDEX(dratings, 1, MOD(FLOOR( (Table3[[#This Row],[Rep '#]]-1) / COUNT(oratings), 1), COUNT(dratings))+1)</f>
        <v>1</v>
      </c>
      <c r="D15" s="17">
        <f>Table3[[#This Row],[offense]]*$D$26+0.05</f>
        <v>6.0000000000000005E-2</v>
      </c>
      <c r="E15" s="17">
        <f>((2*Table3[[#This Row],[defense]]+1*Table3[[#This Row],[defense]])-1.5)*Table3[[#This Row],[offense]]*$E$26</f>
        <v>1.5000000000000003E-2</v>
      </c>
      <c r="F15" s="17">
        <f>MAX(Table3[[#This Row],[base leadoff]]*(1-Table3[[#This Row],[leadoff modifier]]) * 90, 0)</f>
        <v>5.3190000000000008</v>
      </c>
      <c r="G15" s="17">
        <f>1.1 - Table3[[#This Row],[defense]]*0.1</f>
        <v>1</v>
      </c>
      <c r="H15" s="17">
        <f xml:space="preserve"> 0.01 - 0.0025 *  Table3[[#This Row],[defense]]</f>
        <v>7.4999999999999997E-3</v>
      </c>
      <c r="I15" s="17">
        <f>1 / Table3[[#This Row],[throw speed (s/ft)]] * ((60 * 60)/5280)</f>
        <v>90.909090909090907</v>
      </c>
      <c r="J15" s="17">
        <f>Table3[[#This Row],[pickoff manuver (s)]]+60*Table3[[#This Row],[throw speed (s/ft)]]</f>
        <v>1.45</v>
      </c>
      <c r="K15" s="17">
        <f>$K$28-$K$26*Table3[[#This Row],[offense]]</f>
        <v>0.88</v>
      </c>
      <c r="L15" s="17">
        <f>0.05 - Table3[[#This Row],[offense]]*$L$26</f>
        <v>4.9000000000000002E-2</v>
      </c>
      <c r="M15" s="17">
        <f>1 / Table3[[#This Row],[runner speed (s/ft)]] * ((60 * 60)/5280)</f>
        <v>13.914656771799628</v>
      </c>
      <c r="N15" s="17">
        <f>Table3[[#This Row],[runner reaction]]+Table3[[#This Row],[runner speed (s/ft)]]*Table3[[#This Row],[total leadoff (ft)]]</f>
        <v>1.140631</v>
      </c>
      <c r="O15" s="18">
        <f>1 - _xlfn.NORM.DIST(Table3[[#This Row],[pickoff time]], Table3[[#This Row],[pickoff evade time]], $O$4, TRUE)</f>
        <v>6.0950313073531937E-2</v>
      </c>
      <c r="P15" s="54">
        <f>_xlfn.NORM.DIST(Table3[[#This Row],[defense]], $P$26, $P$27, TRUE)</f>
        <v>0.99068720985629855</v>
      </c>
      <c r="Q15" s="17" t="b">
        <f>Table3[[#This Row],[pickoff probability]] &gt; 1-Table3[[#This Row],[Fielding Odds]]</f>
        <v>1</v>
      </c>
      <c r="R15" s="54">
        <f>1-Table3[[#This Row],[Fielding Odds]]</f>
        <v>9.3127901437014549E-3</v>
      </c>
      <c r="S15" s="17">
        <f>(90-Table3[[#This Row],[total leadoff (ft)]])*Table3[[#This Row],[runner speed (s/ft)]]</f>
        <v>4.1493690000000001</v>
      </c>
      <c r="T15" s="17">
        <f>$T$26*(2-Table3[[#This Row],[defense]]) + Table3[[#This Row],[pickoff time]]</f>
        <v>1.65</v>
      </c>
      <c r="U15" s="54">
        <f>_xlfn.NORM.DIST(Table3[[#This Row],[Response speed]], Table3[[#This Row],[Blatant steal time]], $U$4, TRUE)</f>
        <v>1.5525717333822399E-5</v>
      </c>
      <c r="V15" s="17">
        <f>Table3[[#This Row],[defense]]+Table3[[#This Row],[defense]]*Table3[[#This Row],[offense]]*$E$26</f>
        <v>1.01</v>
      </c>
      <c r="W15" s="17">
        <f t="shared" si="6"/>
        <v>0</v>
      </c>
      <c r="X15" s="54">
        <f>Table3[[#This Row],[ball factor]]/$X$32*(1-$X$34)+$X$34</f>
        <v>0.2</v>
      </c>
      <c r="Y15" s="17">
        <f>Table3[[#This Row],[offense]]</f>
        <v>0.1</v>
      </c>
      <c r="Z15" s="92">
        <f t="shared" si="1"/>
        <v>-0.90000000000000013</v>
      </c>
      <c r="AA15" s="92">
        <f>IF(Table3[[#This Row],[player control]]&gt;1,Table3[[#This Row],[player control]]*$AA$41+$AA$40,Table3[[#This Row],[player control]]*$AA$39+$AA$38)</f>
        <v>-0.14000000000000001</v>
      </c>
      <c r="AB15" s="93">
        <f>_xlfn.NORM.DIST(-1,Table3[[#This Row],[ideal steer]],($AB$25-Table3[[#This Row],[scaled control]])*$AB$27,TRUE)</f>
        <v>0.40456602559459909</v>
      </c>
      <c r="AC15" s="93">
        <f>1-_xlfn.NORM.DIST(1,Table3[[#This Row],[ideal steer]],($AB$25-Table3[[#This Row],[scaled control]])*$AB$27,TRUE)</f>
        <v>2.2229077858426649E-6</v>
      </c>
      <c r="AD15" s="93">
        <f>1-(1-Table3[[#This Row],[unmod foul percent 3rd]])*(1-Table3[[#This Row],[unmod foul percent 1st]])</f>
        <v>0.40456734918941673</v>
      </c>
      <c r="AE15" s="93">
        <f>1-((1-_xlfn.NORM.DIST(-1,0,($AB$25-Table3[[#This Row],[scaled control]])*$AB$27,TRUE))*_xlfn.NORM.DIST(1,0,($AB$25-Table3[[#This Row],[scaled control]])*$AB$27,TRUE))</f>
        <v>1.5653650964326582E-2</v>
      </c>
      <c r="AF15" s="17">
        <f>$AF$34*$AF$25</f>
        <v>-4</v>
      </c>
      <c r="AG15" s="17">
        <f>$AG$25*($AG$34*Table3[[#This Row],[offense]])</f>
        <v>0</v>
      </c>
      <c r="AH15" s="17">
        <f t="shared" si="2"/>
        <v>0</v>
      </c>
      <c r="AI15" s="17">
        <f>$AI$34*$AI$25</f>
        <v>0</v>
      </c>
      <c r="AJ15" s="17">
        <f>$AJ$25*(Table3[[#This Row],[offense]]-$AJ$27)</f>
        <v>-0.9</v>
      </c>
      <c r="AK15" s="17" cm="1">
        <f t="array" ref="AK15">SUM(Table3[[#This Row],[count]:[current hitter vs next hitter]]*MIN(1, Table3[[#This Row],[defense]]))</f>
        <v>-4.9000000000000004</v>
      </c>
      <c r="AL15" s="93">
        <f>$AL$25-(Table3[[#This Row],[calling modifier]]/(ABS(Table3[[#This Row],[calling modifier]])+$AL$29)*$AL$27)</f>
        <v>0.67871485943775101</v>
      </c>
      <c r="AM15" s="111">
        <f>$AL$25-$AL$27*TANH(Table3[[#This Row],[calling modifier]]/$AM$29)</f>
        <v>0.69608514587447212</v>
      </c>
      <c r="AN15" s="141">
        <f>MAX(0, 1-_xlfn.NORM.S.INV(Table3[[#This Row],[tanh strike percent]])*($AN$25*($AN$27-Table3[[#This Row],[defense]])))</f>
        <v>0.58946091069891038</v>
      </c>
      <c r="AO15" s="142">
        <f>MAX(0, 1-_xlfn.NORM.S.INV(Table3[[#This Row],[tanh strike percent]])*($AN$25*($AN$27-0.2)))</f>
        <v>0.42524527497847475</v>
      </c>
      <c r="AP15" s="142">
        <f>MAX(0, 1-_xlfn.NORM.S.INV(Table3[[#This Row],[tanh strike percent]])*($AN$25*($AN$27-2)))</f>
        <v>0.79473045534945519</v>
      </c>
      <c r="AQ15" s="142">
        <f>Table3[[#This Row],[called position]]-pitchmod*(pitchstdv-Table3[[#This Row],[defense]])</f>
        <v>-0.21053908930108967</v>
      </c>
      <c r="AR15" s="142">
        <f>ABS(Table3[[#This Row],[called position]]+pitchmod*(pitchstdv-Table3[[#This Row],[defense]]))</f>
        <v>1.3894609106989104</v>
      </c>
      <c r="AS15" s="142">
        <f>IF(AND(Table3[[#This Row],[location -1  stdv]]&lt;1, Table3[[#This Row],[location +1 stdv]]&gt;1),0, MIN(Table3[[#This Row],[location -1  stdv]]+1, 1-Table3[[#This Row],[location +1 stdv]]))</f>
        <v>0</v>
      </c>
      <c r="AT15" s="142">
        <f>IF(AND(Table3[[#This Row],[location -1  stdv]]&lt;0, Table3[[#This Row],[location +1 stdv]]&gt;0),1, MAX(1-ABS(Table3[[#This Row],[location -1  stdv]]), Table3[[#This Row],[location +1 stdv]]-1))</f>
        <v>1</v>
      </c>
      <c r="AU15" s="142">
        <f>$AU$30/(ABS(Table3[[#This Row],[called position]]-1)+$AU$27)+$AU$32*Table3[[#This Row],[defense]]</f>
        <v>0.89174277580545913</v>
      </c>
      <c r="AV15" s="142">
        <f>$AU$30/(ABS(0.5-1)+$AU$27)+$AU$32*Table3[[#This Row],[defense]]</f>
        <v>0.83333333333333337</v>
      </c>
      <c r="AW15" s="142">
        <f>$AU$30/(ABS(0.9-1)+$AU$27)+$AU$32*Table3[[#This Row],[defense]]</f>
        <v>1.5000000000000002</v>
      </c>
      <c r="AX15" s="142">
        <f>Table3[[#This Row],[defense]]*$AX$30+MAX(0, Table3[[#This Row],[called position]]-$AX$27)^$AX$25</f>
        <v>1.0267577734495787</v>
      </c>
      <c r="AY15" s="142">
        <f>Table3[[#This Row],[defense]]*$AX$30 + MAX(0, Table3[[#This Row],[location +1 stdv]]-$AX$27)^$AX$25</f>
        <v>1.8388615725405923</v>
      </c>
      <c r="AZ15" s="142">
        <f>Table3[[#This Row],[defense]]*$AX$30+MAX(0, 1-$AX$27)^$AX$25</f>
        <v>1.3535533905932737</v>
      </c>
      <c r="BA15" s="17">
        <f>MAX(0, 0.1*(1-Table3[[#This Row],[defense]]))</f>
        <v>0</v>
      </c>
      <c r="BB15" s="17">
        <f t="shared" si="3"/>
        <v>0.5</v>
      </c>
      <c r="BC15" s="142">
        <f>$AU$30/(ABS(Table3[[#This Row],[Location]]-1)+$AU$27)+$AU$32*Table3[[#This Row],[defense]]</f>
        <v>0.83333333333333337</v>
      </c>
      <c r="BD15" s="17" t="b">
        <f>Table3[[#This Row],[Location]]&lt;= (1+MAX(0, (Table3[[#This Row],[defense]]-1)*0.1))</f>
        <v>1</v>
      </c>
      <c r="BE15" s="123">
        <f>1/(1+Table3[[#This Row],[offense]])</f>
        <v>0.90909090909090906</v>
      </c>
      <c r="BF15" s="142">
        <f>Table3[[#This Row],[obscurity]]*Table3[[#This Row],[discipline modifier]]</f>
        <v>0.75757575757575757</v>
      </c>
      <c r="BG15" s="111">
        <f>1/(1+Table3[[#This Row],[effective obscurity]])</f>
        <v>0.56896551724137934</v>
      </c>
      <c r="BH15" s="111">
        <f>IF(Table3[[#This Row],[Strike?]],Table3[[#This Row],[odds of read]],1-Table3[[#This Row],[odds of read]])</f>
        <v>0.56896551724137934</v>
      </c>
      <c r="BI15" s="17">
        <f t="shared" si="4"/>
        <v>1</v>
      </c>
      <c r="BJ15" s="111">
        <f>Table3[[#This Row],[desperation echo]]*Table3[[#This Row],[unadjusted swing %]]</f>
        <v>0.56896551724137934</v>
      </c>
      <c r="BK15" s="141">
        <f>Table3[[#This Row],[ave obscurity]]</f>
        <v>0.89174277580545913</v>
      </c>
      <c r="BL15" s="111">
        <f>1/(1+Table3[[#This Row],[ave obscurity]]*Table3[[#This Row],[discipline modifier]])</f>
        <v>0.55228015051047985</v>
      </c>
      <c r="BM15" s="17">
        <f>Table3[[#This Row],[offense]]</f>
        <v>0.1</v>
      </c>
      <c r="BN15" s="142">
        <f>Table3[[#This Row],[average difficulty]]</f>
        <v>1.0267577734495787</v>
      </c>
      <c r="BO15" s="142">
        <f>Table3[[#This Row],[contact echo]]-Table3[[#This Row],[pitch carry forward diff]]</f>
        <v>-0.92675777344957877</v>
      </c>
      <c r="BP15" s="111">
        <f>1-_xlfn.NORM.DIST($BP$27,Table3[[#This Row],[CF contact readiness]], $BP$30,TRUE)</f>
        <v>0.63973382460662376</v>
      </c>
      <c r="BQ15" s="111">
        <f>1-_xlfn.NORM.DIST($BP$25,Table3[[#This Row],[CF contact readiness]], $BP$30,TRUE)</f>
        <v>0.26035459549311302</v>
      </c>
      <c r="BR15" s="111">
        <f>1-Table3[[#This Row],[foul %]]</f>
        <v>0.36026617539337624</v>
      </c>
      <c r="BS15" s="142">
        <f>(Table3[[#This Row],[CF contact readiness]]-$BP$27)/$BP$30</f>
        <v>0.35774740885014039</v>
      </c>
      <c r="BT15" s="142">
        <f>(Table3[[#This Row],[CF contact readiness]]+$BP$30-$BP$27)/$BP$30</f>
        <v>1.3577474088501404</v>
      </c>
      <c r="BU15" s="17">
        <f>MAX(0, IF(ISBLANK($BU$28), Table3[[#This Row],[hit quality +1stdv]], $BU$28)-1)</f>
        <v>0.5</v>
      </c>
      <c r="BV15" s="17">
        <f>$BV$25+Table3[[#This Row],[offense]]*$BV$28</f>
        <v>10.5</v>
      </c>
      <c r="BW15" s="17">
        <f>$BW$25*$BW$28/($BW$28+Table3[[#This Row],[hit quality remainder]])</f>
        <v>20</v>
      </c>
      <c r="BX15" s="111">
        <f>_xlfn.NORM.DIST(10,Table3[[#This Row],[adjusted launch angle]],Table3[[#This Row],[angle stdev]],TRUE)</f>
        <v>0.49002748180476197</v>
      </c>
      <c r="BY15" s="111">
        <f>1-_xlfn.NORM.DIST(50, Table3[[#This Row],[adjusted launch angle]],Table3[[#This Row],[angle stdev]],TRUE)</f>
        <v>2.4134074004724781E-2</v>
      </c>
      <c r="BZ15" s="111">
        <f t="shared" si="5"/>
        <v>0.42944875004736094</v>
      </c>
      <c r="CA15" s="17">
        <f>$CA$25+Table3[[#This Row],[offense]]*($CA$27-$CA$25)/2</f>
        <v>72</v>
      </c>
      <c r="CB15" s="17">
        <f>Table3[[#This Row],[exit velocity mean]]-Table3[[#This Row],[reduction]]*100</f>
        <v>72</v>
      </c>
      <c r="CC15" s="161">
        <f>Table3[[#This Row],[exit velocity mean]]^2*2*SIN(RADIANS(Table3[[#This Row],[adjusted launch angle]]))/$CC$28*5280</f>
        <v>124.70158326797061</v>
      </c>
      <c r="CD15" s="123">
        <f>2*Table3[[#This Row],[exit velocity mean]]*SIN(RADIANS(Table3[[#This Row],[adjusted launch angle]]))/$CC$28*60*60</f>
        <v>1.1808862051891156</v>
      </c>
      <c r="CE15" s="161">
        <f>Table3[[#This Row],[theoretical distance]]-Table3[[#This Row],[flight time]]^2*$CE$25</f>
        <v>102.38970759427541</v>
      </c>
      <c r="CF15" s="17">
        <f>Table3[[#This Row],[exit velocity mean]]+$CC$25-Table3[[#This Row],[reduction]]*100</f>
        <v>84.5</v>
      </c>
      <c r="CG15" s="17">
        <f>MIN(Table3[[#This Row],[adjusted launch angle]]+Table3[[#This Row],[angle stdev]], 30)</f>
        <v>30</v>
      </c>
      <c r="CH15" s="123">
        <f>2*Table3[[#This Row],[+1stdv EV]]*SIN(RADIANS(Table3[[#This Row],[+1stdv LA]]))/$CC$28*60*60</f>
        <v>3.8024999999999993</v>
      </c>
      <c r="CI15" s="161">
        <f>Table3[[#This Row],[+1stdv EV]]^2*2*SIN(RADIANS(Table3[[#This Row],[+1stdv LA]]))/$CC$28*5280-Table3[[#This Row],[+1stdv flight time]]^2*$CE$25</f>
        <v>239.91240000000005</v>
      </c>
      <c r="CJ15" s="161">
        <f>Table3[[#This Row],[+1stdev distance]]-Table3[[#This Row],[actual distance]]</f>
        <v>137.52269240572463</v>
      </c>
    </row>
    <row r="16" spans="1:119" s="6" customFormat="1" x14ac:dyDescent="0.25">
      <c r="A16" s="6">
        <f t="shared" si="0"/>
        <v>10</v>
      </c>
      <c r="B16" s="6">
        <f>INDEX(oratings, 1, 1+MOD(Table3[[#This Row],[Rep '#]]-1, COUNT(oratings)))</f>
        <v>0.5</v>
      </c>
      <c r="C16" s="6">
        <f>INDEX(dratings, 1, MOD(FLOOR( (Table3[[#This Row],[Rep '#]]-1) / COUNT(oratings), 1), COUNT(dratings))+1)</f>
        <v>1</v>
      </c>
      <c r="D16" s="6">
        <f>Table3[[#This Row],[offense]]*$D$26+0.05</f>
        <v>0.1</v>
      </c>
      <c r="E16" s="6">
        <f>((2*Table3[[#This Row],[defense]]+1*Table3[[#This Row],[defense]])-1.5)*Table3[[#This Row],[offense]]*$E$26</f>
        <v>7.5000000000000011E-2</v>
      </c>
      <c r="F16" s="6">
        <f>MAX(Table3[[#This Row],[base leadoff]]*(1-Table3[[#This Row],[leadoff modifier]]) * 90, 0)</f>
        <v>8.3250000000000011</v>
      </c>
      <c r="G16" s="6">
        <f>1.1 - Table3[[#This Row],[defense]]*0.1</f>
        <v>1</v>
      </c>
      <c r="H16" s="6">
        <f xml:space="preserve"> 0.01 - 0.0025 *  Table3[[#This Row],[defense]]</f>
        <v>7.4999999999999997E-3</v>
      </c>
      <c r="I16" s="6">
        <f>1 / Table3[[#This Row],[throw speed (s/ft)]] * ((60 * 60)/5280)</f>
        <v>90.909090909090907</v>
      </c>
      <c r="J16" s="6">
        <f>Table3[[#This Row],[pickoff manuver (s)]]+60*Table3[[#This Row],[throw speed (s/ft)]]</f>
        <v>1.45</v>
      </c>
      <c r="K16" s="6">
        <f>$K$28-$K$26*Table3[[#This Row],[offense]]</f>
        <v>0.8</v>
      </c>
      <c r="L16" s="6">
        <f>0.05 - Table3[[#This Row],[offense]]*$L$26</f>
        <v>4.5000000000000005E-2</v>
      </c>
      <c r="M16" s="6">
        <f>1 / Table3[[#This Row],[runner speed (s/ft)]] * ((60 * 60)/5280)</f>
        <v>15.151515151515147</v>
      </c>
      <c r="N16" s="6">
        <f>Table3[[#This Row],[runner reaction]]+Table3[[#This Row],[runner speed (s/ft)]]*Table3[[#This Row],[total leadoff (ft)]]</f>
        <v>1.1746250000000003</v>
      </c>
      <c r="O16" s="9">
        <f>1 - _xlfn.NORM.DIST(Table3[[#This Row],[pickoff time]], Table3[[#This Row],[pickoff evade time]], $O$4, TRUE)</f>
        <v>8.4275448865239744E-2</v>
      </c>
      <c r="P16" s="55">
        <f>_xlfn.NORM.DIST(Table3[[#This Row],[defense]], $P$26, $P$27, TRUE)</f>
        <v>0.99068720985629855</v>
      </c>
      <c r="Q16" s="6" t="b">
        <f>Table3[[#This Row],[pickoff probability]] &gt; 1-Table3[[#This Row],[Fielding Odds]]</f>
        <v>1</v>
      </c>
      <c r="R16" s="55">
        <f>1-Table3[[#This Row],[Fielding Odds]]</f>
        <v>9.3127901437014549E-3</v>
      </c>
      <c r="S16" s="6">
        <f>(90-Table3[[#This Row],[total leadoff (ft)]])*Table3[[#This Row],[runner speed (s/ft)]]</f>
        <v>3.6753750000000003</v>
      </c>
      <c r="T16" s="6">
        <f>$T$26*(2-Table3[[#This Row],[defense]]) + Table3[[#This Row],[pickoff time]]</f>
        <v>1.65</v>
      </c>
      <c r="U16" s="55">
        <f>_xlfn.NORM.DIST(Table3[[#This Row],[Response speed]], Table3[[#This Row],[Blatant steal time]], $U$4, TRUE)</f>
        <v>3.682411384506767E-4</v>
      </c>
      <c r="V16" s="6">
        <f>Table3[[#This Row],[defense]]+Table3[[#This Row],[defense]]*Table3[[#This Row],[offense]]*$E$26</f>
        <v>1.05</v>
      </c>
      <c r="W16" s="6">
        <f t="shared" si="6"/>
        <v>0</v>
      </c>
      <c r="X16" s="55">
        <f>Table3[[#This Row],[ball factor]]/$X$32*(1-$X$34)+$X$34</f>
        <v>0.2</v>
      </c>
      <c r="Y16" s="6">
        <f>Table3[[#This Row],[offense]]</f>
        <v>0.5</v>
      </c>
      <c r="Z16" s="94">
        <f t="shared" si="1"/>
        <v>-0.90000000000000013</v>
      </c>
      <c r="AA16" s="94">
        <f>IF(Table3[[#This Row],[player control]]&gt;1,Table3[[#This Row],[player control]]*$AA$41+$AA$40,Table3[[#This Row],[player control]]*$AA$39+$AA$38)</f>
        <v>0.10000000000000003</v>
      </c>
      <c r="AB16" s="95">
        <f>_xlfn.NORM.DIST(-1,Table3[[#This Row],[ideal steer]],($AB$25-Table3[[#This Row],[scaled control]])*$AB$27,TRUE)</f>
        <v>0.39881703452798722</v>
      </c>
      <c r="AC16" s="95">
        <f>1-_xlfn.NORM.DIST(1,Table3[[#This Row],[ideal steer]],($AB$25-Table3[[#This Row],[scaled control]])*$AB$27,TRUE)</f>
        <v>5.5294477940837083E-7</v>
      </c>
      <c r="AD16" s="95">
        <f>1-(1-Table3[[#This Row],[unmod foul percent 3rd]])*(1-Table3[[#This Row],[unmod foul percent 1st]])</f>
        <v>0.39881736694896941</v>
      </c>
      <c r="AE16" s="95">
        <f>1-((1-_xlfn.NORM.DIST(-1,0,($AB$25-Table3[[#This Row],[scaled control]])*$AB$27,TRUE))*_xlfn.NORM.DIST(1,0,($AB$25-Table3[[#This Row],[scaled control]])*$AB$27,TRUE))</f>
        <v>1.0317546081842099E-2</v>
      </c>
      <c r="AF16" s="6">
        <f>$AF$34*$AF$25</f>
        <v>-4</v>
      </c>
      <c r="AG16" s="6">
        <f>$AG$25*($AG$34*Table3[[#This Row],[offense]])</f>
        <v>0</v>
      </c>
      <c r="AH16" s="6">
        <f t="shared" si="2"/>
        <v>0</v>
      </c>
      <c r="AI16" s="6">
        <f>$AI$34*$AI$25</f>
        <v>0</v>
      </c>
      <c r="AJ16" s="6">
        <f>$AJ$25*(Table3[[#This Row],[offense]]-$AJ$27)</f>
        <v>-0.5</v>
      </c>
      <c r="AK16" s="6" cm="1">
        <f t="array" ref="AK16">SUM(Table3[[#This Row],[count]:[current hitter vs next hitter]]*MIN(1, Table3[[#This Row],[defense]]))</f>
        <v>-4.5</v>
      </c>
      <c r="AL16" s="95">
        <f>$AL$25-(Table3[[#This Row],[calling modifier]]/(ABS(Table3[[#This Row],[calling modifier]])+$AL$29)*$AL$27)</f>
        <v>0.67346938775510201</v>
      </c>
      <c r="AM16" s="112">
        <f>$AL$25-$AL$27*TANH(Table3[[#This Row],[calling modifier]]/$AM$29)</f>
        <v>0.68851138715937754</v>
      </c>
      <c r="AN16" s="143">
        <f>MAX(0, 1-_xlfn.NORM.S.INV(Table3[[#This Row],[tanh strike percent]])*($AN$25*($AN$27-Table3[[#This Row],[defense]])))</f>
        <v>0.60669180703648995</v>
      </c>
      <c r="AO16" s="144">
        <f>MAX(0, 1-_xlfn.NORM.S.INV(Table3[[#This Row],[tanh strike percent]])*($AN$25*($AN$27-0.2)))</f>
        <v>0.449368529851086</v>
      </c>
      <c r="AP16" s="144">
        <f>MAX(0, 1-_xlfn.NORM.S.INV(Table3[[#This Row],[tanh strike percent]])*($AN$25*($AN$27-2)))</f>
        <v>0.80334590351824497</v>
      </c>
      <c r="AQ16" s="144">
        <f>Table3[[#This Row],[called position]]-pitchmod*(pitchstdv-Table3[[#This Row],[defense]])</f>
        <v>-0.19330819296351009</v>
      </c>
      <c r="AR16" s="144">
        <f>ABS(Table3[[#This Row],[called position]]+pitchmod*(pitchstdv-Table3[[#This Row],[defense]]))</f>
        <v>1.40669180703649</v>
      </c>
      <c r="AS16" s="144">
        <f>IF(AND(Table3[[#This Row],[location -1  stdv]]&lt;1, Table3[[#This Row],[location +1 stdv]]&gt;1),0, MIN(Table3[[#This Row],[location -1  stdv]]+1, 1-Table3[[#This Row],[location +1 stdv]]))</f>
        <v>0</v>
      </c>
      <c r="AT16" s="144">
        <f>IF(AND(Table3[[#This Row],[location -1  stdv]]&lt;0, Table3[[#This Row],[location +1 stdv]]&gt;0),1, MAX(1-ABS(Table3[[#This Row],[location -1  stdv]]), Table3[[#This Row],[location +1 stdv]]-1))</f>
        <v>1</v>
      </c>
      <c r="AU16" s="144">
        <f>$AU$30/(ABS(Table3[[#This Row],[called position]]-1)+$AU$27)+$AU$32*Table3[[#This Row],[defense]]</f>
        <v>0.90542606600250397</v>
      </c>
      <c r="AV16" s="144">
        <f>$AU$30/(ABS(0.5-1)+$AU$27)+$AU$32*Table3[[#This Row],[defense]]</f>
        <v>0.83333333333333337</v>
      </c>
      <c r="AW16" s="144">
        <f>$AU$30/(ABS(0.9-1)+$AU$27)+$AU$32*Table3[[#This Row],[defense]]</f>
        <v>1.5000000000000002</v>
      </c>
      <c r="AX16" s="144">
        <f>Table3[[#This Row],[defense]]*$AX$30+MAX(0, Table3[[#This Row],[called position]]-$AX$27)^$AX$25</f>
        <v>1.0348495043941954</v>
      </c>
      <c r="AY16" s="144">
        <f>Table3[[#This Row],[defense]]*$AX$30 + MAX(0, Table3[[#This Row],[location +1 stdv]]-$AX$27)^$AX$25</f>
        <v>1.8633552556853348</v>
      </c>
      <c r="AZ16" s="144">
        <f>Table3[[#This Row],[defense]]*$AX$30+MAX(0, 1-$AX$27)^$AX$25</f>
        <v>1.3535533905932737</v>
      </c>
      <c r="BA16" s="6">
        <f>MAX(0, 0.1*(1-Table3[[#This Row],[defense]]))</f>
        <v>0</v>
      </c>
      <c r="BB16" s="6">
        <f t="shared" si="3"/>
        <v>0.5</v>
      </c>
      <c r="BC16" s="144">
        <f>$AU$30/(ABS(Table3[[#This Row],[Location]]-1)+$AU$27)+$AU$32*Table3[[#This Row],[defense]]</f>
        <v>0.83333333333333337</v>
      </c>
      <c r="BD16" s="6" t="b">
        <f>Table3[[#This Row],[Location]]&lt;= (1+MAX(0, (Table3[[#This Row],[defense]]-1)*0.1))</f>
        <v>1</v>
      </c>
      <c r="BE16" s="124">
        <f>1/(1+Table3[[#This Row],[offense]])</f>
        <v>0.66666666666666663</v>
      </c>
      <c r="BF16" s="144">
        <f>Table3[[#This Row],[obscurity]]*Table3[[#This Row],[discipline modifier]]</f>
        <v>0.55555555555555558</v>
      </c>
      <c r="BG16" s="112">
        <f>1/(1+Table3[[#This Row],[effective obscurity]])</f>
        <v>0.64285714285714279</v>
      </c>
      <c r="BH16" s="112">
        <f>IF(Table3[[#This Row],[Strike?]],Table3[[#This Row],[odds of read]],1-Table3[[#This Row],[odds of read]])</f>
        <v>0.64285714285714279</v>
      </c>
      <c r="BI16" s="6">
        <f t="shared" si="4"/>
        <v>1</v>
      </c>
      <c r="BJ16" s="112">
        <f>Table3[[#This Row],[desperation echo]]*Table3[[#This Row],[unadjusted swing %]]</f>
        <v>0.64285714285714279</v>
      </c>
      <c r="BK16" s="143">
        <f>Table3[[#This Row],[ave obscurity]]</f>
        <v>0.90542606600250397</v>
      </c>
      <c r="BL16" s="112">
        <f>1/(1+Table3[[#This Row],[ave obscurity]]*Table3[[#This Row],[discipline modifier]])</f>
        <v>0.6235901494543955</v>
      </c>
      <c r="BM16" s="6">
        <f>Table3[[#This Row],[offense]]</f>
        <v>0.5</v>
      </c>
      <c r="BN16" s="144">
        <f>Table3[[#This Row],[average difficulty]]</f>
        <v>1.0348495043941954</v>
      </c>
      <c r="BO16" s="144">
        <f>Table3[[#This Row],[contact echo]]-Table3[[#This Row],[pitch carry forward diff]]</f>
        <v>-0.53484950439419543</v>
      </c>
      <c r="BP16" s="112">
        <f>1-_xlfn.NORM.DIST($BP$27,Table3[[#This Row],[CF contact readiness]], $BP$30,TRUE)</f>
        <v>0.68736088604483059</v>
      </c>
      <c r="BQ16" s="112">
        <f>1-_xlfn.NORM.DIST($BP$25,Table3[[#This Row],[CF contact readiness]], $BP$30,TRUE)</f>
        <v>0.30445971715663112</v>
      </c>
      <c r="BR16" s="112">
        <f>1-Table3[[#This Row],[foul %]]</f>
        <v>0.31263911395516941</v>
      </c>
      <c r="BS16" s="144">
        <f>(Table3[[#This Row],[CF contact readiness]]-$BP$27)/$BP$30</f>
        <v>0.48838349853526819</v>
      </c>
      <c r="BT16" s="144">
        <f>(Table3[[#This Row],[CF contact readiness]]+$BP$30-$BP$27)/$BP$30</f>
        <v>1.4883834985352682</v>
      </c>
      <c r="BU16" s="6">
        <f>MAX(0, IF(ISBLANK($BU$28), Table3[[#This Row],[hit quality +1stdv]], $BU$28)-1)</f>
        <v>0.5</v>
      </c>
      <c r="BV16" s="6">
        <f>$BV$25+Table3[[#This Row],[offense]]*$BV$28</f>
        <v>12.5</v>
      </c>
      <c r="BW16" s="6">
        <f>$BW$25*$BW$28/($BW$28+Table3[[#This Row],[hit quality remainder]])</f>
        <v>20</v>
      </c>
      <c r="BX16" s="112">
        <f>_xlfn.NORM.DIST(10,Table3[[#This Row],[adjusted launch angle]],Table3[[#This Row],[angle stdev]],TRUE)</f>
        <v>0.45026177516988708</v>
      </c>
      <c r="BY16" s="112">
        <f>1-_xlfn.NORM.DIST(50, Table3[[#This Row],[adjusted launch angle]],Table3[[#This Row],[angle stdev]],TRUE)</f>
        <v>3.0396361765261393E-2</v>
      </c>
      <c r="BZ16" s="112">
        <f t="shared" si="5"/>
        <v>0.42944875004736094</v>
      </c>
      <c r="CA16" s="6">
        <f>$CA$25+Table3[[#This Row],[offense]]*($CA$27-$CA$25)/2</f>
        <v>80</v>
      </c>
      <c r="CB16" s="6">
        <f>Table3[[#This Row],[exit velocity mean]]-Table3[[#This Row],[reduction]]*100</f>
        <v>80</v>
      </c>
      <c r="CC16" s="162">
        <f>Table3[[#This Row],[exit velocity mean]]^2*2*SIN(RADIANS(Table3[[#This Row],[adjusted launch angle]]))/$CC$28*5280</f>
        <v>182.8481858549093</v>
      </c>
      <c r="CD16" s="124">
        <f>2*Table3[[#This Row],[exit velocity mean]]*SIN(RADIANS(Table3[[#This Row],[adjusted launch angle]]))/$CC$28*60*60</f>
        <v>1.558365220354341</v>
      </c>
      <c r="CE16" s="162">
        <f>Table3[[#This Row],[theoretical distance]]-Table3[[#This Row],[flight time]]^2*$CE$25</f>
        <v>143.99215129474877</v>
      </c>
      <c r="CF16" s="6">
        <f>Table3[[#This Row],[exit velocity mean]]+$CC$25-Table3[[#This Row],[reduction]]*100</f>
        <v>92.5</v>
      </c>
      <c r="CG16" s="6">
        <f>MIN(Table3[[#This Row],[adjusted launch angle]]+Table3[[#This Row],[angle stdev]], 30)</f>
        <v>30</v>
      </c>
      <c r="CH16" s="124">
        <f>2*Table3[[#This Row],[+1stdv EV]]*SIN(RADIANS(Table3[[#This Row],[+1stdv LA]]))/$CC$28*60*60</f>
        <v>4.1624999999999988</v>
      </c>
      <c r="CI16" s="162">
        <f>Table3[[#This Row],[+1stdv EV]]^2*2*SIN(RADIANS(Table3[[#This Row],[+1stdv LA]]))/$CC$28*5280-Table3[[#This Row],[+1stdv flight time]]^2*$CE$25</f>
        <v>287.49</v>
      </c>
      <c r="CJ16" s="162">
        <f>Table3[[#This Row],[+1stdev distance]]-Table3[[#This Row],[actual distance]]</f>
        <v>143.49784870525124</v>
      </c>
    </row>
    <row r="17" spans="1:88" s="23" customFormat="1" x14ac:dyDescent="0.25">
      <c r="A17" s="22">
        <f t="shared" si="0"/>
        <v>11</v>
      </c>
      <c r="B17" s="23">
        <f>INDEX(oratings, 1, 1+MOD(Table3[[#This Row],[Rep '#]]-1, COUNT(oratings)))</f>
        <v>1</v>
      </c>
      <c r="C17" s="23">
        <f>INDEX(dratings, 1, MOD(FLOOR( (Table3[[#This Row],[Rep '#]]-1) / COUNT(oratings), 1), COUNT(dratings))+1)</f>
        <v>1</v>
      </c>
      <c r="D17" s="23">
        <f>Table3[[#This Row],[offense]]*$D$26+0.05</f>
        <v>0.15000000000000002</v>
      </c>
      <c r="E17" s="23">
        <f>((2*Table3[[#This Row],[defense]]+1*Table3[[#This Row],[defense]])-1.5)*Table3[[#This Row],[offense]]*$E$26</f>
        <v>0.15000000000000002</v>
      </c>
      <c r="F17" s="23">
        <f>MAX(Table3[[#This Row],[base leadoff]]*(1-Table3[[#This Row],[leadoff modifier]]) * 90, 0)</f>
        <v>11.475</v>
      </c>
      <c r="G17" s="23">
        <f>1.1 - Table3[[#This Row],[defense]]*0.1</f>
        <v>1</v>
      </c>
      <c r="H17" s="23">
        <f xml:space="preserve"> 0.01 - 0.0025 *  Table3[[#This Row],[defense]]</f>
        <v>7.4999999999999997E-3</v>
      </c>
      <c r="I17" s="23">
        <f>1 / Table3[[#This Row],[throw speed (s/ft)]] * ((60 * 60)/5280)</f>
        <v>90.909090909090907</v>
      </c>
      <c r="J17" s="23">
        <f>Table3[[#This Row],[pickoff manuver (s)]]+60*Table3[[#This Row],[throw speed (s/ft)]]</f>
        <v>1.45</v>
      </c>
      <c r="K17" s="23">
        <f>$K$28-$K$26*Table3[[#This Row],[offense]]</f>
        <v>0.7</v>
      </c>
      <c r="L17" s="23">
        <f>0.05 - Table3[[#This Row],[offense]]*$L$26</f>
        <v>0.04</v>
      </c>
      <c r="M17" s="23">
        <f>1 / Table3[[#This Row],[runner speed (s/ft)]] * ((60 * 60)/5280)</f>
        <v>17.045454545454543</v>
      </c>
      <c r="N17" s="23">
        <f>Table3[[#This Row],[runner reaction]]+Table3[[#This Row],[runner speed (s/ft)]]*Table3[[#This Row],[total leadoff (ft)]]</f>
        <v>1.159</v>
      </c>
      <c r="O17" s="24">
        <f>1 - _xlfn.NORM.DIST(Table3[[#This Row],[pickoff time]], Table3[[#This Row],[pickoff evade time]], $O$4, TRUE)</f>
        <v>7.2834630749186058E-2</v>
      </c>
      <c r="P17" s="56">
        <f>_xlfn.NORM.DIST(Table3[[#This Row],[defense]], $P$26, $P$27, TRUE)</f>
        <v>0.99068720985629855</v>
      </c>
      <c r="Q17" s="23" t="b">
        <f>Table3[[#This Row],[pickoff probability]] &gt; 1-Table3[[#This Row],[Fielding Odds]]</f>
        <v>1</v>
      </c>
      <c r="R17" s="56">
        <f>1-Table3[[#This Row],[Fielding Odds]]</f>
        <v>9.3127901437014549E-3</v>
      </c>
      <c r="S17" s="23">
        <f>(90-Table3[[#This Row],[total leadoff (ft)]])*Table3[[#This Row],[runner speed (s/ft)]]</f>
        <v>3.1410000000000005</v>
      </c>
      <c r="T17" s="23">
        <f>$T$26*(2-Table3[[#This Row],[defense]]) + Table3[[#This Row],[pickoff time]]</f>
        <v>1.65</v>
      </c>
      <c r="U17" s="56">
        <f>_xlfn.NORM.DIST(Table3[[#This Row],[Response speed]], Table3[[#This Row],[Blatant steal time]], $U$4, TRUE)</f>
        <v>6.4775717318678221E-3</v>
      </c>
      <c r="V17" s="23">
        <f>Table3[[#This Row],[defense]]+Table3[[#This Row],[defense]]*Table3[[#This Row],[offense]]*$E$26</f>
        <v>1.1000000000000001</v>
      </c>
      <c r="W17" s="23">
        <f t="shared" si="6"/>
        <v>0</v>
      </c>
      <c r="X17" s="56">
        <f>Table3[[#This Row],[ball factor]]/$X$32*(1-$X$34)+$X$34</f>
        <v>0.2</v>
      </c>
      <c r="Y17" s="23">
        <f>Table3[[#This Row],[offense]]</f>
        <v>1</v>
      </c>
      <c r="Z17" s="96">
        <f t="shared" si="1"/>
        <v>-0.90000000000000013</v>
      </c>
      <c r="AA17" s="96">
        <f>IF(Table3[[#This Row],[player control]]&gt;1,Table3[[#This Row],[player control]]*$AA$41+$AA$40,Table3[[#This Row],[player control]]*$AA$39+$AA$38)</f>
        <v>0.40000000000000008</v>
      </c>
      <c r="AB17" s="97">
        <f>_xlfn.NORM.DIST(-1,Table3[[#This Row],[ideal steer]],($AB$25-Table3[[#This Row],[scaled control]])*$AB$27,TRUE)</f>
        <v>0.39059147543357509</v>
      </c>
      <c r="AC17" s="97">
        <f>1-_xlfn.NORM.DIST(1,Table3[[#This Row],[ideal steer]],($AB$25-Table3[[#This Row],[scaled control]])*$AB$27,TRUE)</f>
        <v>6.5379949898414225E-8</v>
      </c>
      <c r="AD17" s="97">
        <f>1-(1-Table3[[#This Row],[unmod foul percent 3rd]])*(1-Table3[[#This Row],[unmod foul percent 1st]])</f>
        <v>0.39059151527667391</v>
      </c>
      <c r="AE17" s="97">
        <f>1-((1-_xlfn.NORM.DIST(-1,0,($AB$25-Table3[[#This Row],[scaled control]])*$AB$27,TRUE))*_xlfn.NORM.DIST(1,0,($AB$25-Table3[[#This Row],[scaled control]])*$AB$27,TRUE))</f>
        <v>5.465714583151815E-3</v>
      </c>
      <c r="AF17" s="23">
        <f>$AF$34*$AF$25</f>
        <v>-4</v>
      </c>
      <c r="AG17" s="23">
        <f>$AG$25*($AG$34*Table3[[#This Row],[offense]])</f>
        <v>0</v>
      </c>
      <c r="AH17" s="23">
        <f t="shared" si="2"/>
        <v>0</v>
      </c>
      <c r="AI17" s="23">
        <f>$AI$34*$AI$25</f>
        <v>0</v>
      </c>
      <c r="AJ17" s="23">
        <f>$AJ$25*(Table3[[#This Row],[offense]]-$AJ$27)</f>
        <v>0</v>
      </c>
      <c r="AK17" s="23" cm="1">
        <f t="array" ref="AK17">SUM(Table3[[#This Row],[count]:[current hitter vs next hitter]]*MIN(1, Table3[[#This Row],[defense]]))</f>
        <v>-4</v>
      </c>
      <c r="AL17" s="97">
        <f>$AL$25-(Table3[[#This Row],[calling modifier]]/(ABS(Table3[[#This Row],[calling modifier]])+$AL$29)*$AL$27)</f>
        <v>0.66666666666666663</v>
      </c>
      <c r="AM17" s="113">
        <f>$AL$25-$AL$27*TANH(Table3[[#This Row],[calling modifier]]/$AM$29)</f>
        <v>0.67895012808996158</v>
      </c>
      <c r="AN17" s="145">
        <f>MAX(0, 1-_xlfn.NORM.S.INV(Table3[[#This Row],[tanh strike percent]])*($AN$25*($AN$27-Table3[[#This Row],[defense]])))</f>
        <v>0.62818798795153219</v>
      </c>
      <c r="AO17" s="146">
        <f>MAX(0, 1-_xlfn.NORM.S.INV(Table3[[#This Row],[tanh strike percent]])*($AN$25*($AN$27-0.2)))</f>
        <v>0.4794631831321452</v>
      </c>
      <c r="AP17" s="146">
        <f>MAX(0, 1-_xlfn.NORM.S.INV(Table3[[#This Row],[tanh strike percent]])*($AN$25*($AN$27-2)))</f>
        <v>0.81409399397576609</v>
      </c>
      <c r="AQ17" s="146">
        <f>Table3[[#This Row],[called position]]-pitchmod*(pitchstdv-Table3[[#This Row],[defense]])</f>
        <v>-0.17181201204846785</v>
      </c>
      <c r="AR17" s="146">
        <f>ABS(Table3[[#This Row],[called position]]+pitchmod*(pitchstdv-Table3[[#This Row],[defense]]))</f>
        <v>1.4281879879515322</v>
      </c>
      <c r="AS17" s="146">
        <f>IF(AND(Table3[[#This Row],[location -1  stdv]]&lt;1, Table3[[#This Row],[location +1 stdv]]&gt;1),0, MIN(Table3[[#This Row],[location -1  stdv]]+1, 1-Table3[[#This Row],[location +1 stdv]]))</f>
        <v>0</v>
      </c>
      <c r="AT17" s="146">
        <f>IF(AND(Table3[[#This Row],[location -1  stdv]]&lt;0, Table3[[#This Row],[location +1 stdv]]&gt;0),1, MAX(1-ABS(Table3[[#This Row],[location -1  stdv]]), Table3[[#This Row],[location +1 stdv]]-1))</f>
        <v>1</v>
      </c>
      <c r="AU17" s="146">
        <f>$AU$30/(ABS(Table3[[#This Row],[called position]]-1)+$AU$27)+$AU$32*Table3[[#This Row],[defense]]</f>
        <v>0.9238976433254833</v>
      </c>
      <c r="AV17" s="146">
        <f>$AU$30/(ABS(0.5-1)+$AU$27)+$AU$32*Table3[[#This Row],[defense]]</f>
        <v>0.83333333333333337</v>
      </c>
      <c r="AW17" s="146">
        <f>$AU$30/(ABS(0.9-1)+$AU$27)+$AU$32*Table3[[#This Row],[defense]]</f>
        <v>1.5000000000000002</v>
      </c>
      <c r="AX17" s="146">
        <f>Table3[[#This Row],[defense]]*$AX$30+MAX(0, Table3[[#This Row],[called position]]-$AX$27)^$AX$25</f>
        <v>1.0458955941327002</v>
      </c>
      <c r="AY17" s="146">
        <f>Table3[[#This Row],[defense]]*$AX$30 + MAX(0, Table3[[#This Row],[location +1 stdv]]-$AX$27)^$AX$25</f>
        <v>1.8942396362496379</v>
      </c>
      <c r="AZ17" s="146">
        <f>Table3[[#This Row],[defense]]*$AX$30+MAX(0, 1-$AX$27)^$AX$25</f>
        <v>1.3535533905932737</v>
      </c>
      <c r="BA17" s="23">
        <f>MAX(0, 0.1*(1-Table3[[#This Row],[defense]]))</f>
        <v>0</v>
      </c>
      <c r="BB17" s="23">
        <f t="shared" si="3"/>
        <v>0.5</v>
      </c>
      <c r="BC17" s="146">
        <f>$AU$30/(ABS(Table3[[#This Row],[Location]]-1)+$AU$27)+$AU$32*Table3[[#This Row],[defense]]</f>
        <v>0.83333333333333337</v>
      </c>
      <c r="BD17" s="23" t="b">
        <f>Table3[[#This Row],[Location]]&lt;= (1+MAX(0, (Table3[[#This Row],[defense]]-1)*0.1))</f>
        <v>1</v>
      </c>
      <c r="BE17" s="125">
        <f>1/(1+Table3[[#This Row],[offense]])</f>
        <v>0.5</v>
      </c>
      <c r="BF17" s="146">
        <f>Table3[[#This Row],[obscurity]]*Table3[[#This Row],[discipline modifier]]</f>
        <v>0.41666666666666669</v>
      </c>
      <c r="BG17" s="113">
        <f>1/(1+Table3[[#This Row],[effective obscurity]])</f>
        <v>0.70588235294117641</v>
      </c>
      <c r="BH17" s="113">
        <f>IF(Table3[[#This Row],[Strike?]],Table3[[#This Row],[odds of read]],1-Table3[[#This Row],[odds of read]])</f>
        <v>0.70588235294117641</v>
      </c>
      <c r="BI17" s="23">
        <f t="shared" si="4"/>
        <v>1</v>
      </c>
      <c r="BJ17" s="113">
        <f>Table3[[#This Row],[desperation echo]]*Table3[[#This Row],[unadjusted swing %]]</f>
        <v>0.70588235294117641</v>
      </c>
      <c r="BK17" s="145">
        <f>Table3[[#This Row],[ave obscurity]]</f>
        <v>0.9238976433254833</v>
      </c>
      <c r="BL17" s="113">
        <f>1/(1+Table3[[#This Row],[ave obscurity]]*Table3[[#This Row],[discipline modifier]])</f>
        <v>0.68401847259102677</v>
      </c>
      <c r="BM17" s="23">
        <f>Table3[[#This Row],[offense]]</f>
        <v>1</v>
      </c>
      <c r="BN17" s="146">
        <f>Table3[[#This Row],[average difficulty]]</f>
        <v>1.0458955941327002</v>
      </c>
      <c r="BO17" s="146">
        <f>Table3[[#This Row],[contact echo]]-Table3[[#This Row],[pitch carry forward diff]]</f>
        <v>-4.5895594132700168E-2</v>
      </c>
      <c r="BP17" s="113">
        <f>1-_xlfn.NORM.DIST($BP$27,Table3[[#This Row],[CF contact readiness]], $BP$30,TRUE)</f>
        <v>0.74259556252249415</v>
      </c>
      <c r="BQ17" s="113">
        <f>1-_xlfn.NORM.DIST($BP$25,Table3[[#This Row],[CF contact readiness]], $BP$30,TRUE)</f>
        <v>0.3636828511595207</v>
      </c>
      <c r="BR17" s="113">
        <f>1-Table3[[#This Row],[foul %]]</f>
        <v>0.25740443747750585</v>
      </c>
      <c r="BS17" s="146">
        <f>(Table3[[#This Row],[CF contact readiness]]-$BP$27)/$BP$30</f>
        <v>0.65136813528909998</v>
      </c>
      <c r="BT17" s="146">
        <f>(Table3[[#This Row],[CF contact readiness]]+$BP$30-$BP$27)/$BP$30</f>
        <v>1.6513681352890999</v>
      </c>
      <c r="BU17" s="23">
        <f>MAX(0, IF(ISBLANK($BU$28), Table3[[#This Row],[hit quality +1stdv]], $BU$28)-1)</f>
        <v>0.5</v>
      </c>
      <c r="BV17" s="23">
        <f>$BV$25+Table3[[#This Row],[offense]]*$BV$28</f>
        <v>15</v>
      </c>
      <c r="BW17" s="23">
        <f>$BW$25*$BW$28/($BW$28+Table3[[#This Row],[hit quality remainder]])</f>
        <v>20</v>
      </c>
      <c r="BX17" s="113">
        <f>_xlfn.NORM.DIST(10,Table3[[#This Row],[adjusted launch angle]],Table3[[#This Row],[angle stdev]],TRUE)</f>
        <v>0.4012936743170763</v>
      </c>
      <c r="BY17" s="113">
        <f>1-_xlfn.NORM.DIST(50, Table3[[#This Row],[adjusted launch angle]],Table3[[#This Row],[angle stdev]],TRUE)</f>
        <v>4.0059156863817114E-2</v>
      </c>
      <c r="BZ17" s="113">
        <f t="shared" si="5"/>
        <v>0.42944875004736094</v>
      </c>
      <c r="CA17" s="23">
        <f>$CA$25+Table3[[#This Row],[offense]]*($CA$27-$CA$25)/2</f>
        <v>90</v>
      </c>
      <c r="CB17" s="23">
        <f>Table3[[#This Row],[exit velocity mean]]-Table3[[#This Row],[reduction]]*100</f>
        <v>90</v>
      </c>
      <c r="CC17" s="163">
        <f>Table3[[#This Row],[exit velocity mean]]^2*2*SIN(RADIANS(Table3[[#This Row],[adjusted launch angle]]))/$CC$28*5280</f>
        <v>276.72932302361517</v>
      </c>
      <c r="CD17" s="125">
        <f>2*Table3[[#This Row],[exit velocity mean]]*SIN(RADIANS(Table3[[#This Row],[adjusted launch angle]]))/$CC$28*60*60</f>
        <v>2.0964342653304175</v>
      </c>
      <c r="CE17" s="163">
        <f>Table3[[#This Row],[theoretical distance]]-Table3[[#This Row],[flight time]]^2*$CE$25</f>
        <v>206.40873696199137</v>
      </c>
      <c r="CF17" s="23">
        <f>Table3[[#This Row],[exit velocity mean]]+$CC$25-Table3[[#This Row],[reduction]]*100</f>
        <v>102.5</v>
      </c>
      <c r="CG17" s="23">
        <f>MIN(Table3[[#This Row],[adjusted launch angle]]+Table3[[#This Row],[angle stdev]], 30)</f>
        <v>30</v>
      </c>
      <c r="CH17" s="125">
        <f>2*Table3[[#This Row],[+1stdv EV]]*SIN(RADIANS(Table3[[#This Row],[+1stdv LA]]))/$CC$28*60*60</f>
        <v>4.6124999999999989</v>
      </c>
      <c r="CI17" s="163">
        <f>Table3[[#This Row],[+1stdv EV]]^2*2*SIN(RADIANS(Table3[[#This Row],[+1stdv LA]]))/$CC$28*5280-Table3[[#This Row],[+1stdv flight time]]^2*$CE$25</f>
        <v>353.01000000000005</v>
      </c>
      <c r="CJ17" s="163">
        <f>Table3[[#This Row],[+1stdev distance]]-Table3[[#This Row],[actual distance]]</f>
        <v>146.60126303800868</v>
      </c>
    </row>
    <row r="18" spans="1:88" s="6" customFormat="1" x14ac:dyDescent="0.25">
      <c r="A18" s="6">
        <f t="shared" si="0"/>
        <v>12</v>
      </c>
      <c r="B18" s="6">
        <f>INDEX(oratings, 1, 1+MOD(Table3[[#This Row],[Rep '#]]-1, COUNT(oratings)))</f>
        <v>2</v>
      </c>
      <c r="C18" s="6">
        <f>INDEX(dratings, 1, MOD(FLOOR( (Table3[[#This Row],[Rep '#]]-1) / COUNT(oratings), 1), COUNT(dratings))+1)</f>
        <v>1</v>
      </c>
      <c r="D18" s="6">
        <f>Table3[[#This Row],[offense]]*$D$26+0.05</f>
        <v>0.25</v>
      </c>
      <c r="E18" s="6">
        <f>((2*Table3[[#This Row],[defense]]+1*Table3[[#This Row],[defense]])-1.5)*Table3[[#This Row],[offense]]*$E$26</f>
        <v>0.30000000000000004</v>
      </c>
      <c r="F18" s="6">
        <f>MAX(Table3[[#This Row],[base leadoff]]*(1-Table3[[#This Row],[leadoff modifier]]) * 90, 0)</f>
        <v>15.749999999999998</v>
      </c>
      <c r="G18" s="6">
        <f>1.1 - Table3[[#This Row],[defense]]*0.1</f>
        <v>1</v>
      </c>
      <c r="H18" s="6">
        <f xml:space="preserve"> 0.01 - 0.0025 *  Table3[[#This Row],[defense]]</f>
        <v>7.4999999999999997E-3</v>
      </c>
      <c r="I18" s="6">
        <f>1 / Table3[[#This Row],[throw speed (s/ft)]] * ((60 * 60)/5280)</f>
        <v>90.909090909090907</v>
      </c>
      <c r="J18" s="6">
        <f>Table3[[#This Row],[pickoff manuver (s)]]+60*Table3[[#This Row],[throw speed (s/ft)]]</f>
        <v>1.45</v>
      </c>
      <c r="K18" s="6">
        <f>$K$28-$K$26*Table3[[#This Row],[offense]]</f>
        <v>0.5</v>
      </c>
      <c r="L18" s="6">
        <f>0.05 - Table3[[#This Row],[offense]]*$L$26</f>
        <v>3.0000000000000002E-2</v>
      </c>
      <c r="M18" s="6">
        <f>1 / Table3[[#This Row],[runner speed (s/ft)]] * ((60 * 60)/5280)</f>
        <v>22.727272727272723</v>
      </c>
      <c r="N18" s="6">
        <f>Table3[[#This Row],[runner reaction]]+Table3[[#This Row],[runner speed (s/ft)]]*Table3[[#This Row],[total leadoff (ft)]]</f>
        <v>0.97249999999999992</v>
      </c>
      <c r="O18" s="9">
        <f>1 - _xlfn.NORM.DIST(Table3[[#This Row],[pickoff time]], Table3[[#This Row],[pickoff evade time]], $O$4, TRUE)</f>
        <v>8.4817013785601914E-3</v>
      </c>
      <c r="P18" s="55">
        <f>_xlfn.NORM.DIST(Table3[[#This Row],[defense]], $P$26, $P$27, TRUE)</f>
        <v>0.99068720985629855</v>
      </c>
      <c r="Q18" s="6" t="b">
        <f>Table3[[#This Row],[pickoff probability]] &gt; 1-Table3[[#This Row],[Fielding Odds]]</f>
        <v>0</v>
      </c>
      <c r="R18" s="55">
        <f>1-Table3[[#This Row],[Fielding Odds]]</f>
        <v>9.3127901437014549E-3</v>
      </c>
      <c r="S18" s="6">
        <f>(90-Table3[[#This Row],[total leadoff (ft)]])*Table3[[#This Row],[runner speed (s/ft)]]</f>
        <v>2.2275</v>
      </c>
      <c r="T18" s="6">
        <f>$T$26*(2-Table3[[#This Row],[defense]]) + Table3[[#This Row],[pickoff time]]</f>
        <v>1.65</v>
      </c>
      <c r="U18" s="55">
        <f>_xlfn.NORM.DIST(Table3[[#This Row],[Response speed]], Table3[[#This Row],[Blatant steal time]], $U$4, TRUE)</f>
        <v>0.16789925159767624</v>
      </c>
      <c r="V18" s="6">
        <f>Table3[[#This Row],[defense]]+Table3[[#This Row],[defense]]*Table3[[#This Row],[offense]]*$E$26</f>
        <v>1.2</v>
      </c>
      <c r="W18" s="6">
        <f t="shared" si="6"/>
        <v>0</v>
      </c>
      <c r="X18" s="55">
        <f>Table3[[#This Row],[ball factor]]/$X$32*(1-$X$34)+$X$34</f>
        <v>0.2</v>
      </c>
      <c r="Y18" s="6">
        <f>Table3[[#This Row],[offense]]</f>
        <v>2</v>
      </c>
      <c r="Z18" s="94">
        <f t="shared" si="1"/>
        <v>-0.90000000000000013</v>
      </c>
      <c r="AA18" s="94">
        <f>IF(Table3[[#This Row],[player control]]&gt;1,Table3[[#This Row],[player control]]*$AA$41+$AA$40,Table3[[#This Row],[player control]]*$AA$39+$AA$38)</f>
        <v>2</v>
      </c>
      <c r="AB18" s="95">
        <f>_xlfn.NORM.DIST(-1,Table3[[#This Row],[ideal steer]],($AB$25-Table3[[#This Row],[scaled control]])*$AB$27,TRUE)</f>
        <v>0.3085375387259871</v>
      </c>
      <c r="AC18" s="95">
        <f>1-_xlfn.NORM.DIST(1,Table3[[#This Row],[ideal steer]],($AB$25-Table3[[#This Row],[scaled control]])*$AB$27,TRUE)</f>
        <v>0</v>
      </c>
      <c r="AD18" s="95">
        <f>1-(1-Table3[[#This Row],[unmod foul percent 3rd]])*(1-Table3[[#This Row],[unmod foul percent 1st]])</f>
        <v>0.3085375387259871</v>
      </c>
      <c r="AE18" s="95">
        <f>1-((1-_xlfn.NORM.DIST(-1,0,($AB$25-Table3[[#This Row],[scaled control]])*$AB$27,TRUE))*_xlfn.NORM.DIST(1,0,($AB$25-Table3[[#This Row],[scaled control]])*$AB$27,TRUE))</f>
        <v>5.7330306169056655E-7</v>
      </c>
      <c r="AF18" s="6">
        <f>$AF$34*$AF$25</f>
        <v>-4</v>
      </c>
      <c r="AG18" s="6">
        <f>$AG$25*($AG$34*Table3[[#This Row],[offense]])</f>
        <v>0</v>
      </c>
      <c r="AH18" s="6">
        <f t="shared" si="2"/>
        <v>0</v>
      </c>
      <c r="AI18" s="6">
        <f>$AI$34*$AI$25</f>
        <v>0</v>
      </c>
      <c r="AJ18" s="6">
        <f>$AJ$25*(Table3[[#This Row],[offense]]-$AJ$27)</f>
        <v>1</v>
      </c>
      <c r="AK18" s="6" cm="1">
        <f t="array" ref="AK18">SUM(Table3[[#This Row],[count]:[current hitter vs next hitter]]*MIN(1, Table3[[#This Row],[defense]]))</f>
        <v>-3</v>
      </c>
      <c r="AL18" s="95">
        <f>$AL$25-(Table3[[#This Row],[calling modifier]]/(ABS(Table3[[#This Row],[calling modifier]])+$AL$29)*$AL$27)</f>
        <v>0.65217391304347827</v>
      </c>
      <c r="AM18" s="112">
        <f>$AL$25-$AL$27*TANH(Table3[[#This Row],[calling modifier]]/$AM$29)</f>
        <v>0.65955401344932718</v>
      </c>
      <c r="AN18" s="143">
        <f>MAX(0, 1-_xlfn.NORM.S.INV(Table3[[#This Row],[tanh strike percent]])*($AN$25*($AN$27-Table3[[#This Row],[defense]])))</f>
        <v>0.67100299464447755</v>
      </c>
      <c r="AO18" s="144">
        <f>MAX(0, 1-_xlfn.NORM.S.INV(Table3[[#This Row],[tanh strike percent]])*($AN$25*($AN$27-0.2)))</f>
        <v>0.53940419250226868</v>
      </c>
      <c r="AP18" s="144">
        <f>MAX(0, 1-_xlfn.NORM.S.INV(Table3[[#This Row],[tanh strike percent]])*($AN$25*($AN$27-2)))</f>
        <v>0.83550149732223877</v>
      </c>
      <c r="AQ18" s="144">
        <f>Table3[[#This Row],[called position]]-pitchmod*(pitchstdv-Table3[[#This Row],[defense]])</f>
        <v>-0.1289970053555225</v>
      </c>
      <c r="AR18" s="144">
        <f>ABS(Table3[[#This Row],[called position]]+pitchmod*(pitchstdv-Table3[[#This Row],[defense]]))</f>
        <v>1.4710029946444776</v>
      </c>
      <c r="AS18" s="144">
        <f>IF(AND(Table3[[#This Row],[location -1  stdv]]&lt;1, Table3[[#This Row],[location +1 stdv]]&gt;1),0, MIN(Table3[[#This Row],[location -1  stdv]]+1, 1-Table3[[#This Row],[location +1 stdv]]))</f>
        <v>0</v>
      </c>
      <c r="AT18" s="144">
        <f>IF(AND(Table3[[#This Row],[location -1  stdv]]&lt;0, Table3[[#This Row],[location +1 stdv]]&gt;0),1, MAX(1-ABS(Table3[[#This Row],[location -1  stdv]]), Table3[[#This Row],[location +1 stdv]]-1))</f>
        <v>1</v>
      </c>
      <c r="AU18" s="144">
        <f>$AU$30/(ABS(Table3[[#This Row],[called position]]-1)+$AU$27)+$AU$32*Table3[[#This Row],[defense]]</f>
        <v>0.96620372054638026</v>
      </c>
      <c r="AV18" s="144">
        <f>$AU$30/(ABS(0.5-1)+$AU$27)+$AU$32*Table3[[#This Row],[defense]]</f>
        <v>0.83333333333333337</v>
      </c>
      <c r="AW18" s="144">
        <f>$AU$30/(ABS(0.9-1)+$AU$27)+$AU$32*Table3[[#This Row],[defense]]</f>
        <v>1.5000000000000002</v>
      </c>
      <c r="AX18" s="144">
        <f>Table3[[#This Row],[defense]]*$AX$30+MAX(0, Table3[[#This Row],[called position]]-$AX$27)^$AX$25</f>
        <v>1.0707140276310017</v>
      </c>
      <c r="AY18" s="144">
        <f>Table3[[#This Row],[defense]]*$AX$30 + MAX(0, Table3[[#This Row],[location +1 stdv]]-$AX$27)^$AX$25</f>
        <v>1.956821342491327</v>
      </c>
      <c r="AZ18" s="144">
        <f>Table3[[#This Row],[defense]]*$AX$30+MAX(0, 1-$AX$27)^$AX$25</f>
        <v>1.3535533905932737</v>
      </c>
      <c r="BA18" s="6">
        <f>MAX(0, 0.1*(1-Table3[[#This Row],[defense]]))</f>
        <v>0</v>
      </c>
      <c r="BB18" s="6">
        <f t="shared" si="3"/>
        <v>0.5</v>
      </c>
      <c r="BC18" s="144">
        <f>$AU$30/(ABS(Table3[[#This Row],[Location]]-1)+$AU$27)+$AU$32*Table3[[#This Row],[defense]]</f>
        <v>0.83333333333333337</v>
      </c>
      <c r="BD18" s="6" t="b">
        <f>Table3[[#This Row],[Location]]&lt;= (1+MAX(0, (Table3[[#This Row],[defense]]-1)*0.1))</f>
        <v>1</v>
      </c>
      <c r="BE18" s="124">
        <f>1/(1+Table3[[#This Row],[offense]])</f>
        <v>0.33333333333333331</v>
      </c>
      <c r="BF18" s="144">
        <f>Table3[[#This Row],[obscurity]]*Table3[[#This Row],[discipline modifier]]</f>
        <v>0.27777777777777779</v>
      </c>
      <c r="BG18" s="112">
        <f>1/(1+Table3[[#This Row],[effective obscurity]])</f>
        <v>0.78260869565217395</v>
      </c>
      <c r="BH18" s="112">
        <f>IF(Table3[[#This Row],[Strike?]],Table3[[#This Row],[odds of read]],1-Table3[[#This Row],[odds of read]])</f>
        <v>0.78260869565217395</v>
      </c>
      <c r="BI18" s="6">
        <f t="shared" si="4"/>
        <v>1</v>
      </c>
      <c r="BJ18" s="112">
        <f>Table3[[#This Row],[desperation echo]]*Table3[[#This Row],[unadjusted swing %]]</f>
        <v>0.78260869565217395</v>
      </c>
      <c r="BK18" s="143">
        <f>Table3[[#This Row],[ave obscurity]]</f>
        <v>0.96620372054638026</v>
      </c>
      <c r="BL18" s="112">
        <f>1/(1+Table3[[#This Row],[ave obscurity]]*Table3[[#This Row],[discipline modifier]])</f>
        <v>0.7563907987022721</v>
      </c>
      <c r="BM18" s="6">
        <f>Table3[[#This Row],[offense]]</f>
        <v>2</v>
      </c>
      <c r="BN18" s="144">
        <f>Table3[[#This Row],[average difficulty]]</f>
        <v>1.0707140276310017</v>
      </c>
      <c r="BO18" s="144">
        <f>Table3[[#This Row],[contact echo]]-Table3[[#This Row],[pitch carry forward diff]]</f>
        <v>0.92928597236899835</v>
      </c>
      <c r="BP18" s="112">
        <f>1-_xlfn.NORM.DIST($BP$27,Table3[[#This Row],[CF contact readiness]], $BP$30,TRUE)</f>
        <v>0.83557395703100679</v>
      </c>
      <c r="BQ18" s="112">
        <f>1-_xlfn.NORM.DIST($BP$25,Table3[[#This Row],[CF contact readiness]], $BP$30,TRUE)</f>
        <v>0.49059726556760985</v>
      </c>
      <c r="BR18" s="112">
        <f>1-Table3[[#This Row],[foul %]]</f>
        <v>0.16442604296899321</v>
      </c>
      <c r="BS18" s="144">
        <f>(Table3[[#This Row],[CF contact readiness]]-$BP$27)/$BP$30</f>
        <v>0.97642865745633278</v>
      </c>
      <c r="BT18" s="144">
        <f>(Table3[[#This Row],[CF contact readiness]]+$BP$30-$BP$27)/$BP$30</f>
        <v>1.9764286574563326</v>
      </c>
      <c r="BU18" s="6">
        <f>MAX(0, IF(ISBLANK($BU$28), Table3[[#This Row],[hit quality +1stdv]], $BU$28)-1)</f>
        <v>0.5</v>
      </c>
      <c r="BV18" s="6">
        <f>$BV$25+Table3[[#This Row],[offense]]*$BV$28</f>
        <v>20</v>
      </c>
      <c r="BW18" s="6">
        <f>$BW$25*$BW$28/($BW$28+Table3[[#This Row],[hit quality remainder]])</f>
        <v>20</v>
      </c>
      <c r="BX18" s="112">
        <f>_xlfn.NORM.DIST(10,Table3[[#This Row],[adjusted launch angle]],Table3[[#This Row],[angle stdev]],TRUE)</f>
        <v>0.30853753872598688</v>
      </c>
      <c r="BY18" s="112">
        <f>1-_xlfn.NORM.DIST(50, Table3[[#This Row],[adjusted launch angle]],Table3[[#This Row],[angle stdev]],TRUE)</f>
        <v>6.6807201268858085E-2</v>
      </c>
      <c r="BZ18" s="112">
        <f t="shared" si="5"/>
        <v>0.42944875004736094</v>
      </c>
      <c r="CA18" s="6">
        <f>$CA$25+Table3[[#This Row],[offense]]*($CA$27-$CA$25)/2</f>
        <v>110</v>
      </c>
      <c r="CB18" s="6">
        <f>Table3[[#This Row],[exit velocity mean]]-Table3[[#This Row],[reduction]]*100</f>
        <v>110</v>
      </c>
      <c r="CC18" s="162">
        <f>Table3[[#This Row],[exit velocity mean]]^2*2*SIN(RADIANS(Table3[[#This Row],[adjusted launch angle]]))/$CC$28*5280</f>
        <v>546.27457291975804</v>
      </c>
      <c r="CD18" s="124">
        <f>2*Table3[[#This Row],[exit velocity mean]]*SIN(RADIANS(Table3[[#This Row],[adjusted launch angle]]))/$CC$28*60*60</f>
        <v>3.3859994189241207</v>
      </c>
      <c r="CE18" s="162">
        <f>Table3[[#This Row],[theoretical distance]]-Table3[[#This Row],[flight time]]^2*$CE$25</f>
        <v>362.83469988048631</v>
      </c>
      <c r="CF18" s="6">
        <f>Table3[[#This Row],[exit velocity mean]]+$CC$25-Table3[[#This Row],[reduction]]*100</f>
        <v>122.5</v>
      </c>
      <c r="CG18" s="6">
        <f>MIN(Table3[[#This Row],[adjusted launch angle]]+Table3[[#This Row],[angle stdev]], 30)</f>
        <v>30</v>
      </c>
      <c r="CH18" s="124">
        <f>2*Table3[[#This Row],[+1stdv EV]]*SIN(RADIANS(Table3[[#This Row],[+1stdv LA]]))/$CC$28*60*60</f>
        <v>5.5124999999999993</v>
      </c>
      <c r="CI18" s="162">
        <f>Table3[[#This Row],[+1stdv EV]]^2*2*SIN(RADIANS(Table3[[#This Row],[+1stdv LA]]))/$CC$28*5280-Table3[[#This Row],[+1stdv flight time]]^2*$CE$25</f>
        <v>504.21000000000004</v>
      </c>
      <c r="CJ18" s="162">
        <f>Table3[[#This Row],[+1stdev distance]]-Table3[[#This Row],[actual distance]]</f>
        <v>141.37530011951372</v>
      </c>
    </row>
    <row r="19" spans="1:88" s="15" customFormat="1" x14ac:dyDescent="0.25">
      <c r="A19" s="15">
        <f t="shared" si="0"/>
        <v>13</v>
      </c>
      <c r="B19" s="15">
        <f>INDEX(oratings, 1, 1+MOD(Table3[[#This Row],[Rep '#]]-1, COUNT(oratings)))</f>
        <v>0.1</v>
      </c>
      <c r="C19" s="15">
        <f>INDEX(dratings, 1, MOD(FLOOR( (Table3[[#This Row],[Rep '#]]-1) / COUNT(oratings), 1), COUNT(dratings))+1)</f>
        <v>2</v>
      </c>
      <c r="D19" s="15">
        <f>Table3[[#This Row],[offense]]*$D$26+0.05</f>
        <v>6.0000000000000005E-2</v>
      </c>
      <c r="E19" s="15">
        <f>((2*Table3[[#This Row],[defense]]+1*Table3[[#This Row],[defense]])-1.5)*Table3[[#This Row],[offense]]*$E$26</f>
        <v>4.5000000000000005E-2</v>
      </c>
      <c r="F19" s="15">
        <f>MAX(Table3[[#This Row],[base leadoff]]*(1-Table3[[#This Row],[leadoff modifier]]) * 90, 0)</f>
        <v>5.157</v>
      </c>
      <c r="G19" s="15">
        <f>1.1 - Table3[[#This Row],[defense]]*0.1</f>
        <v>0.90000000000000013</v>
      </c>
      <c r="H19" s="15">
        <f xml:space="preserve"> 0.01 - 0.0025 *  Table3[[#This Row],[defense]]</f>
        <v>5.0000000000000001E-3</v>
      </c>
      <c r="I19" s="15">
        <f>1 / Table3[[#This Row],[throw speed (s/ft)]] * ((60 * 60)/5280)</f>
        <v>136.36363636363635</v>
      </c>
      <c r="J19" s="15">
        <f>Table3[[#This Row],[pickoff manuver (s)]]+60*Table3[[#This Row],[throw speed (s/ft)]]</f>
        <v>1.2000000000000002</v>
      </c>
      <c r="K19" s="15">
        <f>$K$28-$K$26*Table3[[#This Row],[offense]]</f>
        <v>0.88</v>
      </c>
      <c r="L19" s="15">
        <f>0.05 - Table3[[#This Row],[offense]]*$L$26</f>
        <v>4.9000000000000002E-2</v>
      </c>
      <c r="M19" s="15">
        <f>1 / Table3[[#This Row],[runner speed (s/ft)]] * ((60 * 60)/5280)</f>
        <v>13.914656771799628</v>
      </c>
      <c r="N19" s="15">
        <f>Table3[[#This Row],[runner reaction]]+Table3[[#This Row],[runner speed (s/ft)]]*Table3[[#This Row],[total leadoff (ft)]]</f>
        <v>1.1326929999999999</v>
      </c>
      <c r="O19" s="16">
        <f>1 - _xlfn.NORM.DIST(Table3[[#This Row],[pickoff time]], Table3[[#This Row],[pickoff evade time]], $O$4, TRUE)</f>
        <v>0.36823373145283722</v>
      </c>
      <c r="P19" s="57">
        <f>_xlfn.NORM.DIST(Table3[[#This Row],[defense]], $P$26, $P$27, TRUE)</f>
        <v>0.99836515899365319</v>
      </c>
      <c r="Q19" s="15" t="b">
        <f>Table3[[#This Row],[pickoff probability]] &gt; 1-Table3[[#This Row],[Fielding Odds]]</f>
        <v>1</v>
      </c>
      <c r="R19" s="57">
        <f>1-Table3[[#This Row],[Fielding Odds]]</f>
        <v>1.63484100634681E-3</v>
      </c>
      <c r="S19" s="15">
        <f>(90-Table3[[#This Row],[total leadoff (ft)]])*Table3[[#This Row],[runner speed (s/ft)]]</f>
        <v>4.1573070000000003</v>
      </c>
      <c r="T19" s="15">
        <f>$T$26*(2-Table3[[#This Row],[defense]]) + Table3[[#This Row],[pickoff time]]</f>
        <v>1.2000000000000002</v>
      </c>
      <c r="U19" s="57">
        <f>_xlfn.NORM.DIST(Table3[[#This Row],[Response speed]], Table3[[#This Row],[Blatant steal time]], $U$4, TRUE)</f>
        <v>4.1358582187294249E-7</v>
      </c>
      <c r="V19" s="15">
        <f>Table3[[#This Row],[defense]]+Table3[[#This Row],[defense]]*Table3[[#This Row],[offense]]*$E$26</f>
        <v>2.02</v>
      </c>
      <c r="W19" s="15">
        <f t="shared" si="6"/>
        <v>0</v>
      </c>
      <c r="X19" s="57">
        <f>Table3[[#This Row],[ball factor]]/$X$32*(1-$X$34)+$X$34</f>
        <v>0.2</v>
      </c>
      <c r="Y19" s="15">
        <f>Table3[[#This Row],[offense]]</f>
        <v>0.1</v>
      </c>
      <c r="Z19" s="98">
        <f t="shared" si="1"/>
        <v>-0.90000000000000013</v>
      </c>
      <c r="AA19" s="98">
        <f>IF(Table3[[#This Row],[player control]]&gt;1,Table3[[#This Row],[player control]]*$AA$41+$AA$40,Table3[[#This Row],[player control]]*$AA$39+$AA$38)</f>
        <v>-0.14000000000000001</v>
      </c>
      <c r="AB19" s="99">
        <f>_xlfn.NORM.DIST(-1,Table3[[#This Row],[ideal steer]],($AB$25-Table3[[#This Row],[scaled control]])*$AB$27,TRUE)</f>
        <v>0.40456602559459909</v>
      </c>
      <c r="AC19" s="99">
        <f>1-_xlfn.NORM.DIST(1,Table3[[#This Row],[ideal steer]],($AB$25-Table3[[#This Row],[scaled control]])*$AB$27,TRUE)</f>
        <v>2.2229077858426649E-6</v>
      </c>
      <c r="AD19" s="99">
        <f>1-(1-Table3[[#This Row],[unmod foul percent 3rd]])*(1-Table3[[#This Row],[unmod foul percent 1st]])</f>
        <v>0.40456734918941673</v>
      </c>
      <c r="AE19" s="99">
        <f>1-((1-_xlfn.NORM.DIST(-1,0,($AB$25-Table3[[#This Row],[scaled control]])*$AB$27,TRUE))*_xlfn.NORM.DIST(1,0,($AB$25-Table3[[#This Row],[scaled control]])*$AB$27,TRUE))</f>
        <v>1.5653650964326582E-2</v>
      </c>
      <c r="AF19" s="15">
        <f>$AF$34*$AF$25</f>
        <v>-4</v>
      </c>
      <c r="AG19" s="15">
        <f>$AG$25*($AG$34*Table3[[#This Row],[offense]])</f>
        <v>0</v>
      </c>
      <c r="AH19" s="15">
        <f t="shared" si="2"/>
        <v>0</v>
      </c>
      <c r="AI19" s="15">
        <f>$AI$34*$AI$25</f>
        <v>0</v>
      </c>
      <c r="AJ19" s="15">
        <f>$AJ$25*(Table3[[#This Row],[offense]]-$AJ$27)</f>
        <v>-0.9</v>
      </c>
      <c r="AK19" s="15" cm="1">
        <f t="array" ref="AK19">SUM(Table3[[#This Row],[count]:[current hitter vs next hitter]]*MIN(1, Table3[[#This Row],[defense]]))</f>
        <v>-4.9000000000000004</v>
      </c>
      <c r="AL19" s="99">
        <f>$AL$25-(Table3[[#This Row],[calling modifier]]/(ABS(Table3[[#This Row],[calling modifier]])+$AL$29)*$AL$27)</f>
        <v>0.67871485943775101</v>
      </c>
      <c r="AM19" s="114">
        <f>$AL$25-$AL$27*TANH(Table3[[#This Row],[calling modifier]]/$AM$29)</f>
        <v>0.69608514587447212</v>
      </c>
      <c r="AN19" s="147">
        <f>MAX(0, 1-_xlfn.NORM.S.INV(Table3[[#This Row],[tanh strike percent]])*($AN$25*($AN$27-Table3[[#This Row],[defense]])))</f>
        <v>0.79473045534945519</v>
      </c>
      <c r="AO19" s="148">
        <f>MAX(0, 1-_xlfn.NORM.S.INV(Table3[[#This Row],[tanh strike percent]])*($AN$25*($AN$27-0.2)))</f>
        <v>0.42524527497847475</v>
      </c>
      <c r="AP19" s="148">
        <f>MAX(0, 1-_xlfn.NORM.S.INV(Table3[[#This Row],[tanh strike percent]])*($AN$25*($AN$27-2)))</f>
        <v>0.79473045534945519</v>
      </c>
      <c r="AQ19" s="148">
        <f>Table3[[#This Row],[called position]]-pitchmod*(pitchstdv-Table3[[#This Row],[defense]])</f>
        <v>0.39473045534945517</v>
      </c>
      <c r="AR19" s="148">
        <f>ABS(Table3[[#This Row],[called position]]+pitchmod*(pitchstdv-Table3[[#This Row],[defense]]))</f>
        <v>1.1947304553494553</v>
      </c>
      <c r="AS19" s="148">
        <f>IF(AND(Table3[[#This Row],[location -1  stdv]]&lt;1, Table3[[#This Row],[location +1 stdv]]&gt;1),0, MIN(Table3[[#This Row],[location -1  stdv]]+1, 1-Table3[[#This Row],[location +1 stdv]]))</f>
        <v>0</v>
      </c>
      <c r="AT19" s="148">
        <f>IF(AND(Table3[[#This Row],[location -1  stdv]]&lt;0, Table3[[#This Row],[location +1 stdv]]&gt;0),1, MAX(1-ABS(Table3[[#This Row],[location -1  stdv]]), Table3[[#This Row],[location +1 stdv]]-1))</f>
        <v>0.60526954465054483</v>
      </c>
      <c r="AU19" s="148">
        <f>$AU$30/(ABS(Table3[[#This Row],[called position]]-1)+$AU$27)+$AU$32*Table3[[#This Row],[defense]]</f>
        <v>1.6551587064767586</v>
      </c>
      <c r="AV19" s="148">
        <f>$AU$30/(ABS(0.5-1)+$AU$27)+$AU$32*Table3[[#This Row],[defense]]</f>
        <v>1.3333333333333335</v>
      </c>
      <c r="AW19" s="148">
        <f>$AU$30/(ABS(0.9-1)+$AU$27)+$AU$32*Table3[[#This Row],[defense]]</f>
        <v>2</v>
      </c>
      <c r="AX19" s="148">
        <f>Table3[[#This Row],[defense]]*$AX$30+MAX(0, Table3[[#This Row],[called position]]-$AX$27)^$AX$25</f>
        <v>2.1600064620877775</v>
      </c>
      <c r="AY19" s="148">
        <f>Table3[[#This Row],[defense]]*$AX$30 + MAX(0, Table3[[#This Row],[location +1 stdv]]-$AX$27)^$AX$25</f>
        <v>2.5790612541434479</v>
      </c>
      <c r="AZ19" s="148">
        <f>Table3[[#This Row],[defense]]*$AX$30+MAX(0, 1-$AX$27)^$AX$25</f>
        <v>2.353553390593274</v>
      </c>
      <c r="BA19" s="15">
        <f>MAX(0, 0.1*(1-Table3[[#This Row],[defense]]))</f>
        <v>0</v>
      </c>
      <c r="BB19" s="15">
        <f t="shared" si="3"/>
        <v>0.5</v>
      </c>
      <c r="BC19" s="148">
        <f>$AU$30/(ABS(Table3[[#This Row],[Location]]-1)+$AU$27)+$AU$32*Table3[[#This Row],[defense]]</f>
        <v>1.3333333333333335</v>
      </c>
      <c r="BD19" s="15" t="b">
        <f>Table3[[#This Row],[Location]]&lt;= (1+MAX(0, (Table3[[#This Row],[defense]]-1)*0.1))</f>
        <v>1</v>
      </c>
      <c r="BE19" s="126">
        <f>1/(1+Table3[[#This Row],[offense]])</f>
        <v>0.90909090909090906</v>
      </c>
      <c r="BF19" s="148">
        <f>Table3[[#This Row],[obscurity]]*Table3[[#This Row],[discipline modifier]]</f>
        <v>1.2121212121212122</v>
      </c>
      <c r="BG19" s="114">
        <f>1/(1+Table3[[#This Row],[effective obscurity]])</f>
        <v>0.45205479452054798</v>
      </c>
      <c r="BH19" s="114">
        <f>IF(Table3[[#This Row],[Strike?]],Table3[[#This Row],[odds of read]],1-Table3[[#This Row],[odds of read]])</f>
        <v>0.45205479452054798</v>
      </c>
      <c r="BI19" s="15">
        <f t="shared" si="4"/>
        <v>1</v>
      </c>
      <c r="BJ19" s="114">
        <f>Table3[[#This Row],[desperation echo]]*Table3[[#This Row],[unadjusted swing %]]</f>
        <v>0.45205479452054798</v>
      </c>
      <c r="BK19" s="147">
        <f>Table3[[#This Row],[ave obscurity]]</f>
        <v>1.6551587064767586</v>
      </c>
      <c r="BL19" s="114">
        <f>1/(1+Table3[[#This Row],[ave obscurity]]*Table3[[#This Row],[discipline modifier]])</f>
        <v>0.39925104764896024</v>
      </c>
      <c r="BM19" s="15">
        <f>Table3[[#This Row],[offense]]</f>
        <v>0.1</v>
      </c>
      <c r="BN19" s="148">
        <f>Table3[[#This Row],[average difficulty]]</f>
        <v>2.1600064620877775</v>
      </c>
      <c r="BO19" s="148">
        <f>Table3[[#This Row],[contact echo]]-Table3[[#This Row],[pitch carry forward diff]]</f>
        <v>-2.0600064620877774</v>
      </c>
      <c r="BP19" s="114">
        <f>1-_xlfn.NORM.DIST($BP$27,Table3[[#This Row],[CF contact readiness]], $BP$30,TRUE)</f>
        <v>0.49202082712162132</v>
      </c>
      <c r="BQ19" s="114">
        <f>1-_xlfn.NORM.DIST($BP$25,Table3[[#This Row],[CF contact readiness]], $BP$30,TRUE)</f>
        <v>0.15386371958413303</v>
      </c>
      <c r="BR19" s="114">
        <f>1-Table3[[#This Row],[foul %]]</f>
        <v>0.50797917287837868</v>
      </c>
      <c r="BS19" s="148">
        <f>(Table3[[#This Row],[CF contact readiness]]-$BP$27)/$BP$30</f>
        <v>-2.0002154029259128E-2</v>
      </c>
      <c r="BT19" s="148">
        <f>(Table3[[#This Row],[CF contact readiness]]+$BP$30-$BP$27)/$BP$30</f>
        <v>0.97999784597074091</v>
      </c>
      <c r="BU19" s="15">
        <f>MAX(0, IF(ISBLANK($BU$28), Table3[[#This Row],[hit quality +1stdv]], $BU$28)-1)</f>
        <v>0.5</v>
      </c>
      <c r="BV19" s="15">
        <f>$BV$25+Table3[[#This Row],[offense]]*$BV$28</f>
        <v>10.5</v>
      </c>
      <c r="BW19" s="15">
        <f>$BW$25*$BW$28/($BW$28+Table3[[#This Row],[hit quality remainder]])</f>
        <v>20</v>
      </c>
      <c r="BX19" s="114">
        <f>_xlfn.NORM.DIST(10,Table3[[#This Row],[adjusted launch angle]],Table3[[#This Row],[angle stdev]],TRUE)</f>
        <v>0.49002748180476197</v>
      </c>
      <c r="BY19" s="114">
        <f>1-_xlfn.NORM.DIST(50, Table3[[#This Row],[adjusted launch angle]],Table3[[#This Row],[angle stdev]],TRUE)</f>
        <v>2.4134074004724781E-2</v>
      </c>
      <c r="BZ19" s="114">
        <f t="shared" si="5"/>
        <v>0.42944875004736094</v>
      </c>
      <c r="CA19" s="15">
        <f>$CA$25+Table3[[#This Row],[offense]]*($CA$27-$CA$25)/2</f>
        <v>72</v>
      </c>
      <c r="CB19" s="15">
        <f>Table3[[#This Row],[exit velocity mean]]-Table3[[#This Row],[reduction]]*100</f>
        <v>72</v>
      </c>
      <c r="CC19" s="164">
        <f>Table3[[#This Row],[exit velocity mean]]^2*2*SIN(RADIANS(Table3[[#This Row],[adjusted launch angle]]))/$CC$28*5280</f>
        <v>124.70158326797061</v>
      </c>
      <c r="CD19" s="126">
        <f>2*Table3[[#This Row],[exit velocity mean]]*SIN(RADIANS(Table3[[#This Row],[adjusted launch angle]]))/$CC$28*60*60</f>
        <v>1.1808862051891156</v>
      </c>
      <c r="CE19" s="164">
        <f>Table3[[#This Row],[theoretical distance]]-Table3[[#This Row],[flight time]]^2*$CE$25</f>
        <v>102.38970759427541</v>
      </c>
      <c r="CF19" s="15">
        <f>Table3[[#This Row],[exit velocity mean]]+$CC$25-Table3[[#This Row],[reduction]]*100</f>
        <v>84.5</v>
      </c>
      <c r="CG19" s="15">
        <f>MIN(Table3[[#This Row],[adjusted launch angle]]+Table3[[#This Row],[angle stdev]], 30)</f>
        <v>30</v>
      </c>
      <c r="CH19" s="126">
        <f>2*Table3[[#This Row],[+1stdv EV]]*SIN(RADIANS(Table3[[#This Row],[+1stdv LA]]))/$CC$28*60*60</f>
        <v>3.8024999999999993</v>
      </c>
      <c r="CI19" s="164">
        <f>Table3[[#This Row],[+1stdv EV]]^2*2*SIN(RADIANS(Table3[[#This Row],[+1stdv LA]]))/$CC$28*5280-Table3[[#This Row],[+1stdv flight time]]^2*$CE$25</f>
        <v>239.91240000000005</v>
      </c>
      <c r="CJ19" s="164">
        <f>Table3[[#This Row],[+1stdev distance]]-Table3[[#This Row],[actual distance]]</f>
        <v>137.52269240572463</v>
      </c>
    </row>
    <row r="20" spans="1:88" s="11" customFormat="1" x14ac:dyDescent="0.25">
      <c r="A20" s="11">
        <f t="shared" si="0"/>
        <v>14</v>
      </c>
      <c r="B20" s="11">
        <f>INDEX(oratings, 1, 1+MOD(Table3[[#This Row],[Rep '#]]-1, COUNT(oratings)))</f>
        <v>0.5</v>
      </c>
      <c r="C20" s="11">
        <f>INDEX(dratings, 1, MOD(FLOOR( (Table3[[#This Row],[Rep '#]]-1) / COUNT(oratings), 1), COUNT(dratings))+1)</f>
        <v>2</v>
      </c>
      <c r="D20" s="11">
        <f>Table3[[#This Row],[offense]]*$D$26+0.05</f>
        <v>0.1</v>
      </c>
      <c r="E20" s="11">
        <f>((2*Table3[[#This Row],[defense]]+1*Table3[[#This Row],[defense]])-1.5)*Table3[[#This Row],[offense]]*$E$26</f>
        <v>0.22500000000000001</v>
      </c>
      <c r="F20" s="11">
        <f>MAX(Table3[[#This Row],[base leadoff]]*(1-Table3[[#This Row],[leadoff modifier]]) * 90, 0)</f>
        <v>6.9750000000000014</v>
      </c>
      <c r="G20" s="11">
        <f>1.1 - Table3[[#This Row],[defense]]*0.1</f>
        <v>0.90000000000000013</v>
      </c>
      <c r="H20" s="11">
        <f xml:space="preserve"> 0.01 - 0.0025 *  Table3[[#This Row],[defense]]</f>
        <v>5.0000000000000001E-3</v>
      </c>
      <c r="I20" s="11">
        <f>1 / Table3[[#This Row],[throw speed (s/ft)]] * ((60 * 60)/5280)</f>
        <v>136.36363636363635</v>
      </c>
      <c r="J20" s="11">
        <f>Table3[[#This Row],[pickoff manuver (s)]]+60*Table3[[#This Row],[throw speed (s/ft)]]</f>
        <v>1.2000000000000002</v>
      </c>
      <c r="K20" s="11">
        <f>$K$28-$K$26*Table3[[#This Row],[offense]]</f>
        <v>0.8</v>
      </c>
      <c r="L20" s="11">
        <f>0.05 - Table3[[#This Row],[offense]]*$L$26</f>
        <v>4.5000000000000005E-2</v>
      </c>
      <c r="M20" s="11">
        <f>1 / Table3[[#This Row],[runner speed (s/ft)]] * ((60 * 60)/5280)</f>
        <v>15.151515151515147</v>
      </c>
      <c r="N20" s="11">
        <f>Table3[[#This Row],[runner reaction]]+Table3[[#This Row],[runner speed (s/ft)]]*Table3[[#This Row],[total leadoff (ft)]]</f>
        <v>1.1138750000000002</v>
      </c>
      <c r="O20" s="12">
        <f>1 - _xlfn.NORM.DIST(Table3[[#This Row],[pickoff time]], Table3[[#This Row],[pickoff evade time]], $O$4, TRUE)</f>
        <v>0.33337053015354379</v>
      </c>
      <c r="P20" s="58">
        <f>_xlfn.NORM.DIST(Table3[[#This Row],[defense]], $P$26, $P$27, TRUE)</f>
        <v>0.99836515899365319</v>
      </c>
      <c r="Q20" s="11" t="b">
        <f>Table3[[#This Row],[pickoff probability]] &gt; 1-Table3[[#This Row],[Fielding Odds]]</f>
        <v>1</v>
      </c>
      <c r="R20" s="58">
        <f>1-Table3[[#This Row],[Fielding Odds]]</f>
        <v>1.63484100634681E-3</v>
      </c>
      <c r="S20" s="11">
        <f>(90-Table3[[#This Row],[total leadoff (ft)]])*Table3[[#This Row],[runner speed (s/ft)]]</f>
        <v>3.7361250000000008</v>
      </c>
      <c r="T20" s="11">
        <f>$T$26*(2-Table3[[#This Row],[defense]]) + Table3[[#This Row],[pickoff time]]</f>
        <v>1.2000000000000002</v>
      </c>
      <c r="U20" s="58">
        <f>_xlfn.NORM.DIST(Table3[[#This Row],[Response speed]], Table3[[#This Row],[Blatant steal time]], $U$4, TRUE)</f>
        <v>1.1847960716990601E-5</v>
      </c>
      <c r="V20" s="11">
        <f>Table3[[#This Row],[defense]]+Table3[[#This Row],[defense]]*Table3[[#This Row],[offense]]*$E$26</f>
        <v>2.1</v>
      </c>
      <c r="W20" s="11">
        <f t="shared" si="6"/>
        <v>0</v>
      </c>
      <c r="X20" s="58">
        <f>Table3[[#This Row],[ball factor]]/$X$32*(1-$X$34)+$X$34</f>
        <v>0.2</v>
      </c>
      <c r="Y20" s="11">
        <f>Table3[[#This Row],[offense]]</f>
        <v>0.5</v>
      </c>
      <c r="Z20" s="100">
        <f t="shared" si="1"/>
        <v>-0.90000000000000013</v>
      </c>
      <c r="AA20" s="100">
        <f>IF(Table3[[#This Row],[player control]]&gt;1,Table3[[#This Row],[player control]]*$AA$41+$AA$40,Table3[[#This Row],[player control]]*$AA$39+$AA$38)</f>
        <v>0.10000000000000003</v>
      </c>
      <c r="AB20" s="101">
        <f>_xlfn.NORM.DIST(-1,Table3[[#This Row],[ideal steer]],($AB$25-Table3[[#This Row],[scaled control]])*$AB$27,TRUE)</f>
        <v>0.39881703452798722</v>
      </c>
      <c r="AC20" s="101">
        <f>1-_xlfn.NORM.DIST(1,Table3[[#This Row],[ideal steer]],($AB$25-Table3[[#This Row],[scaled control]])*$AB$27,TRUE)</f>
        <v>5.5294477940837083E-7</v>
      </c>
      <c r="AD20" s="101">
        <f>1-(1-Table3[[#This Row],[unmod foul percent 3rd]])*(1-Table3[[#This Row],[unmod foul percent 1st]])</f>
        <v>0.39881736694896941</v>
      </c>
      <c r="AE20" s="101">
        <f>1-((1-_xlfn.NORM.DIST(-1,0,($AB$25-Table3[[#This Row],[scaled control]])*$AB$27,TRUE))*_xlfn.NORM.DIST(1,0,($AB$25-Table3[[#This Row],[scaled control]])*$AB$27,TRUE))</f>
        <v>1.0317546081842099E-2</v>
      </c>
      <c r="AF20" s="11">
        <f>$AF$34*$AF$25</f>
        <v>-4</v>
      </c>
      <c r="AG20" s="11">
        <f>$AG$25*($AG$34*Table3[[#This Row],[offense]])</f>
        <v>0</v>
      </c>
      <c r="AH20" s="11">
        <f t="shared" si="2"/>
        <v>0</v>
      </c>
      <c r="AI20" s="11">
        <f>$AI$34*$AI$25</f>
        <v>0</v>
      </c>
      <c r="AJ20" s="11">
        <f>$AJ$25*(Table3[[#This Row],[offense]]-$AJ$27)</f>
        <v>-0.5</v>
      </c>
      <c r="AK20" s="11" cm="1">
        <f t="array" ref="AK20">SUM(Table3[[#This Row],[count]:[current hitter vs next hitter]]*MIN(1, Table3[[#This Row],[defense]]))</f>
        <v>-4.5</v>
      </c>
      <c r="AL20" s="101">
        <f>$AL$25-(Table3[[#This Row],[calling modifier]]/(ABS(Table3[[#This Row],[calling modifier]])+$AL$29)*$AL$27)</f>
        <v>0.67346938775510201</v>
      </c>
      <c r="AM20" s="115">
        <f>$AL$25-$AL$27*TANH(Table3[[#This Row],[calling modifier]]/$AM$29)</f>
        <v>0.68851138715937754</v>
      </c>
      <c r="AN20" s="149">
        <f>MAX(0, 1-_xlfn.NORM.S.INV(Table3[[#This Row],[tanh strike percent]])*($AN$25*($AN$27-Table3[[#This Row],[defense]])))</f>
        <v>0.80334590351824497</v>
      </c>
      <c r="AO20" s="150">
        <f>MAX(0, 1-_xlfn.NORM.S.INV(Table3[[#This Row],[tanh strike percent]])*($AN$25*($AN$27-0.2)))</f>
        <v>0.449368529851086</v>
      </c>
      <c r="AP20" s="150">
        <f>MAX(0, 1-_xlfn.NORM.S.INV(Table3[[#This Row],[tanh strike percent]])*($AN$25*($AN$27-2)))</f>
        <v>0.80334590351824497</v>
      </c>
      <c r="AQ20" s="150">
        <f>Table3[[#This Row],[called position]]-pitchmod*(pitchstdv-Table3[[#This Row],[defense]])</f>
        <v>0.40334590351824495</v>
      </c>
      <c r="AR20" s="150">
        <f>ABS(Table3[[#This Row],[called position]]+pitchmod*(pitchstdv-Table3[[#This Row],[defense]]))</f>
        <v>1.203345903518245</v>
      </c>
      <c r="AS20" s="150">
        <f>IF(AND(Table3[[#This Row],[location -1  stdv]]&lt;1, Table3[[#This Row],[location +1 stdv]]&gt;1),0, MIN(Table3[[#This Row],[location -1  stdv]]+1, 1-Table3[[#This Row],[location +1 stdv]]))</f>
        <v>0</v>
      </c>
      <c r="AT20" s="150">
        <f>IF(AND(Table3[[#This Row],[location -1  stdv]]&lt;0, Table3[[#This Row],[location +1 stdv]]&gt;0),1, MAX(1-ABS(Table3[[#This Row],[location -1  stdv]]), Table3[[#This Row],[location +1 stdv]]-1))</f>
        <v>0.59665409648175505</v>
      </c>
      <c r="AU20" s="150">
        <f>$AU$30/(ABS(Table3[[#This Row],[called position]]-1)+$AU$27)+$AU$32*Table3[[#This Row],[defense]]</f>
        <v>1.6741858695765575</v>
      </c>
      <c r="AV20" s="150">
        <f>$AU$30/(ABS(0.5-1)+$AU$27)+$AU$32*Table3[[#This Row],[defense]]</f>
        <v>1.3333333333333335</v>
      </c>
      <c r="AW20" s="150">
        <f>$AU$30/(ABS(0.9-1)+$AU$27)+$AU$32*Table3[[#This Row],[defense]]</f>
        <v>2</v>
      </c>
      <c r="AX20" s="150">
        <f>Table3[[#This Row],[defense]]*$AX$30+MAX(0, Table3[[#This Row],[called position]]-$AX$27)^$AX$25</f>
        <v>2.1670733580522925</v>
      </c>
      <c r="AY20" s="150">
        <f>Table3[[#This Row],[defense]]*$AX$30 + MAX(0, Table3[[#This Row],[location +1 stdv]]-$AX$27)^$AX$25</f>
        <v>2.5898661079238132</v>
      </c>
      <c r="AZ20" s="150">
        <f>Table3[[#This Row],[defense]]*$AX$30+MAX(0, 1-$AX$27)^$AX$25</f>
        <v>2.353553390593274</v>
      </c>
      <c r="BA20" s="11">
        <f>MAX(0, 0.1*(1-Table3[[#This Row],[defense]]))</f>
        <v>0</v>
      </c>
      <c r="BB20" s="11">
        <f t="shared" si="3"/>
        <v>0.5</v>
      </c>
      <c r="BC20" s="150">
        <f>$AU$30/(ABS(Table3[[#This Row],[Location]]-1)+$AU$27)+$AU$32*Table3[[#This Row],[defense]]</f>
        <v>1.3333333333333335</v>
      </c>
      <c r="BD20" s="11" t="b">
        <f>Table3[[#This Row],[Location]]&lt;= (1+MAX(0, (Table3[[#This Row],[defense]]-1)*0.1))</f>
        <v>1</v>
      </c>
      <c r="BE20" s="127">
        <f>1/(1+Table3[[#This Row],[offense]])</f>
        <v>0.66666666666666663</v>
      </c>
      <c r="BF20" s="150">
        <f>Table3[[#This Row],[obscurity]]*Table3[[#This Row],[discipline modifier]]</f>
        <v>0.88888888888888895</v>
      </c>
      <c r="BG20" s="115">
        <f>1/(1+Table3[[#This Row],[effective obscurity]])</f>
        <v>0.52941176470588236</v>
      </c>
      <c r="BH20" s="115">
        <f>IF(Table3[[#This Row],[Strike?]],Table3[[#This Row],[odds of read]],1-Table3[[#This Row],[odds of read]])</f>
        <v>0.52941176470588236</v>
      </c>
      <c r="BI20" s="11">
        <f t="shared" si="4"/>
        <v>1</v>
      </c>
      <c r="BJ20" s="115">
        <f>Table3[[#This Row],[desperation echo]]*Table3[[#This Row],[unadjusted swing %]]</f>
        <v>0.52941176470588236</v>
      </c>
      <c r="BK20" s="149">
        <f>Table3[[#This Row],[ave obscurity]]</f>
        <v>1.6741858695765575</v>
      </c>
      <c r="BL20" s="115">
        <f>1/(1+Table3[[#This Row],[ave obscurity]]*Table3[[#This Row],[discipline modifier]])</f>
        <v>0.472562118802483</v>
      </c>
      <c r="BM20" s="11">
        <f>Table3[[#This Row],[offense]]</f>
        <v>0.5</v>
      </c>
      <c r="BN20" s="150">
        <f>Table3[[#This Row],[average difficulty]]</f>
        <v>2.1670733580522925</v>
      </c>
      <c r="BO20" s="150">
        <f>Table3[[#This Row],[contact echo]]-Table3[[#This Row],[pitch carry forward diff]]</f>
        <v>-1.6670733580522925</v>
      </c>
      <c r="BP20" s="115">
        <f>1-_xlfn.NORM.DIST($BP$27,Table3[[#This Row],[CF contact readiness]], $BP$30,TRUE)</f>
        <v>0.54418213132312188</v>
      </c>
      <c r="BQ20" s="115">
        <f>1-_xlfn.NORM.DIST($BP$25,Table3[[#This Row],[CF contact readiness]], $BP$30,TRUE)</f>
        <v>0.18699496913825597</v>
      </c>
      <c r="BR20" s="115">
        <f>1-Table3[[#This Row],[foul %]]</f>
        <v>0.45581786867687812</v>
      </c>
      <c r="BS20" s="150">
        <f>(Table3[[#This Row],[CF contact readiness]]-$BP$27)/$BP$30</f>
        <v>0.11097554731590249</v>
      </c>
      <c r="BT20" s="150">
        <f>(Table3[[#This Row],[CF contact readiness]]+$BP$30-$BP$27)/$BP$30</f>
        <v>1.1109755473159024</v>
      </c>
      <c r="BU20" s="11">
        <f>MAX(0, IF(ISBLANK($BU$28), Table3[[#This Row],[hit quality +1stdv]], $BU$28)-1)</f>
        <v>0.5</v>
      </c>
      <c r="BV20" s="11">
        <f>$BV$25+Table3[[#This Row],[offense]]*$BV$28</f>
        <v>12.5</v>
      </c>
      <c r="BW20" s="11">
        <f>$BW$25*$BW$28/($BW$28+Table3[[#This Row],[hit quality remainder]])</f>
        <v>20</v>
      </c>
      <c r="BX20" s="115">
        <f>_xlfn.NORM.DIST(10,Table3[[#This Row],[adjusted launch angle]],Table3[[#This Row],[angle stdev]],TRUE)</f>
        <v>0.45026177516988708</v>
      </c>
      <c r="BY20" s="115">
        <f>1-_xlfn.NORM.DIST(50, Table3[[#This Row],[adjusted launch angle]],Table3[[#This Row],[angle stdev]],TRUE)</f>
        <v>3.0396361765261393E-2</v>
      </c>
      <c r="BZ20" s="115">
        <f t="shared" si="5"/>
        <v>0.42944875004736094</v>
      </c>
      <c r="CA20" s="11">
        <f>$CA$25+Table3[[#This Row],[offense]]*($CA$27-$CA$25)/2</f>
        <v>80</v>
      </c>
      <c r="CB20" s="11">
        <f>Table3[[#This Row],[exit velocity mean]]-Table3[[#This Row],[reduction]]*100</f>
        <v>80</v>
      </c>
      <c r="CC20" s="165">
        <f>Table3[[#This Row],[exit velocity mean]]^2*2*SIN(RADIANS(Table3[[#This Row],[adjusted launch angle]]))/$CC$28*5280</f>
        <v>182.8481858549093</v>
      </c>
      <c r="CD20" s="127">
        <f>2*Table3[[#This Row],[exit velocity mean]]*SIN(RADIANS(Table3[[#This Row],[adjusted launch angle]]))/$CC$28*60*60</f>
        <v>1.558365220354341</v>
      </c>
      <c r="CE20" s="165">
        <f>Table3[[#This Row],[theoretical distance]]-Table3[[#This Row],[flight time]]^2*$CE$25</f>
        <v>143.99215129474877</v>
      </c>
      <c r="CF20" s="11">
        <f>Table3[[#This Row],[exit velocity mean]]+$CC$25-Table3[[#This Row],[reduction]]*100</f>
        <v>92.5</v>
      </c>
      <c r="CG20" s="11">
        <f>MIN(Table3[[#This Row],[adjusted launch angle]]+Table3[[#This Row],[angle stdev]], 30)</f>
        <v>30</v>
      </c>
      <c r="CH20" s="127">
        <f>2*Table3[[#This Row],[+1stdv EV]]*SIN(RADIANS(Table3[[#This Row],[+1stdv LA]]))/$CC$28*60*60</f>
        <v>4.1624999999999988</v>
      </c>
      <c r="CI20" s="165">
        <f>Table3[[#This Row],[+1stdv EV]]^2*2*SIN(RADIANS(Table3[[#This Row],[+1stdv LA]]))/$CC$28*5280-Table3[[#This Row],[+1stdv flight time]]^2*$CE$25</f>
        <v>287.49</v>
      </c>
      <c r="CJ20" s="165">
        <f>Table3[[#This Row],[+1stdev distance]]-Table3[[#This Row],[actual distance]]</f>
        <v>143.49784870525124</v>
      </c>
    </row>
    <row r="21" spans="1:88" s="15" customFormat="1" x14ac:dyDescent="0.25">
      <c r="A21" s="15">
        <f t="shared" si="0"/>
        <v>15</v>
      </c>
      <c r="B21" s="15">
        <f>INDEX(oratings, 1, 1+MOD(Table3[[#This Row],[Rep '#]]-1, COUNT(oratings)))</f>
        <v>1</v>
      </c>
      <c r="C21" s="15">
        <f>INDEX(dratings, 1, MOD(FLOOR( (Table3[[#This Row],[Rep '#]]-1) / COUNT(oratings), 1), COUNT(dratings))+1)</f>
        <v>2</v>
      </c>
      <c r="D21" s="15">
        <f>Table3[[#This Row],[offense]]*$D$26+0.05</f>
        <v>0.15000000000000002</v>
      </c>
      <c r="E21" s="15">
        <f>((2*Table3[[#This Row],[defense]]+1*Table3[[#This Row],[defense]])-1.5)*Table3[[#This Row],[offense]]*$E$26</f>
        <v>0.45</v>
      </c>
      <c r="F21" s="15">
        <f>MAX(Table3[[#This Row],[base leadoff]]*(1-Table3[[#This Row],[leadoff modifier]]) * 90, 0)</f>
        <v>7.4250000000000016</v>
      </c>
      <c r="G21" s="15">
        <f>1.1 - Table3[[#This Row],[defense]]*0.1</f>
        <v>0.90000000000000013</v>
      </c>
      <c r="H21" s="15">
        <f xml:space="preserve"> 0.01 - 0.0025 *  Table3[[#This Row],[defense]]</f>
        <v>5.0000000000000001E-3</v>
      </c>
      <c r="I21" s="15">
        <f>1 / Table3[[#This Row],[throw speed (s/ft)]] * ((60 * 60)/5280)</f>
        <v>136.36363636363635</v>
      </c>
      <c r="J21" s="15">
        <f>Table3[[#This Row],[pickoff manuver (s)]]+60*Table3[[#This Row],[throw speed (s/ft)]]</f>
        <v>1.2000000000000002</v>
      </c>
      <c r="K21" s="15">
        <f>$K$28-$K$26*Table3[[#This Row],[offense]]</f>
        <v>0.7</v>
      </c>
      <c r="L21" s="15">
        <f>0.05 - Table3[[#This Row],[offense]]*$L$26</f>
        <v>0.04</v>
      </c>
      <c r="M21" s="15">
        <f>1 / Table3[[#This Row],[runner speed (s/ft)]] * ((60 * 60)/5280)</f>
        <v>17.045454545454543</v>
      </c>
      <c r="N21" s="15">
        <f>Table3[[#This Row],[runner reaction]]+Table3[[#This Row],[runner speed (s/ft)]]*Table3[[#This Row],[total leadoff (ft)]]</f>
        <v>0.99700000000000011</v>
      </c>
      <c r="O21" s="16">
        <f>1 - _xlfn.NORM.DIST(Table3[[#This Row],[pickoff time]], Table3[[#This Row],[pickoff evade time]], $O$4, TRUE)</f>
        <v>0.15505291375244945</v>
      </c>
      <c r="P21" s="57">
        <f>_xlfn.NORM.DIST(Table3[[#This Row],[defense]], $P$26, $P$27, TRUE)</f>
        <v>0.99836515899365319</v>
      </c>
      <c r="Q21" s="15" t="b">
        <f>Table3[[#This Row],[pickoff probability]] &gt; 1-Table3[[#This Row],[Fielding Odds]]</f>
        <v>1</v>
      </c>
      <c r="R21" s="57">
        <f>1-Table3[[#This Row],[Fielding Odds]]</f>
        <v>1.63484100634681E-3</v>
      </c>
      <c r="S21" s="15">
        <f>(90-Table3[[#This Row],[total leadoff (ft)]])*Table3[[#This Row],[runner speed (s/ft)]]</f>
        <v>3.3030000000000004</v>
      </c>
      <c r="T21" s="15">
        <f>$T$26*(2-Table3[[#This Row],[defense]]) + Table3[[#This Row],[pickoff time]]</f>
        <v>1.2000000000000002</v>
      </c>
      <c r="U21" s="57">
        <f>_xlfn.NORM.DIST(Table3[[#This Row],[Response speed]], Table3[[#This Row],[Blatant steal time]], $U$4, TRUE)</f>
        <v>2.2830364162715008E-4</v>
      </c>
      <c r="V21" s="15">
        <f>Table3[[#This Row],[defense]]+Table3[[#This Row],[defense]]*Table3[[#This Row],[offense]]*$E$26</f>
        <v>2.2000000000000002</v>
      </c>
      <c r="W21" s="15">
        <f t="shared" si="6"/>
        <v>0</v>
      </c>
      <c r="X21" s="57">
        <f>Table3[[#This Row],[ball factor]]/$X$32*(1-$X$34)+$X$34</f>
        <v>0.2</v>
      </c>
      <c r="Y21" s="15">
        <f>Table3[[#This Row],[offense]]</f>
        <v>1</v>
      </c>
      <c r="Z21" s="98">
        <f t="shared" si="1"/>
        <v>-0.90000000000000013</v>
      </c>
      <c r="AA21" s="98">
        <f>IF(Table3[[#This Row],[player control]]&gt;1,Table3[[#This Row],[player control]]*$AA$41+$AA$40,Table3[[#This Row],[player control]]*$AA$39+$AA$38)</f>
        <v>0.40000000000000008</v>
      </c>
      <c r="AB21" s="99">
        <f>_xlfn.NORM.DIST(-1,Table3[[#This Row],[ideal steer]],($AB$25-Table3[[#This Row],[scaled control]])*$AB$27,TRUE)</f>
        <v>0.39059147543357509</v>
      </c>
      <c r="AC21" s="99">
        <f>1-_xlfn.NORM.DIST(1,Table3[[#This Row],[ideal steer]],($AB$25-Table3[[#This Row],[scaled control]])*$AB$27,TRUE)</f>
        <v>6.5379949898414225E-8</v>
      </c>
      <c r="AD21" s="99">
        <f>1-(1-Table3[[#This Row],[unmod foul percent 3rd]])*(1-Table3[[#This Row],[unmod foul percent 1st]])</f>
        <v>0.39059151527667391</v>
      </c>
      <c r="AE21" s="99">
        <f>1-((1-_xlfn.NORM.DIST(-1,0,($AB$25-Table3[[#This Row],[scaled control]])*$AB$27,TRUE))*_xlfn.NORM.DIST(1,0,($AB$25-Table3[[#This Row],[scaled control]])*$AB$27,TRUE))</f>
        <v>5.465714583151815E-3</v>
      </c>
      <c r="AF21" s="15">
        <f>$AF$34*$AF$25</f>
        <v>-4</v>
      </c>
      <c r="AG21" s="15">
        <f>$AG$25*($AG$34*Table3[[#This Row],[offense]])</f>
        <v>0</v>
      </c>
      <c r="AH21" s="15">
        <f t="shared" si="2"/>
        <v>0</v>
      </c>
      <c r="AI21" s="15">
        <f>$AI$34*$AI$25</f>
        <v>0</v>
      </c>
      <c r="AJ21" s="15">
        <f>$AJ$25*(Table3[[#This Row],[offense]]-$AJ$27)</f>
        <v>0</v>
      </c>
      <c r="AK21" s="15" cm="1">
        <f t="array" ref="AK21">SUM(Table3[[#This Row],[count]:[current hitter vs next hitter]]*MIN(1, Table3[[#This Row],[defense]]))</f>
        <v>-4</v>
      </c>
      <c r="AL21" s="99">
        <f>$AL$25-(Table3[[#This Row],[calling modifier]]/(ABS(Table3[[#This Row],[calling modifier]])+$AL$29)*$AL$27)</f>
        <v>0.66666666666666663</v>
      </c>
      <c r="AM21" s="114">
        <f>$AL$25-$AL$27*TANH(Table3[[#This Row],[calling modifier]]/$AM$29)</f>
        <v>0.67895012808996158</v>
      </c>
      <c r="AN21" s="147">
        <f>MAX(0, 1-_xlfn.NORM.S.INV(Table3[[#This Row],[tanh strike percent]])*($AN$25*($AN$27-Table3[[#This Row],[defense]])))</f>
        <v>0.81409399397576609</v>
      </c>
      <c r="AO21" s="148">
        <f>MAX(0, 1-_xlfn.NORM.S.INV(Table3[[#This Row],[tanh strike percent]])*($AN$25*($AN$27-0.2)))</f>
        <v>0.4794631831321452</v>
      </c>
      <c r="AP21" s="148">
        <f>MAX(0, 1-_xlfn.NORM.S.INV(Table3[[#This Row],[tanh strike percent]])*($AN$25*($AN$27-2)))</f>
        <v>0.81409399397576609</v>
      </c>
      <c r="AQ21" s="148">
        <f>Table3[[#This Row],[called position]]-pitchmod*(pitchstdv-Table3[[#This Row],[defense]])</f>
        <v>0.41409399397576607</v>
      </c>
      <c r="AR21" s="148">
        <f>ABS(Table3[[#This Row],[called position]]+pitchmod*(pitchstdv-Table3[[#This Row],[defense]]))</f>
        <v>1.2140939939757662</v>
      </c>
      <c r="AS21" s="148">
        <f>IF(AND(Table3[[#This Row],[location -1  stdv]]&lt;1, Table3[[#This Row],[location +1 stdv]]&gt;1),0, MIN(Table3[[#This Row],[location -1  stdv]]+1, 1-Table3[[#This Row],[location +1 stdv]]))</f>
        <v>0</v>
      </c>
      <c r="AT21" s="148">
        <f>IF(AND(Table3[[#This Row],[location -1  stdv]]&lt;0, Table3[[#This Row],[location +1 stdv]]&gt;0),1, MAX(1-ABS(Table3[[#This Row],[location -1  stdv]]), Table3[[#This Row],[location +1 stdv]]-1))</f>
        <v>0.58590600602423393</v>
      </c>
      <c r="AU21" s="148">
        <f>$AU$30/(ABS(Table3[[#This Row],[called position]]-1)+$AU$27)+$AU$32*Table3[[#This Row],[defense]]</f>
        <v>1.6995306002177781</v>
      </c>
      <c r="AV21" s="148">
        <f>$AU$30/(ABS(0.5-1)+$AU$27)+$AU$32*Table3[[#This Row],[defense]]</f>
        <v>1.3333333333333335</v>
      </c>
      <c r="AW21" s="148">
        <f>$AU$30/(ABS(0.9-1)+$AU$27)+$AU$32*Table3[[#This Row],[defense]]</f>
        <v>2</v>
      </c>
      <c r="AX21" s="148">
        <f>Table3[[#This Row],[defense]]*$AX$30+MAX(0, Table3[[#This Row],[called position]]-$AX$27)^$AX$25</f>
        <v>2.1760311183097452</v>
      </c>
      <c r="AY21" s="148">
        <f>Table3[[#This Row],[defense]]*$AX$30 + MAX(0, Table3[[#This Row],[location +1 stdv]]-$AX$27)^$AX$25</f>
        <v>2.6034385769767505</v>
      </c>
      <c r="AZ21" s="148">
        <f>Table3[[#This Row],[defense]]*$AX$30+MAX(0, 1-$AX$27)^$AX$25</f>
        <v>2.353553390593274</v>
      </c>
      <c r="BA21" s="15">
        <f>MAX(0, 0.1*(1-Table3[[#This Row],[defense]]))</f>
        <v>0</v>
      </c>
      <c r="BB21" s="15">
        <f t="shared" si="3"/>
        <v>0.5</v>
      </c>
      <c r="BC21" s="148">
        <f>$AU$30/(ABS(Table3[[#This Row],[Location]]-1)+$AU$27)+$AU$32*Table3[[#This Row],[defense]]</f>
        <v>1.3333333333333335</v>
      </c>
      <c r="BD21" s="15" t="b">
        <f>Table3[[#This Row],[Location]]&lt;= (1+MAX(0, (Table3[[#This Row],[defense]]-1)*0.1))</f>
        <v>1</v>
      </c>
      <c r="BE21" s="126">
        <f>1/(1+Table3[[#This Row],[offense]])</f>
        <v>0.5</v>
      </c>
      <c r="BF21" s="148">
        <f>Table3[[#This Row],[obscurity]]*Table3[[#This Row],[discipline modifier]]</f>
        <v>0.66666666666666674</v>
      </c>
      <c r="BG21" s="114">
        <f>1/(1+Table3[[#This Row],[effective obscurity]])</f>
        <v>0.6</v>
      </c>
      <c r="BH21" s="114">
        <f>IF(Table3[[#This Row],[Strike?]],Table3[[#This Row],[odds of read]],1-Table3[[#This Row],[odds of read]])</f>
        <v>0.6</v>
      </c>
      <c r="BI21" s="15">
        <f t="shared" si="4"/>
        <v>1</v>
      </c>
      <c r="BJ21" s="114">
        <f>Table3[[#This Row],[desperation echo]]*Table3[[#This Row],[unadjusted swing %]]</f>
        <v>0.6</v>
      </c>
      <c r="BK21" s="147">
        <f>Table3[[#This Row],[ave obscurity]]</f>
        <v>1.6995306002177781</v>
      </c>
      <c r="BL21" s="114">
        <f>1/(1+Table3[[#This Row],[ave obscurity]]*Table3[[#This Row],[discipline modifier]])</f>
        <v>0.54060912481228496</v>
      </c>
      <c r="BM21" s="15">
        <f>Table3[[#This Row],[offense]]</f>
        <v>1</v>
      </c>
      <c r="BN21" s="148">
        <f>Table3[[#This Row],[average difficulty]]</f>
        <v>2.1760311183097452</v>
      </c>
      <c r="BO21" s="148">
        <f>Table3[[#This Row],[contact echo]]-Table3[[#This Row],[pitch carry forward diff]]</f>
        <v>-1.1760311183097452</v>
      </c>
      <c r="BP21" s="114">
        <f>1-_xlfn.NORM.DIST($BP$27,Table3[[#This Row],[CF contact readiness]], $BP$30,TRUE)</f>
        <v>0.60820984371938658</v>
      </c>
      <c r="BQ21" s="114">
        <f>1-_xlfn.NORM.DIST($BP$25,Table3[[#This Row],[CF contact readiness]], $BP$30,TRUE)</f>
        <v>0.23412059954262809</v>
      </c>
      <c r="BR21" s="114">
        <f>1-Table3[[#This Row],[foul %]]</f>
        <v>0.39179015628061342</v>
      </c>
      <c r="BS21" s="148">
        <f>(Table3[[#This Row],[CF contact readiness]]-$BP$27)/$BP$30</f>
        <v>0.27465629389675161</v>
      </c>
      <c r="BT21" s="148">
        <f>(Table3[[#This Row],[CF contact readiness]]+$BP$30-$BP$27)/$BP$30</f>
        <v>1.2746562938967516</v>
      </c>
      <c r="BU21" s="15">
        <f>MAX(0, IF(ISBLANK($BU$28), Table3[[#This Row],[hit quality +1stdv]], $BU$28)-1)</f>
        <v>0.5</v>
      </c>
      <c r="BV21" s="15">
        <f>$BV$25+Table3[[#This Row],[offense]]*$BV$28</f>
        <v>15</v>
      </c>
      <c r="BW21" s="15">
        <f>$BW$25*$BW$28/($BW$28+Table3[[#This Row],[hit quality remainder]])</f>
        <v>20</v>
      </c>
      <c r="BX21" s="114">
        <f>_xlfn.NORM.DIST(10,Table3[[#This Row],[adjusted launch angle]],Table3[[#This Row],[angle stdev]],TRUE)</f>
        <v>0.4012936743170763</v>
      </c>
      <c r="BY21" s="114">
        <f>1-_xlfn.NORM.DIST(50, Table3[[#This Row],[adjusted launch angle]],Table3[[#This Row],[angle stdev]],TRUE)</f>
        <v>4.0059156863817114E-2</v>
      </c>
      <c r="BZ21" s="114">
        <f t="shared" si="5"/>
        <v>0.42944875004736094</v>
      </c>
      <c r="CA21" s="15">
        <f>$CA$25+Table3[[#This Row],[offense]]*($CA$27-$CA$25)/2</f>
        <v>90</v>
      </c>
      <c r="CB21" s="15">
        <f>Table3[[#This Row],[exit velocity mean]]-Table3[[#This Row],[reduction]]*100</f>
        <v>90</v>
      </c>
      <c r="CC21" s="164">
        <f>Table3[[#This Row],[exit velocity mean]]^2*2*SIN(RADIANS(Table3[[#This Row],[adjusted launch angle]]))/$CC$28*5280</f>
        <v>276.72932302361517</v>
      </c>
      <c r="CD21" s="126">
        <f>2*Table3[[#This Row],[exit velocity mean]]*SIN(RADIANS(Table3[[#This Row],[adjusted launch angle]]))/$CC$28*60*60</f>
        <v>2.0964342653304175</v>
      </c>
      <c r="CE21" s="164">
        <f>Table3[[#This Row],[theoretical distance]]-Table3[[#This Row],[flight time]]^2*$CE$25</f>
        <v>206.40873696199137</v>
      </c>
      <c r="CF21" s="15">
        <f>Table3[[#This Row],[exit velocity mean]]+$CC$25-Table3[[#This Row],[reduction]]*100</f>
        <v>102.5</v>
      </c>
      <c r="CG21" s="15">
        <f>MIN(Table3[[#This Row],[adjusted launch angle]]+Table3[[#This Row],[angle stdev]], 30)</f>
        <v>30</v>
      </c>
      <c r="CH21" s="126">
        <f>2*Table3[[#This Row],[+1stdv EV]]*SIN(RADIANS(Table3[[#This Row],[+1stdv LA]]))/$CC$28*60*60</f>
        <v>4.6124999999999989</v>
      </c>
      <c r="CI21" s="164">
        <f>Table3[[#This Row],[+1stdv EV]]^2*2*SIN(RADIANS(Table3[[#This Row],[+1stdv LA]]))/$CC$28*5280-Table3[[#This Row],[+1stdv flight time]]^2*$CE$25</f>
        <v>353.01000000000005</v>
      </c>
      <c r="CJ21" s="164">
        <f>Table3[[#This Row],[+1stdev distance]]-Table3[[#This Row],[actual distance]]</f>
        <v>146.60126303800868</v>
      </c>
    </row>
    <row r="22" spans="1:88" s="20" customFormat="1" x14ac:dyDescent="0.25">
      <c r="A22" s="19">
        <f t="shared" si="0"/>
        <v>16</v>
      </c>
      <c r="B22" s="20">
        <f>INDEX(oratings, 1, 1+MOD(Table3[[#This Row],[Rep '#]]-1, COUNT(oratings)))</f>
        <v>2</v>
      </c>
      <c r="C22" s="20">
        <f>INDEX(dratings, 1, MOD(FLOOR( (Table3[[#This Row],[Rep '#]]-1) / COUNT(oratings), 1), COUNT(dratings))+1)</f>
        <v>2</v>
      </c>
      <c r="D22" s="20">
        <f>Table3[[#This Row],[offense]]*$D$26+0.05</f>
        <v>0.25</v>
      </c>
      <c r="E22" s="20">
        <f>((2*Table3[[#This Row],[defense]]+1*Table3[[#This Row],[defense]])-1.5)*Table3[[#This Row],[offense]]*$E$26</f>
        <v>0.9</v>
      </c>
      <c r="F22" s="20">
        <f>MAX(Table3[[#This Row],[base leadoff]]*(1-Table3[[#This Row],[leadoff modifier]]) * 90, 0)</f>
        <v>2.2499999999999996</v>
      </c>
      <c r="G22" s="20">
        <f>1.1 - Table3[[#This Row],[defense]]*0.1</f>
        <v>0.90000000000000013</v>
      </c>
      <c r="H22" s="20">
        <f xml:space="preserve"> 0.01 - 0.0025 *  Table3[[#This Row],[defense]]</f>
        <v>5.0000000000000001E-3</v>
      </c>
      <c r="I22" s="20">
        <f>1 / Table3[[#This Row],[throw speed (s/ft)]] * ((60 * 60)/5280)</f>
        <v>136.36363636363635</v>
      </c>
      <c r="J22" s="20">
        <f>Table3[[#This Row],[pickoff manuver (s)]]+60*Table3[[#This Row],[throw speed (s/ft)]]</f>
        <v>1.2000000000000002</v>
      </c>
      <c r="K22" s="20">
        <f>$K$28-$K$26*Table3[[#This Row],[offense]]</f>
        <v>0.5</v>
      </c>
      <c r="L22" s="20">
        <f>0.05 - Table3[[#This Row],[offense]]*$L$26</f>
        <v>3.0000000000000002E-2</v>
      </c>
      <c r="M22" s="20">
        <f>1 / Table3[[#This Row],[runner speed (s/ft)]] * ((60 * 60)/5280)</f>
        <v>22.727272727272723</v>
      </c>
      <c r="N22" s="20">
        <f>Table3[[#This Row],[runner reaction]]+Table3[[#This Row],[runner speed (s/ft)]]*Table3[[#This Row],[total leadoff (ft)]]</f>
        <v>0.5675</v>
      </c>
      <c r="O22" s="21">
        <f>1 - _xlfn.NORM.DIST(Table3[[#This Row],[pickoff time]], Table3[[#This Row],[pickoff evade time]], $O$4, TRUE)</f>
        <v>7.8210367804876224E-4</v>
      </c>
      <c r="P22" s="59">
        <f>_xlfn.NORM.DIST(Table3[[#This Row],[defense]], $P$26, $P$27, TRUE)</f>
        <v>0.99836515899365319</v>
      </c>
      <c r="Q22" s="20" t="b">
        <f>Table3[[#This Row],[pickoff probability]] &gt; 1-Table3[[#This Row],[Fielding Odds]]</f>
        <v>0</v>
      </c>
      <c r="R22" s="59">
        <f>1-Table3[[#This Row],[Fielding Odds]]</f>
        <v>1.63484100634681E-3</v>
      </c>
      <c r="S22" s="20">
        <f>(90-Table3[[#This Row],[total leadoff (ft)]])*Table3[[#This Row],[runner speed (s/ft)]]</f>
        <v>2.6325000000000003</v>
      </c>
      <c r="T22" s="20">
        <f>$T$26*(2-Table3[[#This Row],[defense]]) + Table3[[#This Row],[pickoff time]]</f>
        <v>1.2000000000000002</v>
      </c>
      <c r="U22" s="59">
        <f>_xlfn.NORM.DIST(Table3[[#This Row],[Response speed]], Table3[[#This Row],[Blatant steal time]], $U$4, TRUE)</f>
        <v>8.4817013785601532E-3</v>
      </c>
      <c r="V22" s="20">
        <f>Table3[[#This Row],[defense]]+Table3[[#This Row],[defense]]*Table3[[#This Row],[offense]]*$E$26</f>
        <v>2.4</v>
      </c>
      <c r="W22" s="20">
        <f t="shared" si="6"/>
        <v>0</v>
      </c>
      <c r="X22" s="59">
        <f>Table3[[#This Row],[ball factor]]/$X$32*(1-$X$34)+$X$34</f>
        <v>0.2</v>
      </c>
      <c r="Y22" s="20">
        <f>Table3[[#This Row],[offense]]</f>
        <v>2</v>
      </c>
      <c r="Z22" s="102">
        <f t="shared" si="1"/>
        <v>-0.90000000000000013</v>
      </c>
      <c r="AA22" s="102">
        <f>IF(Table3[[#This Row],[player control]]&gt;1,Table3[[#This Row],[player control]]*$AA$41+$AA$40,Table3[[#This Row],[player control]]*$AA$39+$AA$38)</f>
        <v>2</v>
      </c>
      <c r="AB22" s="103">
        <f>_xlfn.NORM.DIST(-1,Table3[[#This Row],[ideal steer]],($AB$25-Table3[[#This Row],[scaled control]])*$AB$27,TRUE)</f>
        <v>0.3085375387259871</v>
      </c>
      <c r="AC22" s="103">
        <f>1-_xlfn.NORM.DIST(1,Table3[[#This Row],[ideal steer]],($AB$25-Table3[[#This Row],[scaled control]])*$AB$27,TRUE)</f>
        <v>0</v>
      </c>
      <c r="AD22" s="103">
        <f>1-(1-Table3[[#This Row],[unmod foul percent 3rd]])*(1-Table3[[#This Row],[unmod foul percent 1st]])</f>
        <v>0.3085375387259871</v>
      </c>
      <c r="AE22" s="103">
        <f>1-((1-_xlfn.NORM.DIST(-1,0,($AB$25-Table3[[#This Row],[scaled control]])*$AB$27,TRUE))*_xlfn.NORM.DIST(1,0,($AB$25-Table3[[#This Row],[scaled control]])*$AB$27,TRUE))</f>
        <v>5.7330306169056655E-7</v>
      </c>
      <c r="AF22" s="20">
        <f>$AF$34*$AF$25</f>
        <v>-4</v>
      </c>
      <c r="AG22" s="20">
        <f>$AG$25*($AG$34*Table3[[#This Row],[offense]])</f>
        <v>0</v>
      </c>
      <c r="AH22" s="20">
        <f t="shared" si="2"/>
        <v>0</v>
      </c>
      <c r="AI22" s="20">
        <f>$AI$34*$AI$25</f>
        <v>0</v>
      </c>
      <c r="AJ22" s="20">
        <f>$AJ$25*(Table3[[#This Row],[offense]]-$AJ$27)</f>
        <v>1</v>
      </c>
      <c r="AK22" s="20" cm="1">
        <f t="array" ref="AK22">SUM(Table3[[#This Row],[count]:[current hitter vs next hitter]]*MIN(1, Table3[[#This Row],[defense]]))</f>
        <v>-3</v>
      </c>
      <c r="AL22" s="103">
        <f>$AL$25-(Table3[[#This Row],[calling modifier]]/(ABS(Table3[[#This Row],[calling modifier]])+$AL$29)*$AL$27)</f>
        <v>0.65217391304347827</v>
      </c>
      <c r="AM22" s="116">
        <f>$AL$25-$AL$27*TANH(Table3[[#This Row],[calling modifier]]/$AM$29)</f>
        <v>0.65955401344932718</v>
      </c>
      <c r="AN22" s="151">
        <f>MAX(0, 1-_xlfn.NORM.S.INV(Table3[[#This Row],[tanh strike percent]])*($AN$25*($AN$27-Table3[[#This Row],[defense]])))</f>
        <v>0.83550149732223877</v>
      </c>
      <c r="AO22" s="152">
        <f>MAX(0, 1-_xlfn.NORM.S.INV(Table3[[#This Row],[tanh strike percent]])*($AN$25*($AN$27-0.2)))</f>
        <v>0.53940419250226868</v>
      </c>
      <c r="AP22" s="152">
        <f>MAX(0, 1-_xlfn.NORM.S.INV(Table3[[#This Row],[tanh strike percent]])*($AN$25*($AN$27-2)))</f>
        <v>0.83550149732223877</v>
      </c>
      <c r="AQ22" s="152">
        <f>Table3[[#This Row],[called position]]-pitchmod*(pitchstdv-Table3[[#This Row],[defense]])</f>
        <v>0.43550149732223875</v>
      </c>
      <c r="AR22" s="152">
        <f>ABS(Table3[[#This Row],[called position]]+pitchmod*(pitchstdv-Table3[[#This Row],[defense]]))</f>
        <v>1.2355014973222387</v>
      </c>
      <c r="AS22" s="152">
        <f>IF(AND(Table3[[#This Row],[location -1  stdv]]&lt;1, Table3[[#This Row],[location +1 stdv]]&gt;1),0, MIN(Table3[[#This Row],[location -1  stdv]]+1, 1-Table3[[#This Row],[location +1 stdv]]))</f>
        <v>0</v>
      </c>
      <c r="AT22" s="152">
        <f>IF(AND(Table3[[#This Row],[location -1  stdv]]&lt;0, Table3[[#This Row],[location +1 stdv]]&gt;0),1, MAX(1-ABS(Table3[[#This Row],[location -1  stdv]]), Table3[[#This Row],[location +1 stdv]]-1))</f>
        <v>0.56449850267776125</v>
      </c>
      <c r="AU22" s="152">
        <f>$AU$30/(ABS(Table3[[#This Row],[called position]]-1)+$AU$27)+$AU$32*Table3[[#This Row],[defense]]</f>
        <v>1.7561479478152671</v>
      </c>
      <c r="AV22" s="152">
        <f>$AU$30/(ABS(0.5-1)+$AU$27)+$AU$32*Table3[[#This Row],[defense]]</f>
        <v>1.3333333333333335</v>
      </c>
      <c r="AW22" s="152">
        <f>$AU$30/(ABS(0.9-1)+$AU$27)+$AU$32*Table3[[#This Row],[defense]]</f>
        <v>2</v>
      </c>
      <c r="AX22" s="152">
        <f>Table3[[#This Row],[defense]]*$AX$30+MAX(0, Table3[[#This Row],[called position]]-$AX$27)^$AX$25</f>
        <v>2.1943308248687097</v>
      </c>
      <c r="AY22" s="152">
        <f>Table3[[#This Row],[defense]]*$AX$30 + MAX(0, Table3[[#This Row],[location +1 stdv]]-$AX$27)^$AX$25</f>
        <v>2.630776262913709</v>
      </c>
      <c r="AZ22" s="152">
        <f>Table3[[#This Row],[defense]]*$AX$30+MAX(0, 1-$AX$27)^$AX$25</f>
        <v>2.353553390593274</v>
      </c>
      <c r="BA22" s="20">
        <f>MAX(0, 0.1*(1-Table3[[#This Row],[defense]]))</f>
        <v>0</v>
      </c>
      <c r="BB22" s="20">
        <f t="shared" si="3"/>
        <v>0.5</v>
      </c>
      <c r="BC22" s="152">
        <f>$AU$30/(ABS(Table3[[#This Row],[Location]]-1)+$AU$27)+$AU$32*Table3[[#This Row],[defense]]</f>
        <v>1.3333333333333335</v>
      </c>
      <c r="BD22" s="20" t="b">
        <f>Table3[[#This Row],[Location]]&lt;= (1+MAX(0, (Table3[[#This Row],[defense]]-1)*0.1))</f>
        <v>1</v>
      </c>
      <c r="BE22" s="128">
        <f>1/(1+Table3[[#This Row],[offense]])</f>
        <v>0.33333333333333331</v>
      </c>
      <c r="BF22" s="152">
        <f>Table3[[#This Row],[obscurity]]*Table3[[#This Row],[discipline modifier]]</f>
        <v>0.44444444444444448</v>
      </c>
      <c r="BG22" s="116">
        <f>1/(1+Table3[[#This Row],[effective obscurity]])</f>
        <v>0.69230769230769229</v>
      </c>
      <c r="BH22" s="116">
        <f>IF(Table3[[#This Row],[Strike?]],Table3[[#This Row],[odds of read]],1-Table3[[#This Row],[odds of read]])</f>
        <v>0.69230769230769229</v>
      </c>
      <c r="BI22" s="20">
        <f t="shared" si="4"/>
        <v>1</v>
      </c>
      <c r="BJ22" s="116">
        <f>Table3[[#This Row],[desperation echo]]*Table3[[#This Row],[unadjusted swing %]]</f>
        <v>0.69230769230769229</v>
      </c>
      <c r="BK22" s="151">
        <f>Table3[[#This Row],[ave obscurity]]</f>
        <v>1.7561479478152671</v>
      </c>
      <c r="BL22" s="116">
        <f>1/(1+Table3[[#This Row],[ave obscurity]]*Table3[[#This Row],[discipline modifier]])</f>
        <v>0.63076254837237522</v>
      </c>
      <c r="BM22" s="20">
        <f>Table3[[#This Row],[offense]]</f>
        <v>2</v>
      </c>
      <c r="BN22" s="152">
        <f>Table3[[#This Row],[average difficulty]]</f>
        <v>2.1943308248687097</v>
      </c>
      <c r="BO22" s="152">
        <f>Table3[[#This Row],[contact echo]]-Table3[[#This Row],[pitch carry forward diff]]</f>
        <v>-0.19433082486870967</v>
      </c>
      <c r="BP22" s="116">
        <f>1-_xlfn.NORM.DIST($BP$27,Table3[[#This Row],[CF contact readiness]], $BP$30,TRUE)</f>
        <v>0.72637622789803846</v>
      </c>
      <c r="BQ22" s="116">
        <f>1-_xlfn.NORM.DIST($BP$25,Table3[[#This Row],[CF contact readiness]], $BP$30,TRUE)</f>
        <v>0.34527445037153437</v>
      </c>
      <c r="BR22" s="116">
        <f>1-Table3[[#This Row],[foul %]]</f>
        <v>0.27362377210196154</v>
      </c>
      <c r="BS22" s="152">
        <f>(Table3[[#This Row],[CF contact readiness]]-$BP$27)/$BP$30</f>
        <v>0.60188972504376348</v>
      </c>
      <c r="BT22" s="152">
        <f>(Table3[[#This Row],[CF contact readiness]]+$BP$30-$BP$27)/$BP$30</f>
        <v>1.6018897250437636</v>
      </c>
      <c r="BU22" s="20">
        <f>MAX(0, IF(ISBLANK($BU$28), Table3[[#This Row],[hit quality +1stdv]], $BU$28)-1)</f>
        <v>0.5</v>
      </c>
      <c r="BV22" s="20">
        <f>$BV$25+Table3[[#This Row],[offense]]*$BV$28</f>
        <v>20</v>
      </c>
      <c r="BW22" s="20">
        <f>$BW$25*$BW$28/($BW$28+Table3[[#This Row],[hit quality remainder]])</f>
        <v>20</v>
      </c>
      <c r="BX22" s="116">
        <f>_xlfn.NORM.DIST(10,Table3[[#This Row],[adjusted launch angle]],Table3[[#This Row],[angle stdev]],TRUE)</f>
        <v>0.30853753872598688</v>
      </c>
      <c r="BY22" s="116">
        <f>1-_xlfn.NORM.DIST(50, Table3[[#This Row],[adjusted launch angle]],Table3[[#This Row],[angle stdev]],TRUE)</f>
        <v>6.6807201268858085E-2</v>
      </c>
      <c r="BZ22" s="116">
        <f t="shared" si="5"/>
        <v>0.42944875004736094</v>
      </c>
      <c r="CA22" s="20">
        <f>$CA$25+Table3[[#This Row],[offense]]*($CA$27-$CA$25)/2</f>
        <v>110</v>
      </c>
      <c r="CB22" s="20">
        <f>Table3[[#This Row],[exit velocity mean]]-Table3[[#This Row],[reduction]]*100</f>
        <v>110</v>
      </c>
      <c r="CC22" s="166">
        <f>Table3[[#This Row],[exit velocity mean]]^2*2*SIN(RADIANS(Table3[[#This Row],[adjusted launch angle]]))/$CC$28*5280</f>
        <v>546.27457291975804</v>
      </c>
      <c r="CD22" s="128">
        <f>2*Table3[[#This Row],[exit velocity mean]]*SIN(RADIANS(Table3[[#This Row],[adjusted launch angle]]))/$CC$28*60*60</f>
        <v>3.3859994189241207</v>
      </c>
      <c r="CE22" s="166">
        <f>Table3[[#This Row],[theoretical distance]]-Table3[[#This Row],[flight time]]^2*$CE$25</f>
        <v>362.83469988048631</v>
      </c>
      <c r="CF22" s="20">
        <f>Table3[[#This Row],[exit velocity mean]]+$CC$25-Table3[[#This Row],[reduction]]*100</f>
        <v>122.5</v>
      </c>
      <c r="CG22" s="20">
        <f>MIN(Table3[[#This Row],[adjusted launch angle]]+Table3[[#This Row],[angle stdev]], 30)</f>
        <v>30</v>
      </c>
      <c r="CH22" s="128">
        <f>2*Table3[[#This Row],[+1stdv EV]]*SIN(RADIANS(Table3[[#This Row],[+1stdv LA]]))/$CC$28*60*60</f>
        <v>5.5124999999999993</v>
      </c>
      <c r="CI22" s="166">
        <f>Table3[[#This Row],[+1stdv EV]]^2*2*SIN(RADIANS(Table3[[#This Row],[+1stdv LA]]))/$CC$28*5280-Table3[[#This Row],[+1stdv flight time]]^2*$CE$25</f>
        <v>504.21000000000004</v>
      </c>
      <c r="CJ22" s="166">
        <f>Table3[[#This Row],[+1stdev distance]]-Table3[[#This Row],[actual distance]]</f>
        <v>141.37530011951372</v>
      </c>
    </row>
    <row r="23" spans="1:88" x14ac:dyDescent="0.25">
      <c r="AW23" s="154"/>
      <c r="BK23" s="73"/>
      <c r="BL23" s="73"/>
    </row>
    <row r="24" spans="1:88" x14ac:dyDescent="0.25">
      <c r="Y24" s="63" t="s">
        <v>141</v>
      </c>
      <c r="Z24" s="64"/>
      <c r="AA24" s="65"/>
      <c r="AB24" t="s">
        <v>160</v>
      </c>
      <c r="AF24" s="63" t="s">
        <v>169</v>
      </c>
      <c r="AG24" s="104" t="s">
        <v>178</v>
      </c>
      <c r="AH24" s="64"/>
      <c r="AI24" s="64"/>
      <c r="AJ24" s="65"/>
      <c r="AL24" t="s">
        <v>187</v>
      </c>
      <c r="AN24" t="s">
        <v>196</v>
      </c>
      <c r="AU24" t="s">
        <v>204</v>
      </c>
      <c r="AX24" t="s">
        <v>220</v>
      </c>
      <c r="BA24" t="s">
        <v>248</v>
      </c>
      <c r="BB24" t="s">
        <v>199</v>
      </c>
      <c r="BP24" t="s">
        <v>271</v>
      </c>
      <c r="BV24" t="s">
        <v>278</v>
      </c>
      <c r="BW24" t="s">
        <v>277</v>
      </c>
      <c r="BZ24" t="s">
        <v>285</v>
      </c>
      <c r="CA24" t="s">
        <v>289</v>
      </c>
      <c r="CC24" t="s">
        <v>291</v>
      </c>
      <c r="CE24" t="s">
        <v>295</v>
      </c>
    </row>
    <row r="25" spans="1:88" x14ac:dyDescent="0.25">
      <c r="D25" t="s">
        <v>89</v>
      </c>
      <c r="E25" t="s">
        <v>90</v>
      </c>
      <c r="G25" t="s">
        <v>82</v>
      </c>
      <c r="H25" t="s">
        <v>83</v>
      </c>
      <c r="K25" t="s">
        <v>84</v>
      </c>
      <c r="L25" t="s">
        <v>85</v>
      </c>
      <c r="P25" t="s">
        <v>103</v>
      </c>
      <c r="T25" t="s">
        <v>109</v>
      </c>
      <c r="W25" t="s">
        <v>131</v>
      </c>
      <c r="X25" t="s">
        <v>135</v>
      </c>
      <c r="Y25" s="66" t="s">
        <v>138</v>
      </c>
      <c r="Z25" s="72" t="s">
        <v>99</v>
      </c>
      <c r="AA25" s="67" t="s">
        <v>140</v>
      </c>
      <c r="AB25" s="72">
        <v>4</v>
      </c>
      <c r="AF25" s="68">
        <v>20</v>
      </c>
      <c r="AG25" s="69">
        <v>5</v>
      </c>
      <c r="AH25" s="69">
        <v>3</v>
      </c>
      <c r="AI25" s="69">
        <v>3</v>
      </c>
      <c r="AJ25" s="70">
        <v>1</v>
      </c>
      <c r="AL25">
        <v>0.6</v>
      </c>
      <c r="AN25">
        <v>0.4</v>
      </c>
      <c r="AU25">
        <v>10</v>
      </c>
      <c r="AX25">
        <v>1.5</v>
      </c>
      <c r="BA25">
        <v>0.1</v>
      </c>
      <c r="BB25">
        <v>0.5</v>
      </c>
      <c r="BP25">
        <v>1</v>
      </c>
      <c r="BV25">
        <v>10</v>
      </c>
      <c r="BW25">
        <v>40</v>
      </c>
      <c r="BZ25">
        <v>90</v>
      </c>
      <c r="CA25">
        <v>70</v>
      </c>
      <c r="CC25">
        <v>12.5</v>
      </c>
      <c r="CE25">
        <v>16</v>
      </c>
    </row>
    <row r="26" spans="1:88" x14ac:dyDescent="0.25">
      <c r="D26">
        <v>0.1</v>
      </c>
      <c r="E26">
        <v>0.1</v>
      </c>
      <c r="G26">
        <v>0.1</v>
      </c>
      <c r="H26">
        <v>2.5000000000000001E-3</v>
      </c>
      <c r="K26">
        <v>0.2</v>
      </c>
      <c r="L26">
        <v>0.01</v>
      </c>
      <c r="O26" t="s">
        <v>87</v>
      </c>
      <c r="P26">
        <v>-3</v>
      </c>
      <c r="T26">
        <v>0.2</v>
      </c>
      <c r="W26">
        <v>3</v>
      </c>
      <c r="X26">
        <v>0.5</v>
      </c>
      <c r="Y26" s="68"/>
      <c r="Z26" s="69" t="s">
        <v>139</v>
      </c>
      <c r="AA26" s="70" t="s">
        <v>99</v>
      </c>
      <c r="AB26" t="s">
        <v>161</v>
      </c>
      <c r="AF26" s="60" t="s">
        <v>131</v>
      </c>
      <c r="AG26" s="60" t="s">
        <v>172</v>
      </c>
      <c r="AH26" s="60" t="s">
        <v>176</v>
      </c>
      <c r="AI26" s="60" t="s">
        <v>181</v>
      </c>
      <c r="AJ26" s="60" t="s">
        <v>183</v>
      </c>
      <c r="AL26" t="s">
        <v>190</v>
      </c>
      <c r="AN26" t="s">
        <v>197</v>
      </c>
      <c r="AU26" t="s">
        <v>205</v>
      </c>
      <c r="AX26" t="s">
        <v>263</v>
      </c>
      <c r="BP26" t="s">
        <v>267</v>
      </c>
      <c r="CA26" t="s">
        <v>288</v>
      </c>
    </row>
    <row r="27" spans="1:88" x14ac:dyDescent="0.25">
      <c r="K27" t="s">
        <v>91</v>
      </c>
      <c r="O27" t="s">
        <v>95</v>
      </c>
      <c r="P27">
        <v>1.7</v>
      </c>
      <c r="W27" t="s">
        <v>132</v>
      </c>
      <c r="Y27" s="77" t="s">
        <v>144</v>
      </c>
      <c r="Z27" s="64"/>
      <c r="AA27" s="65" t="s">
        <v>149</v>
      </c>
      <c r="AB27">
        <v>0.1</v>
      </c>
      <c r="AF27" s="61">
        <v>0</v>
      </c>
      <c r="AG27" s="61">
        <v>1</v>
      </c>
      <c r="AH27" s="61">
        <v>0</v>
      </c>
      <c r="AI27" s="61">
        <v>1</v>
      </c>
      <c r="AJ27" s="61">
        <v>1</v>
      </c>
      <c r="AL27">
        <v>0.4</v>
      </c>
      <c r="AN27">
        <v>3</v>
      </c>
      <c r="AU27">
        <f>1/AU25</f>
        <v>0.1</v>
      </c>
      <c r="AX27">
        <v>0.5</v>
      </c>
      <c r="BP27">
        <v>-2</v>
      </c>
      <c r="BU27" t="s">
        <v>276</v>
      </c>
      <c r="BV27" t="s">
        <v>246</v>
      </c>
      <c r="BW27" t="s">
        <v>281</v>
      </c>
      <c r="BZ27" t="s">
        <v>274</v>
      </c>
      <c r="CA27">
        <v>110</v>
      </c>
      <c r="CC27" t="s">
        <v>293</v>
      </c>
      <c r="CE27">
        <f>CE10/CE9</f>
        <v>1.7578456475284747</v>
      </c>
    </row>
    <row r="28" spans="1:88" x14ac:dyDescent="0.25">
      <c r="K28">
        <v>0.9</v>
      </c>
      <c r="W28">
        <v>0</v>
      </c>
      <c r="Y28" s="71" t="s">
        <v>148</v>
      </c>
      <c r="Z28" s="32">
        <v>-0.2</v>
      </c>
      <c r="AA28" s="67">
        <f>Z28</f>
        <v>-0.2</v>
      </c>
      <c r="AF28" s="61" t="s">
        <v>132</v>
      </c>
      <c r="AG28" s="61" t="s">
        <v>171</v>
      </c>
      <c r="AH28" s="61" t="s">
        <v>177</v>
      </c>
      <c r="AI28" s="61"/>
      <c r="AJ28" s="61"/>
      <c r="AL28" t="s">
        <v>189</v>
      </c>
      <c r="AM28" t="s">
        <v>189</v>
      </c>
      <c r="AU28" t="s">
        <v>222</v>
      </c>
      <c r="BB28" t="s">
        <v>136</v>
      </c>
      <c r="BU28">
        <v>1.5</v>
      </c>
      <c r="BV28">
        <v>5</v>
      </c>
      <c r="BW28">
        <v>0.5</v>
      </c>
      <c r="BZ28">
        <f>0.6*90</f>
        <v>54</v>
      </c>
      <c r="CC28">
        <v>80000</v>
      </c>
    </row>
    <row r="29" spans="1:88" x14ac:dyDescent="0.25">
      <c r="W29" t="s">
        <v>130</v>
      </c>
      <c r="Y29" s="71" t="s">
        <v>145</v>
      </c>
      <c r="Z29" s="32">
        <v>-0.4</v>
      </c>
      <c r="AA29" s="67">
        <f>IF(ISBLANK(AA26),0,Z29)</f>
        <v>-0.4</v>
      </c>
      <c r="AF29" s="61">
        <v>0</v>
      </c>
      <c r="AG29" s="61">
        <v>1</v>
      </c>
      <c r="AH29" s="61">
        <f>-POWER(AH27,1.5)/2</f>
        <v>0</v>
      </c>
      <c r="AI29" s="61"/>
      <c r="AJ29" s="61"/>
      <c r="AL29">
        <v>20</v>
      </c>
      <c r="AM29">
        <v>20</v>
      </c>
      <c r="AU29">
        <v>5</v>
      </c>
      <c r="AX29" t="s">
        <v>246</v>
      </c>
      <c r="BB29">
        <v>1</v>
      </c>
      <c r="BP29" t="s">
        <v>265</v>
      </c>
    </row>
    <row r="30" spans="1:88" x14ac:dyDescent="0.25">
      <c r="W30">
        <f xml:space="preserve"> W28/2 - W26/3</f>
        <v>-1</v>
      </c>
      <c r="Y30" s="71" t="s">
        <v>146</v>
      </c>
      <c r="Z30" s="32">
        <v>0</v>
      </c>
      <c r="AA30" s="67">
        <f>IF(ISBLANK(Z25),0, Z30)</f>
        <v>0</v>
      </c>
      <c r="AF30" s="61" t="s">
        <v>184</v>
      </c>
      <c r="AG30" s="61"/>
      <c r="AH30" s="61" t="s">
        <v>179</v>
      </c>
      <c r="AI30" s="61"/>
      <c r="AJ30" s="61"/>
      <c r="AU30">
        <f>1/AU29</f>
        <v>0.2</v>
      </c>
      <c r="AX30">
        <v>1</v>
      </c>
      <c r="BP30">
        <v>3</v>
      </c>
    </row>
    <row r="31" spans="1:88" x14ac:dyDescent="0.25">
      <c r="W31" t="s">
        <v>133</v>
      </c>
      <c r="X31" t="s">
        <v>142</v>
      </c>
      <c r="Y31" s="71" t="s">
        <v>147</v>
      </c>
      <c r="Z31" s="32">
        <v>0.8</v>
      </c>
      <c r="AA31" s="67">
        <f>IF(ISBLANK(Y26),0,Z31)</f>
        <v>0</v>
      </c>
      <c r="AF31" s="61">
        <v>-0.2</v>
      </c>
      <c r="AG31" s="61"/>
      <c r="AH31" s="61" t="b">
        <v>0</v>
      </c>
      <c r="AI31" s="61"/>
      <c r="AJ31" s="61"/>
      <c r="AL31" t="s">
        <v>191</v>
      </c>
      <c r="AU31" t="s">
        <v>206</v>
      </c>
    </row>
    <row r="32" spans="1:88" x14ac:dyDescent="0.25">
      <c r="W32">
        <f>MAX(0, ((W26+X26)/(3+X26))-(W28/2))</f>
        <v>1</v>
      </c>
      <c r="X32">
        <v>0.85</v>
      </c>
      <c r="Y32" s="66"/>
      <c r="Z32" s="32"/>
      <c r="AA32" s="67">
        <f>SUM(AA28:AA31)</f>
        <v>-0.60000000000000009</v>
      </c>
      <c r="AF32" s="61"/>
      <c r="AG32" s="61"/>
      <c r="AH32" s="61">
        <f>IF(AND(AH31, AH272&lt;3), 0.5, 0)</f>
        <v>0</v>
      </c>
      <c r="AI32" s="61"/>
      <c r="AJ32" s="61"/>
      <c r="AL32">
        <f>AL25-AL27</f>
        <v>0.19999999999999996</v>
      </c>
      <c r="AU32">
        <v>0.5</v>
      </c>
    </row>
    <row r="33" spans="24:38" x14ac:dyDescent="0.25">
      <c r="X33" t="s">
        <v>143</v>
      </c>
      <c r="Y33" s="68" t="s">
        <v>151</v>
      </c>
      <c r="Z33" s="69">
        <v>0.5</v>
      </c>
      <c r="AA33" s="78">
        <f>IF(ISBLANK(Z25), AA32,AA32*(1+Z33))</f>
        <v>-0.90000000000000013</v>
      </c>
      <c r="AF33" s="61" t="s">
        <v>130</v>
      </c>
      <c r="AG33" s="61" t="s">
        <v>170</v>
      </c>
      <c r="AH33" s="61" t="s">
        <v>180</v>
      </c>
      <c r="AI33" s="61" t="s">
        <v>182</v>
      </c>
      <c r="AJ33" s="61"/>
      <c r="AL33" t="s">
        <v>192</v>
      </c>
    </row>
    <row r="34" spans="24:38" x14ac:dyDescent="0.25">
      <c r="X34">
        <v>0.2</v>
      </c>
      <c r="AF34" s="62">
        <f xml:space="preserve"> IF(SUM(AF27,AF29)=0, AF31,  AF29/2-AF27/3)</f>
        <v>-0.2</v>
      </c>
      <c r="AG34" s="62">
        <f>AG27-AG29</f>
        <v>0</v>
      </c>
      <c r="AH34" s="62">
        <f>AH29+AH32</f>
        <v>0</v>
      </c>
      <c r="AI34" s="62">
        <f>AI27-1</f>
        <v>0</v>
      </c>
      <c r="AJ34" s="62"/>
      <c r="AL34">
        <f>AL25+AL27</f>
        <v>1</v>
      </c>
    </row>
    <row r="35" spans="24:38" x14ac:dyDescent="0.25">
      <c r="Z35" t="s">
        <v>152</v>
      </c>
      <c r="AA35">
        <v>-0.2</v>
      </c>
    </row>
    <row r="36" spans="24:38" x14ac:dyDescent="0.25">
      <c r="Z36" t="s">
        <v>153</v>
      </c>
      <c r="AA36">
        <v>0.4</v>
      </c>
    </row>
    <row r="37" spans="24:38" x14ac:dyDescent="0.25">
      <c r="Z37" t="s">
        <v>154</v>
      </c>
      <c r="AA37">
        <v>2</v>
      </c>
    </row>
    <row r="38" spans="24:38" x14ac:dyDescent="0.25">
      <c r="Z38" t="s">
        <v>156</v>
      </c>
      <c r="AA38">
        <f>AA35</f>
        <v>-0.2</v>
      </c>
    </row>
    <row r="39" spans="24:38" x14ac:dyDescent="0.25">
      <c r="Z39" t="s">
        <v>157</v>
      </c>
      <c r="AA39">
        <f>AA36-AA35</f>
        <v>0.60000000000000009</v>
      </c>
    </row>
    <row r="40" spans="24:38" x14ac:dyDescent="0.25">
      <c r="Z40" t="s">
        <v>158</v>
      </c>
      <c r="AA40">
        <f>AA36-AA41</f>
        <v>-1.2000000000000002</v>
      </c>
    </row>
    <row r="41" spans="24:38" x14ac:dyDescent="0.25">
      <c r="Z41" t="s">
        <v>159</v>
      </c>
      <c r="AA41">
        <f>(AA37-AA36)</f>
        <v>1.6</v>
      </c>
    </row>
  </sheetData>
  <phoneticPr fontId="9" type="noConversion"/>
  <conditionalFormatting sqref="O7:O22">
    <cfRule type="cellIs" dxfId="1" priority="1" operator="equal">
      <formula>TRUE</formula>
    </cfRule>
  </conditionalFormatting>
  <pageMargins left="0.7" right="0.7" top="0.75" bottom="0.75" header="0.3" footer="0.3"/>
  <pageSetup orientation="portrait" horizontalDpi="90" verticalDpi="9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S9"/>
  <sheetViews>
    <sheetView workbookViewId="0">
      <selection activeCell="L6" sqref="L6"/>
    </sheetView>
  </sheetViews>
  <sheetFormatPr defaultRowHeight="15" x14ac:dyDescent="0.25"/>
  <cols>
    <col min="2" max="2" width="9.140625" customWidth="1"/>
  </cols>
  <sheetData>
    <row r="2" spans="3:19" ht="15.75" thickBot="1" x14ac:dyDescent="0.3"/>
    <row r="3" spans="3:19" ht="16.5" thickTop="1" thickBot="1" x14ac:dyDescent="0.3">
      <c r="C3" s="36" t="s">
        <v>97</v>
      </c>
      <c r="D3" s="37"/>
      <c r="E3" s="37"/>
      <c r="F3" s="37"/>
      <c r="G3" s="38"/>
      <c r="K3" s="36"/>
      <c r="L3" s="37" t="s">
        <v>98</v>
      </c>
      <c r="M3" s="37"/>
      <c r="N3" s="37"/>
      <c r="O3" s="37"/>
      <c r="P3" s="37"/>
      <c r="Q3" s="37"/>
      <c r="R3" s="37"/>
      <c r="S3" s="38"/>
    </row>
    <row r="4" spans="3:19" x14ac:dyDescent="0.25">
      <c r="C4" s="31"/>
      <c r="D4" s="32" t="s">
        <v>93</v>
      </c>
      <c r="E4" s="32" t="s">
        <v>94</v>
      </c>
      <c r="F4" s="32"/>
      <c r="G4" s="33"/>
      <c r="K4" s="31"/>
      <c r="L4" s="32" t="s">
        <v>87</v>
      </c>
      <c r="M4" s="39">
        <v>-0.2</v>
      </c>
      <c r="N4" s="32" t="s">
        <v>81</v>
      </c>
      <c r="O4" s="39">
        <v>2</v>
      </c>
      <c r="P4" s="32"/>
      <c r="Q4" s="32"/>
      <c r="R4" s="32"/>
      <c r="S4" s="33"/>
    </row>
    <row r="5" spans="3:19" x14ac:dyDescent="0.25">
      <c r="C5" s="31" t="s">
        <v>92</v>
      </c>
      <c r="D5" s="39">
        <v>0.3</v>
      </c>
      <c r="E5" s="32">
        <f>_xlfn.NORM.S.INV(D5)</f>
        <v>-0.52440051270804089</v>
      </c>
      <c r="F5" s="32"/>
      <c r="G5" s="33"/>
      <c r="K5" s="31" t="s">
        <v>99</v>
      </c>
      <c r="L5" s="32">
        <v>0</v>
      </c>
      <c r="M5" s="32">
        <v>0.1</v>
      </c>
      <c r="N5" s="32">
        <v>0.25</v>
      </c>
      <c r="O5" s="32">
        <v>0.5</v>
      </c>
      <c r="P5" s="32">
        <v>0.8</v>
      </c>
      <c r="Q5" s="32">
        <v>1</v>
      </c>
      <c r="R5" s="32">
        <v>1.5</v>
      </c>
      <c r="S5" s="33">
        <v>2</v>
      </c>
    </row>
    <row r="6" spans="3:19" ht="15.75" thickBot="1" x14ac:dyDescent="0.3">
      <c r="C6" s="31"/>
      <c r="D6" s="32" t="s">
        <v>96</v>
      </c>
      <c r="E6" s="39">
        <v>1</v>
      </c>
      <c r="F6" s="32"/>
      <c r="G6" s="33"/>
      <c r="K6" s="43" t="s">
        <v>100</v>
      </c>
      <c r="L6" s="44">
        <f t="shared" ref="L6:S6" si="0">_xlfn.NORM.DIST(L5, $M$4, $O$4, TRUE)</f>
        <v>0.53982783727702899</v>
      </c>
      <c r="M6" s="44">
        <f t="shared" si="0"/>
        <v>0.5596176923702425</v>
      </c>
      <c r="N6" s="44">
        <f t="shared" si="0"/>
        <v>0.58901036286872965</v>
      </c>
      <c r="O6" s="44">
        <f t="shared" si="0"/>
        <v>0.6368306511756191</v>
      </c>
      <c r="P6" s="44">
        <f t="shared" si="0"/>
        <v>0.69146246127401312</v>
      </c>
      <c r="Q6" s="44">
        <f t="shared" si="0"/>
        <v>0.72574688224992645</v>
      </c>
      <c r="R6" s="44">
        <f t="shared" si="0"/>
        <v>0.80233745687730762</v>
      </c>
      <c r="S6" s="45">
        <f t="shared" si="0"/>
        <v>0.86433393905361733</v>
      </c>
    </row>
    <row r="7" spans="3:19" ht="15.75" thickBot="1" x14ac:dyDescent="0.3">
      <c r="C7" s="31"/>
      <c r="D7" s="32" t="s">
        <v>87</v>
      </c>
      <c r="E7" s="39">
        <v>0.7</v>
      </c>
      <c r="F7" s="32" t="s">
        <v>95</v>
      </c>
      <c r="G7" s="40">
        <v>0.2</v>
      </c>
      <c r="K7" s="31" t="s">
        <v>101</v>
      </c>
      <c r="L7" s="39">
        <v>0.2</v>
      </c>
      <c r="M7" s="39"/>
      <c r="N7" s="39"/>
      <c r="O7" s="39"/>
      <c r="P7" s="39"/>
      <c r="Q7" s="39">
        <f>0.2+0.35</f>
        <v>0.55000000000000004</v>
      </c>
      <c r="R7" s="39"/>
      <c r="S7" s="40"/>
    </row>
    <row r="8" spans="3:19" ht="15.75" thickBot="1" x14ac:dyDescent="0.3">
      <c r="C8" s="34"/>
      <c r="D8" s="35" t="s">
        <v>95</v>
      </c>
      <c r="E8" s="41">
        <f>(E6-E7)/E5</f>
        <v>-0.57208182053594703</v>
      </c>
      <c r="F8" s="35" t="s">
        <v>87</v>
      </c>
      <c r="G8" s="42">
        <f>-E5*G7 + E6</f>
        <v>1.1048801025416082</v>
      </c>
      <c r="K8" s="34" t="s">
        <v>102</v>
      </c>
      <c r="L8" s="46">
        <f>IF(ISBLANK(L7), "", L6-L7)</f>
        <v>0.33982783727702898</v>
      </c>
      <c r="M8" s="46" t="str">
        <f>IF(ISBLANK(M7), "", M6-M7)</f>
        <v/>
      </c>
      <c r="N8" s="46" t="str">
        <f t="shared" ref="N8:S8" si="1">IF(ISBLANK(N7), "", N6-N7)</f>
        <v/>
      </c>
      <c r="O8" s="46" t="str">
        <f t="shared" si="1"/>
        <v/>
      </c>
      <c r="P8" s="46" t="str">
        <f t="shared" si="1"/>
        <v/>
      </c>
      <c r="Q8" s="46">
        <f t="shared" si="1"/>
        <v>0.17574688224992641</v>
      </c>
      <c r="R8" s="46" t="str">
        <f t="shared" si="1"/>
        <v/>
      </c>
      <c r="S8" s="47" t="str">
        <f t="shared" si="1"/>
        <v/>
      </c>
    </row>
    <row r="9" spans="3:19" ht="15.75" thickTop="1" x14ac:dyDescent="0.25"/>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8"/>
  <sheetViews>
    <sheetView topLeftCell="D1" workbookViewId="0">
      <selection activeCell="Z25" sqref="Z25"/>
    </sheetView>
  </sheetViews>
  <sheetFormatPr defaultRowHeight="15" x14ac:dyDescent="0.25"/>
  <sheetData>
    <row r="1" spans="1:28" x14ac:dyDescent="0.2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70</v>
      </c>
      <c r="AA1" t="s">
        <v>72</v>
      </c>
      <c r="AB1" t="s">
        <v>71</v>
      </c>
    </row>
    <row r="2" spans="1:28" x14ac:dyDescent="0.25">
      <c r="G2">
        <f>_xlfn.NUMBERVALUE(LEFT(G1, LEN(G1)-2))</f>
        <v>0</v>
      </c>
      <c r="H2">
        <f t="shared" ref="H2:Y2" si="0">_xlfn.NUMBERVALUE(LEFT(H1, LEN(H1)-2))</f>
        <v>5</v>
      </c>
      <c r="I2">
        <f t="shared" si="0"/>
        <v>10</v>
      </c>
      <c r="J2">
        <f t="shared" si="0"/>
        <v>15</v>
      </c>
      <c r="K2">
        <f t="shared" si="0"/>
        <v>20</v>
      </c>
      <c r="L2">
        <f t="shared" si="0"/>
        <v>25</v>
      </c>
      <c r="M2">
        <f t="shared" si="0"/>
        <v>30</v>
      </c>
      <c r="N2">
        <f t="shared" si="0"/>
        <v>35</v>
      </c>
      <c r="O2">
        <f t="shared" si="0"/>
        <v>40</v>
      </c>
      <c r="P2">
        <f t="shared" si="0"/>
        <v>45</v>
      </c>
      <c r="Q2">
        <f t="shared" si="0"/>
        <v>50</v>
      </c>
      <c r="R2">
        <f t="shared" si="0"/>
        <v>55</v>
      </c>
      <c r="S2">
        <f t="shared" si="0"/>
        <v>60</v>
      </c>
      <c r="T2">
        <f t="shared" si="0"/>
        <v>65</v>
      </c>
      <c r="U2">
        <f t="shared" si="0"/>
        <v>70</v>
      </c>
      <c r="V2">
        <f t="shared" si="0"/>
        <v>75</v>
      </c>
      <c r="W2">
        <f t="shared" si="0"/>
        <v>80</v>
      </c>
      <c r="X2">
        <f t="shared" si="0"/>
        <v>85</v>
      </c>
      <c r="Y2">
        <f t="shared" si="0"/>
        <v>90</v>
      </c>
      <c r="AB2">
        <v>10</v>
      </c>
    </row>
    <row r="3" spans="1:28" x14ac:dyDescent="0.25">
      <c r="A3">
        <v>1</v>
      </c>
      <c r="B3" t="s">
        <v>16</v>
      </c>
      <c r="C3" t="s">
        <v>14</v>
      </c>
      <c r="D3" t="s">
        <v>17</v>
      </c>
      <c r="E3" t="s">
        <v>15</v>
      </c>
      <c r="F3">
        <v>41</v>
      </c>
      <c r="G3">
        <v>0</v>
      </c>
      <c r="H3">
        <v>0.59</v>
      </c>
      <c r="I3">
        <v>0.94</v>
      </c>
      <c r="J3">
        <v>1.23</v>
      </c>
      <c r="K3">
        <v>1.5</v>
      </c>
      <c r="L3">
        <v>1.75</v>
      </c>
      <c r="M3">
        <v>1.99</v>
      </c>
      <c r="N3">
        <v>2.2200000000000002</v>
      </c>
      <c r="O3">
        <v>2.4500000000000002</v>
      </c>
      <c r="P3">
        <v>2.66</v>
      </c>
      <c r="Q3">
        <v>2.88</v>
      </c>
      <c r="R3">
        <v>3.09</v>
      </c>
      <c r="S3">
        <v>3.3</v>
      </c>
      <c r="T3">
        <v>3.51</v>
      </c>
      <c r="U3">
        <v>3.72</v>
      </c>
      <c r="V3">
        <v>3.94</v>
      </c>
      <c r="W3">
        <v>4.16</v>
      </c>
      <c r="X3">
        <v>4.38</v>
      </c>
      <c r="Y3">
        <v>4.62</v>
      </c>
      <c r="Z3">
        <f>I3</f>
        <v>0.94</v>
      </c>
      <c r="AA3">
        <f>(Y3-K3)/(Y$2-K$2)</f>
        <v>4.4571428571428574E-2</v>
      </c>
      <c r="AB3">
        <f>AA3*$AB$2+Z3</f>
        <v>1.3857142857142857</v>
      </c>
    </row>
    <row r="4" spans="1:28" x14ac:dyDescent="0.25">
      <c r="A4">
        <v>10</v>
      </c>
      <c r="B4" t="s">
        <v>18</v>
      </c>
      <c r="C4" t="s">
        <v>14</v>
      </c>
      <c r="D4" t="s">
        <v>19</v>
      </c>
      <c r="E4" t="s">
        <v>20</v>
      </c>
      <c r="F4">
        <v>34</v>
      </c>
      <c r="G4">
        <v>0</v>
      </c>
      <c r="H4">
        <v>0.57999999999999996</v>
      </c>
      <c r="I4">
        <v>0.93</v>
      </c>
      <c r="J4">
        <v>1.22</v>
      </c>
      <c r="K4">
        <v>1.48</v>
      </c>
      <c r="L4">
        <v>1.73</v>
      </c>
      <c r="M4">
        <v>1.96</v>
      </c>
      <c r="N4">
        <v>2.19</v>
      </c>
      <c r="O4">
        <v>2.4</v>
      </c>
      <c r="P4">
        <v>2.61</v>
      </c>
      <c r="Q4">
        <v>2.82</v>
      </c>
      <c r="R4">
        <v>3.02</v>
      </c>
      <c r="S4">
        <v>3.23</v>
      </c>
      <c r="T4">
        <v>3.42</v>
      </c>
      <c r="U4">
        <v>3.62</v>
      </c>
      <c r="V4">
        <v>3.82</v>
      </c>
      <c r="W4">
        <v>4.0199999999999996</v>
      </c>
      <c r="X4">
        <v>4.22</v>
      </c>
      <c r="Y4">
        <v>4.43</v>
      </c>
      <c r="Z4">
        <f t="shared" ref="Z4:Z15" si="1">I4</f>
        <v>0.93</v>
      </c>
      <c r="AA4">
        <f t="shared" ref="AA4:AA15" si="2">(Y4-K4)/(Y$2-K$2)</f>
        <v>4.2142857142857142E-2</v>
      </c>
      <c r="AB4">
        <f t="shared" ref="AB4:AB15" si="3">AA4*$AB$2+Z4</f>
        <v>1.3514285714285714</v>
      </c>
    </row>
    <row r="5" spans="1:28" x14ac:dyDescent="0.25">
      <c r="A5">
        <v>30</v>
      </c>
      <c r="B5" t="s">
        <v>46</v>
      </c>
      <c r="C5" t="s">
        <v>14</v>
      </c>
      <c r="D5" t="s">
        <v>47</v>
      </c>
      <c r="E5" t="s">
        <v>15</v>
      </c>
      <c r="F5">
        <v>27</v>
      </c>
      <c r="G5">
        <v>0</v>
      </c>
      <c r="H5">
        <v>0.6</v>
      </c>
      <c r="I5">
        <v>0.93</v>
      </c>
      <c r="J5">
        <v>1.2</v>
      </c>
      <c r="K5">
        <v>1.45</v>
      </c>
      <c r="L5">
        <v>1.69</v>
      </c>
      <c r="M5">
        <v>1.92</v>
      </c>
      <c r="N5">
        <v>2.14</v>
      </c>
      <c r="O5">
        <v>2.36</v>
      </c>
      <c r="P5">
        <v>2.56</v>
      </c>
      <c r="Q5">
        <v>2.76</v>
      </c>
      <c r="R5">
        <v>2.95</v>
      </c>
      <c r="S5">
        <v>3.14</v>
      </c>
      <c r="T5">
        <v>3.33</v>
      </c>
      <c r="U5">
        <v>3.52</v>
      </c>
      <c r="V5">
        <v>3.71</v>
      </c>
      <c r="W5">
        <v>3.89</v>
      </c>
      <c r="X5">
        <v>4.09</v>
      </c>
      <c r="Y5">
        <v>4.29</v>
      </c>
      <c r="Z5">
        <f t="shared" si="1"/>
        <v>0.93</v>
      </c>
      <c r="AA5">
        <f t="shared" si="2"/>
        <v>4.0571428571428571E-2</v>
      </c>
      <c r="AB5">
        <f t="shared" si="3"/>
        <v>1.3357142857142859</v>
      </c>
    </row>
    <row r="6" spans="1:28" x14ac:dyDescent="0.25">
      <c r="A6">
        <v>69</v>
      </c>
      <c r="B6" t="s">
        <v>48</v>
      </c>
      <c r="C6" t="s">
        <v>14</v>
      </c>
      <c r="D6" t="s">
        <v>49</v>
      </c>
      <c r="E6" t="s">
        <v>20</v>
      </c>
      <c r="F6">
        <v>30</v>
      </c>
      <c r="G6">
        <v>0</v>
      </c>
      <c r="H6">
        <v>0.56000000000000005</v>
      </c>
      <c r="I6">
        <v>0.9</v>
      </c>
      <c r="J6">
        <v>1.18</v>
      </c>
      <c r="K6">
        <v>1.43</v>
      </c>
      <c r="L6">
        <v>1.67</v>
      </c>
      <c r="M6">
        <v>1.89</v>
      </c>
      <c r="N6">
        <v>2.1</v>
      </c>
      <c r="O6">
        <v>2.31</v>
      </c>
      <c r="P6">
        <v>2.5099999999999998</v>
      </c>
      <c r="Q6">
        <v>2.71</v>
      </c>
      <c r="R6">
        <v>2.9</v>
      </c>
      <c r="S6">
        <v>3.09</v>
      </c>
      <c r="T6">
        <v>3.28</v>
      </c>
      <c r="U6">
        <v>3.46</v>
      </c>
      <c r="V6">
        <v>3.65</v>
      </c>
      <c r="W6">
        <v>3.84</v>
      </c>
      <c r="X6">
        <v>4.0199999999999996</v>
      </c>
      <c r="Y6">
        <v>4.21</v>
      </c>
      <c r="Z6">
        <f t="shared" si="1"/>
        <v>0.9</v>
      </c>
      <c r="AA6">
        <f t="shared" si="2"/>
        <v>3.9714285714285716E-2</v>
      </c>
      <c r="AB6">
        <f t="shared" si="3"/>
        <v>1.2971428571428572</v>
      </c>
    </row>
    <row r="7" spans="1:28" x14ac:dyDescent="0.25">
      <c r="A7">
        <v>124</v>
      </c>
      <c r="B7" t="s">
        <v>50</v>
      </c>
      <c r="C7" t="s">
        <v>14</v>
      </c>
      <c r="D7" t="s">
        <v>51</v>
      </c>
      <c r="E7" t="s">
        <v>20</v>
      </c>
      <c r="F7">
        <v>25</v>
      </c>
      <c r="G7">
        <v>0</v>
      </c>
      <c r="H7">
        <v>0.56000000000000005</v>
      </c>
      <c r="I7">
        <v>0.89</v>
      </c>
      <c r="J7">
        <v>1.17</v>
      </c>
      <c r="K7">
        <v>1.42</v>
      </c>
      <c r="L7">
        <v>1.65</v>
      </c>
      <c r="M7">
        <v>1.86</v>
      </c>
      <c r="N7">
        <v>2.0699999999999998</v>
      </c>
      <c r="O7">
        <v>2.27</v>
      </c>
      <c r="P7">
        <v>2.4700000000000002</v>
      </c>
      <c r="Q7">
        <v>2.66</v>
      </c>
      <c r="R7">
        <v>2.85</v>
      </c>
      <c r="S7">
        <v>3.03</v>
      </c>
      <c r="T7">
        <v>3.22</v>
      </c>
      <c r="U7">
        <v>3.4</v>
      </c>
      <c r="V7">
        <v>3.58</v>
      </c>
      <c r="W7">
        <v>3.76</v>
      </c>
      <c r="X7">
        <v>3.95</v>
      </c>
      <c r="Y7">
        <v>4.1500000000000004</v>
      </c>
      <c r="Z7">
        <f t="shared" si="1"/>
        <v>0.89</v>
      </c>
      <c r="AA7">
        <f t="shared" si="2"/>
        <v>3.9000000000000007E-2</v>
      </c>
      <c r="AB7">
        <f t="shared" si="3"/>
        <v>1.28</v>
      </c>
    </row>
    <row r="8" spans="1:28" x14ac:dyDescent="0.25">
      <c r="A8">
        <v>338</v>
      </c>
      <c r="B8" t="s">
        <v>52</v>
      </c>
      <c r="C8" t="s">
        <v>53</v>
      </c>
      <c r="D8" t="s">
        <v>54</v>
      </c>
      <c r="E8" t="s">
        <v>15</v>
      </c>
      <c r="F8">
        <v>26</v>
      </c>
      <c r="G8">
        <v>0</v>
      </c>
      <c r="H8">
        <v>0.54</v>
      </c>
      <c r="I8">
        <v>0.86</v>
      </c>
      <c r="J8">
        <v>1.1299999999999999</v>
      </c>
      <c r="K8">
        <v>1.36</v>
      </c>
      <c r="L8">
        <v>1.59</v>
      </c>
      <c r="M8">
        <v>1.79</v>
      </c>
      <c r="N8">
        <v>1.99</v>
      </c>
      <c r="O8">
        <v>2.1800000000000002</v>
      </c>
      <c r="P8">
        <v>2.37</v>
      </c>
      <c r="Q8">
        <v>2.56</v>
      </c>
      <c r="R8">
        <v>2.74</v>
      </c>
      <c r="S8">
        <v>2.92</v>
      </c>
      <c r="T8">
        <v>3.1</v>
      </c>
      <c r="U8">
        <v>3.27</v>
      </c>
      <c r="V8">
        <v>3.44</v>
      </c>
      <c r="W8">
        <v>3.62</v>
      </c>
      <c r="X8">
        <v>3.79</v>
      </c>
      <c r="Y8">
        <v>3.98</v>
      </c>
      <c r="Z8">
        <f t="shared" si="1"/>
        <v>0.86</v>
      </c>
      <c r="AA8">
        <f t="shared" si="2"/>
        <v>3.7428571428571429E-2</v>
      </c>
      <c r="AB8">
        <f t="shared" si="3"/>
        <v>1.2342857142857142</v>
      </c>
    </row>
    <row r="9" spans="1:28" x14ac:dyDescent="0.25">
      <c r="A9">
        <v>388</v>
      </c>
      <c r="B9" t="s">
        <v>55</v>
      </c>
      <c r="C9" t="s">
        <v>14</v>
      </c>
      <c r="D9" t="s">
        <v>56</v>
      </c>
      <c r="E9" t="s">
        <v>57</v>
      </c>
      <c r="F9">
        <v>29</v>
      </c>
      <c r="G9">
        <v>0</v>
      </c>
      <c r="H9">
        <v>0.56999999999999995</v>
      </c>
      <c r="I9">
        <v>0.88</v>
      </c>
      <c r="J9">
        <v>1.1299999999999999</v>
      </c>
      <c r="K9">
        <v>1.37</v>
      </c>
      <c r="L9">
        <v>1.58</v>
      </c>
      <c r="M9">
        <v>1.78</v>
      </c>
      <c r="N9">
        <v>1.97</v>
      </c>
      <c r="O9">
        <v>2.16</v>
      </c>
      <c r="P9">
        <v>2.35</v>
      </c>
      <c r="Q9">
        <v>2.52</v>
      </c>
      <c r="R9">
        <v>2.7</v>
      </c>
      <c r="S9">
        <v>2.88</v>
      </c>
      <c r="T9">
        <v>3.06</v>
      </c>
      <c r="U9">
        <v>3.23</v>
      </c>
      <c r="V9">
        <v>3.39</v>
      </c>
      <c r="W9">
        <v>3.56</v>
      </c>
      <c r="X9">
        <v>3.73</v>
      </c>
      <c r="Y9">
        <v>3.91</v>
      </c>
      <c r="Z9">
        <f t="shared" si="1"/>
        <v>0.88</v>
      </c>
      <c r="AA9">
        <f t="shared" si="2"/>
        <v>3.6285714285714289E-2</v>
      </c>
      <c r="AB9">
        <f t="shared" si="3"/>
        <v>1.2428571428571429</v>
      </c>
    </row>
    <row r="10" spans="1:28" x14ac:dyDescent="0.25">
      <c r="A10">
        <v>465</v>
      </c>
      <c r="B10" t="s">
        <v>58</v>
      </c>
      <c r="C10" t="s">
        <v>53</v>
      </c>
      <c r="D10" t="s">
        <v>47</v>
      </c>
      <c r="E10" t="s">
        <v>57</v>
      </c>
      <c r="F10">
        <v>26</v>
      </c>
      <c r="G10">
        <v>0</v>
      </c>
      <c r="H10">
        <v>0.53</v>
      </c>
      <c r="I10">
        <v>0.83</v>
      </c>
      <c r="J10">
        <v>1.0900000000000001</v>
      </c>
      <c r="K10">
        <v>1.31</v>
      </c>
      <c r="L10">
        <v>1.53</v>
      </c>
      <c r="M10">
        <v>1.73</v>
      </c>
      <c r="N10">
        <v>1.93</v>
      </c>
      <c r="O10">
        <v>2.12</v>
      </c>
      <c r="P10">
        <v>2.2999999999999998</v>
      </c>
      <c r="Q10">
        <v>2.48</v>
      </c>
      <c r="R10">
        <v>2.66</v>
      </c>
      <c r="S10">
        <v>2.84</v>
      </c>
      <c r="T10">
        <v>3.01</v>
      </c>
      <c r="U10">
        <v>3.18</v>
      </c>
      <c r="V10">
        <v>3.35</v>
      </c>
      <c r="W10">
        <v>3.52</v>
      </c>
      <c r="X10">
        <v>3.7</v>
      </c>
      <c r="Y10">
        <v>3.9</v>
      </c>
      <c r="Z10">
        <f t="shared" si="1"/>
        <v>0.83</v>
      </c>
      <c r="AA10">
        <f t="shared" si="2"/>
        <v>3.6999999999999998E-2</v>
      </c>
      <c r="AB10">
        <f t="shared" si="3"/>
        <v>1.2</v>
      </c>
    </row>
    <row r="11" spans="1:28" x14ac:dyDescent="0.25">
      <c r="A11">
        <v>510</v>
      </c>
      <c r="B11" t="s">
        <v>59</v>
      </c>
      <c r="C11" t="s">
        <v>53</v>
      </c>
      <c r="D11" t="s">
        <v>60</v>
      </c>
      <c r="E11" t="s">
        <v>57</v>
      </c>
      <c r="F11">
        <v>37</v>
      </c>
      <c r="G11">
        <v>0</v>
      </c>
      <c r="H11">
        <v>0.53</v>
      </c>
      <c r="I11">
        <v>0.81</v>
      </c>
      <c r="J11">
        <v>1.06</v>
      </c>
      <c r="K11">
        <v>1.28</v>
      </c>
      <c r="L11">
        <v>1.48</v>
      </c>
      <c r="M11">
        <v>1.67</v>
      </c>
      <c r="N11">
        <v>1.86</v>
      </c>
      <c r="O11">
        <v>2.04</v>
      </c>
      <c r="P11">
        <v>2.23</v>
      </c>
      <c r="Q11">
        <v>2.4</v>
      </c>
      <c r="R11">
        <v>2.58</v>
      </c>
      <c r="S11">
        <v>2.75</v>
      </c>
      <c r="T11">
        <v>2.93</v>
      </c>
      <c r="U11">
        <v>3.1</v>
      </c>
      <c r="V11">
        <v>3.28</v>
      </c>
      <c r="W11">
        <v>3.45</v>
      </c>
      <c r="X11">
        <v>3.65</v>
      </c>
      <c r="Y11">
        <v>3.82</v>
      </c>
      <c r="Z11">
        <f t="shared" si="1"/>
        <v>0.81</v>
      </c>
      <c r="AA11">
        <f t="shared" si="2"/>
        <v>3.6285714285714289E-2</v>
      </c>
      <c r="AB11">
        <f t="shared" si="3"/>
        <v>1.172857142857143</v>
      </c>
    </row>
    <row r="12" spans="1:28" x14ac:dyDescent="0.25">
      <c r="A12">
        <v>468</v>
      </c>
      <c r="B12" t="s">
        <v>61</v>
      </c>
      <c r="C12" t="s">
        <v>53</v>
      </c>
      <c r="D12" t="s">
        <v>62</v>
      </c>
      <c r="E12" t="s">
        <v>63</v>
      </c>
      <c r="F12">
        <v>27</v>
      </c>
      <c r="G12">
        <v>0</v>
      </c>
      <c r="H12">
        <v>0.54</v>
      </c>
      <c r="I12">
        <v>0.84</v>
      </c>
      <c r="J12">
        <v>1.0900000000000001</v>
      </c>
      <c r="K12">
        <v>1.32</v>
      </c>
      <c r="L12">
        <v>1.53</v>
      </c>
      <c r="M12">
        <v>1.74</v>
      </c>
      <c r="N12">
        <v>1.93</v>
      </c>
      <c r="O12">
        <v>2.12</v>
      </c>
      <c r="P12">
        <v>2.2999999999999998</v>
      </c>
      <c r="Q12">
        <v>2.48</v>
      </c>
      <c r="R12">
        <v>2.65</v>
      </c>
      <c r="S12">
        <v>2.83</v>
      </c>
      <c r="T12">
        <v>3</v>
      </c>
      <c r="U12">
        <v>3.17</v>
      </c>
      <c r="V12">
        <v>3.33</v>
      </c>
      <c r="W12">
        <v>3.5</v>
      </c>
      <c r="X12">
        <v>3.67</v>
      </c>
      <c r="Y12">
        <v>3.86</v>
      </c>
      <c r="Z12">
        <f t="shared" si="1"/>
        <v>0.84</v>
      </c>
      <c r="AA12">
        <f t="shared" si="2"/>
        <v>3.6285714285714289E-2</v>
      </c>
      <c r="AB12">
        <f t="shared" si="3"/>
        <v>1.2028571428571428</v>
      </c>
    </row>
    <row r="13" spans="1:28" x14ac:dyDescent="0.25">
      <c r="A13">
        <v>174</v>
      </c>
      <c r="B13" t="s">
        <v>65</v>
      </c>
      <c r="C13" t="s">
        <v>14</v>
      </c>
      <c r="D13" t="s">
        <v>66</v>
      </c>
      <c r="E13" t="s">
        <v>64</v>
      </c>
      <c r="F13">
        <v>25</v>
      </c>
      <c r="G13">
        <v>0</v>
      </c>
      <c r="H13">
        <v>0.56999999999999995</v>
      </c>
      <c r="I13">
        <v>0.9</v>
      </c>
      <c r="J13">
        <v>1.17</v>
      </c>
      <c r="K13">
        <v>1.41</v>
      </c>
      <c r="L13">
        <v>1.63</v>
      </c>
      <c r="M13">
        <v>1.85</v>
      </c>
      <c r="N13">
        <v>2.0499999999999998</v>
      </c>
      <c r="O13">
        <v>2.25</v>
      </c>
      <c r="P13">
        <v>2.44</v>
      </c>
      <c r="Q13">
        <v>2.62</v>
      </c>
      <c r="R13">
        <v>2.8</v>
      </c>
      <c r="S13">
        <v>2.97</v>
      </c>
      <c r="T13">
        <v>3.15</v>
      </c>
      <c r="U13">
        <v>3.32</v>
      </c>
      <c r="V13">
        <v>3.5</v>
      </c>
      <c r="W13">
        <v>3.67</v>
      </c>
      <c r="X13">
        <v>3.85</v>
      </c>
      <c r="Y13">
        <v>4.03</v>
      </c>
      <c r="Z13">
        <f t="shared" si="1"/>
        <v>0.9</v>
      </c>
      <c r="AA13">
        <f t="shared" si="2"/>
        <v>3.7428571428571429E-2</v>
      </c>
      <c r="AB13">
        <f t="shared" si="3"/>
        <v>1.2742857142857142</v>
      </c>
    </row>
    <row r="14" spans="1:28" x14ac:dyDescent="0.25">
      <c r="A14">
        <v>218</v>
      </c>
      <c r="B14" t="s">
        <v>67</v>
      </c>
      <c r="C14" t="s">
        <v>14</v>
      </c>
      <c r="D14" t="s">
        <v>51</v>
      </c>
      <c r="E14" t="s">
        <v>68</v>
      </c>
      <c r="F14">
        <v>25</v>
      </c>
      <c r="G14">
        <v>0</v>
      </c>
      <c r="H14">
        <v>0.56999999999999995</v>
      </c>
      <c r="I14">
        <v>0.9</v>
      </c>
      <c r="J14">
        <v>1.17</v>
      </c>
      <c r="K14">
        <v>1.41</v>
      </c>
      <c r="L14">
        <v>1.63</v>
      </c>
      <c r="M14">
        <v>1.84</v>
      </c>
      <c r="N14">
        <v>2.04</v>
      </c>
      <c r="O14">
        <v>2.23</v>
      </c>
      <c r="P14">
        <v>2.42</v>
      </c>
      <c r="Q14">
        <v>2.61</v>
      </c>
      <c r="R14">
        <v>2.79</v>
      </c>
      <c r="S14">
        <v>2.96</v>
      </c>
      <c r="T14">
        <v>3.14</v>
      </c>
      <c r="U14">
        <v>3.31</v>
      </c>
      <c r="V14">
        <v>3.48</v>
      </c>
      <c r="W14">
        <v>3.65</v>
      </c>
      <c r="X14">
        <v>3.82</v>
      </c>
      <c r="Y14">
        <v>4</v>
      </c>
      <c r="Z14">
        <f t="shared" si="1"/>
        <v>0.9</v>
      </c>
      <c r="AA14">
        <f t="shared" si="2"/>
        <v>3.6999999999999998E-2</v>
      </c>
      <c r="AB14">
        <f t="shared" si="3"/>
        <v>1.27</v>
      </c>
    </row>
    <row r="15" spans="1:28" x14ac:dyDescent="0.25">
      <c r="A15">
        <v>275</v>
      </c>
      <c r="B15" t="s">
        <v>69</v>
      </c>
      <c r="C15" t="s">
        <v>14</v>
      </c>
      <c r="D15" t="s">
        <v>62</v>
      </c>
      <c r="E15" t="s">
        <v>68</v>
      </c>
      <c r="F15">
        <v>27</v>
      </c>
      <c r="G15">
        <v>0</v>
      </c>
      <c r="H15">
        <v>0.56000000000000005</v>
      </c>
      <c r="I15">
        <v>0.87</v>
      </c>
      <c r="J15">
        <v>1.1399999999999999</v>
      </c>
      <c r="K15">
        <v>1.37</v>
      </c>
      <c r="L15">
        <v>1.59</v>
      </c>
      <c r="M15">
        <v>1.8</v>
      </c>
      <c r="N15">
        <v>2</v>
      </c>
      <c r="O15">
        <v>2.2000000000000002</v>
      </c>
      <c r="P15">
        <v>2.39</v>
      </c>
      <c r="Q15">
        <v>2.57</v>
      </c>
      <c r="R15">
        <v>2.76</v>
      </c>
      <c r="S15">
        <v>2.94</v>
      </c>
      <c r="T15">
        <v>3.12</v>
      </c>
      <c r="U15">
        <v>3.29</v>
      </c>
      <c r="V15">
        <v>3.47</v>
      </c>
      <c r="W15">
        <v>3.65</v>
      </c>
      <c r="X15">
        <v>3.82</v>
      </c>
      <c r="Y15">
        <v>4.01</v>
      </c>
      <c r="Z15">
        <f t="shared" si="1"/>
        <v>0.87</v>
      </c>
      <c r="AA15">
        <f t="shared" si="2"/>
        <v>3.7714285714285707E-2</v>
      </c>
      <c r="AB15">
        <f t="shared" si="3"/>
        <v>1.2471428571428571</v>
      </c>
    </row>
    <row r="16" spans="1:28" x14ac:dyDescent="0.25">
      <c r="G16">
        <f>AVERAGE(G3:G15)</f>
        <v>0</v>
      </c>
      <c r="H16">
        <f t="shared" ref="H16:AB16" si="4">AVERAGE(H3:H15)</f>
        <v>0.56153846153846154</v>
      </c>
      <c r="I16">
        <f t="shared" si="4"/>
        <v>0.88307692307692309</v>
      </c>
      <c r="J16">
        <f t="shared" si="4"/>
        <v>1.1523076923076923</v>
      </c>
      <c r="K16">
        <f t="shared" si="4"/>
        <v>1.3930769230769231</v>
      </c>
      <c r="L16">
        <f t="shared" si="4"/>
        <v>1.619230769230769</v>
      </c>
      <c r="M16">
        <f t="shared" si="4"/>
        <v>1.8323076923076924</v>
      </c>
      <c r="N16">
        <f t="shared" si="4"/>
        <v>2.0376923076923079</v>
      </c>
      <c r="O16">
        <f t="shared" si="4"/>
        <v>2.2376923076923076</v>
      </c>
      <c r="P16">
        <f t="shared" si="4"/>
        <v>2.4315384615384619</v>
      </c>
      <c r="Q16">
        <f t="shared" si="4"/>
        <v>2.6207692307692301</v>
      </c>
      <c r="R16">
        <f t="shared" si="4"/>
        <v>2.8069230769230766</v>
      </c>
      <c r="S16">
        <f t="shared" si="4"/>
        <v>2.9907692307692306</v>
      </c>
      <c r="T16">
        <f t="shared" si="4"/>
        <v>3.1746153846153842</v>
      </c>
      <c r="U16">
        <f t="shared" si="4"/>
        <v>3.3530769230769235</v>
      </c>
      <c r="V16">
        <f t="shared" si="4"/>
        <v>3.5338461538461536</v>
      </c>
      <c r="W16">
        <f t="shared" si="4"/>
        <v>3.7146153846153847</v>
      </c>
      <c r="X16">
        <f t="shared" si="4"/>
        <v>3.8992307692307695</v>
      </c>
      <c r="Y16">
        <f t="shared" si="4"/>
        <v>4.0930769230769233</v>
      </c>
      <c r="Z16">
        <f t="shared" si="4"/>
        <v>0.88307692307692309</v>
      </c>
      <c r="AA16">
        <f t="shared" si="4"/>
        <v>3.8571428571428576E-2</v>
      </c>
      <c r="AB16">
        <f t="shared" si="4"/>
        <v>1.2687912087912088</v>
      </c>
    </row>
    <row r="17" spans="26:27" x14ac:dyDescent="0.25">
      <c r="Z17">
        <f>MAX(Z3:Z15)</f>
        <v>0.94</v>
      </c>
      <c r="AA17">
        <f>MAX(AA3:AA15)</f>
        <v>4.4571428571428574E-2</v>
      </c>
    </row>
    <row r="18" spans="26:27" x14ac:dyDescent="0.25">
      <c r="Z18">
        <f>MIN(Z3:Z15)</f>
        <v>0.81</v>
      </c>
      <c r="AA18">
        <f>MIN(AA3:AA15)</f>
        <v>3.6285714285714289E-2</v>
      </c>
    </row>
  </sheetData>
  <pageMargins left="0.7" right="0.7" top="0.75" bottom="0.75" header="0.3" footer="0.3"/>
  <pageSetup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
  <sheetViews>
    <sheetView workbookViewId="0">
      <selection activeCell="E24" sqref="E24"/>
    </sheetView>
  </sheetViews>
  <sheetFormatPr defaultRowHeight="15" x14ac:dyDescent="0.25"/>
  <sheetData>
    <row r="1" spans="1:6" x14ac:dyDescent="0.25">
      <c r="B1" s="1" t="s">
        <v>0</v>
      </c>
      <c r="C1" t="s">
        <v>3</v>
      </c>
      <c r="D1" t="s">
        <v>1</v>
      </c>
      <c r="E1" t="s">
        <v>2</v>
      </c>
      <c r="F1" t="s">
        <v>4</v>
      </c>
    </row>
    <row r="2" spans="1:6" x14ac:dyDescent="0.25">
      <c r="A2" s="1">
        <v>1988</v>
      </c>
      <c r="B2">
        <v>0.4269</v>
      </c>
      <c r="C2">
        <v>0.28660000000000002</v>
      </c>
      <c r="D2">
        <v>0.1007</v>
      </c>
      <c r="E2">
        <v>5.8200000000000002E-2</v>
      </c>
      <c r="F2">
        <v>0.12759999999999999</v>
      </c>
    </row>
    <row r="3" spans="1:6" x14ac:dyDescent="0.25">
      <c r="A3" s="1">
        <v>1989</v>
      </c>
      <c r="B3">
        <v>0.39779999999999999</v>
      </c>
      <c r="C3">
        <v>0.1666</v>
      </c>
      <c r="D3">
        <v>0.1575</v>
      </c>
      <c r="E3">
        <v>9.0399999999999994E-2</v>
      </c>
      <c r="F3">
        <v>0.18770000000000001</v>
      </c>
    </row>
    <row r="4" spans="1:6" x14ac:dyDescent="0.25">
      <c r="A4" s="1">
        <v>1990</v>
      </c>
      <c r="B4">
        <v>0.38600000000000001</v>
      </c>
      <c r="C4">
        <v>0.1285</v>
      </c>
      <c r="D4">
        <v>0.1787</v>
      </c>
      <c r="E4">
        <v>9.9400000000000002E-2</v>
      </c>
      <c r="F4">
        <v>0.20730000000000001</v>
      </c>
    </row>
    <row r="5" spans="1:6" x14ac:dyDescent="0.25">
      <c r="A5" s="1">
        <v>1991</v>
      </c>
      <c r="B5">
        <v>0.3528</v>
      </c>
      <c r="C5">
        <v>0.11700000000000001</v>
      </c>
      <c r="D5">
        <v>0.19789999999999999</v>
      </c>
      <c r="E5">
        <v>0.1057</v>
      </c>
      <c r="F5">
        <v>0.2266</v>
      </c>
    </row>
    <row r="6" spans="1:6" x14ac:dyDescent="0.25">
      <c r="A6" s="1">
        <v>1992</v>
      </c>
      <c r="B6">
        <v>0.31290000000000001</v>
      </c>
      <c r="C6">
        <v>7.6700000000000004E-2</v>
      </c>
      <c r="D6">
        <v>0.23</v>
      </c>
      <c r="E6">
        <v>0.112</v>
      </c>
      <c r="F6">
        <v>0.26850000000000002</v>
      </c>
    </row>
    <row r="7" spans="1:6" x14ac:dyDescent="0.25">
      <c r="A7" s="1">
        <v>1993</v>
      </c>
      <c r="B7">
        <v>0.26369999999999999</v>
      </c>
      <c r="C7">
        <v>4.3999999999999997E-2</v>
      </c>
      <c r="D7">
        <v>0.26490000000000002</v>
      </c>
      <c r="E7">
        <v>0.1154</v>
      </c>
      <c r="F7">
        <v>0.31190000000000001</v>
      </c>
    </row>
    <row r="8" spans="1:6" x14ac:dyDescent="0.25">
      <c r="A8" s="1">
        <v>1994</v>
      </c>
      <c r="B8">
        <v>0.2505</v>
      </c>
      <c r="C8">
        <v>4.0500000000000001E-2</v>
      </c>
      <c r="D8">
        <v>0.27650000000000002</v>
      </c>
      <c r="E8">
        <v>0.1104</v>
      </c>
      <c r="F8">
        <v>0.32200000000000001</v>
      </c>
    </row>
    <row r="9" spans="1:6" x14ac:dyDescent="0.25">
      <c r="A9" s="1">
        <v>1995</v>
      </c>
      <c r="B9">
        <v>0.23499999999999999</v>
      </c>
      <c r="C9">
        <v>3.8199999999999998E-2</v>
      </c>
      <c r="D9">
        <v>0.28849999999999998</v>
      </c>
      <c r="E9">
        <v>0.1062</v>
      </c>
      <c r="F9">
        <v>0.3322</v>
      </c>
    </row>
    <row r="10" spans="1:6" x14ac:dyDescent="0.25">
      <c r="A10" s="1">
        <v>1996</v>
      </c>
      <c r="B10">
        <v>0.22650000000000001</v>
      </c>
      <c r="C10">
        <v>3.5999999999999997E-2</v>
      </c>
      <c r="D10">
        <v>0.29699999999999999</v>
      </c>
      <c r="E10">
        <v>0.1031</v>
      </c>
      <c r="F10">
        <v>0.33739999999999998</v>
      </c>
    </row>
    <row r="11" spans="1:6" x14ac:dyDescent="0.25">
      <c r="A11" s="1">
        <v>1997</v>
      </c>
      <c r="B11">
        <v>0.21079999999999999</v>
      </c>
      <c r="C11">
        <v>3.2000000000000001E-2</v>
      </c>
      <c r="D11">
        <v>0.314</v>
      </c>
      <c r="E11">
        <v>0.1033</v>
      </c>
      <c r="F11">
        <v>0.34</v>
      </c>
    </row>
    <row r="12" spans="1:6" x14ac:dyDescent="0.25">
      <c r="A12" s="1">
        <v>1998</v>
      </c>
      <c r="B12">
        <v>0.21149999999999999</v>
      </c>
      <c r="C12">
        <v>3.2500000000000001E-2</v>
      </c>
      <c r="D12">
        <v>0.31419999999999998</v>
      </c>
      <c r="E12">
        <v>0.10489999999999999</v>
      </c>
      <c r="F12">
        <v>0.33689999999999998</v>
      </c>
    </row>
    <row r="13" spans="1:6" x14ac:dyDescent="0.25">
      <c r="A13" s="1">
        <v>1999</v>
      </c>
      <c r="B13">
        <v>0.20449999999999999</v>
      </c>
      <c r="C13">
        <v>3.56E-2</v>
      </c>
      <c r="D13">
        <v>0.31430000000000002</v>
      </c>
      <c r="E13">
        <v>0.10580000000000001</v>
      </c>
      <c r="F13">
        <v>0.33979999999999999</v>
      </c>
    </row>
    <row r="17" spans="2:6" x14ac:dyDescent="0.25">
      <c r="B17">
        <f>AVERAGE(B2:B13)</f>
        <v>0.28990833333333332</v>
      </c>
      <c r="C17">
        <f>AVERAGE(C2:C13)</f>
        <v>8.6183333333333348E-2</v>
      </c>
      <c r="D17">
        <f>AVERAGE(D2:D13)</f>
        <v>0.24451666666666663</v>
      </c>
      <c r="E17">
        <f>AVERAGE(E2:E13)</f>
        <v>0.10123333333333333</v>
      </c>
      <c r="F17">
        <f>AVERAGE(F2:F13)</f>
        <v>0.27815833333333334</v>
      </c>
    </row>
  </sheetData>
  <pageMargins left="0.7" right="0.7" top="0.75" bottom="0.75" header="0.3" footer="0.3"/>
  <pageSetup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workbookViewId="0">
      <selection activeCell="E20" sqref="E20"/>
    </sheetView>
  </sheetViews>
  <sheetFormatPr defaultRowHeight="15" x14ac:dyDescent="0.25"/>
  <cols>
    <col min="5" max="5" width="23.7109375" customWidth="1"/>
  </cols>
  <sheetData>
    <row r="1" spans="1:5" x14ac:dyDescent="0.25">
      <c r="A1" t="s">
        <v>112</v>
      </c>
      <c r="B1" t="s">
        <v>113</v>
      </c>
      <c r="C1" t="s">
        <v>114</v>
      </c>
      <c r="D1" t="s">
        <v>115</v>
      </c>
      <c r="E1" t="s">
        <v>116</v>
      </c>
    </row>
    <row r="2" spans="1:5" x14ac:dyDescent="0.25">
      <c r="A2" t="s">
        <v>99</v>
      </c>
      <c r="B2" t="s">
        <v>117</v>
      </c>
      <c r="C2" t="s">
        <v>117</v>
      </c>
      <c r="D2" t="s">
        <v>117</v>
      </c>
      <c r="E2" t="s">
        <v>119</v>
      </c>
    </row>
    <row r="3" spans="1:5" x14ac:dyDescent="0.25">
      <c r="A3" t="s">
        <v>99</v>
      </c>
      <c r="B3" t="s">
        <v>117</v>
      </c>
      <c r="C3" t="s">
        <v>117</v>
      </c>
      <c r="D3" t="s">
        <v>118</v>
      </c>
      <c r="E3" t="s">
        <v>120</v>
      </c>
    </row>
    <row r="4" spans="1:5" x14ac:dyDescent="0.25">
      <c r="A4" t="s">
        <v>99</v>
      </c>
      <c r="B4" t="s">
        <v>117</v>
      </c>
      <c r="C4" t="s">
        <v>118</v>
      </c>
      <c r="D4" t="s">
        <v>117</v>
      </c>
      <c r="E4" t="s">
        <v>120</v>
      </c>
    </row>
    <row r="5" spans="1:5" x14ac:dyDescent="0.25">
      <c r="A5" t="s">
        <v>99</v>
      </c>
      <c r="B5" t="s">
        <v>117</v>
      </c>
      <c r="C5" t="s">
        <v>118</v>
      </c>
      <c r="D5" t="s">
        <v>118</v>
      </c>
      <c r="E5" t="s">
        <v>121</v>
      </c>
    </row>
    <row r="6" spans="1:5" x14ac:dyDescent="0.25">
      <c r="A6" t="s">
        <v>99</v>
      </c>
      <c r="B6" t="s">
        <v>118</v>
      </c>
      <c r="C6" t="s">
        <v>117</v>
      </c>
      <c r="D6" t="s">
        <v>117</v>
      </c>
      <c r="E6" t="s">
        <v>122</v>
      </c>
    </row>
    <row r="7" spans="1:5" x14ac:dyDescent="0.25">
      <c r="A7" t="s">
        <v>99</v>
      </c>
      <c r="B7" t="s">
        <v>118</v>
      </c>
      <c r="C7" t="s">
        <v>117</v>
      </c>
      <c r="D7" t="s">
        <v>118</v>
      </c>
      <c r="E7" t="s">
        <v>123</v>
      </c>
    </row>
    <row r="8" spans="1:5" x14ac:dyDescent="0.25">
      <c r="A8" t="s">
        <v>99</v>
      </c>
      <c r="B8" t="s">
        <v>118</v>
      </c>
      <c r="C8" t="s">
        <v>118</v>
      </c>
      <c r="D8" t="s">
        <v>117</v>
      </c>
      <c r="E8" t="s">
        <v>122</v>
      </c>
    </row>
    <row r="9" spans="1:5" x14ac:dyDescent="0.25">
      <c r="A9" t="s">
        <v>99</v>
      </c>
      <c r="B9" t="s">
        <v>118</v>
      </c>
      <c r="C9" t="s">
        <v>118</v>
      </c>
      <c r="D9" t="s">
        <v>118</v>
      </c>
      <c r="E9" t="s">
        <v>124</v>
      </c>
    </row>
    <row r="10" spans="1:5" x14ac:dyDescent="0.25">
      <c r="A10" t="s">
        <v>99</v>
      </c>
    </row>
    <row r="11" spans="1:5" x14ac:dyDescent="0.25">
      <c r="A11" t="s">
        <v>99</v>
      </c>
    </row>
    <row r="12" spans="1:5" x14ac:dyDescent="0.25">
      <c r="A12" t="s">
        <v>99</v>
      </c>
    </row>
    <row r="13" spans="1:5" x14ac:dyDescent="0.25">
      <c r="A13" t="s">
        <v>99</v>
      </c>
    </row>
    <row r="14" spans="1:5" x14ac:dyDescent="0.25">
      <c r="A14" t="s">
        <v>99</v>
      </c>
    </row>
    <row r="15" spans="1:5" x14ac:dyDescent="0.25">
      <c r="A15" t="s">
        <v>99</v>
      </c>
    </row>
    <row r="16" spans="1:5" x14ac:dyDescent="0.25">
      <c r="A16" t="s">
        <v>99</v>
      </c>
    </row>
    <row r="17" spans="1:1" x14ac:dyDescent="0.25">
      <c r="A17" t="s">
        <v>99</v>
      </c>
    </row>
    <row r="18" spans="1:1" x14ac:dyDescent="0.25">
      <c r="A18" t="s">
        <v>99</v>
      </c>
    </row>
    <row r="19" spans="1:1" x14ac:dyDescent="0.25">
      <c r="A19" t="s">
        <v>99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iterative</vt:lpstr>
      <vt:lpstr>gauss cruncher</vt:lpstr>
      <vt:lpstr>run speed</vt:lpstr>
      <vt:lpstr>pitch outcomes</vt:lpstr>
      <vt:lpstr>hit quality truth table</vt:lpstr>
      <vt:lpstr>dratings</vt:lpstr>
      <vt:lpstr>home</vt:lpstr>
      <vt:lpstr>oratings</vt:lpstr>
      <vt:lpstr>pitchmod</vt:lpstr>
      <vt:lpstr>pitchstdv</vt:lpstr>
      <vt:lpstr>stratfactor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McGiffen</dc:creator>
  <cp:lastModifiedBy>Kayla McGiffen</cp:lastModifiedBy>
  <dcterms:created xsi:type="dcterms:W3CDTF">2021-09-12T00:08:56Z</dcterms:created>
  <dcterms:modified xsi:type="dcterms:W3CDTF">2022-03-26T10:49:52Z</dcterms:modified>
</cp:coreProperties>
</file>