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threadedComments/threadedComment2.xml" ContentType="application/vnd.ms-excel.threadedcomments+xml"/>
  <Override PartName="/xl/comments6.xml" ContentType="application/vnd.openxmlformats-officedocument.spreadsheetml.comments+xml"/>
  <Override PartName="/xl/threadedComments/threadedComment3.xml" ContentType="application/vnd.ms-excel.threadedcomments+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threadedComments/threadedComment5.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6.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C:\Users\alina.muellenmeister\Documents\GitHub\syphilis_analyses\data\"/>
    </mc:Choice>
  </mc:AlternateContent>
  <xr:revisionPtr revIDLastSave="0" documentId="13_ncr:1_{B1F832FB-0260-4656-84E7-19DCA0C15D4D}" xr6:coauthVersionLast="47" xr6:coauthVersionMax="47" xr10:uidLastSave="{00000000-0000-0000-0000-000000000000}"/>
  <bookViews>
    <workbookView xWindow="25490" yWindow="-110" windowWidth="25820" windowHeight="13900" tabRatio="805" activeTab="5"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ART_coverages" sheetId="21" r:id="rId7"/>
    <sheet name="Optional indicators" sheetId="7" r:id="rId8"/>
    <sheet name="Cascade" sheetId="8" r:id="rId9"/>
    <sheet name="Sexual behavior" sheetId="9" r:id="rId10"/>
    <sheet name="Migration" sheetId="19" r:id="rId11"/>
    <sheet name="Injecting behavior" sheetId="10" r:id="rId12"/>
    <sheet name="Partnerships &amp; transitions" sheetId="11" r:id="rId13"/>
    <sheet name="Constants" sheetId="12" r:id="rId14"/>
    <sheet name="Comparison" sheetId="14" r:id="rId15"/>
    <sheet name="AIDSinfo comparison" sheetId="15" r:id="rId16"/>
    <sheet name="AIDSinfo infections comparison" sheetId="16" r:id="rId17"/>
    <sheet name="VMMC cost coverage" sheetId="17" r:id="rId18"/>
    <sheet name="Cost &amp; coverage" sheetId="18" r:id="rId19"/>
  </sheets>
  <definedNames>
    <definedName name="_xlnm._FilterDatabase" localSheetId="3" hidden="1">'HIV prevalence'!$A$2:$AV$66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2" i="21" l="1"/>
  <c r="O12" i="21"/>
  <c r="O17" i="21" s="1"/>
  <c r="P12" i="21"/>
  <c r="Q12" i="21"/>
  <c r="R12" i="21"/>
  <c r="R17" i="21" s="1"/>
  <c r="S12" i="21"/>
  <c r="S17" i="21" s="1"/>
  <c r="T12" i="21"/>
  <c r="T17" i="21" s="1"/>
  <c r="U12" i="21"/>
  <c r="U17" i="21" s="1"/>
  <c r="V12" i="21"/>
  <c r="V17" i="21" s="1"/>
  <c r="W12" i="21"/>
  <c r="W17" i="21" s="1"/>
  <c r="X12" i="21"/>
  <c r="X17" i="21" s="1"/>
  <c r="Y12" i="21"/>
  <c r="Y17" i="21" s="1"/>
  <c r="Z12" i="21"/>
  <c r="AA12" i="21"/>
  <c r="AA17" i="21" s="1"/>
  <c r="AB12" i="21"/>
  <c r="AC12" i="21"/>
  <c r="AD12" i="21"/>
  <c r="AD17" i="21" s="1"/>
  <c r="AE12" i="21"/>
  <c r="AF12" i="21"/>
  <c r="AF17" i="21" s="1"/>
  <c r="AG12" i="21"/>
  <c r="AG17" i="21" s="1"/>
  <c r="AH12" i="21"/>
  <c r="AH17" i="21" s="1"/>
  <c r="M12" i="21"/>
  <c r="M17" i="21"/>
  <c r="N17" i="21"/>
  <c r="P17" i="21"/>
  <c r="Q17" i="21"/>
  <c r="Z17" i="21"/>
  <c r="AB17" i="21"/>
  <c r="AC17" i="21"/>
  <c r="AE17" i="21"/>
  <c r="AE67" i="4"/>
  <c r="AG67" i="4"/>
  <c r="AH67" i="4"/>
  <c r="O67" i="4"/>
  <c r="P67" i="4"/>
  <c r="S67" i="4"/>
  <c r="V67" i="4"/>
  <c r="X67" i="4"/>
  <c r="Y67" i="4"/>
  <c r="Z67" i="4"/>
  <c r="AA67" i="4"/>
  <c r="AB67" i="4"/>
  <c r="AC67" i="4"/>
  <c r="AD67" i="4"/>
  <c r="D74" i="3"/>
  <c r="AC137" i="9"/>
  <c r="AC136" i="9"/>
  <c r="AC135" i="9"/>
  <c r="AG134" i="9"/>
  <c r="AG135" i="9"/>
  <c r="AG136" i="9"/>
  <c r="V147" i="9"/>
  <c r="W147" i="9"/>
  <c r="X147" i="9"/>
  <c r="Y147" i="9"/>
  <c r="Z147" i="9"/>
  <c r="AA147" i="9"/>
  <c r="AB147" i="9"/>
  <c r="AC147" i="9"/>
  <c r="AD147" i="9"/>
  <c r="AE147" i="9"/>
  <c r="AF147" i="9"/>
  <c r="AG147" i="9"/>
  <c r="AH147" i="9"/>
  <c r="V148" i="9"/>
  <c r="W148" i="9"/>
  <c r="X148" i="9"/>
  <c r="Y148" i="9"/>
  <c r="Z148" i="9"/>
  <c r="AA148" i="9"/>
  <c r="AB148" i="9"/>
  <c r="AC148" i="9"/>
  <c r="AD148" i="9"/>
  <c r="AE148" i="9"/>
  <c r="AF148" i="9"/>
  <c r="AG148" i="9"/>
  <c r="AH148" i="9"/>
  <c r="V149" i="9"/>
  <c r="W149" i="9"/>
  <c r="X149" i="9"/>
  <c r="Y149" i="9"/>
  <c r="Z149" i="9"/>
  <c r="AA149" i="9"/>
  <c r="AB149" i="9"/>
  <c r="AC149" i="9"/>
  <c r="AD149" i="9"/>
  <c r="AE149" i="9"/>
  <c r="AF149" i="9"/>
  <c r="AG149" i="9"/>
  <c r="AH149" i="9"/>
  <c r="V150" i="9"/>
  <c r="W150" i="9"/>
  <c r="X150" i="9"/>
  <c r="Y150" i="9"/>
  <c r="Z150" i="9"/>
  <c r="AA150" i="9"/>
  <c r="AB150" i="9"/>
  <c r="AC150" i="9"/>
  <c r="AD150" i="9"/>
  <c r="AE150" i="9"/>
  <c r="AF150" i="9"/>
  <c r="AG150" i="9"/>
  <c r="AH150" i="9"/>
  <c r="V151" i="9"/>
  <c r="W151" i="9"/>
  <c r="X151" i="9"/>
  <c r="Y151" i="9"/>
  <c r="Z151" i="9"/>
  <c r="AA151" i="9"/>
  <c r="AB151" i="9"/>
  <c r="AC151" i="9"/>
  <c r="AD151" i="9"/>
  <c r="AE151" i="9"/>
  <c r="AF151" i="9"/>
  <c r="AG151" i="9"/>
  <c r="AH151" i="9"/>
  <c r="U148" i="9"/>
  <c r="U149" i="9"/>
  <c r="U150" i="9"/>
  <c r="U151" i="9"/>
  <c r="U147" i="9"/>
  <c r="BI151" i="9"/>
  <c r="BI150" i="9"/>
  <c r="BF151" i="9"/>
  <c r="BG151" i="9"/>
  <c r="BH151" i="9"/>
  <c r="BF152" i="9"/>
  <c r="BG152" i="9"/>
  <c r="BH152" i="9"/>
  <c r="BI152" i="9"/>
  <c r="BF153" i="9"/>
  <c r="BG153" i="9"/>
  <c r="BH153" i="9"/>
  <c r="BI153" i="9"/>
  <c r="BF154" i="9"/>
  <c r="BG154" i="9"/>
  <c r="BH154" i="9"/>
  <c r="BI154" i="9"/>
  <c r="BE154" i="9"/>
  <c r="BE153" i="9"/>
  <c r="BE152" i="9"/>
  <c r="BE151" i="9"/>
  <c r="BC154" i="9"/>
  <c r="BB154" i="9"/>
  <c r="BA154" i="9"/>
  <c r="AZ154" i="9"/>
  <c r="AY154" i="9"/>
  <c r="AX154" i="9"/>
  <c r="AW154" i="9"/>
  <c r="AV154" i="9"/>
  <c r="BD154" i="9"/>
  <c r="BD153" i="9"/>
  <c r="BD152" i="9"/>
  <c r="BD151" i="9"/>
  <c r="BD150" i="9"/>
  <c r="AW151" i="9"/>
  <c r="AX151" i="9"/>
  <c r="AY151" i="9"/>
  <c r="AZ151" i="9"/>
  <c r="BA151" i="9"/>
  <c r="BB151" i="9"/>
  <c r="BC151" i="9"/>
  <c r="AW152" i="9"/>
  <c r="AX152" i="9"/>
  <c r="AY152" i="9"/>
  <c r="AZ152" i="9"/>
  <c r="BA152" i="9"/>
  <c r="BB152" i="9"/>
  <c r="BC152" i="9"/>
  <c r="AW153" i="9"/>
  <c r="AX153" i="9"/>
  <c r="AY153" i="9"/>
  <c r="AZ153" i="9"/>
  <c r="BA153" i="9"/>
  <c r="BB153" i="9"/>
  <c r="BC153" i="9"/>
  <c r="AV153" i="9"/>
  <c r="AV152" i="9"/>
  <c r="BF150" i="9"/>
  <c r="BG150" i="9"/>
  <c r="BH150" i="9"/>
  <c r="BE150" i="9"/>
  <c r="AW150" i="9"/>
  <c r="AX150" i="9"/>
  <c r="AY150" i="9"/>
  <c r="AZ150" i="9"/>
  <c r="BA150" i="9"/>
  <c r="BB150" i="9"/>
  <c r="BC150" i="9"/>
  <c r="AV151" i="9"/>
  <c r="BI172" i="9"/>
  <c r="BD170" i="9"/>
  <c r="BE170" i="9"/>
  <c r="BF170" i="9"/>
  <c r="BG170" i="9"/>
  <c r="BH170" i="9"/>
  <c r="BD171" i="9"/>
  <c r="BD177" i="9" s="1"/>
  <c r="BE171" i="9"/>
  <c r="BE177" i="9" s="1"/>
  <c r="BF171" i="9"/>
  <c r="BF176" i="9" s="1"/>
  <c r="BG171" i="9"/>
  <c r="BH171" i="9"/>
  <c r="BD172" i="9"/>
  <c r="BE172" i="9"/>
  <c r="BF172" i="9"/>
  <c r="BG172" i="9"/>
  <c r="BG177" i="9" s="1"/>
  <c r="BH172" i="9"/>
  <c r="BC171" i="9"/>
  <c r="BC172" i="9"/>
  <c r="BC170" i="9"/>
  <c r="AV150" i="9"/>
  <c r="BH176" i="9"/>
  <c r="Y37" i="19"/>
  <c r="Z37" i="19"/>
  <c r="AA37" i="19"/>
  <c r="AB37" i="19"/>
  <c r="X37" i="19"/>
  <c r="N37" i="19"/>
  <c r="O37" i="19"/>
  <c r="P37" i="19"/>
  <c r="Q37" i="19"/>
  <c r="R37" i="19"/>
  <c r="S37" i="19"/>
  <c r="T37" i="19"/>
  <c r="U37" i="19"/>
  <c r="V37" i="19"/>
  <c r="W37" i="19"/>
  <c r="M37" i="19"/>
  <c r="I37" i="19"/>
  <c r="J37" i="19"/>
  <c r="K37" i="19"/>
  <c r="L37" i="19"/>
  <c r="AC37" i="19"/>
  <c r="AD37" i="19"/>
  <c r="AE37" i="19"/>
  <c r="AF37" i="19"/>
  <c r="AG37" i="19"/>
  <c r="AH37" i="19"/>
  <c r="AI37" i="19"/>
  <c r="H37" i="19"/>
  <c r="X39" i="19"/>
  <c r="J39" i="19"/>
  <c r="K39" i="19"/>
  <c r="L39" i="19"/>
  <c r="M39" i="19"/>
  <c r="I39" i="19"/>
  <c r="I38" i="19" s="1"/>
  <c r="AH78" i="8"/>
  <c r="O35" i="5"/>
  <c r="P35" i="5"/>
  <c r="Q35" i="5"/>
  <c r="R35" i="5"/>
  <c r="S35" i="5"/>
  <c r="T35" i="5"/>
  <c r="U35" i="5"/>
  <c r="V35" i="5"/>
  <c r="W35" i="5"/>
  <c r="X35" i="5"/>
  <c r="Y35" i="5"/>
  <c r="Z35" i="5"/>
  <c r="AA35" i="5"/>
  <c r="AB35" i="5"/>
  <c r="AC35" i="5"/>
  <c r="AD35" i="5"/>
  <c r="AE35" i="5"/>
  <c r="AF35" i="5"/>
  <c r="AG35" i="5"/>
  <c r="AH35" i="5"/>
  <c r="AI35" i="5"/>
  <c r="N35" i="5"/>
  <c r="O33" i="5"/>
  <c r="P33" i="5"/>
  <c r="Q33" i="5"/>
  <c r="R33" i="5"/>
  <c r="S33" i="5"/>
  <c r="T33" i="5"/>
  <c r="U33" i="5"/>
  <c r="V33" i="5"/>
  <c r="W33" i="5"/>
  <c r="X33" i="5"/>
  <c r="Y33" i="5"/>
  <c r="Z33" i="5"/>
  <c r="AA33" i="5"/>
  <c r="AB33" i="5"/>
  <c r="AC33" i="5"/>
  <c r="AD33" i="5"/>
  <c r="AE33" i="5"/>
  <c r="AF33" i="5"/>
  <c r="AG33" i="5"/>
  <c r="AH33" i="5"/>
  <c r="AI33" i="5"/>
  <c r="N33" i="5"/>
  <c r="V37" i="5"/>
  <c r="W37" i="5"/>
  <c r="X37" i="5"/>
  <c r="Y37" i="5"/>
  <c r="Z37" i="5"/>
  <c r="AA37" i="5"/>
  <c r="AB37" i="5"/>
  <c r="AC37" i="5"/>
  <c r="AD37" i="5"/>
  <c r="AE37" i="5"/>
  <c r="AF37" i="5"/>
  <c r="AG37" i="5"/>
  <c r="AH37" i="5"/>
  <c r="AI37" i="5"/>
  <c r="U37" i="5"/>
  <c r="T37" i="5"/>
  <c r="S37" i="5"/>
  <c r="R37" i="5"/>
  <c r="Q37" i="5"/>
  <c r="P37" i="5"/>
  <c r="O37" i="5"/>
  <c r="N37" i="5"/>
  <c r="M37" i="5"/>
  <c r="L37" i="5"/>
  <c r="K37" i="5"/>
  <c r="J37" i="5"/>
  <c r="I37" i="5"/>
  <c r="H37" i="5"/>
  <c r="G37" i="5"/>
  <c r="F37" i="5"/>
  <c r="E37" i="5"/>
  <c r="D37" i="5"/>
  <c r="C37" i="5"/>
  <c r="M35" i="5"/>
  <c r="L35" i="5"/>
  <c r="K35" i="5"/>
  <c r="J35" i="5"/>
  <c r="I35" i="5"/>
  <c r="H35" i="5"/>
  <c r="G35" i="5"/>
  <c r="F35" i="5"/>
  <c r="E35" i="5"/>
  <c r="D35" i="5"/>
  <c r="C35" i="5"/>
  <c r="C33" i="5"/>
  <c r="D33" i="5"/>
  <c r="E33" i="5"/>
  <c r="F33" i="5"/>
  <c r="G33" i="5"/>
  <c r="H33" i="5"/>
  <c r="I33" i="5"/>
  <c r="J33" i="5"/>
  <c r="K33" i="5"/>
  <c r="L33" i="5"/>
  <c r="M33" i="5"/>
  <c r="CK19" i="5"/>
  <c r="CK18" i="5"/>
  <c r="CK17" i="5"/>
  <c r="CK16" i="5"/>
  <c r="CK15" i="5"/>
  <c r="CK14" i="5"/>
  <c r="CK13" i="5"/>
  <c r="CK12" i="5"/>
  <c r="CK11" i="5"/>
  <c r="CK10" i="5"/>
  <c r="CK9" i="5"/>
  <c r="CK8" i="5"/>
  <c r="CK7" i="5"/>
  <c r="CK6" i="5"/>
  <c r="CK5" i="5"/>
  <c r="CK4" i="5"/>
  <c r="CK25" i="5"/>
  <c r="CK26" i="5"/>
  <c r="CK27" i="5"/>
  <c r="BF177" i="9" l="1"/>
  <c r="BG176" i="9"/>
  <c r="BC177" i="9"/>
  <c r="BC176" i="9"/>
  <c r="BH177" i="9"/>
  <c r="BI177" i="9" s="1"/>
  <c r="BE176" i="9"/>
  <c r="BD176" i="9"/>
  <c r="BI176" i="9" s="1"/>
  <c r="BI170" i="9"/>
  <c r="BI171" i="9"/>
  <c r="B81" i="19"/>
  <c r="B80" i="19"/>
  <c r="B79" i="19"/>
  <c r="B78" i="19"/>
  <c r="B77" i="19"/>
  <c r="B76" i="19"/>
  <c r="B75" i="19"/>
  <c r="B74" i="19"/>
  <c r="B73" i="19"/>
  <c r="B72" i="19"/>
  <c r="B71" i="19"/>
  <c r="B70" i="19"/>
  <c r="B69" i="19"/>
  <c r="B68" i="19"/>
  <c r="B67" i="19"/>
  <c r="B66" i="19"/>
  <c r="B60" i="19"/>
  <c r="B59" i="19"/>
  <c r="B58" i="19"/>
  <c r="B57" i="19"/>
  <c r="B56" i="19"/>
  <c r="B55" i="19"/>
  <c r="B54" i="19"/>
  <c r="B53" i="19"/>
  <c r="B52" i="19"/>
  <c r="B51" i="19"/>
  <c r="B50" i="19"/>
  <c r="B49" i="19"/>
  <c r="B48" i="19"/>
  <c r="B47" i="19"/>
  <c r="B46" i="19"/>
  <c r="B45" i="19"/>
  <c r="B39" i="19"/>
  <c r="B38" i="19"/>
  <c r="B37" i="19"/>
  <c r="B36" i="19"/>
  <c r="B35" i="19"/>
  <c r="B34" i="19"/>
  <c r="B33" i="19"/>
  <c r="B32" i="19"/>
  <c r="B31" i="19"/>
  <c r="B30" i="19"/>
  <c r="B29" i="19"/>
  <c r="B28" i="19"/>
  <c r="B27" i="19"/>
  <c r="B26" i="19"/>
  <c r="B25" i="19"/>
  <c r="B24" i="19"/>
  <c r="B18" i="19"/>
  <c r="B17" i="19"/>
  <c r="B16" i="19"/>
  <c r="B15" i="19"/>
  <c r="B14" i="19"/>
  <c r="B13" i="19"/>
  <c r="B12" i="19"/>
  <c r="B11" i="19"/>
  <c r="B10" i="19"/>
  <c r="B9" i="19"/>
  <c r="B8" i="19"/>
  <c r="B7" i="19"/>
  <c r="B6" i="19"/>
  <c r="B5" i="19"/>
  <c r="B4" i="19"/>
  <c r="B3" i="19"/>
  <c r="J38" i="19" l="1"/>
  <c r="B152" i="9"/>
  <c r="B151" i="9"/>
  <c r="B150" i="9"/>
  <c r="B149" i="9"/>
  <c r="B148" i="9"/>
  <c r="B147" i="9"/>
  <c r="B146" i="9"/>
  <c r="B145" i="9"/>
  <c r="B144" i="9"/>
  <c r="AY72" i="8"/>
  <c r="B72" i="8"/>
  <c r="AY71" i="8"/>
  <c r="B71" i="8"/>
  <c r="AY70" i="8"/>
  <c r="B70" i="8"/>
  <c r="AY69" i="8"/>
  <c r="B69" i="8"/>
  <c r="AY68" i="8"/>
  <c r="B68" i="8"/>
  <c r="AY67" i="8"/>
  <c r="B67" i="8"/>
  <c r="AY66" i="8"/>
  <c r="B66" i="8"/>
  <c r="AY65" i="8"/>
  <c r="B65" i="8"/>
  <c r="AY64" i="8"/>
  <c r="B64" i="8"/>
  <c r="AY63" i="8"/>
  <c r="B63" i="8"/>
  <c r="AY62" i="8"/>
  <c r="B62" i="8"/>
  <c r="AY61" i="8"/>
  <c r="B61" i="8"/>
  <c r="AY60" i="8"/>
  <c r="B60" i="8"/>
  <c r="AY59" i="8"/>
  <c r="B59" i="8"/>
  <c r="AY58" i="8"/>
  <c r="B58" i="8"/>
  <c r="AY57" i="8"/>
  <c r="B57" i="8"/>
  <c r="B72" i="6"/>
  <c r="B71" i="6"/>
  <c r="B70" i="6"/>
  <c r="B69" i="6"/>
  <c r="B68" i="6"/>
  <c r="B67" i="6"/>
  <c r="B66" i="6"/>
  <c r="B65" i="6"/>
  <c r="B64" i="6"/>
  <c r="B63" i="6"/>
  <c r="B62" i="6"/>
  <c r="B61" i="6"/>
  <c r="B60" i="6"/>
  <c r="B59" i="6"/>
  <c r="B58" i="6"/>
  <c r="B57" i="6"/>
  <c r="AZ18" i="5"/>
  <c r="AY18" i="5"/>
  <c r="AX18" i="5"/>
  <c r="B18" i="5"/>
  <c r="AW17" i="5"/>
  <c r="B17" i="5"/>
  <c r="AW16" i="5"/>
  <c r="B16" i="5"/>
  <c r="AW15" i="5"/>
  <c r="B15" i="5"/>
  <c r="AW14" i="5"/>
  <c r="B14" i="5"/>
  <c r="AW13" i="5"/>
  <c r="B13" i="5"/>
  <c r="AW12" i="5"/>
  <c r="B12" i="5"/>
  <c r="B11" i="5"/>
  <c r="B10" i="5"/>
  <c r="AW9" i="5"/>
  <c r="B9" i="5"/>
  <c r="AW8" i="5"/>
  <c r="B8" i="5"/>
  <c r="AW7" i="5"/>
  <c r="B7" i="5"/>
  <c r="AW6" i="5"/>
  <c r="B6" i="5"/>
  <c r="AW5" i="5"/>
  <c r="B5" i="5"/>
  <c r="AW4" i="5"/>
  <c r="AW18" i="5" s="1"/>
  <c r="B4" i="5"/>
  <c r="B3" i="5"/>
  <c r="AJ85" i="3"/>
  <c r="AJ86" i="3" s="1"/>
  <c r="AI78" i="3"/>
  <c r="AJ77" i="3"/>
  <c r="AJ81" i="3"/>
  <c r="AI77" i="3"/>
  <c r="AI81" i="3"/>
  <c r="AH83" i="3"/>
  <c r="AH82" i="3"/>
  <c r="AH79" i="3"/>
  <c r="AG79" i="3"/>
  <c r="AJ74" i="3"/>
  <c r="AJ75" i="3"/>
  <c r="AI74" i="3"/>
  <c r="AI75" i="3"/>
  <c r="F76" i="3"/>
  <c r="G76"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F75" i="3"/>
  <c r="G75"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J81" i="3"/>
  <c r="K81" i="3"/>
  <c r="P81" i="3"/>
  <c r="Q81" i="3"/>
  <c r="R81" i="3"/>
  <c r="S81" i="3"/>
  <c r="X81" i="3"/>
  <c r="Y81" i="3"/>
  <c r="Z81" i="3"/>
  <c r="AA81" i="3"/>
  <c r="AF81" i="3"/>
  <c r="E77" i="3"/>
  <c r="E81" i="3" s="1"/>
  <c r="E82" i="3" s="1"/>
  <c r="F77" i="3"/>
  <c r="F81" i="3" s="1"/>
  <c r="G77" i="3"/>
  <c r="G81" i="3" s="1"/>
  <c r="H77" i="3"/>
  <c r="H81" i="3" s="1"/>
  <c r="I77" i="3"/>
  <c r="I81" i="3" s="1"/>
  <c r="J77" i="3"/>
  <c r="K77" i="3"/>
  <c r="L77" i="3"/>
  <c r="L81" i="3" s="1"/>
  <c r="M77" i="3"/>
  <c r="M81" i="3" s="1"/>
  <c r="N77" i="3"/>
  <c r="N81" i="3" s="1"/>
  <c r="O77" i="3"/>
  <c r="O81" i="3" s="1"/>
  <c r="P77" i="3"/>
  <c r="Q77" i="3"/>
  <c r="R77" i="3"/>
  <c r="S77" i="3"/>
  <c r="T77" i="3"/>
  <c r="T81" i="3" s="1"/>
  <c r="U77" i="3"/>
  <c r="U81" i="3" s="1"/>
  <c r="V77" i="3"/>
  <c r="V81" i="3" s="1"/>
  <c r="W77" i="3"/>
  <c r="W81" i="3" s="1"/>
  <c r="X77" i="3"/>
  <c r="Y77" i="3"/>
  <c r="Z77" i="3"/>
  <c r="AA77" i="3"/>
  <c r="AB77" i="3"/>
  <c r="AB81" i="3" s="1"/>
  <c r="AC77" i="3"/>
  <c r="AC81" i="3" s="1"/>
  <c r="AD77" i="3"/>
  <c r="AD81" i="3" s="1"/>
  <c r="AE77" i="3"/>
  <c r="AE81" i="3" s="1"/>
  <c r="D77" i="3"/>
  <c r="AG77" i="3"/>
  <c r="AG81" i="3" s="1"/>
  <c r="AF77" i="3"/>
  <c r="AF78" i="3" s="1"/>
  <c r="AH77" i="3"/>
  <c r="AH81" i="3" s="1"/>
  <c r="K38" i="19" l="1"/>
  <c r="AJ78" i="3"/>
  <c r="AG78" i="3"/>
  <c r="AH78" i="3"/>
  <c r="L38" i="19" l="1"/>
  <c r="CF137" i="9"/>
  <c r="CF136" i="9"/>
  <c r="DK135" i="9"/>
  <c r="CF135" i="9"/>
  <c r="DK134" i="9"/>
  <c r="CF134" i="9"/>
  <c r="DK133" i="9"/>
  <c r="CF133" i="9"/>
  <c r="CF132" i="9"/>
  <c r="DK131" i="9"/>
  <c r="CF131" i="9"/>
  <c r="DK130" i="9"/>
  <c r="CF130" i="9"/>
  <c r="DK129" i="9"/>
  <c r="CF129" i="9"/>
  <c r="M38" i="19" l="1"/>
  <c r="N39" i="19"/>
  <c r="U71" i="18"/>
  <c r="U70" i="18"/>
  <c r="N38" i="19" l="1"/>
  <c r="O39" i="19"/>
  <c r="W35" i="18"/>
  <c r="CD45" i="8"/>
  <c r="AY45" i="8"/>
  <c r="CD44" i="8"/>
  <c r="AY44" i="8"/>
  <c r="CD43" i="8"/>
  <c r="AY43" i="8"/>
  <c r="CD42" i="8"/>
  <c r="AY42" i="8"/>
  <c r="CD41" i="8"/>
  <c r="AY41" i="8"/>
  <c r="CD40" i="8"/>
  <c r="AY40" i="8"/>
  <c r="CD39" i="8"/>
  <c r="AY39" i="8"/>
  <c r="CD38" i="8"/>
  <c r="AY38" i="8"/>
  <c r="CD37" i="8"/>
  <c r="AY37" i="8"/>
  <c r="CD36" i="8"/>
  <c r="AY36" i="8"/>
  <c r="CD35" i="8"/>
  <c r="AY35" i="8"/>
  <c r="CD34" i="8"/>
  <c r="AY34" i="8"/>
  <c r="CD33" i="8"/>
  <c r="AY33" i="8"/>
  <c r="CD32" i="8"/>
  <c r="AY32" i="8"/>
  <c r="CD31" i="8"/>
  <c r="AY31" i="8"/>
  <c r="CD30" i="8"/>
  <c r="AY30" i="8"/>
  <c r="AY18" i="8"/>
  <c r="AY17" i="8"/>
  <c r="AY16" i="8"/>
  <c r="AY15" i="8"/>
  <c r="AY14" i="8"/>
  <c r="AY13" i="8"/>
  <c r="AY12" i="8"/>
  <c r="AY11" i="8"/>
  <c r="AY10" i="8"/>
  <c r="AY9" i="8"/>
  <c r="AY8" i="8"/>
  <c r="AY7" i="8"/>
  <c r="AY6" i="8"/>
  <c r="AY5" i="8"/>
  <c r="AY4" i="8"/>
  <c r="AY3" i="8"/>
  <c r="W71" i="18"/>
  <c r="W70" i="18"/>
  <c r="AX109" i="5"/>
  <c r="BD109" i="5"/>
  <c r="BH109" i="5"/>
  <c r="BI109" i="5"/>
  <c r="BM109" i="5"/>
  <c r="BN109" i="5"/>
  <c r="BR109" i="5"/>
  <c r="BX109" i="5"/>
  <c r="BF110" i="5"/>
  <c r="BK110" i="5"/>
  <c r="BP110" i="5"/>
  <c r="BZ110" i="5"/>
  <c r="CA110" i="5"/>
  <c r="BA111" i="5"/>
  <c r="BF111" i="5"/>
  <c r="BM111" i="5"/>
  <c r="AY112" i="5"/>
  <c r="BD112" i="5"/>
  <c r="BJ112" i="5"/>
  <c r="BN112" i="5"/>
  <c r="BO112" i="5"/>
  <c r="BS112" i="5"/>
  <c r="BT112" i="5"/>
  <c r="BX112" i="5"/>
  <c r="BZ112" i="5"/>
  <c r="AX114" i="5"/>
  <c r="BC114" i="5"/>
  <c r="BH114" i="5"/>
  <c r="BR114" i="5"/>
  <c r="BS114" i="5"/>
  <c r="BW114" i="5"/>
  <c r="BJ101" i="5"/>
  <c r="BO101" i="5"/>
  <c r="BT101" i="5"/>
  <c r="BZ101" i="5"/>
  <c r="AZ102" i="5"/>
  <c r="BE102" i="5"/>
  <c r="BF102" i="5"/>
  <c r="BJ102" i="5"/>
  <c r="AX103" i="5"/>
  <c r="BC103" i="5"/>
  <c r="BH103" i="5"/>
  <c r="BN103" i="5"/>
  <c r="BR103" i="5"/>
  <c r="BS103" i="5"/>
  <c r="BW103" i="5"/>
  <c r="BX103" i="5"/>
  <c r="AX104" i="5"/>
  <c r="BP104" i="5"/>
  <c r="BU104" i="5"/>
  <c r="BZ104" i="5"/>
  <c r="AZ105" i="5"/>
  <c r="BA105" i="5"/>
  <c r="BE105" i="5"/>
  <c r="BP105" i="5"/>
  <c r="BT105" i="5"/>
  <c r="BU105" i="5"/>
  <c r="BY105" i="5"/>
  <c r="AY106" i="5"/>
  <c r="BJ106" i="5"/>
  <c r="BK106" i="5"/>
  <c r="BN106" i="5"/>
  <c r="BO106" i="5"/>
  <c r="BS106" i="5"/>
  <c r="AX85" i="5"/>
  <c r="AX101" i="5" s="1"/>
  <c r="AY85" i="5"/>
  <c r="AY101" i="5" s="1"/>
  <c r="AZ85" i="5"/>
  <c r="AZ101" i="5" s="1"/>
  <c r="BA85" i="5"/>
  <c r="BA101" i="5" s="1"/>
  <c r="BC85" i="5"/>
  <c r="BC101" i="5" s="1"/>
  <c r="BD85" i="5"/>
  <c r="BD101" i="5" s="1"/>
  <c r="BE85" i="5"/>
  <c r="BE101" i="5" s="1"/>
  <c r="BF85" i="5"/>
  <c r="BF101" i="5" s="1"/>
  <c r="BH85" i="5"/>
  <c r="BH101" i="5" s="1"/>
  <c r="BI85" i="5"/>
  <c r="BI101" i="5" s="1"/>
  <c r="BJ85" i="5"/>
  <c r="BK85" i="5"/>
  <c r="BK101" i="5" s="1"/>
  <c r="BM85" i="5"/>
  <c r="BM101" i="5" s="1"/>
  <c r="BN85" i="5"/>
  <c r="BN101" i="5" s="1"/>
  <c r="BO85" i="5"/>
  <c r="BP85" i="5"/>
  <c r="BP101" i="5" s="1"/>
  <c r="BR85" i="5"/>
  <c r="BR101" i="5" s="1"/>
  <c r="BS85" i="5"/>
  <c r="BS101" i="5" s="1"/>
  <c r="BT85" i="5"/>
  <c r="BU85" i="5"/>
  <c r="BU101" i="5" s="1"/>
  <c r="BW85" i="5"/>
  <c r="BW101" i="5" s="1"/>
  <c r="BX85" i="5"/>
  <c r="BX101" i="5" s="1"/>
  <c r="BY85" i="5"/>
  <c r="BY101" i="5" s="1"/>
  <c r="BZ85" i="5"/>
  <c r="CA85" i="5"/>
  <c r="CA101" i="5" s="1"/>
  <c r="AX86" i="5"/>
  <c r="AX102" i="5" s="1"/>
  <c r="AY86" i="5"/>
  <c r="AY102" i="5" s="1"/>
  <c r="AZ86" i="5"/>
  <c r="BA86" i="5"/>
  <c r="BA102" i="5" s="1"/>
  <c r="BC86" i="5"/>
  <c r="BC102" i="5" s="1"/>
  <c r="BD86" i="5"/>
  <c r="BD102" i="5" s="1"/>
  <c r="BE86" i="5"/>
  <c r="BF86" i="5"/>
  <c r="BH86" i="5"/>
  <c r="BH102" i="5" s="1"/>
  <c r="BI86" i="5"/>
  <c r="BI102" i="5" s="1"/>
  <c r="BJ86" i="5"/>
  <c r="BK86" i="5"/>
  <c r="BK102" i="5" s="1"/>
  <c r="BM86" i="5"/>
  <c r="BM102" i="5" s="1"/>
  <c r="BN86" i="5"/>
  <c r="BN102" i="5" s="1"/>
  <c r="BO86" i="5"/>
  <c r="BO102" i="5" s="1"/>
  <c r="BP86" i="5"/>
  <c r="BP102" i="5" s="1"/>
  <c r="BR86" i="5"/>
  <c r="BR102" i="5" s="1"/>
  <c r="BS86" i="5"/>
  <c r="BS102" i="5" s="1"/>
  <c r="BT86" i="5"/>
  <c r="BT102" i="5" s="1"/>
  <c r="BU86" i="5"/>
  <c r="BU102" i="5" s="1"/>
  <c r="BW86" i="5"/>
  <c r="BW102" i="5" s="1"/>
  <c r="BX86" i="5"/>
  <c r="BX102" i="5" s="1"/>
  <c r="BY86" i="5"/>
  <c r="BY102" i="5" s="1"/>
  <c r="BZ86" i="5"/>
  <c r="BZ102" i="5" s="1"/>
  <c r="CA86" i="5"/>
  <c r="CA102" i="5" s="1"/>
  <c r="AX87" i="5"/>
  <c r="AY87" i="5"/>
  <c r="AY103" i="5" s="1"/>
  <c r="AZ87" i="5"/>
  <c r="AZ103" i="5" s="1"/>
  <c r="BA87" i="5"/>
  <c r="BA103" i="5" s="1"/>
  <c r="BC87" i="5"/>
  <c r="BD87" i="5"/>
  <c r="BD103" i="5" s="1"/>
  <c r="BE87" i="5"/>
  <c r="BE103" i="5" s="1"/>
  <c r="BF87" i="5"/>
  <c r="BF103" i="5" s="1"/>
  <c r="BH87" i="5"/>
  <c r="BI87" i="5"/>
  <c r="BI103" i="5" s="1"/>
  <c r="BJ87" i="5"/>
  <c r="BJ103" i="5" s="1"/>
  <c r="BK87" i="5"/>
  <c r="BK103" i="5" s="1"/>
  <c r="BM87" i="5"/>
  <c r="BM103" i="5" s="1"/>
  <c r="BN87" i="5"/>
  <c r="BO87" i="5"/>
  <c r="BO103" i="5" s="1"/>
  <c r="BP87" i="5"/>
  <c r="BP103" i="5" s="1"/>
  <c r="BR87" i="5"/>
  <c r="BS87" i="5"/>
  <c r="BT87" i="5"/>
  <c r="BT103" i="5" s="1"/>
  <c r="BU87" i="5"/>
  <c r="BU103" i="5" s="1"/>
  <c r="BW87" i="5"/>
  <c r="BX87" i="5"/>
  <c r="BY87" i="5"/>
  <c r="BY103" i="5" s="1"/>
  <c r="BZ87" i="5"/>
  <c r="BZ103" i="5" s="1"/>
  <c r="CA87" i="5"/>
  <c r="CA103" i="5" s="1"/>
  <c r="AX88" i="5"/>
  <c r="AY88" i="5"/>
  <c r="AY104" i="5" s="1"/>
  <c r="AZ88" i="5"/>
  <c r="AZ104" i="5" s="1"/>
  <c r="BA88" i="5"/>
  <c r="BA104" i="5" s="1"/>
  <c r="BC88" i="5"/>
  <c r="BC104" i="5" s="1"/>
  <c r="BD88" i="5"/>
  <c r="BD104" i="5" s="1"/>
  <c r="BE88" i="5"/>
  <c r="BE104" i="5" s="1"/>
  <c r="BF88" i="5"/>
  <c r="BF104" i="5" s="1"/>
  <c r="BH88" i="5"/>
  <c r="BH104" i="5" s="1"/>
  <c r="BI88" i="5"/>
  <c r="BI104" i="5" s="1"/>
  <c r="BJ88" i="5"/>
  <c r="BJ104" i="5" s="1"/>
  <c r="BK88" i="5"/>
  <c r="BK104" i="5" s="1"/>
  <c r="BM88" i="5"/>
  <c r="BM104" i="5" s="1"/>
  <c r="BN88" i="5"/>
  <c r="BN104" i="5" s="1"/>
  <c r="BO88" i="5"/>
  <c r="BO104" i="5" s="1"/>
  <c r="BP88" i="5"/>
  <c r="BR88" i="5"/>
  <c r="BR104" i="5" s="1"/>
  <c r="BS88" i="5"/>
  <c r="BS104" i="5" s="1"/>
  <c r="BT88" i="5"/>
  <c r="BT104" i="5" s="1"/>
  <c r="BU88" i="5"/>
  <c r="BW88" i="5"/>
  <c r="BW104" i="5" s="1"/>
  <c r="BX88" i="5"/>
  <c r="BX104" i="5" s="1"/>
  <c r="BY88" i="5"/>
  <c r="BY104" i="5" s="1"/>
  <c r="BZ88" i="5"/>
  <c r="CA88" i="5"/>
  <c r="CA104" i="5" s="1"/>
  <c r="AX89" i="5"/>
  <c r="AX105" i="5" s="1"/>
  <c r="AY89" i="5"/>
  <c r="AY105" i="5" s="1"/>
  <c r="AZ89" i="5"/>
  <c r="BA89" i="5"/>
  <c r="BC89" i="5"/>
  <c r="BC105" i="5" s="1"/>
  <c r="BD89" i="5"/>
  <c r="BD105" i="5" s="1"/>
  <c r="BE89" i="5"/>
  <c r="BF89" i="5"/>
  <c r="BF105" i="5" s="1"/>
  <c r="BH89" i="5"/>
  <c r="BH105" i="5" s="1"/>
  <c r="BI89" i="5"/>
  <c r="BI105" i="5" s="1"/>
  <c r="BJ89" i="5"/>
  <c r="BJ105" i="5" s="1"/>
  <c r="BK89" i="5"/>
  <c r="BK105" i="5" s="1"/>
  <c r="BM89" i="5"/>
  <c r="BM105" i="5" s="1"/>
  <c r="BN89" i="5"/>
  <c r="BN105" i="5" s="1"/>
  <c r="BO89" i="5"/>
  <c r="BO105" i="5" s="1"/>
  <c r="BP89" i="5"/>
  <c r="BR89" i="5"/>
  <c r="BR105" i="5" s="1"/>
  <c r="BS89" i="5"/>
  <c r="BS105" i="5" s="1"/>
  <c r="BT89" i="5"/>
  <c r="BU89" i="5"/>
  <c r="BW89" i="5"/>
  <c r="BW105" i="5" s="1"/>
  <c r="BX89" i="5"/>
  <c r="BX105" i="5" s="1"/>
  <c r="BY89" i="5"/>
  <c r="BZ89" i="5"/>
  <c r="BZ105" i="5" s="1"/>
  <c r="CA89" i="5"/>
  <c r="CA105" i="5" s="1"/>
  <c r="AX90" i="5"/>
  <c r="AX106" i="5" s="1"/>
  <c r="AY90" i="5"/>
  <c r="AZ90" i="5"/>
  <c r="AZ106" i="5" s="1"/>
  <c r="BA90" i="5"/>
  <c r="BA106" i="5" s="1"/>
  <c r="BC90" i="5"/>
  <c r="BC106" i="5" s="1"/>
  <c r="BD90" i="5"/>
  <c r="BD106" i="5" s="1"/>
  <c r="BE90" i="5"/>
  <c r="BE106" i="5" s="1"/>
  <c r="BF90" i="5"/>
  <c r="BF106" i="5" s="1"/>
  <c r="BH90" i="5"/>
  <c r="BH106" i="5" s="1"/>
  <c r="BI90" i="5"/>
  <c r="BI106" i="5" s="1"/>
  <c r="BJ90" i="5"/>
  <c r="BK90" i="5"/>
  <c r="BM90" i="5"/>
  <c r="BM106" i="5" s="1"/>
  <c r="BN90" i="5"/>
  <c r="BO90" i="5"/>
  <c r="BP90" i="5"/>
  <c r="BP106" i="5" s="1"/>
  <c r="BR90" i="5"/>
  <c r="BR106" i="5" s="1"/>
  <c r="BS90" i="5"/>
  <c r="BT90" i="5"/>
  <c r="BT106" i="5" s="1"/>
  <c r="BU90" i="5"/>
  <c r="BU106" i="5" s="1"/>
  <c r="BW90" i="5"/>
  <c r="BW106" i="5" s="1"/>
  <c r="BX90" i="5"/>
  <c r="BX106" i="5" s="1"/>
  <c r="BY90" i="5"/>
  <c r="BY106" i="5" s="1"/>
  <c r="BZ90" i="5"/>
  <c r="BZ106" i="5" s="1"/>
  <c r="CA90" i="5"/>
  <c r="CA106" i="5" s="1"/>
  <c r="AX93" i="5"/>
  <c r="AY93" i="5"/>
  <c r="AY109" i="5" s="1"/>
  <c r="AZ93" i="5"/>
  <c r="AZ109" i="5" s="1"/>
  <c r="BA93" i="5"/>
  <c r="BA109" i="5" s="1"/>
  <c r="BC93" i="5"/>
  <c r="BC109" i="5" s="1"/>
  <c r="BD93" i="5"/>
  <c r="BE93" i="5"/>
  <c r="BE109" i="5" s="1"/>
  <c r="BF93" i="5"/>
  <c r="BF109" i="5" s="1"/>
  <c r="BH93" i="5"/>
  <c r="BI93" i="5"/>
  <c r="BJ93" i="5"/>
  <c r="BJ109" i="5" s="1"/>
  <c r="BK93" i="5"/>
  <c r="BK109" i="5" s="1"/>
  <c r="BM93" i="5"/>
  <c r="BN93" i="5"/>
  <c r="BO93" i="5"/>
  <c r="BO109" i="5" s="1"/>
  <c r="BP93" i="5"/>
  <c r="BP109" i="5" s="1"/>
  <c r="BR93" i="5"/>
  <c r="BS93" i="5"/>
  <c r="BS109" i="5" s="1"/>
  <c r="BT93" i="5"/>
  <c r="BT109" i="5" s="1"/>
  <c r="BU93" i="5"/>
  <c r="BU109" i="5" s="1"/>
  <c r="BW93" i="5"/>
  <c r="BW109" i="5" s="1"/>
  <c r="BX93" i="5"/>
  <c r="BY93" i="5"/>
  <c r="BY109" i="5" s="1"/>
  <c r="BZ93" i="5"/>
  <c r="BZ109" i="5" s="1"/>
  <c r="CA93" i="5"/>
  <c r="CA109" i="5" s="1"/>
  <c r="AX94" i="5"/>
  <c r="AX110" i="5" s="1"/>
  <c r="AY94" i="5"/>
  <c r="AY110" i="5" s="1"/>
  <c r="AZ94" i="5"/>
  <c r="AZ110" i="5" s="1"/>
  <c r="BA94" i="5"/>
  <c r="BA110" i="5" s="1"/>
  <c r="BC94" i="5"/>
  <c r="BC110" i="5" s="1"/>
  <c r="BD94" i="5"/>
  <c r="BD110" i="5" s="1"/>
  <c r="BE94" i="5"/>
  <c r="BE110" i="5" s="1"/>
  <c r="BF94" i="5"/>
  <c r="BH94" i="5"/>
  <c r="BH110" i="5" s="1"/>
  <c r="BI94" i="5"/>
  <c r="BI110" i="5" s="1"/>
  <c r="BJ94" i="5"/>
  <c r="BJ110" i="5" s="1"/>
  <c r="BK94" i="5"/>
  <c r="BM94" i="5"/>
  <c r="BM110" i="5" s="1"/>
  <c r="BN94" i="5"/>
  <c r="BN110" i="5" s="1"/>
  <c r="BO94" i="5"/>
  <c r="BO110" i="5" s="1"/>
  <c r="BP94" i="5"/>
  <c r="BR94" i="5"/>
  <c r="BR110" i="5" s="1"/>
  <c r="BS94" i="5"/>
  <c r="BS110" i="5" s="1"/>
  <c r="BT94" i="5"/>
  <c r="BT110" i="5" s="1"/>
  <c r="BU94" i="5"/>
  <c r="BU110" i="5" s="1"/>
  <c r="BW94" i="5"/>
  <c r="BW110" i="5" s="1"/>
  <c r="BX94" i="5"/>
  <c r="BX110" i="5" s="1"/>
  <c r="BY94" i="5"/>
  <c r="BY110" i="5" s="1"/>
  <c r="BZ94" i="5"/>
  <c r="CA94" i="5"/>
  <c r="AX95" i="5"/>
  <c r="AX111" i="5" s="1"/>
  <c r="AY95" i="5"/>
  <c r="AY111" i="5" s="1"/>
  <c r="AZ95" i="5"/>
  <c r="AZ111" i="5" s="1"/>
  <c r="BA95" i="5"/>
  <c r="BC95" i="5"/>
  <c r="BC111" i="5" s="1"/>
  <c r="BD95" i="5"/>
  <c r="BD111" i="5" s="1"/>
  <c r="BE95" i="5"/>
  <c r="BE111" i="5" s="1"/>
  <c r="BF95" i="5"/>
  <c r="BH95" i="5"/>
  <c r="BH111" i="5" s="1"/>
  <c r="BI95" i="5"/>
  <c r="BI111" i="5" s="1"/>
  <c r="BJ95" i="5"/>
  <c r="BJ111" i="5" s="1"/>
  <c r="BK95" i="5"/>
  <c r="BK111" i="5" s="1"/>
  <c r="BM95" i="5"/>
  <c r="BN95" i="5"/>
  <c r="BN111" i="5" s="1"/>
  <c r="BO95" i="5"/>
  <c r="BO111" i="5" s="1"/>
  <c r="BP95" i="5"/>
  <c r="BP111" i="5" s="1"/>
  <c r="BR95" i="5"/>
  <c r="BR111" i="5" s="1"/>
  <c r="BS95" i="5"/>
  <c r="BS111" i="5" s="1"/>
  <c r="BT95" i="5"/>
  <c r="BT111" i="5" s="1"/>
  <c r="BU95" i="5"/>
  <c r="BU111" i="5" s="1"/>
  <c r="BW95" i="5"/>
  <c r="BW111" i="5" s="1"/>
  <c r="BX95" i="5"/>
  <c r="BX111" i="5" s="1"/>
  <c r="BY95" i="5"/>
  <c r="BY111" i="5" s="1"/>
  <c r="BZ95" i="5"/>
  <c r="BZ111" i="5" s="1"/>
  <c r="CA95" i="5"/>
  <c r="CA111" i="5" s="1"/>
  <c r="AX96" i="5"/>
  <c r="AX112" i="5" s="1"/>
  <c r="AY96" i="5"/>
  <c r="AZ96" i="5"/>
  <c r="AZ112" i="5" s="1"/>
  <c r="BA96" i="5"/>
  <c r="BA112" i="5" s="1"/>
  <c r="BC96" i="5"/>
  <c r="BC112" i="5" s="1"/>
  <c r="BD96" i="5"/>
  <c r="BE96" i="5"/>
  <c r="BE112" i="5" s="1"/>
  <c r="BF96" i="5"/>
  <c r="BF112" i="5" s="1"/>
  <c r="BH96" i="5"/>
  <c r="BH112" i="5" s="1"/>
  <c r="BI96" i="5"/>
  <c r="BI112" i="5" s="1"/>
  <c r="BJ96" i="5"/>
  <c r="BK96" i="5"/>
  <c r="BK112" i="5" s="1"/>
  <c r="BM96" i="5"/>
  <c r="BM112" i="5" s="1"/>
  <c r="BN96" i="5"/>
  <c r="BO96" i="5"/>
  <c r="BP96" i="5"/>
  <c r="BP112" i="5" s="1"/>
  <c r="BR96" i="5"/>
  <c r="BR112" i="5" s="1"/>
  <c r="BS96" i="5"/>
  <c r="BT96" i="5"/>
  <c r="BU96" i="5"/>
  <c r="BU112" i="5" s="1"/>
  <c r="BW96" i="5"/>
  <c r="BW112" i="5" s="1"/>
  <c r="BX96" i="5"/>
  <c r="BY96" i="5"/>
  <c r="BY112" i="5" s="1"/>
  <c r="BZ96" i="5"/>
  <c r="CA96" i="5"/>
  <c r="CA112" i="5" s="1"/>
  <c r="AX97" i="5"/>
  <c r="AX113" i="5" s="1"/>
  <c r="AY97" i="5"/>
  <c r="AY113" i="5" s="1"/>
  <c r="AZ97" i="5"/>
  <c r="AZ113" i="5" s="1"/>
  <c r="BA97" i="5"/>
  <c r="BA113" i="5" s="1"/>
  <c r="BC97" i="5"/>
  <c r="BC113" i="5" s="1"/>
  <c r="BD97" i="5"/>
  <c r="BD113" i="5" s="1"/>
  <c r="BE97" i="5"/>
  <c r="BE113" i="5" s="1"/>
  <c r="BF97" i="5"/>
  <c r="BF113" i="5" s="1"/>
  <c r="BH97" i="5"/>
  <c r="BH113" i="5" s="1"/>
  <c r="BI97" i="5"/>
  <c r="BI113" i="5" s="1"/>
  <c r="BJ97" i="5"/>
  <c r="BJ113" i="5" s="1"/>
  <c r="BK97" i="5"/>
  <c r="BK113" i="5" s="1"/>
  <c r="BM97" i="5"/>
  <c r="BM113" i="5" s="1"/>
  <c r="BN97" i="5"/>
  <c r="BN113" i="5" s="1"/>
  <c r="BO97" i="5"/>
  <c r="BO113" i="5" s="1"/>
  <c r="BP97" i="5"/>
  <c r="BP113" i="5" s="1"/>
  <c r="BR97" i="5"/>
  <c r="BR113" i="5" s="1"/>
  <c r="BS97" i="5"/>
  <c r="BS113" i="5" s="1"/>
  <c r="BT97" i="5"/>
  <c r="BT113" i="5" s="1"/>
  <c r="BU97" i="5"/>
  <c r="BU113" i="5" s="1"/>
  <c r="BW97" i="5"/>
  <c r="BW113" i="5" s="1"/>
  <c r="BX97" i="5"/>
  <c r="BX113" i="5" s="1"/>
  <c r="BY97" i="5"/>
  <c r="BY113" i="5" s="1"/>
  <c r="BZ97" i="5"/>
  <c r="BZ113" i="5" s="1"/>
  <c r="CA97" i="5"/>
  <c r="CA113" i="5" s="1"/>
  <c r="AX98" i="5"/>
  <c r="AY98" i="5"/>
  <c r="AY114" i="5" s="1"/>
  <c r="AZ98" i="5"/>
  <c r="AZ114" i="5" s="1"/>
  <c r="BA98" i="5"/>
  <c r="BA114" i="5" s="1"/>
  <c r="BC98" i="5"/>
  <c r="BD98" i="5"/>
  <c r="BD114" i="5" s="1"/>
  <c r="BE98" i="5"/>
  <c r="BE114" i="5" s="1"/>
  <c r="BF98" i="5"/>
  <c r="BF114" i="5" s="1"/>
  <c r="BH98" i="5"/>
  <c r="BI98" i="5"/>
  <c r="BI114" i="5" s="1"/>
  <c r="BJ98" i="5"/>
  <c r="BJ114" i="5" s="1"/>
  <c r="BK98" i="5"/>
  <c r="BK114" i="5" s="1"/>
  <c r="BM98" i="5"/>
  <c r="BM114" i="5" s="1"/>
  <c r="BN98" i="5"/>
  <c r="BN114" i="5" s="1"/>
  <c r="BO98" i="5"/>
  <c r="BO114" i="5" s="1"/>
  <c r="BP98" i="5"/>
  <c r="BP114" i="5" s="1"/>
  <c r="BR98" i="5"/>
  <c r="BS98" i="5"/>
  <c r="BT98" i="5"/>
  <c r="BT114" i="5" s="1"/>
  <c r="BU98" i="5"/>
  <c r="BU114" i="5" s="1"/>
  <c r="BW98" i="5"/>
  <c r="BX98" i="5"/>
  <c r="BX114" i="5" s="1"/>
  <c r="BY98" i="5"/>
  <c r="BY114" i="5" s="1"/>
  <c r="BZ98" i="5"/>
  <c r="BZ114" i="5" s="1"/>
  <c r="CA98" i="5"/>
  <c r="CA114" i="5" s="1"/>
  <c r="P39" i="19" l="1"/>
  <c r="O38" i="19"/>
  <c r="AW82" i="5"/>
  <c r="Q39" i="19" l="1"/>
  <c r="P38" i="19"/>
  <c r="BS121" i="5"/>
  <c r="Q38" i="19" l="1"/>
  <c r="R39" i="19"/>
  <c r="AX39" i="5"/>
  <c r="AY39" i="5"/>
  <c r="AZ39" i="5"/>
  <c r="BA39" i="5"/>
  <c r="BC39" i="5"/>
  <c r="BD39" i="5"/>
  <c r="BE39" i="5"/>
  <c r="BF39" i="5"/>
  <c r="BH39" i="5"/>
  <c r="BI39" i="5"/>
  <c r="BJ39" i="5"/>
  <c r="BK39" i="5"/>
  <c r="BM39" i="5"/>
  <c r="BN39" i="5"/>
  <c r="BO39" i="5"/>
  <c r="BP39" i="5"/>
  <c r="BR39" i="5"/>
  <c r="BS39" i="5"/>
  <c r="BT39" i="5"/>
  <c r="BU39" i="5"/>
  <c r="BW39" i="5"/>
  <c r="BX39" i="5"/>
  <c r="BY39" i="5"/>
  <c r="BZ39" i="5"/>
  <c r="CA39" i="5"/>
  <c r="AW25" i="5"/>
  <c r="AW85" i="5" s="1"/>
  <c r="AW101" i="5" s="1"/>
  <c r="R38" i="19" l="1"/>
  <c r="S39" i="19"/>
  <c r="AX128" i="5"/>
  <c r="AY128" i="5"/>
  <c r="AZ128" i="5"/>
  <c r="BA128" i="5"/>
  <c r="BB128" i="5"/>
  <c r="BC128" i="5"/>
  <c r="BD128" i="5"/>
  <c r="BE128" i="5"/>
  <c r="BF128" i="5"/>
  <c r="BG128" i="5"/>
  <c r="BH128" i="5"/>
  <c r="BI128" i="5"/>
  <c r="BJ128" i="5"/>
  <c r="BK128" i="5"/>
  <c r="BL128" i="5"/>
  <c r="BM128" i="5"/>
  <c r="BN128" i="5"/>
  <c r="BO128" i="5"/>
  <c r="BP128" i="5"/>
  <c r="BQ128" i="5"/>
  <c r="BR128" i="5"/>
  <c r="BS128" i="5"/>
  <c r="BT128" i="5"/>
  <c r="BU128" i="5"/>
  <c r="BV128" i="5"/>
  <c r="BW128" i="5"/>
  <c r="BX128" i="5"/>
  <c r="BY128" i="5"/>
  <c r="BZ128" i="5"/>
  <c r="CA128" i="5"/>
  <c r="AX127" i="5"/>
  <c r="AY127" i="5"/>
  <c r="AZ127" i="5"/>
  <c r="BA127" i="5"/>
  <c r="BB127" i="5"/>
  <c r="BC127" i="5"/>
  <c r="BD127" i="5"/>
  <c r="BE127" i="5"/>
  <c r="BF127" i="5"/>
  <c r="BG127" i="5"/>
  <c r="BH127" i="5"/>
  <c r="BI127" i="5"/>
  <c r="BJ127" i="5"/>
  <c r="BK127" i="5"/>
  <c r="BL127" i="5"/>
  <c r="BM127" i="5"/>
  <c r="BN127" i="5"/>
  <c r="BO127" i="5"/>
  <c r="BP127" i="5"/>
  <c r="BQ127" i="5"/>
  <c r="BR127" i="5"/>
  <c r="BS127" i="5"/>
  <c r="BT127" i="5"/>
  <c r="BU127" i="5"/>
  <c r="BV127" i="5"/>
  <c r="BW127" i="5"/>
  <c r="BX127" i="5"/>
  <c r="BY127" i="5"/>
  <c r="BZ127" i="5"/>
  <c r="CA127" i="5"/>
  <c r="AX126" i="5"/>
  <c r="AY126" i="5"/>
  <c r="AZ126" i="5"/>
  <c r="BA126" i="5"/>
  <c r="BB126" i="5"/>
  <c r="BC126" i="5"/>
  <c r="BD126" i="5"/>
  <c r="BE126" i="5"/>
  <c r="BF126" i="5"/>
  <c r="BG126" i="5"/>
  <c r="BH126" i="5"/>
  <c r="BI126" i="5"/>
  <c r="BJ126" i="5"/>
  <c r="BK126" i="5"/>
  <c r="BL126" i="5"/>
  <c r="BM126" i="5"/>
  <c r="BN126" i="5"/>
  <c r="BO126" i="5"/>
  <c r="BP126" i="5"/>
  <c r="BQ126" i="5"/>
  <c r="BR126" i="5"/>
  <c r="BS126" i="5"/>
  <c r="BT126" i="5"/>
  <c r="BU126" i="5"/>
  <c r="BV126" i="5"/>
  <c r="BW126" i="5"/>
  <c r="BX126" i="5"/>
  <c r="BY126" i="5"/>
  <c r="BZ126" i="5"/>
  <c r="CA126" i="5"/>
  <c r="AW128" i="5"/>
  <c r="AW127" i="5"/>
  <c r="AW126" i="5"/>
  <c r="AX123" i="5"/>
  <c r="AY123" i="5"/>
  <c r="AZ123" i="5"/>
  <c r="BA123" i="5"/>
  <c r="BB123" i="5"/>
  <c r="BC123" i="5"/>
  <c r="BD123" i="5"/>
  <c r="BE123" i="5"/>
  <c r="BF123" i="5"/>
  <c r="BG123" i="5"/>
  <c r="BH123" i="5"/>
  <c r="BI123" i="5"/>
  <c r="BJ123" i="5"/>
  <c r="BK123" i="5"/>
  <c r="BL123" i="5"/>
  <c r="BM123" i="5"/>
  <c r="BN123" i="5"/>
  <c r="BO123" i="5"/>
  <c r="BP123" i="5"/>
  <c r="BQ123" i="5"/>
  <c r="BR123" i="5"/>
  <c r="BS123" i="5"/>
  <c r="BT123" i="5"/>
  <c r="BU123" i="5"/>
  <c r="BV123" i="5"/>
  <c r="BW123" i="5"/>
  <c r="BX123" i="5"/>
  <c r="BY123" i="5"/>
  <c r="BZ123" i="5"/>
  <c r="CA123" i="5"/>
  <c r="AX122" i="5"/>
  <c r="AY122" i="5"/>
  <c r="AZ122" i="5"/>
  <c r="BA122" i="5"/>
  <c r="BB122" i="5"/>
  <c r="BC122" i="5"/>
  <c r="BD122" i="5"/>
  <c r="BE122" i="5"/>
  <c r="BF122" i="5"/>
  <c r="BG122" i="5"/>
  <c r="BH122" i="5"/>
  <c r="BI122" i="5"/>
  <c r="BJ122" i="5"/>
  <c r="BK122" i="5"/>
  <c r="BL122" i="5"/>
  <c r="BM122" i="5"/>
  <c r="BN122" i="5"/>
  <c r="BO122" i="5"/>
  <c r="BP122" i="5"/>
  <c r="BQ122" i="5"/>
  <c r="BR122" i="5"/>
  <c r="BS122" i="5"/>
  <c r="BT122" i="5"/>
  <c r="BU122" i="5"/>
  <c r="BV122" i="5"/>
  <c r="BW122" i="5"/>
  <c r="BX122" i="5"/>
  <c r="BY122" i="5"/>
  <c r="BZ122" i="5"/>
  <c r="CA122" i="5"/>
  <c r="AX121" i="5"/>
  <c r="AY121" i="5"/>
  <c r="AZ121" i="5"/>
  <c r="BA121" i="5"/>
  <c r="BB121" i="5"/>
  <c r="BC121" i="5"/>
  <c r="BD121" i="5"/>
  <c r="BE121" i="5"/>
  <c r="BF121" i="5"/>
  <c r="BG121" i="5"/>
  <c r="BH121" i="5"/>
  <c r="BI121" i="5"/>
  <c r="BJ121" i="5"/>
  <c r="BK121" i="5"/>
  <c r="BL121" i="5"/>
  <c r="BM121" i="5"/>
  <c r="BN121" i="5"/>
  <c r="BO121" i="5"/>
  <c r="BP121" i="5"/>
  <c r="BQ121" i="5"/>
  <c r="BR121" i="5"/>
  <c r="BT121" i="5"/>
  <c r="BU121" i="5"/>
  <c r="BV121" i="5"/>
  <c r="BW121" i="5"/>
  <c r="BX121" i="5"/>
  <c r="BY121" i="5"/>
  <c r="BZ121" i="5"/>
  <c r="CA121" i="5"/>
  <c r="AW123" i="5"/>
  <c r="AW122" i="5"/>
  <c r="AW121" i="5"/>
  <c r="BW131" i="5"/>
  <c r="BV131" i="5"/>
  <c r="BU131" i="5"/>
  <c r="BT131" i="5"/>
  <c r="BS131" i="5"/>
  <c r="BR131" i="5"/>
  <c r="BQ131" i="5"/>
  <c r="BP131" i="5"/>
  <c r="BO131" i="5"/>
  <c r="BN131" i="5"/>
  <c r="BM131" i="5"/>
  <c r="BL131" i="5"/>
  <c r="BK131" i="5"/>
  <c r="BJ131" i="5"/>
  <c r="BI131" i="5"/>
  <c r="BH131" i="5"/>
  <c r="BG131" i="5"/>
  <c r="BF131" i="5"/>
  <c r="BE131" i="5"/>
  <c r="BD131" i="5"/>
  <c r="BX131" i="5"/>
  <c r="BZ131" i="5"/>
  <c r="CA131" i="5"/>
  <c r="BY131" i="5"/>
  <c r="BC131" i="5"/>
  <c r="BB131" i="5"/>
  <c r="BA131" i="5"/>
  <c r="AZ131" i="5"/>
  <c r="AY131" i="5"/>
  <c r="AX131" i="5"/>
  <c r="AW131" i="5"/>
  <c r="AW120" i="5"/>
  <c r="BX118" i="5"/>
  <c r="BT118" i="5"/>
  <c r="BQ118" i="5"/>
  <c r="BL118" i="5"/>
  <c r="BD118" i="5"/>
  <c r="AZ118" i="5"/>
  <c r="AX62" i="5"/>
  <c r="AY62" i="5"/>
  <c r="AZ62" i="5"/>
  <c r="BA62" i="5"/>
  <c r="BC62" i="5"/>
  <c r="BD62" i="5"/>
  <c r="BD148" i="5" s="1"/>
  <c r="BE62" i="5"/>
  <c r="BF62" i="5"/>
  <c r="BH62" i="5"/>
  <c r="BI62" i="5"/>
  <c r="BJ62" i="5"/>
  <c r="BK62" i="5"/>
  <c r="BM62" i="5"/>
  <c r="BM148" i="5" s="1"/>
  <c r="BN62" i="5"/>
  <c r="BO62" i="5"/>
  <c r="BP62" i="5"/>
  <c r="BR62" i="5"/>
  <c r="BS62" i="5"/>
  <c r="BT62" i="5"/>
  <c r="BU62" i="5"/>
  <c r="BW62" i="5"/>
  <c r="BX62" i="5"/>
  <c r="BY62" i="5"/>
  <c r="BZ62" i="5"/>
  <c r="CA62" i="5"/>
  <c r="AX61" i="5"/>
  <c r="AY61" i="5"/>
  <c r="AZ61" i="5"/>
  <c r="BA61" i="5"/>
  <c r="BC61" i="5"/>
  <c r="BD61" i="5"/>
  <c r="BE61" i="5"/>
  <c r="BF61" i="5"/>
  <c r="BH61" i="5"/>
  <c r="BI61" i="5"/>
  <c r="BJ61" i="5"/>
  <c r="BK61" i="5"/>
  <c r="BM61" i="5"/>
  <c r="BN61" i="5"/>
  <c r="BO61" i="5"/>
  <c r="BP61" i="5"/>
  <c r="BR61" i="5"/>
  <c r="BS61" i="5"/>
  <c r="BT61" i="5"/>
  <c r="BU61" i="5"/>
  <c r="BW61" i="5"/>
  <c r="BX61" i="5"/>
  <c r="BY61" i="5"/>
  <c r="BZ61" i="5"/>
  <c r="CA61" i="5"/>
  <c r="AX60" i="5"/>
  <c r="AY60" i="5"/>
  <c r="AZ60" i="5"/>
  <c r="BA60" i="5"/>
  <c r="BC60" i="5"/>
  <c r="BD60" i="5"/>
  <c r="BE60" i="5"/>
  <c r="BF60" i="5"/>
  <c r="BH60" i="5"/>
  <c r="BI60" i="5"/>
  <c r="BJ60" i="5"/>
  <c r="BK60" i="5"/>
  <c r="BM60" i="5"/>
  <c r="BN60" i="5"/>
  <c r="BO60" i="5"/>
  <c r="BP60" i="5"/>
  <c r="BR60" i="5"/>
  <c r="BS60" i="5"/>
  <c r="BT60" i="5"/>
  <c r="BU60" i="5"/>
  <c r="BW60" i="5"/>
  <c r="BX60" i="5"/>
  <c r="BY60" i="5"/>
  <c r="BZ60" i="5"/>
  <c r="CA60" i="5"/>
  <c r="AX59" i="5"/>
  <c r="AY59" i="5"/>
  <c r="AY145" i="5" s="1"/>
  <c r="AZ59" i="5"/>
  <c r="BA59" i="5"/>
  <c r="BC59" i="5"/>
  <c r="BD59" i="5"/>
  <c r="BE59" i="5"/>
  <c r="BF59" i="5"/>
  <c r="BF145" i="5" s="1"/>
  <c r="BH59" i="5"/>
  <c r="BH145" i="5" s="1"/>
  <c r="BI59" i="5"/>
  <c r="BJ59" i="5"/>
  <c r="BJ145" i="5" s="1"/>
  <c r="BK59" i="5"/>
  <c r="BM59" i="5"/>
  <c r="BN59" i="5"/>
  <c r="BN145" i="5" s="1"/>
  <c r="BO59" i="5"/>
  <c r="BP59" i="5"/>
  <c r="BR59" i="5"/>
  <c r="BS59" i="5"/>
  <c r="BT59" i="5"/>
  <c r="BU59" i="5"/>
  <c r="BW59" i="5"/>
  <c r="BX59" i="5"/>
  <c r="BX145" i="5" s="1"/>
  <c r="BY59" i="5"/>
  <c r="BZ59" i="5"/>
  <c r="CA59" i="5"/>
  <c r="AX58" i="5"/>
  <c r="AY58" i="5"/>
  <c r="AZ58" i="5"/>
  <c r="AZ144" i="5" s="1"/>
  <c r="BA58" i="5"/>
  <c r="BA144" i="5" s="1"/>
  <c r="BC58" i="5"/>
  <c r="BD58" i="5"/>
  <c r="BE58" i="5"/>
  <c r="BF58" i="5"/>
  <c r="BH58" i="5"/>
  <c r="BH144" i="5" s="1"/>
  <c r="BI58" i="5"/>
  <c r="BJ58" i="5"/>
  <c r="BK58" i="5"/>
  <c r="BM58" i="5"/>
  <c r="BN58" i="5"/>
  <c r="BO58" i="5"/>
  <c r="BP58" i="5"/>
  <c r="BP144" i="5" s="1"/>
  <c r="BR58" i="5"/>
  <c r="BR144" i="5" s="1"/>
  <c r="BS58" i="5"/>
  <c r="BT58" i="5"/>
  <c r="BU58" i="5"/>
  <c r="BW58" i="5"/>
  <c r="BX58" i="5"/>
  <c r="BX144" i="5" s="1"/>
  <c r="BY58" i="5"/>
  <c r="BY144" i="5" s="1"/>
  <c r="BZ58" i="5"/>
  <c r="BZ144" i="5" s="1"/>
  <c r="CA58" i="5"/>
  <c r="CA144" i="5" s="1"/>
  <c r="AX57" i="5"/>
  <c r="AX143" i="5" s="1"/>
  <c r="AY57" i="5"/>
  <c r="AZ57" i="5"/>
  <c r="BA57" i="5"/>
  <c r="BC57" i="5"/>
  <c r="BD57" i="5"/>
  <c r="BE57" i="5"/>
  <c r="BF57" i="5"/>
  <c r="BH57" i="5"/>
  <c r="BI57" i="5"/>
  <c r="BJ57" i="5"/>
  <c r="BK57" i="5"/>
  <c r="BK143" i="5" s="1"/>
  <c r="BM57" i="5"/>
  <c r="BN57" i="5"/>
  <c r="BO57" i="5"/>
  <c r="BP57" i="5"/>
  <c r="BR57" i="5"/>
  <c r="BR143" i="5" s="1"/>
  <c r="BS57" i="5"/>
  <c r="BS143" i="5" s="1"/>
  <c r="BT57" i="5"/>
  <c r="BT143" i="5" s="1"/>
  <c r="BU57" i="5"/>
  <c r="BW57" i="5"/>
  <c r="BX57" i="5"/>
  <c r="BY57" i="5"/>
  <c r="BZ57" i="5"/>
  <c r="CA57" i="5"/>
  <c r="AX54" i="5"/>
  <c r="AY54" i="5"/>
  <c r="AZ54" i="5"/>
  <c r="BA54" i="5"/>
  <c r="BA140" i="5" s="1"/>
  <c r="BC54" i="5"/>
  <c r="BD54" i="5"/>
  <c r="BE54" i="5"/>
  <c r="BF54" i="5"/>
  <c r="BH54" i="5"/>
  <c r="BI54" i="5"/>
  <c r="BJ54" i="5"/>
  <c r="BJ140" i="5" s="1"/>
  <c r="BK54" i="5"/>
  <c r="BM54" i="5"/>
  <c r="BN54" i="5"/>
  <c r="BO54" i="5"/>
  <c r="BP54" i="5"/>
  <c r="BR54" i="5"/>
  <c r="BR140" i="5" s="1"/>
  <c r="BS54" i="5"/>
  <c r="BT54" i="5"/>
  <c r="BU54" i="5"/>
  <c r="BW54" i="5"/>
  <c r="BX54" i="5"/>
  <c r="BY54" i="5"/>
  <c r="BZ54" i="5"/>
  <c r="CA54" i="5"/>
  <c r="AX53" i="5"/>
  <c r="AY53" i="5"/>
  <c r="AZ53" i="5"/>
  <c r="BA53" i="5"/>
  <c r="BC53" i="5"/>
  <c r="BD53" i="5"/>
  <c r="BE53" i="5"/>
  <c r="BF53" i="5"/>
  <c r="BH53" i="5"/>
  <c r="BI53" i="5"/>
  <c r="BJ53" i="5"/>
  <c r="BK53" i="5"/>
  <c r="BM53" i="5"/>
  <c r="BM139" i="5" s="1"/>
  <c r="BN53" i="5"/>
  <c r="BO53" i="5"/>
  <c r="BP53" i="5"/>
  <c r="BR53" i="5"/>
  <c r="BS53" i="5"/>
  <c r="BT53" i="5"/>
  <c r="BU53" i="5"/>
  <c r="BW53" i="5"/>
  <c r="BX53" i="5"/>
  <c r="BY53" i="5"/>
  <c r="BZ53" i="5"/>
  <c r="CA53" i="5"/>
  <c r="AX52" i="5"/>
  <c r="AX138" i="5" s="1"/>
  <c r="AY52" i="5"/>
  <c r="AZ52" i="5"/>
  <c r="BA52" i="5"/>
  <c r="BC52" i="5"/>
  <c r="BD52" i="5"/>
  <c r="BE52" i="5"/>
  <c r="BF52" i="5"/>
  <c r="BF138" i="5" s="1"/>
  <c r="BH52" i="5"/>
  <c r="BI52" i="5"/>
  <c r="BJ52" i="5"/>
  <c r="BK52" i="5"/>
  <c r="BM52" i="5"/>
  <c r="BN52" i="5"/>
  <c r="BO52" i="5"/>
  <c r="BP52" i="5"/>
  <c r="BR52" i="5"/>
  <c r="BS52" i="5"/>
  <c r="BS138" i="5" s="1"/>
  <c r="BT52" i="5"/>
  <c r="BU52" i="5"/>
  <c r="BW52" i="5"/>
  <c r="BW138" i="5" s="1"/>
  <c r="BX52" i="5"/>
  <c r="BY52" i="5"/>
  <c r="BZ52" i="5"/>
  <c r="CA52" i="5"/>
  <c r="AX51" i="5"/>
  <c r="AY51" i="5"/>
  <c r="AZ51" i="5"/>
  <c r="BA51" i="5"/>
  <c r="BC51" i="5"/>
  <c r="BD51" i="5"/>
  <c r="BE51" i="5"/>
  <c r="BF51" i="5"/>
  <c r="BH51" i="5"/>
  <c r="BI51" i="5"/>
  <c r="BJ51" i="5"/>
  <c r="BK51" i="5"/>
  <c r="BM51" i="5"/>
  <c r="BN51" i="5"/>
  <c r="BO51" i="5"/>
  <c r="BP51" i="5"/>
  <c r="BR51" i="5"/>
  <c r="BS51" i="5"/>
  <c r="BT51" i="5"/>
  <c r="BU51" i="5"/>
  <c r="BW51" i="5"/>
  <c r="BX51" i="5"/>
  <c r="BY51" i="5"/>
  <c r="BZ51" i="5"/>
  <c r="CA51" i="5"/>
  <c r="AX50" i="5"/>
  <c r="AY50" i="5"/>
  <c r="AZ50" i="5"/>
  <c r="BA50" i="5"/>
  <c r="BC50" i="5"/>
  <c r="BD50" i="5"/>
  <c r="BE50" i="5"/>
  <c r="BF50" i="5"/>
  <c r="BH50" i="5"/>
  <c r="BI50" i="5"/>
  <c r="BJ50" i="5"/>
  <c r="BK50" i="5"/>
  <c r="BM50" i="5"/>
  <c r="BN50" i="5"/>
  <c r="BO50" i="5"/>
  <c r="BP50" i="5"/>
  <c r="BR50" i="5"/>
  <c r="BS50" i="5"/>
  <c r="BT50" i="5"/>
  <c r="BU50" i="5"/>
  <c r="BW50" i="5"/>
  <c r="BX50" i="5"/>
  <c r="BY50" i="5"/>
  <c r="BZ50" i="5"/>
  <c r="CA50" i="5"/>
  <c r="AX49" i="5"/>
  <c r="AY49" i="5"/>
  <c r="AZ49" i="5"/>
  <c r="BA49" i="5"/>
  <c r="BC49" i="5"/>
  <c r="BD49" i="5"/>
  <c r="BD135" i="5" s="1"/>
  <c r="BE49" i="5"/>
  <c r="BF49" i="5"/>
  <c r="BH49" i="5"/>
  <c r="BI49" i="5"/>
  <c r="BJ49" i="5"/>
  <c r="BK49" i="5"/>
  <c r="BM49" i="5"/>
  <c r="BN49" i="5"/>
  <c r="BO49" i="5"/>
  <c r="BP49" i="5"/>
  <c r="BR49" i="5"/>
  <c r="BS49" i="5"/>
  <c r="BT49" i="5"/>
  <c r="BU49" i="5"/>
  <c r="BW49" i="5"/>
  <c r="BX49" i="5"/>
  <c r="BY49" i="5"/>
  <c r="BZ49" i="5"/>
  <c r="CA49" i="5"/>
  <c r="AW49" i="5"/>
  <c r="T39" i="19" l="1"/>
  <c r="S38" i="19"/>
  <c r="BW148" i="5"/>
  <c r="BZ145" i="5"/>
  <c r="BM138" i="5"/>
  <c r="BE140" i="5"/>
  <c r="CA139" i="5"/>
  <c r="BC139" i="5"/>
  <c r="BI140" i="5"/>
  <c r="BJ143" i="5"/>
  <c r="BS139" i="5"/>
  <c r="BY140" i="5"/>
  <c r="BZ143" i="5"/>
  <c r="BF143" i="5"/>
  <c r="BE138" i="5"/>
  <c r="BK139" i="5"/>
  <c r="BT148" i="5"/>
  <c r="BN138" i="5"/>
  <c r="BT139" i="5"/>
  <c r="BZ140" i="5"/>
  <c r="CA143" i="5"/>
  <c r="BC143" i="5"/>
  <c r="BI144" i="5"/>
  <c r="BO145" i="5"/>
  <c r="BU139" i="5"/>
  <c r="BF139" i="5"/>
  <c r="CA140" i="5"/>
  <c r="BC140" i="5"/>
  <c r="BP145" i="5"/>
  <c r="BX138" i="5"/>
  <c r="AY138" i="5"/>
  <c r="BM143" i="5"/>
  <c r="BS144" i="5"/>
  <c r="BY145" i="5"/>
  <c r="AZ145" i="5"/>
  <c r="BN148" i="5"/>
  <c r="BF140" i="5"/>
  <c r="CA145" i="5"/>
  <c r="BZ148" i="5"/>
  <c r="BS148" i="5"/>
  <c r="BR148" i="5"/>
  <c r="BO148" i="5"/>
  <c r="BK148" i="5"/>
  <c r="BF148" i="5"/>
  <c r="AY148" i="5"/>
  <c r="BS145" i="5"/>
  <c r="AX145" i="5"/>
  <c r="BM144" i="5"/>
  <c r="BC144" i="5"/>
  <c r="BW145" i="5"/>
  <c r="BR145" i="5"/>
  <c r="BK145" i="5"/>
  <c r="BI145" i="5"/>
  <c r="BE145" i="5"/>
  <c r="BD145" i="5"/>
  <c r="BC145" i="5"/>
  <c r="BA145" i="5"/>
  <c r="BU144" i="5"/>
  <c r="BT144" i="5"/>
  <c r="BN144" i="5"/>
  <c r="BK144" i="5"/>
  <c r="BJ144" i="5"/>
  <c r="BE144" i="5"/>
  <c r="BD144" i="5"/>
  <c r="BW143" i="5"/>
  <c r="BU143" i="5"/>
  <c r="BO143" i="5"/>
  <c r="BN143" i="5"/>
  <c r="BE143" i="5"/>
  <c r="BD143" i="5"/>
  <c r="AY143" i="5"/>
  <c r="BU140" i="5"/>
  <c r="BT140" i="5"/>
  <c r="BS140" i="5"/>
  <c r="BN140" i="5"/>
  <c r="BM140" i="5"/>
  <c r="BK140" i="5"/>
  <c r="BD140" i="5"/>
  <c r="AX140" i="5"/>
  <c r="BX139" i="5"/>
  <c r="BP139" i="5"/>
  <c r="BN139" i="5"/>
  <c r="BJ139" i="5"/>
  <c r="BI139" i="5"/>
  <c r="BH139" i="5"/>
  <c r="BE139" i="5"/>
  <c r="BD139" i="5"/>
  <c r="AZ139" i="5"/>
  <c r="AX139" i="5"/>
  <c r="CA138" i="5"/>
  <c r="BY138" i="5"/>
  <c r="BR138" i="5"/>
  <c r="BP138" i="5"/>
  <c r="BO138" i="5"/>
  <c r="BJ138" i="5"/>
  <c r="BH138" i="5"/>
  <c r="AZ138" i="5"/>
  <c r="BR130" i="5"/>
  <c r="BR147" i="5" s="1"/>
  <c r="BJ130" i="5"/>
  <c r="BJ147" i="5" s="1"/>
  <c r="BZ138" i="5"/>
  <c r="BO139" i="5"/>
  <c r="BW139" i="5"/>
  <c r="BA138" i="5"/>
  <c r="BI138" i="5"/>
  <c r="AY139" i="5"/>
  <c r="BR139" i="5"/>
  <c r="AZ143" i="5"/>
  <c r="BM145" i="5"/>
  <c r="AW72" i="5"/>
  <c r="BZ139" i="5"/>
  <c r="BH140" i="5"/>
  <c r="BI143" i="5"/>
  <c r="BU145" i="5"/>
  <c r="BE148" i="5"/>
  <c r="BA143" i="5"/>
  <c r="AY140" i="5"/>
  <c r="BT135" i="5"/>
  <c r="BD138" i="5"/>
  <c r="BY139" i="5"/>
  <c r="BP140" i="5"/>
  <c r="BH143" i="5"/>
  <c r="AY144" i="5"/>
  <c r="BT145" i="5"/>
  <c r="AZ140" i="5"/>
  <c r="AX144" i="5"/>
  <c r="BW144" i="5"/>
  <c r="BO140" i="5"/>
  <c r="BP143" i="5"/>
  <c r="BU138" i="5"/>
  <c r="BX140" i="5"/>
  <c r="BY143" i="5"/>
  <c r="BF144" i="5"/>
  <c r="BU148" i="5"/>
  <c r="BC138" i="5"/>
  <c r="BK138" i="5"/>
  <c r="BT138" i="5"/>
  <c r="BA139" i="5"/>
  <c r="BW140" i="5"/>
  <c r="BX143" i="5"/>
  <c r="BO144" i="5"/>
  <c r="BJ148" i="5"/>
  <c r="AY119" i="5"/>
  <c r="AY136" i="5" s="1"/>
  <c r="BG119" i="5"/>
  <c r="BO119" i="5"/>
  <c r="BO136" i="5" s="1"/>
  <c r="BW119" i="5"/>
  <c r="BW136" i="5" s="1"/>
  <c r="AZ119" i="5"/>
  <c r="AZ136" i="5" s="1"/>
  <c r="BH119" i="5"/>
  <c r="BH136" i="5" s="1"/>
  <c r="BP119" i="5"/>
  <c r="BP136" i="5" s="1"/>
  <c r="BX119" i="5"/>
  <c r="BX136" i="5" s="1"/>
  <c r="BA119" i="5"/>
  <c r="BA136" i="5" s="1"/>
  <c r="BI119" i="5"/>
  <c r="BI136" i="5" s="1"/>
  <c r="BQ119" i="5"/>
  <c r="BY119" i="5"/>
  <c r="BY136" i="5" s="1"/>
  <c r="BZ119" i="5"/>
  <c r="BZ136" i="5" s="1"/>
  <c r="BC120" i="5"/>
  <c r="BC137" i="5" s="1"/>
  <c r="BK119" i="5"/>
  <c r="BK136" i="5" s="1"/>
  <c r="BS120" i="5"/>
  <c r="BS137" i="5" s="1"/>
  <c r="CA120" i="5"/>
  <c r="CA137" i="5" s="1"/>
  <c r="BD119" i="5"/>
  <c r="BD136" i="5" s="1"/>
  <c r="BL119" i="5"/>
  <c r="BT119" i="5"/>
  <c r="BT136" i="5" s="1"/>
  <c r="CA148" i="5"/>
  <c r="AW119" i="5"/>
  <c r="BE119" i="5"/>
  <c r="BE136" i="5" s="1"/>
  <c r="BM119" i="5"/>
  <c r="BM136" i="5" s="1"/>
  <c r="BU119" i="5"/>
  <c r="BU136" i="5" s="1"/>
  <c r="BU120" i="5"/>
  <c r="BU137" i="5" s="1"/>
  <c r="AX119" i="5"/>
  <c r="AX136" i="5" s="1"/>
  <c r="BF119" i="5"/>
  <c r="BF136" i="5" s="1"/>
  <c r="BN119" i="5"/>
  <c r="BN136" i="5" s="1"/>
  <c r="BV119" i="5"/>
  <c r="BH120" i="5"/>
  <c r="BH137" i="5" s="1"/>
  <c r="AZ148" i="5"/>
  <c r="BK120" i="5"/>
  <c r="BK137" i="5" s="1"/>
  <c r="BI148" i="5"/>
  <c r="BZ120" i="5"/>
  <c r="BZ137" i="5" s="1"/>
  <c r="BE120" i="5"/>
  <c r="BE137" i="5" s="1"/>
  <c r="BY120" i="5"/>
  <c r="BY137" i="5" s="1"/>
  <c r="BA120" i="5"/>
  <c r="BA137" i="5" s="1"/>
  <c r="AY120" i="5"/>
  <c r="AY137" i="5" s="1"/>
  <c r="BX148" i="5"/>
  <c r="BQ120" i="5"/>
  <c r="BP120" i="5"/>
  <c r="BP137" i="5" s="1"/>
  <c r="BA148" i="5"/>
  <c r="BM120" i="5"/>
  <c r="BM137" i="5" s="1"/>
  <c r="BA118" i="5"/>
  <c r="BA135" i="5" s="1"/>
  <c r="BX135" i="5"/>
  <c r="AX118" i="5"/>
  <c r="AX135" i="5" s="1"/>
  <c r="BF118" i="5"/>
  <c r="BF135" i="5" s="1"/>
  <c r="BN118" i="5"/>
  <c r="BN135" i="5" s="1"/>
  <c r="BV118" i="5"/>
  <c r="BG120" i="5"/>
  <c r="AX120" i="5"/>
  <c r="AX137" i="5" s="1"/>
  <c r="BU118" i="5"/>
  <c r="BU135" i="5" s="1"/>
  <c r="BC148" i="5"/>
  <c r="AY118" i="5"/>
  <c r="AY135" i="5" s="1"/>
  <c r="BG118" i="5"/>
  <c r="BO118" i="5"/>
  <c r="BO135" i="5" s="1"/>
  <c r="BW118" i="5"/>
  <c r="BW135" i="5" s="1"/>
  <c r="BX120" i="5"/>
  <c r="BX137" i="5" s="1"/>
  <c r="BO120" i="5"/>
  <c r="BO137" i="5" s="1"/>
  <c r="BF120" i="5"/>
  <c r="BF137" i="5" s="1"/>
  <c r="AW118" i="5"/>
  <c r="AW135" i="5" s="1"/>
  <c r="CA119" i="5"/>
  <c r="CA136" i="5" s="1"/>
  <c r="BH72" i="5"/>
  <c r="BW120" i="5"/>
  <c r="BW137" i="5" s="1"/>
  <c r="BN120" i="5"/>
  <c r="BN137" i="5" s="1"/>
  <c r="BP118" i="5"/>
  <c r="BP135" i="5" s="1"/>
  <c r="BC119" i="5"/>
  <c r="BC136" i="5" s="1"/>
  <c r="BY148" i="5"/>
  <c r="BB120" i="5"/>
  <c r="BB119" i="5"/>
  <c r="BJ120" i="5"/>
  <c r="BJ137" i="5" s="1"/>
  <c r="BJ119" i="5"/>
  <c r="BJ136" i="5" s="1"/>
  <c r="BR120" i="5"/>
  <c r="BR137" i="5" s="1"/>
  <c r="BR119" i="5"/>
  <c r="BR136" i="5" s="1"/>
  <c r="BV120" i="5"/>
  <c r="BD120" i="5"/>
  <c r="BD137" i="5" s="1"/>
  <c r="BM118" i="5"/>
  <c r="BM135" i="5" s="1"/>
  <c r="BP148" i="5"/>
  <c r="BH148" i="5"/>
  <c r="BB118" i="5"/>
  <c r="BJ118" i="5"/>
  <c r="BJ135" i="5" s="1"/>
  <c r="BR118" i="5"/>
  <c r="BR135" i="5" s="1"/>
  <c r="BZ118" i="5"/>
  <c r="BZ135" i="5" s="1"/>
  <c r="BL120" i="5"/>
  <c r="BI118" i="5"/>
  <c r="BI135" i="5" s="1"/>
  <c r="BS119" i="5"/>
  <c r="BS136" i="5" s="1"/>
  <c r="BC118" i="5"/>
  <c r="BC135" i="5" s="1"/>
  <c r="BK118" i="5"/>
  <c r="BK135" i="5" s="1"/>
  <c r="BS118" i="5"/>
  <c r="BS135" i="5" s="1"/>
  <c r="CA118" i="5"/>
  <c r="CA135" i="5" s="1"/>
  <c r="CA72" i="5"/>
  <c r="BT120" i="5"/>
  <c r="BT137" i="5" s="1"/>
  <c r="BH118" i="5"/>
  <c r="BH135" i="5" s="1"/>
  <c r="AZ135" i="5"/>
  <c r="AX148" i="5"/>
  <c r="BI120" i="5"/>
  <c r="BI137" i="5" s="1"/>
  <c r="AZ120" i="5"/>
  <c r="AZ137" i="5" s="1"/>
  <c r="BY118" i="5"/>
  <c r="BY135" i="5" s="1"/>
  <c r="BE118" i="5"/>
  <c r="BE135" i="5" s="1"/>
  <c r="U39" i="19" l="1"/>
  <c r="T38" i="19"/>
  <c r="BR129" i="5"/>
  <c r="BR146" i="5" s="1"/>
  <c r="BJ129" i="5"/>
  <c r="BJ146" i="5" s="1"/>
  <c r="BY72" i="5"/>
  <c r="BK72" i="5"/>
  <c r="BG72" i="5"/>
  <c r="BC72" i="5"/>
  <c r="BB129" i="5"/>
  <c r="BR80" i="5"/>
  <c r="BR72" i="5"/>
  <c r="BA72" i="5"/>
  <c r="BU72" i="5"/>
  <c r="BZ72" i="5"/>
  <c r="BJ80" i="5"/>
  <c r="BS72" i="5"/>
  <c r="BQ72" i="5"/>
  <c r="BE72" i="5"/>
  <c r="BN72" i="5"/>
  <c r="BL72" i="5"/>
  <c r="BM72" i="5"/>
  <c r="AY72" i="5"/>
  <c r="BX72" i="5"/>
  <c r="BP72" i="5"/>
  <c r="BT72" i="5"/>
  <c r="BV72" i="5"/>
  <c r="AZ72" i="5"/>
  <c r="BJ72" i="5"/>
  <c r="BD72" i="5"/>
  <c r="BW72" i="5"/>
  <c r="BF72" i="5"/>
  <c r="BI72" i="5"/>
  <c r="BB72" i="5"/>
  <c r="BO72" i="5"/>
  <c r="AX72" i="5"/>
  <c r="CC137" i="9"/>
  <c r="CC136" i="9"/>
  <c r="CC135" i="9"/>
  <c r="L35" i="7"/>
  <c r="L37" i="7"/>
  <c r="L36" i="7"/>
  <c r="K37" i="7"/>
  <c r="J37" i="7"/>
  <c r="I37" i="7"/>
  <c r="K35" i="7"/>
  <c r="J35" i="7"/>
  <c r="I35" i="7"/>
  <c r="K36" i="7"/>
  <c r="J36" i="7"/>
  <c r="I36" i="7"/>
  <c r="G35" i="7"/>
  <c r="H35" i="7" s="1"/>
  <c r="H37" i="7"/>
  <c r="G37" i="7"/>
  <c r="F37" i="7"/>
  <c r="F35" i="7"/>
  <c r="G36" i="7"/>
  <c r="H36" i="7"/>
  <c r="F36" i="7"/>
  <c r="V39" i="19" l="1"/>
  <c r="U38" i="19"/>
  <c r="BR81" i="5"/>
  <c r="CA129" i="5"/>
  <c r="CA146" i="5" s="1"/>
  <c r="BZ129" i="5"/>
  <c r="BZ146" i="5" s="1"/>
  <c r="BZ130" i="5"/>
  <c r="BZ147" i="5" s="1"/>
  <c r="BY129" i="5"/>
  <c r="BY146" i="5" s="1"/>
  <c r="BX129" i="5"/>
  <c r="BX146" i="5" s="1"/>
  <c r="BW130" i="5"/>
  <c r="BW147" i="5" s="1"/>
  <c r="BW80" i="5"/>
  <c r="BW81" i="5" s="1"/>
  <c r="BW129" i="5"/>
  <c r="BW146" i="5" s="1"/>
  <c r="BV130" i="5"/>
  <c r="BV129" i="5"/>
  <c r="BU129" i="5"/>
  <c r="BU146" i="5" s="1"/>
  <c r="BU130" i="5"/>
  <c r="BU147" i="5" s="1"/>
  <c r="BU80" i="5"/>
  <c r="BU81" i="5" s="1"/>
  <c r="BT129" i="5"/>
  <c r="BT146" i="5" s="1"/>
  <c r="BT130" i="5"/>
  <c r="BT147" i="5" s="1"/>
  <c r="BT80" i="5"/>
  <c r="BT81" i="5" s="1"/>
  <c r="BS129" i="5"/>
  <c r="BS146" i="5" s="1"/>
  <c r="BQ129" i="5"/>
  <c r="BP130" i="5"/>
  <c r="BP147" i="5" s="1"/>
  <c r="BP80" i="5"/>
  <c r="BP81" i="5" s="1"/>
  <c r="BP129" i="5"/>
  <c r="BP146" i="5" s="1"/>
  <c r="BO130" i="5"/>
  <c r="BO147" i="5" s="1"/>
  <c r="BO129" i="5"/>
  <c r="BO146" i="5" s="1"/>
  <c r="BN130" i="5"/>
  <c r="BN147" i="5" s="1"/>
  <c r="BN129" i="5"/>
  <c r="BN146" i="5" s="1"/>
  <c r="BM130" i="5"/>
  <c r="BM147" i="5" s="1"/>
  <c r="BM80" i="5"/>
  <c r="BM81" i="5" s="1"/>
  <c r="BM129" i="5"/>
  <c r="BM146" i="5" s="1"/>
  <c r="BL130" i="5"/>
  <c r="BL129" i="5"/>
  <c r="BL80" i="5"/>
  <c r="BL81" i="5" s="1"/>
  <c r="BK129" i="5"/>
  <c r="BK146" i="5" s="1"/>
  <c r="BI130" i="5"/>
  <c r="BI147" i="5" s="1"/>
  <c r="BI129" i="5"/>
  <c r="BI146" i="5" s="1"/>
  <c r="BH129" i="5"/>
  <c r="BH146" i="5" s="1"/>
  <c r="BG130" i="5"/>
  <c r="BG129" i="5"/>
  <c r="BF130" i="5"/>
  <c r="BF147" i="5" s="1"/>
  <c r="BF129" i="5"/>
  <c r="BF146" i="5" s="1"/>
  <c r="BF80" i="5"/>
  <c r="BF81" i="5" s="1"/>
  <c r="BE129" i="5"/>
  <c r="BE146" i="5" s="1"/>
  <c r="BD129" i="5"/>
  <c r="BD146" i="5" s="1"/>
  <c r="BC129" i="5"/>
  <c r="BC146" i="5" s="1"/>
  <c r="BB130" i="5"/>
  <c r="BB80" i="5"/>
  <c r="BB81" i="5" s="1"/>
  <c r="BA129" i="5"/>
  <c r="BA146" i="5" s="1"/>
  <c r="BA130" i="5"/>
  <c r="BA147" i="5" s="1"/>
  <c r="BA80" i="5"/>
  <c r="BA81" i="5" s="1"/>
  <c r="AZ129" i="5"/>
  <c r="AZ146" i="5" s="1"/>
  <c r="AZ130" i="5"/>
  <c r="AZ147" i="5" s="1"/>
  <c r="AY129" i="5"/>
  <c r="AY146" i="5" s="1"/>
  <c r="AY130" i="5"/>
  <c r="AY147" i="5" s="1"/>
  <c r="AX129" i="5"/>
  <c r="AX146" i="5" s="1"/>
  <c r="AX130" i="5"/>
  <c r="AX147" i="5" s="1"/>
  <c r="AX80" i="5"/>
  <c r="AX81" i="5" s="1"/>
  <c r="AW130" i="5"/>
  <c r="AW129" i="5"/>
  <c r="AS128" i="5"/>
  <c r="AS129" i="5" s="1"/>
  <c r="BJ81" i="5"/>
  <c r="E74" i="3"/>
  <c r="F74" i="3"/>
  <c r="G74" i="3"/>
  <c r="H74" i="3"/>
  <c r="I74" i="3"/>
  <c r="J74" i="3"/>
  <c r="K74" i="3"/>
  <c r="L74" i="3"/>
  <c r="M74" i="3"/>
  <c r="N74" i="3"/>
  <c r="O74" i="3"/>
  <c r="P74" i="3"/>
  <c r="Q74" i="3"/>
  <c r="R74" i="3"/>
  <c r="S74" i="3"/>
  <c r="T74" i="3"/>
  <c r="U74" i="3"/>
  <c r="V74" i="3"/>
  <c r="W74" i="3"/>
  <c r="X74" i="3"/>
  <c r="Y74" i="3"/>
  <c r="Z74" i="3"/>
  <c r="AA74" i="3"/>
  <c r="AB74" i="3"/>
  <c r="AC74" i="3"/>
  <c r="AD74" i="3"/>
  <c r="AE74" i="3"/>
  <c r="AF74" i="3"/>
  <c r="AG74" i="3"/>
  <c r="AH74" i="3"/>
  <c r="W39" i="19" l="1"/>
  <c r="V38" i="19"/>
  <c r="E75" i="3"/>
  <c r="E76" i="3" s="1"/>
  <c r="BZ80" i="5"/>
  <c r="BZ81" i="5" s="1"/>
  <c r="BN80" i="5"/>
  <c r="BN81" i="5" s="1"/>
  <c r="BG80" i="5"/>
  <c r="BG81" i="5" s="1"/>
  <c r="AZ80" i="5"/>
  <c r="AZ81" i="5" s="1"/>
  <c r="AW80" i="5"/>
  <c r="AW81" i="5" s="1"/>
  <c r="BV80" i="5"/>
  <c r="BV81" i="5" s="1"/>
  <c r="BO80" i="5"/>
  <c r="BO81" i="5" s="1"/>
  <c r="BI80" i="5"/>
  <c r="BI81" i="5" s="1"/>
  <c r="CA130" i="5"/>
  <c r="CA147" i="5" s="1"/>
  <c r="CA80" i="5"/>
  <c r="CA81" i="5" s="1"/>
  <c r="BY130" i="5"/>
  <c r="BY147" i="5" s="1"/>
  <c r="BY80" i="5"/>
  <c r="BY81" i="5" s="1"/>
  <c r="BX130" i="5"/>
  <c r="BX147" i="5" s="1"/>
  <c r="BX80" i="5"/>
  <c r="BX81" i="5" s="1"/>
  <c r="BS80" i="5"/>
  <c r="BS81" i="5" s="1"/>
  <c r="BS130" i="5"/>
  <c r="BS147" i="5" s="1"/>
  <c r="BQ130" i="5"/>
  <c r="BQ80" i="5"/>
  <c r="BQ81" i="5" s="1"/>
  <c r="BK130" i="5"/>
  <c r="BK147" i="5" s="1"/>
  <c r="BK80" i="5"/>
  <c r="BK81" i="5" s="1"/>
  <c r="BH130" i="5"/>
  <c r="BH147" i="5" s="1"/>
  <c r="BH80" i="5"/>
  <c r="BH81" i="5" s="1"/>
  <c r="BE130" i="5"/>
  <c r="BE147" i="5" s="1"/>
  <c r="BE80" i="5"/>
  <c r="BE81" i="5" s="1"/>
  <c r="BD130" i="5"/>
  <c r="BD147" i="5" s="1"/>
  <c r="BD80" i="5"/>
  <c r="BD81" i="5" s="1"/>
  <c r="BC130" i="5"/>
  <c r="BC147" i="5" s="1"/>
  <c r="BC80" i="5"/>
  <c r="BC81" i="5" s="1"/>
  <c r="AY80" i="5"/>
  <c r="AY81" i="5" s="1"/>
  <c r="CA44" i="5"/>
  <c r="CA43" i="5"/>
  <c r="CA42" i="5"/>
  <c r="CA41" i="5"/>
  <c r="BV38" i="5"/>
  <c r="BV37" i="5"/>
  <c r="BV36" i="5"/>
  <c r="BQ38" i="5"/>
  <c r="BQ37" i="5"/>
  <c r="BQ36" i="5"/>
  <c r="BL38" i="5"/>
  <c r="BL37" i="5"/>
  <c r="BL36" i="5"/>
  <c r="BG38" i="5"/>
  <c r="BG37" i="5"/>
  <c r="BG36" i="5"/>
  <c r="BB38" i="5"/>
  <c r="BB37" i="5"/>
  <c r="BB36" i="5"/>
  <c r="AW38" i="5"/>
  <c r="AW37" i="5"/>
  <c r="AW36" i="5"/>
  <c r="BV35" i="5"/>
  <c r="BQ35" i="5"/>
  <c r="BL35" i="5"/>
  <c r="BG35" i="5"/>
  <c r="BB35" i="5"/>
  <c r="AW35" i="5"/>
  <c r="BV34" i="5"/>
  <c r="BQ34" i="5"/>
  <c r="BL34" i="5"/>
  <c r="BG34" i="5"/>
  <c r="BB34" i="5"/>
  <c r="AW34" i="5"/>
  <c r="BV33" i="5"/>
  <c r="BQ33" i="5"/>
  <c r="BL33" i="5"/>
  <c r="BG33" i="5"/>
  <c r="BB33" i="5"/>
  <c r="AW33" i="5"/>
  <c r="W38" i="19" l="1"/>
  <c r="BB57" i="5"/>
  <c r="BB143" i="5" s="1"/>
  <c r="BB93" i="5"/>
  <c r="BB109" i="5" s="1"/>
  <c r="BB59" i="5"/>
  <c r="BB145" i="5" s="1"/>
  <c r="BB95" i="5"/>
  <c r="BB111" i="5" s="1"/>
  <c r="BB60" i="5"/>
  <c r="BB146" i="5" s="1"/>
  <c r="BB96" i="5"/>
  <c r="BB112" i="5" s="1"/>
  <c r="BV60" i="5"/>
  <c r="BV146" i="5" s="1"/>
  <c r="BV96" i="5"/>
  <c r="BV112" i="5" s="1"/>
  <c r="AW58" i="5"/>
  <c r="AW144" i="5" s="1"/>
  <c r="AW94" i="5"/>
  <c r="AW110" i="5" s="1"/>
  <c r="BQ58" i="5"/>
  <c r="BQ144" i="5" s="1"/>
  <c r="BQ94" i="5"/>
  <c r="BQ110" i="5" s="1"/>
  <c r="BG59" i="5"/>
  <c r="BG145" i="5" s="1"/>
  <c r="BG95" i="5"/>
  <c r="BG111" i="5" s="1"/>
  <c r="AW60" i="5"/>
  <c r="AW146" i="5" s="1"/>
  <c r="AW96" i="5"/>
  <c r="AW112" i="5" s="1"/>
  <c r="BB61" i="5"/>
  <c r="BB147" i="5" s="1"/>
  <c r="BB97" i="5"/>
  <c r="BB113" i="5" s="1"/>
  <c r="BG62" i="5"/>
  <c r="BG148" i="5" s="1"/>
  <c r="BG98" i="5"/>
  <c r="BG114" i="5" s="1"/>
  <c r="BQ60" i="5"/>
  <c r="BQ146" i="5" s="1"/>
  <c r="BQ96" i="5"/>
  <c r="BQ112" i="5" s="1"/>
  <c r="BV61" i="5"/>
  <c r="BV147" i="5" s="1"/>
  <c r="BV97" i="5"/>
  <c r="BV113" i="5" s="1"/>
  <c r="BV57" i="5"/>
  <c r="BV143" i="5" s="1"/>
  <c r="BV93" i="5"/>
  <c r="BV109" i="5" s="1"/>
  <c r="BG61" i="5"/>
  <c r="BG147" i="5" s="1"/>
  <c r="BG97" i="5"/>
  <c r="BG113" i="5" s="1"/>
  <c r="BB58" i="5"/>
  <c r="BB144" i="5" s="1"/>
  <c r="BB94" i="5"/>
  <c r="BB110" i="5" s="1"/>
  <c r="BV58" i="5"/>
  <c r="BV144" i="5" s="1"/>
  <c r="BV94" i="5"/>
  <c r="BV110" i="5" s="1"/>
  <c r="BL59" i="5"/>
  <c r="BL145" i="5" s="1"/>
  <c r="BL95" i="5"/>
  <c r="BL111" i="5" s="1"/>
  <c r="AW61" i="5"/>
  <c r="AW147" i="5" s="1"/>
  <c r="AW97" i="5"/>
  <c r="AW113" i="5" s="1"/>
  <c r="BB62" i="5"/>
  <c r="BB148" i="5" s="1"/>
  <c r="BB98" i="5"/>
  <c r="BB114" i="5" s="1"/>
  <c r="BL60" i="5"/>
  <c r="BL146" i="5" s="1"/>
  <c r="BL96" i="5"/>
  <c r="BL112" i="5" s="1"/>
  <c r="BQ61" i="5"/>
  <c r="BQ97" i="5"/>
  <c r="BQ113" i="5" s="1"/>
  <c r="BV62" i="5"/>
  <c r="BV148" i="5" s="1"/>
  <c r="BV98" i="5"/>
  <c r="BV114" i="5" s="1"/>
  <c r="BL58" i="5"/>
  <c r="BL144" i="5" s="1"/>
  <c r="BL94" i="5"/>
  <c r="BL110" i="5" s="1"/>
  <c r="BV59" i="5"/>
  <c r="BV145" i="5" s="1"/>
  <c r="BV95" i="5"/>
  <c r="BV111" i="5" s="1"/>
  <c r="BL62" i="5"/>
  <c r="BL148" i="5" s="1"/>
  <c r="BL98" i="5"/>
  <c r="BL114" i="5" s="1"/>
  <c r="BG57" i="5"/>
  <c r="BG143" i="5" s="1"/>
  <c r="BG93" i="5"/>
  <c r="BG109" i="5" s="1"/>
  <c r="BL57" i="5"/>
  <c r="BL143" i="5" s="1"/>
  <c r="BL93" i="5"/>
  <c r="BL109" i="5" s="1"/>
  <c r="AW57" i="5"/>
  <c r="AW143" i="5" s="1"/>
  <c r="AW93" i="5"/>
  <c r="AW109" i="5" s="1"/>
  <c r="BQ57" i="5"/>
  <c r="BQ143" i="5" s="1"/>
  <c r="BQ93" i="5"/>
  <c r="BQ109" i="5" s="1"/>
  <c r="BG58" i="5"/>
  <c r="BG144" i="5" s="1"/>
  <c r="BG94" i="5"/>
  <c r="BG110" i="5" s="1"/>
  <c r="AW59" i="5"/>
  <c r="AW145" i="5" s="1"/>
  <c r="AW95" i="5"/>
  <c r="AW111" i="5" s="1"/>
  <c r="BQ59" i="5"/>
  <c r="BQ145" i="5" s="1"/>
  <c r="BQ95" i="5"/>
  <c r="BQ111" i="5" s="1"/>
  <c r="AW62" i="5"/>
  <c r="AW148" i="5" s="1"/>
  <c r="AW98" i="5"/>
  <c r="AW114" i="5" s="1"/>
  <c r="BG60" i="5"/>
  <c r="BG146" i="5" s="1"/>
  <c r="BG96" i="5"/>
  <c r="BG112" i="5" s="1"/>
  <c r="BL61" i="5"/>
  <c r="BL147" i="5" s="1"/>
  <c r="BL97" i="5"/>
  <c r="BL113" i="5" s="1"/>
  <c r="BQ62" i="5"/>
  <c r="BQ148" i="5" s="1"/>
  <c r="BQ98" i="5"/>
  <c r="BQ114" i="5" s="1"/>
  <c r="BQ147" i="5"/>
  <c r="BV30" i="5"/>
  <c r="BQ30" i="5"/>
  <c r="BL30" i="5"/>
  <c r="BG30" i="5"/>
  <c r="BB30" i="5"/>
  <c r="AW30" i="5"/>
  <c r="BV29" i="5"/>
  <c r="BQ29" i="5"/>
  <c r="BL29" i="5"/>
  <c r="BG29" i="5"/>
  <c r="BB29" i="5"/>
  <c r="AW29" i="5"/>
  <c r="BV28" i="5"/>
  <c r="BQ28" i="5"/>
  <c r="BL28" i="5"/>
  <c r="BG28" i="5"/>
  <c r="BB28" i="5"/>
  <c r="AW28" i="5"/>
  <c r="BV27" i="5"/>
  <c r="BQ27" i="5"/>
  <c r="BL27" i="5"/>
  <c r="BG27" i="5"/>
  <c r="BB27" i="5"/>
  <c r="AW27" i="5"/>
  <c r="AW87" i="5" s="1"/>
  <c r="AW103" i="5" s="1"/>
  <c r="BV26" i="5"/>
  <c r="BQ26" i="5"/>
  <c r="BL26" i="5"/>
  <c r="BG26" i="5"/>
  <c r="BB26" i="5"/>
  <c r="AW26" i="5"/>
  <c r="AW86" i="5" s="1"/>
  <c r="AW102" i="5" s="1"/>
  <c r="BV25" i="5"/>
  <c r="BV85" i="5" s="1"/>
  <c r="BV101" i="5" s="1"/>
  <c r="BQ25" i="5"/>
  <c r="BQ85" i="5" s="1"/>
  <c r="BQ101" i="5" s="1"/>
  <c r="BL25" i="5"/>
  <c r="BL85" i="5" s="1"/>
  <c r="BL101" i="5" s="1"/>
  <c r="BG25" i="5"/>
  <c r="BG85" i="5" s="1"/>
  <c r="BG101" i="5" s="1"/>
  <c r="BB25" i="5"/>
  <c r="BB85" i="5" s="1"/>
  <c r="BB101" i="5" s="1"/>
  <c r="Y39" i="19" l="1"/>
  <c r="BV51" i="5"/>
  <c r="BV137" i="5" s="1"/>
  <c r="BV87" i="5"/>
  <c r="BV103" i="5" s="1"/>
  <c r="BL54" i="5"/>
  <c r="BL140" i="5" s="1"/>
  <c r="BL90" i="5"/>
  <c r="BL106" i="5" s="1"/>
  <c r="BQ50" i="5"/>
  <c r="BQ136" i="5" s="1"/>
  <c r="BQ86" i="5"/>
  <c r="BQ102" i="5" s="1"/>
  <c r="BG53" i="5"/>
  <c r="BG139" i="5" s="1"/>
  <c r="BG89" i="5"/>
  <c r="BG105" i="5" s="1"/>
  <c r="BL50" i="5"/>
  <c r="BL136" i="5" s="1"/>
  <c r="BL86" i="5"/>
  <c r="BL102" i="5" s="1"/>
  <c r="BL52" i="5"/>
  <c r="BL138" i="5" s="1"/>
  <c r="BL88" i="5"/>
  <c r="BL104" i="5" s="1"/>
  <c r="BV53" i="5"/>
  <c r="BV139" i="5" s="1"/>
  <c r="BV89" i="5"/>
  <c r="BV105" i="5" s="1"/>
  <c r="BG51" i="5"/>
  <c r="BG137" i="5" s="1"/>
  <c r="BG87" i="5"/>
  <c r="BG103" i="5" s="1"/>
  <c r="BQ52" i="5"/>
  <c r="BQ138" i="5" s="1"/>
  <c r="BQ88" i="5"/>
  <c r="BQ104" i="5" s="1"/>
  <c r="AW54" i="5"/>
  <c r="AW140" i="5" s="1"/>
  <c r="AW90" i="5"/>
  <c r="AW106" i="5" s="1"/>
  <c r="BQ54" i="5"/>
  <c r="BQ140" i="5" s="1"/>
  <c r="BQ90" i="5"/>
  <c r="BQ106" i="5" s="1"/>
  <c r="BB50" i="5"/>
  <c r="BB136" i="5" s="1"/>
  <c r="BB86" i="5"/>
  <c r="BB102" i="5" s="1"/>
  <c r="BV50" i="5"/>
  <c r="BV136" i="5" s="1"/>
  <c r="BV86" i="5"/>
  <c r="BV102" i="5" s="1"/>
  <c r="BL51" i="5"/>
  <c r="BL137" i="5" s="1"/>
  <c r="BL87" i="5"/>
  <c r="BL103" i="5" s="1"/>
  <c r="BB52" i="5"/>
  <c r="BB138" i="5" s="1"/>
  <c r="BB88" i="5"/>
  <c r="BB104" i="5" s="1"/>
  <c r="BV52" i="5"/>
  <c r="BV138" i="5" s="1"/>
  <c r="BV88" i="5"/>
  <c r="BV104" i="5" s="1"/>
  <c r="BL53" i="5"/>
  <c r="BL139" i="5" s="1"/>
  <c r="BL89" i="5"/>
  <c r="BL105" i="5" s="1"/>
  <c r="BB54" i="5"/>
  <c r="BB140" i="5" s="1"/>
  <c r="BB90" i="5"/>
  <c r="BB106" i="5" s="1"/>
  <c r="BV54" i="5"/>
  <c r="BV140" i="5" s="1"/>
  <c r="BV90" i="5"/>
  <c r="BV106" i="5" s="1"/>
  <c r="BB51" i="5"/>
  <c r="BB137" i="5" s="1"/>
  <c r="BB87" i="5"/>
  <c r="BB103" i="5" s="1"/>
  <c r="BB53" i="5"/>
  <c r="BB139" i="5" s="1"/>
  <c r="BB89" i="5"/>
  <c r="BB105" i="5" s="1"/>
  <c r="AW52" i="5"/>
  <c r="AW138" i="5" s="1"/>
  <c r="AW88" i="5"/>
  <c r="AW104" i="5" s="1"/>
  <c r="BG50" i="5"/>
  <c r="BG136" i="5" s="1"/>
  <c r="BG86" i="5"/>
  <c r="BG102" i="5" s="1"/>
  <c r="BQ51" i="5"/>
  <c r="BQ137" i="5" s="1"/>
  <c r="BQ87" i="5"/>
  <c r="BQ103" i="5" s="1"/>
  <c r="BG52" i="5"/>
  <c r="BG138" i="5" s="1"/>
  <c r="BG88" i="5"/>
  <c r="BG104" i="5" s="1"/>
  <c r="AW53" i="5"/>
  <c r="AW139" i="5" s="1"/>
  <c r="AW89" i="5"/>
  <c r="AW105" i="5" s="1"/>
  <c r="BQ53" i="5"/>
  <c r="BQ139" i="5" s="1"/>
  <c r="BQ89" i="5"/>
  <c r="BQ105" i="5" s="1"/>
  <c r="BG54" i="5"/>
  <c r="BG140" i="5" s="1"/>
  <c r="BG90" i="5"/>
  <c r="BG106" i="5" s="1"/>
  <c r="AW51" i="5"/>
  <c r="AW137" i="5" s="1"/>
  <c r="AW40" i="5"/>
  <c r="BV39" i="5"/>
  <c r="BV49" i="5"/>
  <c r="BV135" i="5" s="1"/>
  <c r="BQ39" i="5"/>
  <c r="BQ49" i="5"/>
  <c r="BQ135" i="5" s="1"/>
  <c r="BB39" i="5"/>
  <c r="BB49" i="5"/>
  <c r="BB135" i="5" s="1"/>
  <c r="AW39" i="5"/>
  <c r="AW50" i="5"/>
  <c r="AW136" i="5" s="1"/>
  <c r="BG39" i="5"/>
  <c r="BG49" i="5"/>
  <c r="BG135" i="5" s="1"/>
  <c r="BL39" i="5"/>
  <c r="BL49" i="5"/>
  <c r="BL135" i="5" s="1"/>
  <c r="ED24" i="5"/>
  <c r="ED25" i="5"/>
  <c r="ED26" i="5"/>
  <c r="ED27" i="5"/>
  <c r="ED28" i="5"/>
  <c r="ED29" i="5"/>
  <c r="ED30" i="5"/>
  <c r="ED31" i="5"/>
  <c r="ED32" i="5"/>
  <c r="ED33" i="5"/>
  <c r="ED34" i="5"/>
  <c r="ED35" i="5"/>
  <c r="ED36" i="5"/>
  <c r="ED37" i="5"/>
  <c r="ED38" i="5"/>
  <c r="ED39" i="5"/>
  <c r="CK39" i="5"/>
  <c r="CK38" i="5"/>
  <c r="CK37" i="5"/>
  <c r="CK36" i="5"/>
  <c r="CK35" i="5"/>
  <c r="CK34" i="5"/>
  <c r="CK33" i="5"/>
  <c r="CK32" i="5"/>
  <c r="CK31" i="5"/>
  <c r="CK30" i="5"/>
  <c r="CK29" i="5"/>
  <c r="CK28" i="5"/>
  <c r="Z39" i="19" l="1"/>
  <c r="BI96" i="6"/>
  <c r="BJ96" i="6"/>
  <c r="BK96" i="6"/>
  <c r="BI97" i="6"/>
  <c r="BJ97" i="6"/>
  <c r="BK97" i="6"/>
  <c r="BH96" i="6"/>
  <c r="BH97" i="6"/>
  <c r="BI99" i="6"/>
  <c r="BJ99" i="6"/>
  <c r="BK99" i="6"/>
  <c r="BI100" i="6"/>
  <c r="BJ100" i="6"/>
  <c r="BK100" i="6"/>
  <c r="BI101" i="6"/>
  <c r="BJ101" i="6"/>
  <c r="BK101" i="6"/>
  <c r="BI98" i="6"/>
  <c r="BJ98" i="6"/>
  <c r="BK98" i="6"/>
  <c r="BH99" i="6"/>
  <c r="BH100" i="6"/>
  <c r="BH101" i="6"/>
  <c r="BH98" i="6"/>
  <c r="AA39" i="19" l="1"/>
  <c r="FN25" i="5"/>
  <c r="FN26" i="5"/>
  <c r="FN27" i="5"/>
  <c r="FN28" i="5"/>
  <c r="FN29" i="5"/>
  <c r="FN30" i="5"/>
  <c r="FN31" i="5"/>
  <c r="FN32" i="5"/>
  <c r="FN33" i="5"/>
  <c r="FN34" i="5"/>
  <c r="FN35" i="5"/>
  <c r="FN36" i="5"/>
  <c r="FN37" i="5"/>
  <c r="FN38" i="5"/>
  <c r="FN39" i="5"/>
  <c r="FN24" i="5"/>
  <c r="AB39" i="19" l="1"/>
  <c r="FM25" i="5"/>
  <c r="FM26" i="5"/>
  <c r="FM27" i="5"/>
  <c r="FM28" i="5"/>
  <c r="FM29" i="5"/>
  <c r="FM30" i="5"/>
  <c r="FM31" i="5"/>
  <c r="FM32" i="5"/>
  <c r="FM33" i="5"/>
  <c r="FM34" i="5"/>
  <c r="FM35" i="5"/>
  <c r="FM36" i="5"/>
  <c r="FM37" i="5"/>
  <c r="FM38" i="5"/>
  <c r="FM39" i="5"/>
  <c r="FM24" i="5"/>
  <c r="AC39" i="19" l="1"/>
  <c r="B36" i="5"/>
  <c r="AD39" i="19" l="1"/>
  <c r="AX18" i="9"/>
  <c r="AY18" i="9" s="1"/>
  <c r="AX17" i="9"/>
  <c r="AY17" i="9" s="1"/>
  <c r="AX16" i="9"/>
  <c r="AY16" i="9" s="1"/>
  <c r="AX15" i="9"/>
  <c r="AY15" i="9" s="1"/>
  <c r="AE39" i="19" l="1"/>
  <c r="EP42" i="5"/>
  <c r="EQ42" i="5"/>
  <c r="ER42" i="5"/>
  <c r="ES42" i="5"/>
  <c r="ET42" i="5"/>
  <c r="EU42" i="5"/>
  <c r="EV42" i="5"/>
  <c r="EW42" i="5"/>
  <c r="EX42" i="5"/>
  <c r="EY42" i="5"/>
  <c r="EZ42" i="5"/>
  <c r="FA42" i="5"/>
  <c r="FB42" i="5"/>
  <c r="FC42" i="5"/>
  <c r="FD42" i="5"/>
  <c r="FE42" i="5"/>
  <c r="FF42" i="5"/>
  <c r="FG42" i="5"/>
  <c r="FH42" i="5"/>
  <c r="FI42" i="5"/>
  <c r="EP43" i="5"/>
  <c r="EQ43" i="5"/>
  <c r="ER43" i="5"/>
  <c r="ES43" i="5"/>
  <c r="ET43" i="5"/>
  <c r="EU43" i="5"/>
  <c r="EV43" i="5"/>
  <c r="EW43" i="5"/>
  <c r="EX43" i="5"/>
  <c r="EY43" i="5"/>
  <c r="EZ43" i="5"/>
  <c r="FA43" i="5"/>
  <c r="FB43" i="5"/>
  <c r="FC43" i="5"/>
  <c r="FD43" i="5"/>
  <c r="FE43" i="5"/>
  <c r="FF43" i="5"/>
  <c r="FG43" i="5"/>
  <c r="FH43" i="5"/>
  <c r="FI43" i="5"/>
  <c r="EP44" i="5"/>
  <c r="EQ44" i="5"/>
  <c r="ER44" i="5"/>
  <c r="ES44" i="5"/>
  <c r="ET44" i="5"/>
  <c r="EU44" i="5"/>
  <c r="EV44" i="5"/>
  <c r="EW44" i="5"/>
  <c r="EX44" i="5"/>
  <c r="EY44" i="5"/>
  <c r="EZ44" i="5"/>
  <c r="FA44" i="5"/>
  <c r="FB44" i="5"/>
  <c r="FC44" i="5"/>
  <c r="FD44" i="5"/>
  <c r="FE44" i="5"/>
  <c r="FF44" i="5"/>
  <c r="FG44" i="5"/>
  <c r="FH44" i="5"/>
  <c r="FI44" i="5"/>
  <c r="EP45" i="5"/>
  <c r="EQ45" i="5"/>
  <c r="ER45" i="5"/>
  <c r="ES45" i="5"/>
  <c r="ET45" i="5"/>
  <c r="EU45" i="5"/>
  <c r="EV45" i="5"/>
  <c r="EW45" i="5"/>
  <c r="EX45" i="5"/>
  <c r="EY45" i="5"/>
  <c r="EZ45" i="5"/>
  <c r="FA45" i="5"/>
  <c r="FB45" i="5"/>
  <c r="FC45" i="5"/>
  <c r="FD45" i="5"/>
  <c r="FE45" i="5"/>
  <c r="FF45" i="5"/>
  <c r="FG45" i="5"/>
  <c r="FH45" i="5"/>
  <c r="FI45" i="5"/>
  <c r="EP46" i="5"/>
  <c r="EQ46" i="5"/>
  <c r="ER46" i="5"/>
  <c r="ES46" i="5"/>
  <c r="ET46" i="5"/>
  <c r="EU46" i="5"/>
  <c r="EV46" i="5"/>
  <c r="EW46" i="5"/>
  <c r="EX46" i="5"/>
  <c r="EY46" i="5"/>
  <c r="EZ46" i="5"/>
  <c r="FA46" i="5"/>
  <c r="FB46" i="5"/>
  <c r="FC46" i="5"/>
  <c r="FD46" i="5"/>
  <c r="FE46" i="5"/>
  <c r="FF46" i="5"/>
  <c r="FG46" i="5"/>
  <c r="FH46" i="5"/>
  <c r="FI46" i="5"/>
  <c r="EP47" i="5"/>
  <c r="EQ47" i="5"/>
  <c r="ER47" i="5"/>
  <c r="ES47" i="5"/>
  <c r="ET47" i="5"/>
  <c r="EU47" i="5"/>
  <c r="EV47" i="5"/>
  <c r="EW47" i="5"/>
  <c r="EX47" i="5"/>
  <c r="EY47" i="5"/>
  <c r="EZ47" i="5"/>
  <c r="FA47" i="5"/>
  <c r="FB47" i="5"/>
  <c r="FC47" i="5"/>
  <c r="FD47" i="5"/>
  <c r="FE47" i="5"/>
  <c r="FF47" i="5"/>
  <c r="FG47" i="5"/>
  <c r="FH47" i="5"/>
  <c r="FI47" i="5"/>
  <c r="EP48" i="5"/>
  <c r="EQ48" i="5"/>
  <c r="ER48" i="5"/>
  <c r="ES48" i="5"/>
  <c r="ET48" i="5"/>
  <c r="EU48" i="5"/>
  <c r="EV48" i="5"/>
  <c r="EW48" i="5"/>
  <c r="EX48" i="5"/>
  <c r="EY48" i="5"/>
  <c r="EZ48" i="5"/>
  <c r="FA48" i="5"/>
  <c r="FB48" i="5"/>
  <c r="FC48" i="5"/>
  <c r="FD48" i="5"/>
  <c r="FE48" i="5"/>
  <c r="FF48" i="5"/>
  <c r="FG48" i="5"/>
  <c r="FH48" i="5"/>
  <c r="FI48" i="5"/>
  <c r="EP49" i="5"/>
  <c r="EQ49" i="5"/>
  <c r="ER49" i="5"/>
  <c r="ES49" i="5"/>
  <c r="ET49" i="5"/>
  <c r="EU49" i="5"/>
  <c r="EV49" i="5"/>
  <c r="EW49" i="5"/>
  <c r="EX49" i="5"/>
  <c r="EY49" i="5"/>
  <c r="EZ49" i="5"/>
  <c r="FA49" i="5"/>
  <c r="FB49" i="5"/>
  <c r="FC49" i="5"/>
  <c r="FD49" i="5"/>
  <c r="FE49" i="5"/>
  <c r="FF49" i="5"/>
  <c r="FG49" i="5"/>
  <c r="FH49" i="5"/>
  <c r="FI49" i="5"/>
  <c r="EP50" i="5"/>
  <c r="EQ50" i="5"/>
  <c r="ER50" i="5"/>
  <c r="ES50" i="5"/>
  <c r="ET50" i="5"/>
  <c r="EU50" i="5"/>
  <c r="EV50" i="5"/>
  <c r="EW50" i="5"/>
  <c r="EX50" i="5"/>
  <c r="EY50" i="5"/>
  <c r="EZ50" i="5"/>
  <c r="FA50" i="5"/>
  <c r="FB50" i="5"/>
  <c r="FC50" i="5"/>
  <c r="FD50" i="5"/>
  <c r="FE50" i="5"/>
  <c r="FF50" i="5"/>
  <c r="FG50" i="5"/>
  <c r="FH50" i="5"/>
  <c r="FI50" i="5"/>
  <c r="EP51" i="5"/>
  <c r="EQ51" i="5"/>
  <c r="ER51" i="5"/>
  <c r="ES51" i="5"/>
  <c r="ET51" i="5"/>
  <c r="EU51" i="5"/>
  <c r="EV51" i="5"/>
  <c r="EW51" i="5"/>
  <c r="EX51" i="5"/>
  <c r="EY51" i="5"/>
  <c r="EZ51" i="5"/>
  <c r="FA51" i="5"/>
  <c r="FB51" i="5"/>
  <c r="FC51" i="5"/>
  <c r="FD51" i="5"/>
  <c r="FE51" i="5"/>
  <c r="FF51" i="5"/>
  <c r="FG51" i="5"/>
  <c r="FH51" i="5"/>
  <c r="FI51" i="5"/>
  <c r="EP52" i="5"/>
  <c r="EQ52" i="5"/>
  <c r="ER52" i="5"/>
  <c r="ES52" i="5"/>
  <c r="ET52" i="5"/>
  <c r="EU52" i="5"/>
  <c r="EV52" i="5"/>
  <c r="EW52" i="5"/>
  <c r="EX52" i="5"/>
  <c r="EY52" i="5"/>
  <c r="EZ52" i="5"/>
  <c r="FA52" i="5"/>
  <c r="FB52" i="5"/>
  <c r="FC52" i="5"/>
  <c r="FD52" i="5"/>
  <c r="FE52" i="5"/>
  <c r="FF52" i="5"/>
  <c r="FG52" i="5"/>
  <c r="FH52" i="5"/>
  <c r="FI52" i="5"/>
  <c r="EP53" i="5"/>
  <c r="EQ53" i="5"/>
  <c r="ER53" i="5"/>
  <c r="ES53" i="5"/>
  <c r="ET53" i="5"/>
  <c r="EU53" i="5"/>
  <c r="EV53" i="5"/>
  <c r="EW53" i="5"/>
  <c r="EX53" i="5"/>
  <c r="EY53" i="5"/>
  <c r="EZ53" i="5"/>
  <c r="FA53" i="5"/>
  <c r="FB53" i="5"/>
  <c r="FC53" i="5"/>
  <c r="FD53" i="5"/>
  <c r="FE53" i="5"/>
  <c r="FF53" i="5"/>
  <c r="FG53" i="5"/>
  <c r="FH53" i="5"/>
  <c r="FI53" i="5"/>
  <c r="EP54" i="5"/>
  <c r="EQ54" i="5"/>
  <c r="ER54" i="5"/>
  <c r="ES54" i="5"/>
  <c r="ET54" i="5"/>
  <c r="EU54" i="5"/>
  <c r="EV54" i="5"/>
  <c r="EW54" i="5"/>
  <c r="EX54" i="5"/>
  <c r="EY54" i="5"/>
  <c r="EZ54" i="5"/>
  <c r="FA54" i="5"/>
  <c r="FB54" i="5"/>
  <c r="FC54" i="5"/>
  <c r="FD54" i="5"/>
  <c r="FE54" i="5"/>
  <c r="FF54" i="5"/>
  <c r="FG54" i="5"/>
  <c r="FH54" i="5"/>
  <c r="FI54" i="5"/>
  <c r="EP55" i="5"/>
  <c r="EQ55" i="5"/>
  <c r="ER55" i="5"/>
  <c r="ES55" i="5"/>
  <c r="ET55" i="5"/>
  <c r="EU55" i="5"/>
  <c r="EV55" i="5"/>
  <c r="EW55" i="5"/>
  <c r="EX55" i="5"/>
  <c r="EY55" i="5"/>
  <c r="EZ55" i="5"/>
  <c r="FA55" i="5"/>
  <c r="FB55" i="5"/>
  <c r="FC55" i="5"/>
  <c r="FD55" i="5"/>
  <c r="FE55" i="5"/>
  <c r="FF55" i="5"/>
  <c r="FG55" i="5"/>
  <c r="FH55" i="5"/>
  <c r="FI55" i="5"/>
  <c r="EP56" i="5"/>
  <c r="EQ56" i="5"/>
  <c r="ER56" i="5"/>
  <c r="ES56" i="5"/>
  <c r="ET56" i="5"/>
  <c r="EU56" i="5"/>
  <c r="EV56" i="5"/>
  <c r="EW56" i="5"/>
  <c r="EX56" i="5"/>
  <c r="EY56" i="5"/>
  <c r="EZ56" i="5"/>
  <c r="FA56" i="5"/>
  <c r="FB56" i="5"/>
  <c r="FC56" i="5"/>
  <c r="FD56" i="5"/>
  <c r="FE56" i="5"/>
  <c r="FF56" i="5"/>
  <c r="FG56" i="5"/>
  <c r="FH56" i="5"/>
  <c r="FI56" i="5"/>
  <c r="EP57" i="5"/>
  <c r="EQ57" i="5"/>
  <c r="ER57" i="5"/>
  <c r="ES57" i="5"/>
  <c r="ET57" i="5"/>
  <c r="EU57" i="5"/>
  <c r="EV57" i="5"/>
  <c r="EW57" i="5"/>
  <c r="EX57" i="5"/>
  <c r="EY57" i="5"/>
  <c r="EZ57" i="5"/>
  <c r="FA57" i="5"/>
  <c r="FB57" i="5"/>
  <c r="FC57" i="5"/>
  <c r="FD57" i="5"/>
  <c r="FE57" i="5"/>
  <c r="FF57" i="5"/>
  <c r="FG57" i="5"/>
  <c r="FH57" i="5"/>
  <c r="FI57" i="5"/>
  <c r="EO43" i="5"/>
  <c r="EO44" i="5"/>
  <c r="EO45" i="5"/>
  <c r="EO46" i="5"/>
  <c r="EO47" i="5"/>
  <c r="EO48" i="5"/>
  <c r="EO49" i="5"/>
  <c r="EO50" i="5"/>
  <c r="EO51" i="5"/>
  <c r="EO52" i="5"/>
  <c r="EO53" i="5"/>
  <c r="EO54" i="5"/>
  <c r="EO55" i="5"/>
  <c r="EO56" i="5"/>
  <c r="EO57" i="5"/>
  <c r="EO42" i="5"/>
  <c r="ED57" i="5"/>
  <c r="ED56" i="5"/>
  <c r="ED55" i="5"/>
  <c r="ED54" i="5"/>
  <c r="ED53" i="5"/>
  <c r="ED52" i="5"/>
  <c r="ED51" i="5"/>
  <c r="ED50" i="5"/>
  <c r="ED49" i="5"/>
  <c r="ED48" i="5"/>
  <c r="ED47" i="5"/>
  <c r="ED46" i="5"/>
  <c r="ED45" i="5"/>
  <c r="ED44" i="5"/>
  <c r="ED43" i="5"/>
  <c r="ED42" i="5"/>
  <c r="AF39" i="19" l="1"/>
  <c r="AU84" i="6"/>
  <c r="AV84" i="6"/>
  <c r="AW84" i="6"/>
  <c r="AX84" i="6"/>
  <c r="AG39" i="19" l="1"/>
  <c r="BS83" i="6"/>
  <c r="BP83" i="6"/>
  <c r="BT83" i="6"/>
  <c r="BQ83" i="6"/>
  <c r="BR83" i="6"/>
  <c r="BK83" i="6"/>
  <c r="BO83" i="6"/>
  <c r="BL83" i="6"/>
  <c r="BM83" i="6"/>
  <c r="BN83" i="6"/>
  <c r="BG83" i="6"/>
  <c r="BH83" i="6"/>
  <c r="BI83" i="6"/>
  <c r="BF83" i="6"/>
  <c r="BJ83" i="6"/>
  <c r="BC83" i="6"/>
  <c r="AZ83" i="6"/>
  <c r="BD83" i="6"/>
  <c r="BA83" i="6"/>
  <c r="BE83" i="6"/>
  <c r="BB83" i="6"/>
  <c r="AH39" i="19" l="1"/>
  <c r="BM137" i="9"/>
  <c r="AV137" i="9"/>
  <c r="BM136" i="9"/>
  <c r="AV136" i="9"/>
  <c r="BM135" i="9"/>
  <c r="AV135" i="9"/>
  <c r="AV134" i="9"/>
  <c r="AV133" i="9"/>
  <c r="AV132" i="9"/>
  <c r="AV131" i="9"/>
  <c r="AV130" i="9"/>
  <c r="AV129" i="9"/>
  <c r="AI39" i="19" l="1"/>
  <c r="AU46" i="8"/>
  <c r="AT46" i="8"/>
  <c r="AV40" i="8"/>
  <c r="B37" i="8"/>
  <c r="AV30" i="8"/>
  <c r="B10" i="8"/>
  <c r="B43" i="6"/>
  <c r="B10" i="6"/>
  <c r="B73" i="5"/>
  <c r="B52" i="5"/>
  <c r="B31" i="5"/>
  <c r="AU40" i="4"/>
  <c r="B33" i="4"/>
  <c r="B32" i="4"/>
  <c r="B31" i="4"/>
  <c r="AU20" i="4"/>
  <c r="B33" i="3"/>
  <c r="B32" i="3"/>
  <c r="B31" i="3"/>
  <c r="AE67" i="3"/>
  <c r="AE73" i="3"/>
  <c r="AU60" i="4"/>
  <c r="AE68" i="3" l="1"/>
  <c r="C23" i="15"/>
  <c r="C28" i="15"/>
  <c r="E43" i="14" l="1"/>
  <c r="O42" i="14" l="1"/>
  <c r="G42" i="14" s="1"/>
  <c r="O39" i="14" l="1"/>
  <c r="G39" i="14" s="1"/>
  <c r="O38" i="14" l="1"/>
  <c r="G38" i="14" s="1"/>
  <c r="O37" i="14"/>
  <c r="G37" i="14" s="1"/>
  <c r="O36" i="14" l="1"/>
  <c r="G36" i="14" s="1"/>
  <c r="O34" i="14"/>
  <c r="G34" i="14" s="1"/>
  <c r="O33" i="14"/>
  <c r="G33" i="14" s="1"/>
  <c r="O32" i="14" l="1"/>
  <c r="G32" i="14" s="1"/>
  <c r="O31" i="14"/>
  <c r="G31" i="14" l="1"/>
  <c r="L119" i="11" l="1"/>
  <c r="AB27" i="9" l="1"/>
  <c r="M27" i="9"/>
  <c r="AB6" i="9"/>
  <c r="W6" i="9"/>
  <c r="R6" i="9"/>
  <c r="M6" i="9"/>
  <c r="D11" i="14" l="1"/>
  <c r="AU64" i="4"/>
  <c r="AU56" i="4"/>
  <c r="AU52" i="4"/>
  <c r="AU48" i="4"/>
  <c r="AU44" i="4"/>
  <c r="AU36" i="4"/>
  <c r="AU32" i="4"/>
  <c r="AU28" i="4"/>
  <c r="AU24" i="4"/>
  <c r="AU16" i="4"/>
  <c r="AU12" i="4"/>
  <c r="AV45" i="8" l="1"/>
  <c r="AV44" i="8"/>
  <c r="AV43" i="8"/>
  <c r="AV42" i="8"/>
  <c r="AV41" i="8"/>
  <c r="AV39" i="8"/>
  <c r="AV38" i="8"/>
  <c r="AV37" i="8"/>
  <c r="AV36" i="8"/>
  <c r="AV35" i="8"/>
  <c r="AV34" i="8"/>
  <c r="AV33" i="8"/>
  <c r="AV32" i="8"/>
  <c r="AV31" i="8"/>
  <c r="AU8" i="4" l="1"/>
  <c r="AU4" i="4"/>
  <c r="AU67" i="4" l="1"/>
  <c r="W3" i="9"/>
  <c r="AV20" i="4" l="1"/>
  <c r="AV40" i="4"/>
  <c r="AV60" i="4"/>
  <c r="AV8" i="4"/>
  <c r="AV4" i="4"/>
  <c r="AV28" i="4"/>
  <c r="AV44" i="4"/>
  <c r="AV56" i="4"/>
  <c r="AV24" i="4"/>
  <c r="AV48" i="4"/>
  <c r="AV12" i="4"/>
  <c r="AV32" i="4"/>
  <c r="AV16" i="4"/>
  <c r="AV52" i="4"/>
  <c r="AV36" i="4"/>
  <c r="AV64" i="4"/>
  <c r="AB76" i="7" l="1"/>
  <c r="AA76" i="7"/>
  <c r="Z76" i="7"/>
  <c r="Y76" i="7"/>
  <c r="X76" i="7"/>
  <c r="W76" i="7"/>
  <c r="B135" i="11" l="1"/>
  <c r="B134" i="11"/>
  <c r="B133" i="11"/>
  <c r="B132" i="11"/>
  <c r="B131" i="11"/>
  <c r="B130" i="11"/>
  <c r="B129" i="11"/>
  <c r="B128" i="11"/>
  <c r="B127" i="11"/>
  <c r="B126" i="11"/>
  <c r="B125" i="11"/>
  <c r="B124" i="11"/>
  <c r="B123" i="11"/>
  <c r="B122" i="11"/>
  <c r="B121" i="11"/>
  <c r="B120" i="11"/>
  <c r="R119" i="11"/>
  <c r="Q119" i="11"/>
  <c r="P119" i="11"/>
  <c r="O119" i="11"/>
  <c r="N119" i="11"/>
  <c r="M119" i="11"/>
  <c r="K119" i="11"/>
  <c r="J119" i="11"/>
  <c r="I119" i="11"/>
  <c r="H119" i="11"/>
  <c r="G119" i="11"/>
  <c r="F119" i="11"/>
  <c r="E119" i="11"/>
  <c r="D119" i="11"/>
  <c r="C119" i="11"/>
  <c r="B114" i="11"/>
  <c r="B113" i="11"/>
  <c r="B112" i="11"/>
  <c r="B111" i="11"/>
  <c r="B110" i="11"/>
  <c r="B109" i="11"/>
  <c r="B108" i="11"/>
  <c r="B107" i="11"/>
  <c r="B106" i="11"/>
  <c r="B105" i="11"/>
  <c r="B104" i="11"/>
  <c r="B103" i="11"/>
  <c r="B102" i="11"/>
  <c r="B101" i="11"/>
  <c r="B100" i="11"/>
  <c r="B99" i="11"/>
  <c r="R98" i="11"/>
  <c r="Q98" i="11"/>
  <c r="P98" i="11"/>
  <c r="O98" i="11"/>
  <c r="N98" i="11"/>
  <c r="M98" i="11"/>
  <c r="L98" i="11"/>
  <c r="K98" i="11"/>
  <c r="J98" i="11"/>
  <c r="I98" i="11"/>
  <c r="H98" i="11"/>
  <c r="G98" i="11"/>
  <c r="F98" i="11"/>
  <c r="E98" i="11"/>
  <c r="D98" i="11"/>
  <c r="C98" i="11"/>
  <c r="B93" i="11"/>
  <c r="B92" i="11"/>
  <c r="B91" i="11"/>
  <c r="B90" i="11"/>
  <c r="B89" i="11"/>
  <c r="B88" i="11"/>
  <c r="B87" i="11"/>
  <c r="R86" i="11"/>
  <c r="Q86" i="11"/>
  <c r="P86" i="11"/>
  <c r="O86" i="11"/>
  <c r="N86" i="11"/>
  <c r="M86" i="11"/>
  <c r="L86" i="11"/>
  <c r="K86" i="11"/>
  <c r="J86" i="11"/>
  <c r="I86" i="11"/>
  <c r="H86" i="11"/>
  <c r="G86" i="11"/>
  <c r="F86" i="11"/>
  <c r="E86" i="11"/>
  <c r="D86" i="11"/>
  <c r="C86" i="11"/>
  <c r="B81" i="11"/>
  <c r="B80" i="11"/>
  <c r="B79" i="11"/>
  <c r="B78" i="11"/>
  <c r="B77" i="11"/>
  <c r="B76" i="11"/>
  <c r="B75" i="11"/>
  <c r="B74" i="11"/>
  <c r="B73" i="11"/>
  <c r="B72" i="11"/>
  <c r="B71" i="11"/>
  <c r="B70" i="11"/>
  <c r="B69" i="11"/>
  <c r="B68" i="11"/>
  <c r="B67" i="11"/>
  <c r="B66" i="11"/>
  <c r="R65" i="11"/>
  <c r="Q65" i="11"/>
  <c r="P65" i="11"/>
  <c r="O65" i="11"/>
  <c r="N65" i="11"/>
  <c r="M65" i="11"/>
  <c r="L65" i="11"/>
  <c r="K65" i="11"/>
  <c r="J65" i="11"/>
  <c r="I65" i="11"/>
  <c r="H65" i="11"/>
  <c r="G65" i="11"/>
  <c r="F65" i="11"/>
  <c r="E65" i="11"/>
  <c r="D65" i="11"/>
  <c r="C65" i="11"/>
  <c r="B60" i="11"/>
  <c r="B59" i="11"/>
  <c r="B58" i="11"/>
  <c r="B57" i="11"/>
  <c r="B56" i="11"/>
  <c r="B55" i="11"/>
  <c r="B54" i="11"/>
  <c r="B53" i="11"/>
  <c r="B52" i="11"/>
  <c r="B51" i="11"/>
  <c r="B50" i="11"/>
  <c r="B49" i="11"/>
  <c r="B48" i="11"/>
  <c r="B47" i="11"/>
  <c r="B46" i="11"/>
  <c r="B45" i="11"/>
  <c r="R44" i="11"/>
  <c r="Q44" i="11"/>
  <c r="P44" i="11"/>
  <c r="O44" i="11"/>
  <c r="N44" i="11"/>
  <c r="M44" i="11"/>
  <c r="L44" i="11"/>
  <c r="K44" i="11"/>
  <c r="J44" i="11"/>
  <c r="I44" i="11"/>
  <c r="H44" i="11"/>
  <c r="G44" i="11"/>
  <c r="F44" i="11"/>
  <c r="E44" i="11"/>
  <c r="D44" i="11"/>
  <c r="C44" i="11"/>
  <c r="B39" i="11"/>
  <c r="B38" i="11"/>
  <c r="B37" i="11"/>
  <c r="B36" i="11"/>
  <c r="B35" i="11"/>
  <c r="B34" i="11"/>
  <c r="B33" i="11"/>
  <c r="B32" i="11"/>
  <c r="B31" i="11"/>
  <c r="B30" i="11"/>
  <c r="B29" i="11"/>
  <c r="B28" i="11"/>
  <c r="B27" i="11"/>
  <c r="B26" i="11"/>
  <c r="B25" i="11"/>
  <c r="B24" i="11"/>
  <c r="R23" i="11"/>
  <c r="Q23" i="11"/>
  <c r="P23" i="11"/>
  <c r="O23" i="11"/>
  <c r="N23" i="11"/>
  <c r="M23" i="11"/>
  <c r="L23" i="11"/>
  <c r="K23" i="11"/>
  <c r="J23" i="11"/>
  <c r="I23" i="11"/>
  <c r="H23" i="11"/>
  <c r="G23" i="11"/>
  <c r="F23" i="11"/>
  <c r="E23" i="11"/>
  <c r="D23" i="11"/>
  <c r="C23" i="11"/>
  <c r="B18" i="11"/>
  <c r="B17" i="11"/>
  <c r="B16" i="11"/>
  <c r="B15" i="11"/>
  <c r="B14" i="11"/>
  <c r="B13" i="11"/>
  <c r="B12" i="11"/>
  <c r="B11" i="11"/>
  <c r="B10" i="11"/>
  <c r="B9" i="11"/>
  <c r="B8" i="11"/>
  <c r="B7" i="11"/>
  <c r="B6" i="11"/>
  <c r="B5" i="11"/>
  <c r="B4" i="11"/>
  <c r="B3" i="11"/>
  <c r="R2" i="11"/>
  <c r="Q2" i="11"/>
  <c r="P2" i="11"/>
  <c r="O2" i="11"/>
  <c r="N2" i="11"/>
  <c r="M2" i="11"/>
  <c r="L2" i="11"/>
  <c r="K2" i="11"/>
  <c r="J2" i="11"/>
  <c r="I2" i="11"/>
  <c r="H2" i="11"/>
  <c r="G2" i="11"/>
  <c r="F2" i="11"/>
  <c r="E2" i="11"/>
  <c r="D2" i="11"/>
  <c r="C2" i="11"/>
  <c r="B39" i="10"/>
  <c r="B38" i="10"/>
  <c r="B37" i="10"/>
  <c r="B36" i="10"/>
  <c r="B35" i="10"/>
  <c r="B34" i="10"/>
  <c r="B33" i="10"/>
  <c r="B32" i="10"/>
  <c r="B31" i="10"/>
  <c r="B30" i="10"/>
  <c r="B29" i="10"/>
  <c r="B28" i="10"/>
  <c r="B27" i="10"/>
  <c r="B26" i="10"/>
  <c r="B25" i="10"/>
  <c r="B24" i="10"/>
  <c r="B18" i="10"/>
  <c r="B17" i="10"/>
  <c r="B16" i="10"/>
  <c r="B15" i="10"/>
  <c r="B14" i="10"/>
  <c r="B13" i="10"/>
  <c r="B12" i="10"/>
  <c r="B11" i="10"/>
  <c r="B10" i="10"/>
  <c r="B9" i="10"/>
  <c r="B8" i="10"/>
  <c r="B7" i="10"/>
  <c r="B6" i="10"/>
  <c r="B5" i="10"/>
  <c r="B4" i="10"/>
  <c r="B3" i="10"/>
  <c r="B137" i="9"/>
  <c r="B136" i="9"/>
  <c r="B135" i="9"/>
  <c r="B134" i="9"/>
  <c r="B133" i="9"/>
  <c r="B132" i="9"/>
  <c r="B131" i="9"/>
  <c r="B130" i="9"/>
  <c r="B129" i="9"/>
  <c r="B123" i="9"/>
  <c r="B122" i="9"/>
  <c r="B121" i="9"/>
  <c r="B120" i="9"/>
  <c r="B119" i="9"/>
  <c r="B118" i="9"/>
  <c r="B117" i="9"/>
  <c r="B116" i="9"/>
  <c r="B115" i="9"/>
  <c r="B114" i="9"/>
  <c r="B113" i="9"/>
  <c r="B112" i="9"/>
  <c r="B111" i="9"/>
  <c r="B110" i="9"/>
  <c r="B109" i="9"/>
  <c r="B108" i="9"/>
  <c r="B102" i="9"/>
  <c r="B101" i="9"/>
  <c r="B100" i="9"/>
  <c r="B99" i="9"/>
  <c r="B98" i="9"/>
  <c r="B97" i="9"/>
  <c r="B96" i="9"/>
  <c r="B95" i="9"/>
  <c r="B94" i="9"/>
  <c r="B93" i="9"/>
  <c r="B92" i="9"/>
  <c r="B91" i="9"/>
  <c r="B90" i="9"/>
  <c r="B89" i="9"/>
  <c r="B88" i="9"/>
  <c r="B87" i="9"/>
  <c r="B81" i="9"/>
  <c r="B80" i="9"/>
  <c r="B79" i="9"/>
  <c r="B78" i="9"/>
  <c r="B77" i="9"/>
  <c r="B76" i="9"/>
  <c r="B75" i="9"/>
  <c r="B74" i="9"/>
  <c r="B73" i="9"/>
  <c r="B72" i="9"/>
  <c r="B71" i="9"/>
  <c r="B70" i="9"/>
  <c r="B69" i="9"/>
  <c r="B68" i="9"/>
  <c r="B67" i="9"/>
  <c r="B66" i="9"/>
  <c r="B60" i="9"/>
  <c r="B59" i="9"/>
  <c r="B58" i="9"/>
  <c r="B57" i="9"/>
  <c r="B56" i="9"/>
  <c r="B55" i="9"/>
  <c r="B54" i="9"/>
  <c r="B53" i="9"/>
  <c r="B52" i="9"/>
  <c r="B51" i="9"/>
  <c r="B50" i="9"/>
  <c r="B49" i="9"/>
  <c r="B48" i="9"/>
  <c r="B47" i="9"/>
  <c r="B46" i="9"/>
  <c r="B45" i="9"/>
  <c r="B39" i="9"/>
  <c r="B38" i="9"/>
  <c r="B37" i="9"/>
  <c r="B36" i="9"/>
  <c r="B35" i="9"/>
  <c r="B34" i="9"/>
  <c r="B33" i="9"/>
  <c r="B32" i="9"/>
  <c r="B31" i="9"/>
  <c r="B30" i="9"/>
  <c r="B29" i="9"/>
  <c r="B28" i="9"/>
  <c r="B26" i="9"/>
  <c r="B25" i="9"/>
  <c r="B24" i="9"/>
  <c r="B18" i="9"/>
  <c r="B17" i="9"/>
  <c r="B16" i="9"/>
  <c r="B15" i="9"/>
  <c r="B14" i="9"/>
  <c r="B13" i="9"/>
  <c r="B12" i="9"/>
  <c r="B11" i="9"/>
  <c r="B10" i="9"/>
  <c r="B9" i="9"/>
  <c r="B8" i="9"/>
  <c r="B7" i="9"/>
  <c r="B5" i="9"/>
  <c r="B4" i="9"/>
  <c r="B3" i="9"/>
  <c r="B45" i="8"/>
  <c r="B44" i="8"/>
  <c r="B43" i="8"/>
  <c r="B42" i="8"/>
  <c r="B41" i="8"/>
  <c r="B40" i="8"/>
  <c r="B39" i="8"/>
  <c r="B38" i="8"/>
  <c r="B36" i="8"/>
  <c r="B35" i="8"/>
  <c r="B34" i="8"/>
  <c r="B33" i="8"/>
  <c r="B32" i="8"/>
  <c r="B31" i="8"/>
  <c r="B30" i="8"/>
  <c r="B18" i="8"/>
  <c r="B17" i="8"/>
  <c r="B16" i="8"/>
  <c r="B15" i="8"/>
  <c r="B14" i="8"/>
  <c r="B13" i="8"/>
  <c r="B12" i="8"/>
  <c r="B11" i="8"/>
  <c r="B9" i="8"/>
  <c r="B8" i="8"/>
  <c r="B7" i="8"/>
  <c r="B6" i="8"/>
  <c r="B5" i="8"/>
  <c r="B4" i="8"/>
  <c r="B3" i="8"/>
  <c r="B90" i="6"/>
  <c r="B89" i="6"/>
  <c r="B88" i="6"/>
  <c r="B87" i="6"/>
  <c r="B86" i="6"/>
  <c r="B85" i="6"/>
  <c r="B84" i="6"/>
  <c r="B51" i="6"/>
  <c r="B50" i="6"/>
  <c r="B49" i="6"/>
  <c r="B48" i="6"/>
  <c r="B47" i="6"/>
  <c r="B46" i="6"/>
  <c r="B45" i="6"/>
  <c r="B44" i="6"/>
  <c r="B42" i="6"/>
  <c r="B41" i="6"/>
  <c r="B40" i="6"/>
  <c r="B39" i="6"/>
  <c r="B38" i="6"/>
  <c r="B37" i="6"/>
  <c r="B36" i="6"/>
  <c r="B18" i="6"/>
  <c r="B17" i="6"/>
  <c r="B16" i="6"/>
  <c r="B15" i="6"/>
  <c r="B14" i="6"/>
  <c r="B13" i="6"/>
  <c r="B12" i="6"/>
  <c r="B11" i="6"/>
  <c r="B9" i="6"/>
  <c r="B8" i="6"/>
  <c r="B7" i="6"/>
  <c r="B6" i="6"/>
  <c r="B5" i="6"/>
  <c r="B4" i="6"/>
  <c r="B3" i="6"/>
  <c r="B81" i="5"/>
  <c r="B80" i="5"/>
  <c r="B79" i="5"/>
  <c r="B78" i="5"/>
  <c r="B77" i="5"/>
  <c r="B76" i="5"/>
  <c r="B75" i="5"/>
  <c r="B74" i="5"/>
  <c r="B72" i="5"/>
  <c r="B71" i="5"/>
  <c r="B70" i="5"/>
  <c r="B69" i="5"/>
  <c r="B68" i="5"/>
  <c r="B67" i="5"/>
  <c r="B66" i="5"/>
  <c r="B60" i="5"/>
  <c r="B59" i="5"/>
  <c r="B58" i="5"/>
  <c r="B57" i="5"/>
  <c r="B56" i="5"/>
  <c r="B55" i="5"/>
  <c r="B54" i="5"/>
  <c r="B53" i="5"/>
  <c r="B51" i="5"/>
  <c r="B50" i="5"/>
  <c r="B49" i="5"/>
  <c r="B48" i="5"/>
  <c r="B47" i="5"/>
  <c r="B46" i="5"/>
  <c r="B45" i="5"/>
  <c r="B39" i="5"/>
  <c r="B38" i="5"/>
  <c r="B37" i="5"/>
  <c r="B35" i="5"/>
  <c r="B34" i="5"/>
  <c r="B33" i="5"/>
  <c r="B32" i="5"/>
  <c r="B30" i="5"/>
  <c r="B29" i="5"/>
  <c r="B28" i="5"/>
  <c r="B27" i="5"/>
  <c r="B26" i="5"/>
  <c r="B25" i="5"/>
  <c r="B24" i="5"/>
  <c r="B65" i="4"/>
  <c r="B64" i="4"/>
  <c r="B63" i="4"/>
  <c r="B61" i="4"/>
  <c r="B60" i="4"/>
  <c r="B59" i="4"/>
  <c r="B57" i="4"/>
  <c r="B56" i="4"/>
  <c r="B55" i="4"/>
  <c r="B53" i="4"/>
  <c r="B52" i="4"/>
  <c r="B51" i="4"/>
  <c r="B49" i="4"/>
  <c r="B48" i="4"/>
  <c r="B47" i="4"/>
  <c r="B45" i="4"/>
  <c r="B44" i="4"/>
  <c r="B43" i="4"/>
  <c r="B41" i="4"/>
  <c r="B40" i="4"/>
  <c r="B39" i="4"/>
  <c r="B37" i="4"/>
  <c r="B36" i="4"/>
  <c r="B35" i="4"/>
  <c r="B29" i="4"/>
  <c r="B28" i="4"/>
  <c r="B27" i="4"/>
  <c r="B25" i="4"/>
  <c r="B24" i="4"/>
  <c r="B23" i="4"/>
  <c r="B21" i="4"/>
  <c r="B20" i="4"/>
  <c r="B19" i="4"/>
  <c r="B17" i="4"/>
  <c r="B16" i="4"/>
  <c r="B15" i="4"/>
  <c r="B13" i="4"/>
  <c r="B12" i="4"/>
  <c r="B11" i="4"/>
  <c r="B9" i="4"/>
  <c r="B8" i="4"/>
  <c r="B7" i="4"/>
  <c r="B5" i="4"/>
  <c r="B4" i="4"/>
  <c r="B3" i="4"/>
  <c r="B65" i="3"/>
  <c r="B64" i="3"/>
  <c r="B63" i="3"/>
  <c r="B61" i="3"/>
  <c r="B60" i="3"/>
  <c r="B59" i="3"/>
  <c r="B57" i="3"/>
  <c r="B56" i="3"/>
  <c r="B55" i="3"/>
  <c r="B53" i="3"/>
  <c r="B52" i="3"/>
  <c r="B51" i="3"/>
  <c r="B49" i="3"/>
  <c r="B48" i="3"/>
  <c r="B47" i="3"/>
  <c r="B45" i="3"/>
  <c r="B44" i="3"/>
  <c r="B43" i="3"/>
  <c r="B41" i="3"/>
  <c r="B40" i="3"/>
  <c r="B39" i="3"/>
  <c r="B37" i="3"/>
  <c r="B36" i="3"/>
  <c r="B35"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Nisaa Wulan</author>
  </authors>
  <commentList>
    <comment ref="AG16" authorId="0" shapeId="0" xr:uid="{7DC52E29-C3F2-F544-8766-C93E28F6EE3D}">
      <text>
        <r>
          <rPr>
            <b/>
            <sz val="10"/>
            <color rgb="FF000000"/>
            <rFont val="Tahoma"/>
            <family val="2"/>
          </rPr>
          <t>Nisaa Wulan:</t>
        </r>
        <r>
          <rPr>
            <sz val="10"/>
            <color rgb="FF000000"/>
            <rFont val="Tahoma"/>
            <family val="2"/>
          </rPr>
          <t xml:space="preserve">
</t>
        </r>
        <r>
          <rPr>
            <sz val="10"/>
            <color rgb="FF000000"/>
            <rFont val="Calibri"/>
            <family val="2"/>
            <scheme val="minor"/>
          </rPr>
          <t xml:space="preserve">KP Atlas, 2017 national census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tc={03F11DD4-8E4E-4C34-8AB8-4C9C4E51BCEE}</author>
  </authors>
  <commentList>
    <comment ref="C79" authorId="0" shapeId="0" xr:uid="{03F11DD4-8E4E-4C34-8AB8-4C9C4E51BCEE}">
      <text>
        <t>[Threaded comment]
Your version of Excel allows you to read this threaded comment; however, any edits to it will get removed if the file is opened in a newer version of Excel. Learn more: https://go.microsoft.com/fwlink/?linkid=870924
Comment:
    Changed 03-08-2020 to 95%</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Sherrie Kelly</author>
  </authors>
  <commentList>
    <comment ref="H4" authorId="0" shapeId="0" xr:uid="{00000000-0006-0000-0C00-000001000000}">
      <text>
        <r>
          <rPr>
            <b/>
            <sz val="9"/>
            <color indexed="81"/>
            <rFont val="Tahoma"/>
            <family val="2"/>
          </rPr>
          <t>Sherrie Kelly:</t>
        </r>
        <r>
          <rPr>
            <sz val="9"/>
            <color indexed="81"/>
            <rFont val="Tahoma"/>
            <family val="2"/>
          </rPr>
          <t xml:space="preserve">
M&amp;E report, DRAFT</t>
        </r>
      </text>
    </comment>
    <comment ref="I5" authorId="0" shapeId="0" xr:uid="{00000000-0006-0000-0C00-000002000000}">
      <text>
        <r>
          <rPr>
            <sz val="9"/>
            <color indexed="81"/>
            <rFont val="Tahoma"/>
            <family val="2"/>
          </rPr>
          <t xml:space="preserve">asuumption
</t>
        </r>
      </text>
    </comment>
    <comment ref="J5" authorId="0" shapeId="0" xr:uid="{00000000-0006-0000-0C00-000003000000}">
      <text>
        <r>
          <rPr>
            <sz val="9"/>
            <color indexed="81"/>
            <rFont val="Tahoma"/>
            <family val="2"/>
          </rPr>
          <t>J Acquir Immune Defic Syndr. 2016 May 1;72(1):e1-8. doi: 10.1097/QAI.0000000000000920.
Implementation and Operational Research: Cohort Analysis of Program Data to Estimate HIV Incidence and Uptake of HIV-Related Services Among Female Sex Workers in Zimbabwe, 2009-2014.
Hargreaves JR1, Mtetwa S, Davey C, Dirawo J, Chidiya S, Benedikt C, Naperiela Mavedzenge S, Wong-Gruenwald R, Hanisch D, Magure T, Mugurungi O, Cowan FM.</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Sherrie Kelly</author>
  </authors>
  <commentList>
    <comment ref="E12" authorId="0" shapeId="0" xr:uid="{00000000-0006-0000-0E00-000001000000}">
      <text>
        <r>
          <rPr>
            <sz val="9"/>
            <color indexed="81"/>
            <rFont val="Tahoma"/>
            <family val="2"/>
          </rPr>
          <t>AIDSinfo</t>
        </r>
      </text>
    </comment>
    <comment ref="G12" authorId="0" shapeId="0" xr:uid="{00000000-0006-0000-0E00-000002000000}">
      <text>
        <r>
          <rPr>
            <sz val="9"/>
            <color indexed="81"/>
            <rFont val="Tahoma"/>
            <family val="2"/>
          </rPr>
          <t>AIDSinfo</t>
        </r>
      </text>
    </comment>
    <comment ref="E13" authorId="0" shapeId="0" xr:uid="{00000000-0006-0000-0E00-000003000000}">
      <text>
        <r>
          <rPr>
            <sz val="9"/>
            <color indexed="81"/>
            <rFont val="Tahoma"/>
            <family val="2"/>
          </rPr>
          <t>AIDSinfo</t>
        </r>
      </text>
    </comment>
    <comment ref="G13" authorId="0" shapeId="0" xr:uid="{00000000-0006-0000-0E00-000004000000}">
      <text>
        <r>
          <rPr>
            <sz val="9"/>
            <color indexed="81"/>
            <rFont val="Tahoma"/>
            <family val="2"/>
          </rPr>
          <t>AIDSinfo</t>
        </r>
      </text>
    </comment>
    <comment ref="E14" authorId="0" shapeId="0" xr:uid="{00000000-0006-0000-0E00-000005000000}">
      <text>
        <r>
          <rPr>
            <sz val="9"/>
            <color indexed="81"/>
            <rFont val="Tahoma"/>
            <family val="2"/>
          </rPr>
          <t>AIDSinfo</t>
        </r>
      </text>
    </comment>
    <comment ref="G14" authorId="0" shapeId="0" xr:uid="{00000000-0006-0000-0E00-000006000000}">
      <text>
        <r>
          <rPr>
            <sz val="9"/>
            <color indexed="81"/>
            <rFont val="Tahoma"/>
            <family val="2"/>
          </rPr>
          <t>AIDSinfo</t>
        </r>
      </text>
    </comment>
    <comment ref="E15" authorId="0" shapeId="0" xr:uid="{00000000-0006-0000-0E00-000007000000}">
      <text>
        <r>
          <rPr>
            <sz val="9"/>
            <color indexed="81"/>
            <rFont val="Tahoma"/>
            <family val="2"/>
          </rPr>
          <t>AIDSinfo</t>
        </r>
      </text>
    </comment>
    <comment ref="G15" authorId="0" shapeId="0" xr:uid="{00000000-0006-0000-0E00-000008000000}">
      <text>
        <r>
          <rPr>
            <sz val="9"/>
            <color indexed="81"/>
            <rFont val="Tahoma"/>
            <family val="2"/>
          </rPr>
          <t>AIDSinfo</t>
        </r>
      </text>
    </comment>
    <comment ref="E16" authorId="0" shapeId="0" xr:uid="{00000000-0006-0000-0E00-000009000000}">
      <text>
        <r>
          <rPr>
            <sz val="9"/>
            <color indexed="81"/>
            <rFont val="Tahoma"/>
            <family val="2"/>
          </rPr>
          <t>AIDSinfo</t>
        </r>
      </text>
    </comment>
    <comment ref="G16" authorId="0" shapeId="0" xr:uid="{00000000-0006-0000-0E00-00000A000000}">
      <text>
        <r>
          <rPr>
            <sz val="9"/>
            <color indexed="81"/>
            <rFont val="Tahoma"/>
            <family val="2"/>
          </rPr>
          <t>AIDSinfo</t>
        </r>
      </text>
    </comment>
    <comment ref="E17" authorId="0" shapeId="0" xr:uid="{00000000-0006-0000-0E00-00000B000000}">
      <text>
        <r>
          <rPr>
            <sz val="9"/>
            <color indexed="81"/>
            <rFont val="Tahoma"/>
            <family val="2"/>
          </rPr>
          <t>AIDSinfo</t>
        </r>
      </text>
    </comment>
    <comment ref="G17" authorId="0" shapeId="0" xr:uid="{00000000-0006-0000-0E00-00000C000000}">
      <text>
        <r>
          <rPr>
            <sz val="9"/>
            <color indexed="81"/>
            <rFont val="Tahoma"/>
            <family val="2"/>
          </rPr>
          <t>AIDSinfo</t>
        </r>
      </text>
    </comment>
    <comment ref="E18" authorId="0" shapeId="0" xr:uid="{00000000-0006-0000-0E00-00000D000000}">
      <text>
        <r>
          <rPr>
            <sz val="9"/>
            <color indexed="81"/>
            <rFont val="Tahoma"/>
            <family val="2"/>
          </rPr>
          <t>AIDSinfo</t>
        </r>
      </text>
    </comment>
    <comment ref="G18" authorId="0" shapeId="0" xr:uid="{00000000-0006-0000-0E00-00000E000000}">
      <text>
        <r>
          <rPr>
            <sz val="9"/>
            <color indexed="81"/>
            <rFont val="Tahoma"/>
            <family val="2"/>
          </rPr>
          <t>AIDSinfo</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Nisaa Wulan</author>
    <author>Anna Bowring</author>
    <author>tc={60511EFE-DE7C-437A-BE38-C3B9C2E240BB}</author>
    <author>tc={F57438DA-F0F7-4516-AC5A-D035638C0E42}</author>
    <author>tc={025B506D-3F9F-4ED6-B514-2AA63B4FAD5A}</author>
  </authors>
  <commentList>
    <comment ref="A1" authorId="0" shapeId="0" xr:uid="{2B240C2C-65FB-5B4F-9486-1ED43B5EBFAA}">
      <text>
        <r>
          <rPr>
            <b/>
            <sz val="10"/>
            <color rgb="FF000000"/>
            <rFont val="Tahoma"/>
            <family val="2"/>
          </rPr>
          <t>Nisaa Wulan:</t>
        </r>
        <r>
          <rPr>
            <sz val="10"/>
            <color rgb="FF000000"/>
            <rFont val="Tahoma"/>
            <family val="2"/>
          </rPr>
          <t xml:space="preserve">
</t>
        </r>
        <r>
          <rPr>
            <sz val="10"/>
            <color rgb="FF000000"/>
            <rFont val="Tahoma"/>
            <family val="2"/>
          </rPr>
          <t>Values are based on the databook of Zimbabwe_cost coverage_20190204 (except for the ones that are labelled differently)</t>
        </r>
      </text>
    </comment>
    <comment ref="W3" authorId="1" shapeId="0" xr:uid="{806AEFBF-CD2A-DA4A-93C9-0A22EF3700C0}">
      <text>
        <r>
          <rPr>
            <b/>
            <sz val="10"/>
            <color rgb="FF000000"/>
            <rFont val="Tahoma"/>
            <family val="2"/>
          </rPr>
          <t>Anna Bowring:</t>
        </r>
        <r>
          <rPr>
            <sz val="10"/>
            <color rgb="FF000000"/>
            <rFont val="Tahoma"/>
            <family val="2"/>
          </rPr>
          <t xml:space="preserve">
</t>
        </r>
        <r>
          <rPr>
            <sz val="10"/>
            <color rgb="FF000000"/>
            <rFont val="Tahoma"/>
            <family val="2"/>
          </rPr>
          <t>HTS total
COP20 pg 17</t>
        </r>
      </text>
    </comment>
    <comment ref="W8" authorId="1" shapeId="0" xr:uid="{F4806622-637D-2748-B8E7-1708C59F8501}">
      <text>
        <r>
          <rPr>
            <b/>
            <sz val="10"/>
            <color rgb="FF000000"/>
            <rFont val="Tahoma"/>
            <family val="2"/>
          </rPr>
          <t>Anna Bowring:</t>
        </r>
        <r>
          <rPr>
            <sz val="10"/>
            <color rgb="FF000000"/>
            <rFont val="Tahoma"/>
            <family val="2"/>
          </rPr>
          <t xml:space="preserve">
</t>
        </r>
        <r>
          <rPr>
            <sz val="10"/>
            <color rgb="FF000000"/>
            <rFont val="Tahoma"/>
            <family val="2"/>
          </rPr>
          <t xml:space="preserve">COP21
clinical + community base care, tx, support
</t>
        </r>
        <r>
          <rPr>
            <sz val="10"/>
            <color rgb="FF000000"/>
            <rFont val="Tahoma"/>
            <family val="2"/>
          </rPr>
          <t>pg 17</t>
        </r>
      </text>
    </comment>
    <comment ref="W33" authorId="1" shapeId="0" xr:uid="{1051A0FF-8162-5642-9B54-02A80D5FF345}">
      <text>
        <r>
          <rPr>
            <b/>
            <sz val="10"/>
            <color rgb="FF000000"/>
            <rFont val="Tahoma"/>
            <family val="2"/>
          </rPr>
          <t>Anna Bowring:</t>
        </r>
        <r>
          <rPr>
            <sz val="10"/>
            <color rgb="FF000000"/>
            <rFont val="Tahoma"/>
            <family val="2"/>
          </rPr>
          <t xml:space="preserve">
</t>
        </r>
        <r>
          <rPr>
            <sz val="10"/>
            <color rgb="FF000000"/>
            <rFont val="Tahoma"/>
            <family val="2"/>
          </rPr>
          <t>COP20 pg 17</t>
        </r>
      </text>
    </comment>
    <comment ref="U34" authorId="2" shapeId="0" xr:uid="{60511EFE-DE7C-437A-BE38-C3B9C2E240BB}">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V34" authorId="3" shapeId="0" xr:uid="{F57438DA-F0F7-4516-AC5A-D035638C0E42}">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W34" authorId="4" shapeId="0" xr:uid="{025B506D-3F9F-4ED6-B514-2AA63B4FAD5A}">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W68" authorId="1" shapeId="0" xr:uid="{8ABE1594-77C9-9D43-B8C5-0902D28EC335}">
      <text>
        <r>
          <rPr>
            <b/>
            <sz val="10"/>
            <color rgb="FF000000"/>
            <rFont val="Tahoma"/>
            <family val="2"/>
          </rPr>
          <t>Anna Bowring:</t>
        </r>
        <r>
          <rPr>
            <sz val="10"/>
            <color rgb="FF000000"/>
            <rFont val="Tahoma"/>
            <family val="2"/>
          </rPr>
          <t xml:space="preserve">
</t>
        </r>
        <r>
          <rPr>
            <sz val="10"/>
            <color rgb="FF000000"/>
            <rFont val="Tahoma"/>
            <family val="2"/>
          </rPr>
          <t>COP20 pg 17</t>
        </r>
      </text>
    </comment>
    <comment ref="U69" authorId="0" shapeId="0" xr:uid="{CD2FB6AA-7334-C84F-BD49-A5BA201CB587}">
      <text>
        <r>
          <rPr>
            <b/>
            <sz val="10"/>
            <color rgb="FF000000"/>
            <rFont val="Tahoma"/>
            <family val="2"/>
          </rPr>
          <t>Nisaa Wulan:</t>
        </r>
        <r>
          <rPr>
            <sz val="10"/>
            <color rgb="FF000000"/>
            <rFont val="Tahoma"/>
            <family val="2"/>
          </rPr>
          <t xml:space="preserve">
</t>
        </r>
        <r>
          <rPr>
            <sz val="10"/>
            <color rgb="FF000000"/>
            <rFont val="Tahoma"/>
            <family val="2"/>
          </rPr>
          <t>Was 1,434,438</t>
        </r>
      </text>
    </comment>
    <comment ref="W69" authorId="0" shapeId="0" xr:uid="{41374A3C-49E6-794E-BAE2-50F45EC4E540}">
      <text>
        <r>
          <rPr>
            <b/>
            <sz val="10"/>
            <color rgb="FF000000"/>
            <rFont val="Tahoma"/>
            <family val="2"/>
          </rPr>
          <t>Nisaa Wulan:</t>
        </r>
        <r>
          <rPr>
            <sz val="10"/>
            <color rgb="FF000000"/>
            <rFont val="Tahoma"/>
            <family val="2"/>
          </rPr>
          <t xml:space="preserve">
</t>
        </r>
        <r>
          <rPr>
            <sz val="10"/>
            <color rgb="FF000000"/>
            <rFont val="Tahoma"/>
            <family val="2"/>
          </rPr>
          <t>Was 321,085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Sherrie Kelly</author>
    <author>Nisaa Wulan</author>
    <author>Maria del Mar Quiroga</author>
  </authors>
  <commentList>
    <comment ref="AE4" authorId="0" shapeId="0" xr:uid="{00000000-0006-0000-0300-000001000000}">
      <text>
        <r>
          <rPr>
            <sz val="9"/>
            <color indexed="81"/>
            <rFont val="Tahoma"/>
            <family val="2"/>
          </rPr>
          <t xml:space="preserve">2018 GAM draft report
Source: CeSHHAR routine monitoring
</t>
        </r>
      </text>
    </comment>
    <comment ref="AG4" authorId="1" shapeId="0" xr:uid="{E72B73EF-F11E-EE45-9FA2-08EA9306DDDA}">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S8" authorId="0" shapeId="0" xr:uid="{AFA7F4FC-BB92-8F4E-919A-0E0C951F3B04}">
      <text>
        <r>
          <rPr>
            <sz val="9"/>
            <color rgb="FF000000"/>
            <rFont val="Tahoma"/>
            <family val="2"/>
          </rPr>
          <t xml:space="preserve">Value was 12.5%
</t>
        </r>
        <r>
          <rPr>
            <sz val="9"/>
            <color rgb="FF000000"/>
            <rFont val="Tahoma"/>
            <family val="2"/>
          </rPr>
          <t xml:space="preserve">Removed, low confidence
</t>
        </r>
        <r>
          <rPr>
            <sz val="9"/>
            <color rgb="FF000000"/>
            <rFont val="Tahoma"/>
            <family val="2"/>
          </rPr>
          <t xml:space="preserve">We may get values from CeSSHAR
</t>
        </r>
      </text>
    </comment>
    <comment ref="X8" authorId="0" shapeId="0" xr:uid="{A0DC6F44-E2DA-F54F-85D0-C5CB5F9A612F}">
      <text>
        <r>
          <rPr>
            <sz val="9"/>
            <color rgb="FF000000"/>
            <rFont val="Tahoma"/>
            <family val="2"/>
          </rPr>
          <t xml:space="preserve">Value was 13.4%
</t>
        </r>
        <r>
          <rPr>
            <sz val="9"/>
            <color rgb="FF000000"/>
            <rFont val="Tahoma"/>
            <family val="2"/>
          </rPr>
          <t xml:space="preserve">Removed, low confidence
</t>
        </r>
      </text>
    </comment>
    <comment ref="AC8" authorId="0" shapeId="0" xr:uid="{99A03DA1-E22B-3C42-A815-B8694178E95B}">
      <text>
        <r>
          <rPr>
            <sz val="9"/>
            <color rgb="FF000000"/>
            <rFont val="Tahoma"/>
            <family val="2"/>
          </rPr>
          <t xml:space="preserve">Value was 15.8%
</t>
        </r>
        <r>
          <rPr>
            <sz val="9"/>
            <color rgb="FF000000"/>
            <rFont val="Tahoma"/>
            <family val="2"/>
          </rPr>
          <t xml:space="preserve">Removed, low confidence
</t>
        </r>
        <r>
          <rPr>
            <sz val="9"/>
            <color rgb="FF000000"/>
            <rFont val="Tahoma"/>
            <family val="2"/>
          </rPr>
          <t xml:space="preserve">
</t>
        </r>
        <r>
          <rPr>
            <sz val="9"/>
            <color rgb="FF000000"/>
            <rFont val="Tahoma"/>
            <family val="2"/>
          </rPr>
          <t xml:space="preserve">DHS 2015
</t>
        </r>
        <r>
          <rPr>
            <sz val="9"/>
            <color rgb="FF000000"/>
            <rFont val="Tahoma"/>
            <family val="2"/>
          </rPr>
          <t>based on paying for sex in PAST YEAR</t>
        </r>
      </text>
    </comment>
    <comment ref="S12" authorId="0" shapeId="0" xr:uid="{00000000-0006-0000-0300-000005000000}">
      <text>
        <r>
          <rPr>
            <sz val="9"/>
            <color indexed="81"/>
            <rFont val="Tahoma"/>
            <family val="2"/>
          </rPr>
          <t xml:space="preserve">Value was: 14.80%
Instructed by the WB to remove for calibration purposes
</t>
        </r>
      </text>
    </comment>
    <comment ref="X12" authorId="2" shapeId="0" xr:uid="{00000000-0006-0000-0300-000006000000}">
      <text>
        <r>
          <rPr>
            <sz val="9"/>
            <color indexed="81"/>
            <rFont val="Tahoma"/>
            <family val="2"/>
          </rPr>
          <t>Value was 12.7%
Instructed by WB to remove for calibration purposes.</t>
        </r>
      </text>
    </comment>
    <comment ref="AA12" authorId="0" shapeId="0" xr:uid="{00000000-0006-0000-0300-000007000000}">
      <text>
        <r>
          <rPr>
            <sz val="9"/>
            <color indexed="81"/>
            <rFont val="Tahoma"/>
            <family val="2"/>
          </rPr>
          <t xml:space="preserve">Source: Biomedical Remote Training Institute (BRTI) study
</t>
        </r>
      </text>
    </comment>
    <comment ref="AC12" authorId="2" shapeId="0" xr:uid="{00000000-0006-0000-0300-000008000000}">
      <text>
        <r>
          <rPr>
            <sz val="9"/>
            <color indexed="81"/>
            <rFont val="Tahoma"/>
            <family val="2"/>
          </rPr>
          <t>Value was 11.3%
Instructed by WB to remove for calibration purposes.</t>
        </r>
      </text>
    </comment>
    <comment ref="AG12" authorId="1" shapeId="0" xr:uid="{86A463B7-FBEE-F347-BE5A-AA5A0640C264}">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T12" authorId="2" shapeId="0" xr:uid="{00000000-0006-0000-0300-000009000000}">
      <text>
        <r>
          <rPr>
            <sz val="9"/>
            <color indexed="81"/>
            <rFont val="Tahoma"/>
            <family val="2"/>
          </rPr>
          <t>WB was happy with the curve from calibration permormed 3 April, but just wanted data points removed, these numbers are based on the desired curve</t>
        </r>
      </text>
    </comment>
    <comment ref="Z16" authorId="0" shapeId="0" xr:uid="{00000000-0006-0000-0300-00000A000000}">
      <text>
        <r>
          <rPr>
            <sz val="9"/>
            <color indexed="81"/>
            <rFont val="Tahoma"/>
            <family val="2"/>
          </rPr>
          <t>Draft report in prisoners, personal communication with Isaac Teramusi (NAC)</t>
        </r>
      </text>
    </comment>
    <comment ref="AC20" authorId="2" shapeId="0" xr:uid="{00000000-0006-0000-0300-00000B000000}">
      <text>
        <r>
          <rPr>
            <sz val="9"/>
            <color indexed="81"/>
            <rFont val="Tahoma"/>
            <family val="2"/>
          </rPr>
          <t>Was 2%, replaced by average between male and female prevalence, since we're not sure where this data came from</t>
        </r>
      </text>
    </comment>
    <comment ref="AG20" authorId="1" shapeId="0" xr:uid="{19CA6ED9-C0CC-0C4D-8960-F430D809A6F1}">
      <text>
        <r>
          <rPr>
            <b/>
            <sz val="10"/>
            <color rgb="FF000000"/>
            <rFont val="Tahoma"/>
            <family val="2"/>
          </rPr>
          <t>Nisaa Wulan:</t>
        </r>
        <r>
          <rPr>
            <sz val="10"/>
            <color rgb="FF000000"/>
            <rFont val="Tahoma"/>
            <family val="2"/>
          </rPr>
          <t xml:space="preserve">
</t>
        </r>
        <r>
          <rPr>
            <sz val="10"/>
            <color rgb="FF000000"/>
            <rFont val="Tahoma"/>
            <family val="2"/>
          </rPr>
          <t>UNAIDS Spectrum cited in the COP 2020</t>
        </r>
      </text>
    </comment>
    <comment ref="AC24" authorId="2" shapeId="0" xr:uid="{00000000-0006-0000-0300-00000C000000}">
      <text>
        <r>
          <rPr>
            <sz val="9"/>
            <color indexed="81"/>
            <rFont val="Tahoma"/>
            <family val="2"/>
          </rPr>
          <t>Was 1.7%, replaced by average between male and female prevalence, since we're not sure where this data came from</t>
        </r>
      </text>
    </comment>
    <comment ref="AG24" authorId="1" shapeId="0" xr:uid="{BF4EF87D-AD1E-6545-B317-6057405B68ED}">
      <text>
        <r>
          <rPr>
            <b/>
            <sz val="10"/>
            <color rgb="FF000000"/>
            <rFont val="Tahoma"/>
            <family val="2"/>
          </rPr>
          <t>Nisaa Wulan:</t>
        </r>
        <r>
          <rPr>
            <sz val="10"/>
            <color rgb="FF000000"/>
            <rFont val="Tahoma"/>
            <family val="2"/>
          </rPr>
          <t xml:space="preserve">
</t>
        </r>
        <r>
          <rPr>
            <sz val="10"/>
            <color rgb="FF000000"/>
            <rFont val="Tahoma"/>
            <family val="2"/>
          </rPr>
          <t>UNAIDS Spectrum cited in the COP 2020</t>
        </r>
      </text>
    </comment>
    <comment ref="Y28" authorId="1" shapeId="0" xr:uid="{A6BD3D56-BFF6-AF43-907D-2BDDCA563C11}">
      <text>
        <r>
          <rPr>
            <b/>
            <sz val="10"/>
            <color rgb="FF000000"/>
            <rFont val="Tahoma"/>
            <family val="2"/>
          </rPr>
          <t>Nisaa Wulan:</t>
        </r>
        <r>
          <rPr>
            <sz val="10"/>
            <color rgb="FF000000"/>
            <rFont val="Tahoma"/>
            <family val="2"/>
          </rPr>
          <t xml:space="preserve">
</t>
        </r>
        <r>
          <rPr>
            <sz val="10"/>
            <color rgb="FF000000"/>
            <rFont val="Calibri"/>
            <family val="2"/>
            <scheme val="minor"/>
          </rPr>
          <t xml:space="preserve">Data are provided by Valentina Cambiano - see Debra email on 20210930 </t>
        </r>
        <r>
          <rPr>
            <sz val="10"/>
            <color rgb="FF000000"/>
            <rFont val="Calibri"/>
            <family val="2"/>
            <scheme val="minor"/>
          </rPr>
          <t xml:space="preserve">
</t>
        </r>
      </text>
    </comment>
    <comment ref="AH28" authorId="1" shapeId="0" xr:uid="{CA745C36-81FB-8841-AAAF-FE1D2133DF94}">
      <text>
        <r>
          <rPr>
            <b/>
            <sz val="10"/>
            <color rgb="FF000000"/>
            <rFont val="Tahoma"/>
            <family val="2"/>
          </rPr>
          <t>Nisaa Wulan:</t>
        </r>
        <r>
          <rPr>
            <sz val="10"/>
            <color rgb="FF000000"/>
            <rFont val="Tahoma"/>
            <family val="2"/>
          </rPr>
          <t xml:space="preserve">
</t>
        </r>
        <r>
          <rPr>
            <sz val="10"/>
            <color rgb="FF000000"/>
            <rFont val="Tahoma"/>
            <family val="2"/>
          </rPr>
          <t>ZIMPHIA 2020</t>
        </r>
      </text>
    </comment>
    <comment ref="Y32" authorId="1" shapeId="0" xr:uid="{B0482225-FBE4-F945-B55C-6DDFB9E9C67A}">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AH32" authorId="1" shapeId="0" xr:uid="{6B8BD5E0-668F-384E-8E70-3547096442FA}">
      <text>
        <r>
          <rPr>
            <b/>
            <sz val="10"/>
            <color rgb="FF000000"/>
            <rFont val="Tahoma"/>
            <family val="2"/>
          </rPr>
          <t>Nisaa Wulan:</t>
        </r>
        <r>
          <rPr>
            <sz val="10"/>
            <color rgb="FF000000"/>
            <rFont val="Tahoma"/>
            <family val="2"/>
          </rPr>
          <t xml:space="preserve">
</t>
        </r>
        <r>
          <rPr>
            <sz val="10"/>
            <color rgb="FF000000"/>
            <rFont val="Tahoma"/>
            <family val="2"/>
          </rPr>
          <t xml:space="preserve">ZIMPHIA 2020
</t>
        </r>
      </text>
    </comment>
    <comment ref="Y36" authorId="1" shapeId="0" xr:uid="{8CD5EE08-1544-9840-8A0F-5E82E1BA4780}">
      <text>
        <r>
          <rPr>
            <b/>
            <sz val="10"/>
            <color rgb="FF000000"/>
            <rFont val="Tahoma"/>
            <family val="2"/>
          </rPr>
          <t>Nisaa Wulan:</t>
        </r>
        <r>
          <rPr>
            <sz val="10"/>
            <color rgb="FF000000"/>
            <rFont val="Tahoma"/>
            <family val="2"/>
          </rPr>
          <t xml:space="preserve">
</t>
        </r>
        <r>
          <rPr>
            <sz val="10"/>
            <color rgb="FF000000"/>
            <rFont val="Calibri"/>
            <family val="2"/>
            <scheme val="minor"/>
          </rPr>
          <t xml:space="preserve">Data are provided by Valentina Cambiano - see Debra email on 20210930 </t>
        </r>
        <r>
          <rPr>
            <sz val="10"/>
            <color rgb="FF000000"/>
            <rFont val="Calibri"/>
            <family val="2"/>
            <scheme val="minor"/>
          </rPr>
          <t xml:space="preserve">
</t>
        </r>
      </text>
    </comment>
    <comment ref="AH36" authorId="1" shapeId="0" xr:uid="{9D64C0D1-96B5-E847-8259-AEA16001BEE7}">
      <text>
        <r>
          <rPr>
            <b/>
            <sz val="10"/>
            <color rgb="FF000000"/>
            <rFont val="Tahoma"/>
            <family val="2"/>
          </rPr>
          <t>Nisaa Wulan:</t>
        </r>
        <r>
          <rPr>
            <sz val="10"/>
            <color rgb="FF000000"/>
            <rFont val="Tahoma"/>
            <family val="2"/>
          </rPr>
          <t xml:space="preserve">
</t>
        </r>
        <r>
          <rPr>
            <sz val="10"/>
            <color rgb="FF000000"/>
            <rFont val="Tahoma"/>
            <family val="2"/>
          </rPr>
          <t>ZIMPHIA 2020</t>
        </r>
      </text>
    </comment>
    <comment ref="Y40" authorId="1" shapeId="0" xr:uid="{44FC080F-CD7C-E44E-95D9-2C5B424443CE}">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AH40" authorId="1" shapeId="0" xr:uid="{3D591273-8D11-D64F-9F6E-707865AAB655}">
      <text>
        <r>
          <rPr>
            <b/>
            <sz val="10"/>
            <color rgb="FF000000"/>
            <rFont val="Tahoma"/>
            <family val="2"/>
          </rPr>
          <t>Nisaa Wulan:</t>
        </r>
        <r>
          <rPr>
            <sz val="10"/>
            <color rgb="FF000000"/>
            <rFont val="Tahoma"/>
            <family val="2"/>
          </rPr>
          <t xml:space="preserve">
</t>
        </r>
        <r>
          <rPr>
            <sz val="10"/>
            <color rgb="FF000000"/>
            <rFont val="Tahoma"/>
            <family val="2"/>
          </rPr>
          <t>ZIMPHIA 2020</t>
        </r>
      </text>
    </comment>
    <comment ref="S44" authorId="1" shapeId="0" xr:uid="{92810065-9500-874C-8397-53C8E41BE466}">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Y44" authorId="1" shapeId="0" xr:uid="{ED3316E6-4DA3-EF45-B510-2ACB575D6605}">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AD44" authorId="1" shapeId="0" xr:uid="{02552B56-ADE2-1B4F-B5CB-36C24AF26CAC}">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S48" authorId="1" shapeId="0" xr:uid="{8683C9EB-1D69-0641-A875-2CFFB6B2DF2C}">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Y48" authorId="1" shapeId="0" xr:uid="{8B2BCAF2-9EDD-C149-88BD-98CFFD1D1769}">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AD48" authorId="1" shapeId="0" xr:uid="{AAF9446E-29EF-5040-A9E9-E2A071D3B840}">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S52" authorId="1" shapeId="0" xr:uid="{77F1C7F5-C244-1D49-8B3B-FF76356747BD}">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Y52" authorId="1" shapeId="0" xr:uid="{A44EF09B-3A1B-B846-B959-C97E4F2E70D8}">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AD52" authorId="1" shapeId="0" xr:uid="{65B6C012-EE51-114B-A50C-B322C87BEC07}">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S56" authorId="1" shapeId="0" xr:uid="{5CA384F0-E1D3-914B-8072-F5F3603BB485}">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Y56" authorId="1" shapeId="0" xr:uid="{CDD67D9E-9A52-BD49-A81D-505B69F547A1}">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AD56" authorId="1" shapeId="0" xr:uid="{C893B4FF-3204-8840-89F3-E2C800AB5A8B}">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S60" authorId="0" shapeId="0" xr:uid="{00000000-0006-0000-0300-00000D000000}">
      <text>
        <r>
          <rPr>
            <sz val="9"/>
            <color rgb="FF000000"/>
            <rFont val="Tahoma"/>
            <family val="2"/>
          </rPr>
          <t xml:space="preserve">Previous value 18%
</t>
        </r>
        <r>
          <rPr>
            <sz val="9"/>
            <color rgb="FF000000"/>
            <rFont val="Tahoma"/>
            <family val="2"/>
          </rPr>
          <t xml:space="preserve">
</t>
        </r>
      </text>
    </comment>
    <comment ref="X60" authorId="0" shapeId="0" xr:uid="{00000000-0006-0000-0300-00000E000000}">
      <text>
        <r>
          <rPr>
            <sz val="9"/>
            <color rgb="FF000000"/>
            <rFont val="Tahoma"/>
            <family val="2"/>
          </rPr>
          <t xml:space="preserve">Previous value 22.5%
</t>
        </r>
        <r>
          <rPr>
            <sz val="9"/>
            <color rgb="FF000000"/>
            <rFont val="Tahoma"/>
            <family val="2"/>
          </rPr>
          <t xml:space="preserve">These are for 45-49
</t>
        </r>
      </text>
    </comment>
    <comment ref="AC60" authorId="0" shapeId="0" xr:uid="{00000000-0006-0000-0300-00000F000000}">
      <text>
        <r>
          <rPr>
            <sz val="9"/>
            <color rgb="FF000000"/>
            <rFont val="Tahoma"/>
            <family val="2"/>
          </rPr>
          <t xml:space="preserve">Previous value 24.3%
</t>
        </r>
        <r>
          <rPr>
            <sz val="9"/>
            <color rgb="FF000000"/>
            <rFont val="Tahoma"/>
            <family val="2"/>
          </rPr>
          <t xml:space="preserve">These are for 45-49
</t>
        </r>
      </text>
    </comment>
    <comment ref="S64" authorId="0" shapeId="0" xr:uid="{00000000-0006-0000-0300-000010000000}">
      <text>
        <r>
          <rPr>
            <sz val="9"/>
            <color indexed="81"/>
            <rFont val="Tahoma"/>
            <family val="2"/>
          </rPr>
          <t xml:space="preserve">Previous value 26%
These are for 45-49
</t>
        </r>
      </text>
    </comment>
    <comment ref="X64" authorId="0" shapeId="0" xr:uid="{00000000-0006-0000-0300-000011000000}">
      <text>
        <r>
          <rPr>
            <sz val="9"/>
            <color indexed="81"/>
            <rFont val="Tahoma"/>
            <family val="2"/>
          </rPr>
          <t xml:space="preserve">Previous value 29.9%
These are for 45-49
</t>
        </r>
      </text>
    </comment>
    <comment ref="AC64" authorId="0" shapeId="0" xr:uid="{00000000-0006-0000-0300-000012000000}">
      <text>
        <r>
          <rPr>
            <sz val="9"/>
            <color rgb="FF000000"/>
            <rFont val="Tahoma"/>
            <family val="2"/>
          </rPr>
          <t xml:space="preserve">Previous value 23.2%
</t>
        </r>
        <r>
          <rPr>
            <sz val="9"/>
            <color rgb="FF000000"/>
            <rFont val="Tahoma"/>
            <family val="2"/>
          </rPr>
          <t xml:space="preserve">These are for 45-49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sherr</author>
  </authors>
  <commentList>
    <comment ref="AV64" authorId="0" shapeId="0" xr:uid="{DCDB7AB2-0FD6-D04B-989A-C3EC240EF591}">
      <text>
        <r>
          <rPr>
            <sz val="9"/>
            <color rgb="FF000000"/>
            <rFont val="Tahoma"/>
            <family val="2"/>
          </rPr>
          <t xml:space="preserve">SPECTRUM estimates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Sherrie Kelly</author>
    <author>Nisaa Wulan</author>
    <author>tc={78D8EDED-15F1-4B4D-AEE8-746B5727A0C4}</author>
    <author>tc={2ABA2B1B-4D75-4CC0-8DB2-BB3B8BDA1685}</author>
    <author>tc={B13A42D5-A594-4708-B1DC-E62A8674111B}</author>
    <author>tc={02669074-76B5-4912-BF6C-BB83D0F7B4C9}</author>
    <author>tc={D385A15C-EFA0-4555-835A-27E7524BE507}</author>
    <author>tc={80258DD5-AA78-4B32-A756-EA20ECC7240E}</author>
    <author>tc={F9DCEC7F-9BC7-44D9-BA55-461DDB90FBE9}</author>
    <author>tc={BE155E18-70B1-4BDA-B905-ABF54564D15A}</author>
    <author>tc={50856477-17CB-4BA7-BC42-DE7CF48438CC}</author>
    <author>tc={48479BBC-EAD5-4357-8D05-64AD2A58FD9B}</author>
    <author>tc={89C26B14-0891-4D0A-A1E5-4D528412EA4F}</author>
  </authors>
  <commentList>
    <comment ref="U3" authorId="0" shapeId="0" xr:uid="{00000000-0006-0000-0500-000001000000}">
      <text>
        <r>
          <rPr>
            <sz val="9"/>
            <color indexed="81"/>
            <rFont val="Tahoma"/>
            <family val="2"/>
          </rPr>
          <t xml:space="preserve">Copy of 2000 values because of health system crisis in 2007-08
</t>
        </r>
      </text>
    </comment>
    <comment ref="U4" authorId="0" shapeId="0" xr:uid="{00000000-0006-0000-0500-000002000000}">
      <text>
        <r>
          <rPr>
            <sz val="9"/>
            <color indexed="81"/>
            <rFont val="Tahoma"/>
            <family val="2"/>
          </rPr>
          <t xml:space="preserve">Copy of 2005 values because of health system crisis in 2007-08
</t>
        </r>
      </text>
    </comment>
    <comment ref="U5" authorId="0" shapeId="0" xr:uid="{00000000-0006-0000-0500-000003000000}">
      <text>
        <r>
          <rPr>
            <sz val="9"/>
            <color indexed="81"/>
            <rFont val="Tahoma"/>
            <family val="2"/>
          </rPr>
          <t xml:space="preserve">Copy of 2005 values because of health system crisis in 2007-08
</t>
        </r>
      </text>
    </comment>
    <comment ref="U6" authorId="0" shapeId="0" xr:uid="{00000000-0006-0000-0500-000004000000}">
      <text>
        <r>
          <rPr>
            <sz val="9"/>
            <color indexed="81"/>
            <rFont val="Tahoma"/>
            <family val="2"/>
          </rPr>
          <t xml:space="preserve">Copy of 2005 values because of health system crisis in 2007-08
</t>
        </r>
      </text>
    </comment>
    <comment ref="U7" authorId="0" shapeId="0" xr:uid="{00000000-0006-0000-0500-000005000000}">
      <text>
        <r>
          <rPr>
            <sz val="9"/>
            <color indexed="81"/>
            <rFont val="Tahoma"/>
            <family val="2"/>
          </rPr>
          <t xml:space="preserve">Copy of 2005 values because of health system crisis in 2007-08
</t>
        </r>
      </text>
    </comment>
    <comment ref="U8" authorId="0" shapeId="0" xr:uid="{00000000-0006-0000-0500-000006000000}">
      <text>
        <r>
          <rPr>
            <sz val="9"/>
            <color indexed="81"/>
            <rFont val="Tahoma"/>
            <family val="2"/>
          </rPr>
          <t xml:space="preserve">Copy of 2005 values because of health system crisis in 2007-08
</t>
        </r>
      </text>
    </comment>
    <comment ref="U9" authorId="0" shapeId="0" xr:uid="{00000000-0006-0000-0500-000007000000}">
      <text>
        <r>
          <rPr>
            <sz val="9"/>
            <color rgb="FF000000"/>
            <rFont val="Tahoma"/>
            <family val="2"/>
          </rPr>
          <t xml:space="preserve">Copy of 2005 values because of health system crisis in 2007-08
</t>
        </r>
      </text>
    </comment>
    <comment ref="U10" authorId="0" shapeId="0" xr:uid="{00000000-0006-0000-0500-000008000000}">
      <text>
        <r>
          <rPr>
            <sz val="9"/>
            <color indexed="81"/>
            <rFont val="Tahoma"/>
            <family val="2"/>
          </rPr>
          <t xml:space="preserve">Copy of 2005 values because of health system crisis in 2007-08
</t>
        </r>
      </text>
    </comment>
    <comment ref="U11" authorId="0" shapeId="0" xr:uid="{00000000-0006-0000-0500-000009000000}">
      <text>
        <r>
          <rPr>
            <sz val="9"/>
            <color indexed="81"/>
            <rFont val="Tahoma"/>
            <family val="2"/>
          </rPr>
          <t xml:space="preserve">Copy of 2005 values because of health system crisis in 2007-08
</t>
        </r>
      </text>
    </comment>
    <comment ref="U12" authorId="0" shapeId="0" xr:uid="{00000000-0006-0000-0500-00000A000000}">
      <text>
        <r>
          <rPr>
            <sz val="9"/>
            <color indexed="81"/>
            <rFont val="Tahoma"/>
            <family val="2"/>
          </rPr>
          <t xml:space="preserve">Copy of 2005 values because of health system crisis in 2007-08
</t>
        </r>
      </text>
    </comment>
    <comment ref="U13" authorId="0" shapeId="0" xr:uid="{00000000-0006-0000-0500-00000B000000}">
      <text>
        <r>
          <rPr>
            <sz val="9"/>
            <color indexed="81"/>
            <rFont val="Tahoma"/>
            <family val="2"/>
          </rPr>
          <t xml:space="preserve">Copy of 2005 values because of health system crisis in 2007-08
</t>
        </r>
      </text>
    </comment>
    <comment ref="U14" authorId="0" shapeId="0" xr:uid="{00000000-0006-0000-0500-00000C000000}">
      <text>
        <r>
          <rPr>
            <sz val="9"/>
            <color indexed="81"/>
            <rFont val="Tahoma"/>
            <family val="2"/>
          </rPr>
          <t xml:space="preserve">Copy of 2005 values because of health system crisis in 2007-08
</t>
        </r>
      </text>
    </comment>
    <comment ref="U15" authorId="0" shapeId="0" xr:uid="{00000000-0006-0000-0500-00000D000000}">
      <text>
        <r>
          <rPr>
            <sz val="9"/>
            <color indexed="81"/>
            <rFont val="Tahoma"/>
            <family val="2"/>
          </rPr>
          <t xml:space="preserve">Copy of 2005 values because of health system crisis in 2007-08
</t>
        </r>
      </text>
    </comment>
    <comment ref="U16" authorId="0" shapeId="0" xr:uid="{00000000-0006-0000-0500-00000E000000}">
      <text>
        <r>
          <rPr>
            <sz val="9"/>
            <color indexed="81"/>
            <rFont val="Tahoma"/>
            <family val="2"/>
          </rPr>
          <t xml:space="preserve">Copy of 2005 values because of health system crisis in 2007-08
</t>
        </r>
      </text>
    </comment>
    <comment ref="U17" authorId="0" shapeId="0" xr:uid="{00000000-0006-0000-0500-00000F000000}">
      <text>
        <r>
          <rPr>
            <sz val="9"/>
            <color indexed="81"/>
            <rFont val="Tahoma"/>
            <family val="2"/>
          </rPr>
          <t xml:space="preserve">Copy of 2005 values because of health system crisis in 2007-08
</t>
        </r>
      </text>
    </comment>
    <comment ref="U18" authorId="0" shapeId="0" xr:uid="{00000000-0006-0000-0500-000010000000}">
      <text>
        <r>
          <rPr>
            <sz val="9"/>
            <color indexed="81"/>
            <rFont val="Tahoma"/>
            <family val="2"/>
          </rPr>
          <t xml:space="preserve">Copy of 2005 values because of health system crisis in 2007-08
</t>
        </r>
      </text>
    </comment>
    <comment ref="Y30" authorId="1" shapeId="0" xr:uid="{976B9370-BFDF-4DCF-9D20-F524E17B6A4C}">
      <text>
        <r>
          <rPr>
            <b/>
            <sz val="10"/>
            <color rgb="FF000000"/>
            <rFont val="Tahoma"/>
            <family val="2"/>
          </rPr>
          <t>Nisaa Wulan:</t>
        </r>
        <r>
          <rPr>
            <sz val="10"/>
            <color rgb="FF000000"/>
            <rFont val="Tahoma"/>
            <family val="2"/>
          </rPr>
          <t xml:space="preserve">
</t>
        </r>
        <r>
          <rPr>
            <sz val="10"/>
            <color rgb="FF000000"/>
            <rFont val="Calibri"/>
            <family val="2"/>
          </rPr>
          <t>Data are provided by Valentina Cambiano - see Debra email on 20210930. Source: program data</t>
        </r>
      </text>
    </comment>
    <comment ref="Z30" authorId="1" shapeId="0" xr:uid="{6781BC81-8EF8-499E-8ED3-B16FD5C59F75}">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A30" authorId="1" shapeId="0" xr:uid="{B10CF89A-AAE4-4A19-9800-4A688ED0E178}">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B30" authorId="1" shapeId="0" xr:uid="{35B42662-1069-4F1F-9397-825EEDEEB22E}">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C30" authorId="1" shapeId="0" xr:uid="{2B0D77A9-8B7D-42F8-8015-FB2850D86EAC}">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D30" authorId="1" shapeId="0" xr:uid="{8498DC1B-8AC3-4797-888A-B7072D0F2F52}">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E30" authorId="1" shapeId="0" xr:uid="{D9B3E70B-7093-4CFC-943E-8C0EE2387703}">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F30" authorId="1" shapeId="0" xr:uid="{DA4A674A-B116-4A0E-90C7-1611E91C7F9E}">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G30" authorId="1" shapeId="0" xr:uid="{A53D50C6-25C2-4948-A49C-A9B44895BBD1}">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H30" authorId="2" shapeId="0" xr:uid="{78D8EDED-15F1-4B4D-AEE8-746B5727A0C4}">
      <text>
        <t>[Threaded comment]
Your version of Excel allows you to read this threaded comment; however, any edits to it will get removed if the file is opened in a newer version of Excel. Learn more: https://go.microsoft.com/fwlink/?linkid=870924
Comment:
    Provided by MIHPSA working group from AIDSinfo</t>
      </text>
    </comment>
    <comment ref="AC31" authorId="3" shapeId="0" xr:uid="{2ABA2B1B-4D75-4CC0-8DB2-BB3B8BDA1685}">
      <text>
        <t>[Threaded comment]
Your version of Excel allows you to read this threaded comment; however, any edits to it will get removed if the file is opened in a newer version of Excel. Learn more: https://go.microsoft.com/fwlink/?linkid=870924
Comment:
    Source: AIDSinfo</t>
      </text>
    </comment>
    <comment ref="AD31" authorId="4" shapeId="0" xr:uid="{B13A42D5-A594-4708-B1DC-E62A8674111B}">
      <text>
        <t>[Threaded comment]
Your version of Excel allows you to read this threaded comment; however, any edits to it will get removed if the file is opened in a newer version of Excel. Learn more: https://go.microsoft.com/fwlink/?linkid=870924
Comment:
    Source: AIDSinfo</t>
      </text>
    </comment>
    <comment ref="AC78" authorId="5" shapeId="0" xr:uid="{02669074-76B5-4912-BF6C-BB83D0F7B4C9}">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AD78" authorId="0" shapeId="0" xr:uid="{00000000-0006-0000-0500-000014000000}">
      <text>
        <r>
          <rPr>
            <sz val="9"/>
            <color rgb="FF000000"/>
            <rFont val="Tahoma"/>
            <family val="2"/>
          </rPr>
          <t xml:space="preserve">Source: 2018 GAM fig 10 page 12 
</t>
        </r>
      </text>
    </comment>
    <comment ref="AE78" authorId="6" shapeId="0" xr:uid="{D385A15C-EFA0-4555-835A-27E7524BE507}">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AF78" authorId="7" shapeId="0" xr:uid="{80258DD5-AA78-4B32-A756-EA20ECC7240E}">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AG78" authorId="8" shapeId="0" xr:uid="{F9DCEC7F-9BC7-44D9-BA55-461DDB90FBE9}">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AH78" authorId="9" shapeId="0" xr:uid="{BE155E18-70B1-4BDA-B905-ABF54564D15A}">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78" authorId="10" shapeId="0" xr:uid="{50856477-17CB-4BA7-BC42-DE7CF48438CC}">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BL87" authorId="11" shapeId="0" xr:uid="{48479BBC-EAD5-4357-8D05-64AD2A58FD9B}">
      <text>
        <t>[Threaded comment]
Your version of Excel allows you to read this threaded comment; however, any edits to it will get removed if the file is opened in a newer version of Excel. Learn more: https://go.microsoft.com/fwlink/?linkid=870924
Comment:
    Weighted average calculated in "Population_Zimbabwe_20210924"</t>
      </text>
    </comment>
    <comment ref="BM87" authorId="12" shapeId="0" xr:uid="{89C26B14-0891-4D0A-A1E5-4D528412EA4F}">
      <text>
        <t>[Threaded comment]
Your version of Excel allows you to read this threaded comment; however, any edits to it will get removed if the file is opened in a newer version of Excel. Learn more: https://go.microsoft.com/fwlink/?linkid=870924
Comment:
    Weighted average calculated in "Population_Zimbabwe_20210924"</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Nisaa Wulan</author>
    <author>tc={E81F3CDC-BC0C-4A37-A923-56EEB2C0B4E6}</author>
  </authors>
  <commentList>
    <comment ref="Y15" authorId="0" shapeId="0" xr:uid="{5A839FA1-A3A9-4BA9-B2C8-F382E3D2950F}">
      <text>
        <r>
          <rPr>
            <b/>
            <sz val="10"/>
            <color rgb="FF000000"/>
            <rFont val="Tahoma"/>
            <family val="2"/>
          </rPr>
          <t>Nisaa Wulan:</t>
        </r>
        <r>
          <rPr>
            <sz val="10"/>
            <color rgb="FF000000"/>
            <rFont val="Tahoma"/>
            <family val="2"/>
          </rPr>
          <t xml:space="preserve">
</t>
        </r>
        <r>
          <rPr>
            <sz val="10"/>
            <color rgb="FF000000"/>
            <rFont val="Calibri"/>
            <family val="2"/>
          </rPr>
          <t>Data are provided by Valentina Cambiano - see Debra email on 20210930. Source: program data</t>
        </r>
      </text>
    </comment>
    <comment ref="Z15" authorId="0" shapeId="0" xr:uid="{C499BBBB-A8BC-4066-984E-8428038070EB}">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A15" authorId="0" shapeId="0" xr:uid="{43F80A10-9A03-496D-A101-5E24C911AC93}">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B15" authorId="0" shapeId="0" xr:uid="{5D183102-4AC4-467C-AA5E-FA9A38A96D88}">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C15" authorId="0" shapeId="0" xr:uid="{23F87D7D-E5C1-46EF-B580-D196AD375C48}">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D15" authorId="0" shapeId="0" xr:uid="{D9A5B860-A45A-4952-A4BC-1A05690DE6A3}">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E15" authorId="0" shapeId="0" xr:uid="{5FF1852E-91AF-47F1-8271-62F348553CCA}">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F15" authorId="0" shapeId="0" xr:uid="{B9ECBD9B-647F-4BD5-8028-38F93FA95099}">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G15" authorId="0" shapeId="0" xr:uid="{EF966208-F59D-4D3F-AD58-5C1BE324B3FF}">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H15" authorId="1" shapeId="0" xr:uid="{E81F3CDC-BC0C-4A37-A923-56EEB2C0B4E6}">
      <text>
        <t>[Threaded comment]
Your version of Excel allows you to read this threaded comment; however, any edits to it will get removed if the file is opened in a newer version of Excel. Learn more: https://go.microsoft.com/fwlink/?linkid=870924
Comment:
    Provided by MIHPSA working group from AIDSinfo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Nisaa Wulan</author>
    <author>Sherrie Kelly</author>
    <author>tc={7EAF5144-154B-4AF9-90A6-EA6C2D3CA7D8}</author>
    <author>tc={25F4BF24-07A0-4B20-872F-1045962EF78F}</author>
    <author>tc={9DE3B331-570A-410F-82B0-97E846C67FA5}</author>
    <author>tc={D516D81F-D0DA-4A03-B2AB-D6C8A4CD83DA}</author>
    <author>tc={D42935D5-F04D-46D3-8CE1-0AEBD9A38C0F}</author>
    <author>tc={A54495DE-97BF-4669-9F83-67F1D786917D}</author>
    <author>tc={611E398B-B68B-43C4-AC27-BB682F429AD9}</author>
    <author>tc={E33644C3-2007-459E-A7D2-F1628E9485B4}</author>
    <author>tc={515B947A-64A5-478A-9945-E8AB4CB86B71}</author>
    <author>tc={3E9B345F-506A-4829-8ECD-B2A0F90E712E}</author>
    <author>tc={05D03950-B0A8-4D32-8547-902C64CA05BD}</author>
    <author>tc={6BF8CD8C-4789-42D4-BD27-2FF3E4536E38}</author>
    <author>tc={638E7F66-A9B4-479C-B841-FECAB8DEF09E}</author>
    <author>tc={2423845E-7DB0-4355-838E-A6CBC29F9027}</author>
    <author>tc={B65758A3-71A6-4690-91EF-1A74D64B647E}</author>
    <author>tc={71812EB3-BF9C-4856-B498-8EB3073B49EF}</author>
    <author>tc={A2EECDC1-1E81-4BF3-9728-390B6E5DE38F}</author>
    <author>tc={5FC3A94A-FF15-4578-8130-729FA8DF5F36}</author>
    <author>tc={D6DD4A56-1A17-47B0-8951-FE2AAA4A47E5}</author>
    <author>tc={54FEFDF7-1FDA-4D92-9E9E-01055D2B6E97}</author>
    <author>tc={F953F244-2C01-4C6F-91FE-4940EE90E33B}</author>
    <author>tc={F4A2F3EB-8B51-4C19-95C0-F0EE6BEA79D4}</author>
    <author>tc={37C2F332-A7ED-4EDA-8B36-034559569222}</author>
    <author>tc={068EC7F7-6F18-4FA1-8F6C-0452853FA334}</author>
    <author>tc={3FC93066-C39B-4F26-BD8C-D0FB4EDB4450}</author>
    <author>tc={D259F8E5-F791-4DF0-BBAC-3E9054DCA14F}</author>
    <author>tc={9262B291-B5C6-41C4-AFDF-AC5113B0D830}</author>
  </authors>
  <commentList>
    <comment ref="AA3" authorId="0" shapeId="0" xr:uid="{5B9C6DBF-0584-E54C-B446-A87D28AD4D79}">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t>
        </r>
        <r>
          <rPr>
            <sz val="10"/>
            <color rgb="FF000000"/>
            <rFont val="Calibri"/>
            <family val="2"/>
            <scheme val="minor"/>
          </rPr>
          <t xml:space="preserve"> </t>
        </r>
      </text>
    </comment>
    <comment ref="X4" authorId="0" shapeId="0" xr:uid="{3501F7FB-936D-264B-A929-47381A8C9BC6}">
      <text>
        <r>
          <rPr>
            <b/>
            <sz val="10"/>
            <color rgb="FF000000"/>
            <rFont val="Tahoma"/>
            <family val="2"/>
          </rPr>
          <t>Nisaa Wulan:</t>
        </r>
        <r>
          <rPr>
            <sz val="10"/>
            <color rgb="FF000000"/>
            <rFont val="Tahoma"/>
            <family val="2"/>
          </rPr>
          <t xml:space="preserve">
</t>
        </r>
        <r>
          <rPr>
            <sz val="10"/>
            <color rgb="FF000000"/>
            <rFont val="Calibri"/>
            <family val="2"/>
          </rPr>
          <t>Data are provided by Valentina Cambiano - see Debra email on 20210930</t>
        </r>
      </text>
    </comment>
    <comment ref="AB4" authorId="0" shapeId="0" xr:uid="{3D2D647F-54F1-8048-8D8B-66E4A8CE9CD4}">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AC4" authorId="0" shapeId="0" xr:uid="{B70E7B4C-69D3-2049-9D09-B1872FA4E2FC}">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t>
        </r>
        <r>
          <rPr>
            <sz val="10"/>
            <color rgb="FF000000"/>
            <rFont val="Calibri"/>
            <family val="2"/>
            <scheme val="minor"/>
          </rPr>
          <t xml:space="preserve"> </t>
        </r>
      </text>
    </comment>
    <comment ref="AD4" authorId="0" shapeId="0" xr:uid="{E7769979-FD66-0044-8A81-0DEC68EDF16F}">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t>
        </r>
        <r>
          <rPr>
            <sz val="10"/>
            <color rgb="FF000000"/>
            <rFont val="Calibri"/>
            <family val="2"/>
            <scheme val="minor"/>
          </rPr>
          <t xml:space="preserve"> </t>
        </r>
      </text>
    </comment>
    <comment ref="AE4" authorId="0" shapeId="0" xr:uid="{87B43422-07DC-E14A-BC29-BA14E8CC0F28}">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AF4" authorId="0" shapeId="0" xr:uid="{CF25F281-61BE-A84F-B966-700AE99D326F}">
      <text>
        <r>
          <rPr>
            <b/>
            <sz val="10"/>
            <color rgb="FF000000"/>
            <rFont val="Tahoma"/>
            <family val="2"/>
          </rPr>
          <t>Nisaa Wulan:</t>
        </r>
        <r>
          <rPr>
            <sz val="10"/>
            <color rgb="FF000000"/>
            <rFont val="Tahoma"/>
            <family val="2"/>
          </rPr>
          <t xml:space="preserve">
</t>
        </r>
        <r>
          <rPr>
            <sz val="10"/>
            <color rgb="FF000000"/>
            <rFont val="Calibri"/>
            <family val="2"/>
            <scheme val="minor"/>
          </rPr>
          <t xml:space="preserve">Data are provided by Valentina Cambiano - see Debra email on 20210930 </t>
        </r>
      </text>
    </comment>
    <comment ref="AG4" authorId="0" shapeId="0" xr:uid="{577CAF4A-EE62-3548-A890-C3B6624F320D}">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Y5" authorId="0" shapeId="0" xr:uid="{9BAE44F8-80F5-D04B-B3BF-D7211C0687B0}">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Z5" authorId="0" shapeId="0" xr:uid="{F45EDFBC-92A9-B747-9810-86315FE57D36}">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AD12" authorId="1" shapeId="0" xr:uid="{00000000-0006-0000-0600-000001000000}">
      <text>
        <r>
          <rPr>
            <sz val="9"/>
            <color rgb="FF000000"/>
            <rFont val="Tahoma"/>
            <family val="2"/>
          </rPr>
          <t>Source: DHIS2</t>
        </r>
      </text>
    </comment>
    <comment ref="AE19" authorId="0" shapeId="0" xr:uid="{992444D0-0997-4C40-9872-91FF7B56A1BB}">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F19" authorId="0" shapeId="0" xr:uid="{C9274A5B-B02B-E84A-AFC4-258CC0F72032}">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G19" authorId="0" shapeId="0" xr:uid="{3B87176C-1063-A945-8A77-898FE1F7D43D}">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E20" authorId="0" shapeId="0" xr:uid="{743B3C40-921A-4F11-A2C4-A901B2F623C9}">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F20" authorId="0" shapeId="0" xr:uid="{BED7AE23-CC76-2F44-93E3-897DD9D47F5D}">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G20" authorId="0" shapeId="0" xr:uid="{537A4534-A439-0041-97CA-6FEDD83B362E}">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E21" authorId="0" shapeId="0" xr:uid="{BA048401-3271-4EEB-8AA5-A1668A35DA8B}">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F21" authorId="0" shapeId="0" xr:uid="{F2DF078E-8C55-224B-8C79-5AFB30C44B73}">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G21" authorId="0" shapeId="0" xr:uid="{79085982-F01B-234D-B9C2-C58A59DD34EC}">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F36" authorId="0" shapeId="0" xr:uid="{E4D2CAC8-C1B6-714C-80BD-A22A28862E7F}">
      <text>
        <r>
          <rPr>
            <b/>
            <sz val="10"/>
            <color rgb="FF000000"/>
            <rFont val="Tahoma"/>
            <family val="2"/>
          </rPr>
          <t>Nisaa Wulan:</t>
        </r>
        <r>
          <rPr>
            <sz val="10"/>
            <color rgb="FF000000"/>
            <rFont val="Tahoma"/>
            <family val="2"/>
          </rPr>
          <t xml:space="preserve">
</t>
        </r>
        <r>
          <rPr>
            <sz val="10"/>
            <color rgb="FF000000"/>
            <rFont val="Tahoma"/>
            <family val="2"/>
          </rPr>
          <t>COP 2020</t>
        </r>
      </text>
    </comment>
    <comment ref="AG59" authorId="2" shapeId="0" xr:uid="{7EAF5144-154B-4AF9-90A6-EA6C2D3CA7D8}">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59" authorId="3" shapeId="0" xr:uid="{25F4BF24-07A0-4B20-872F-1045962EF78F}">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59" authorId="4" shapeId="0" xr:uid="{9DE3B331-570A-410F-82B0-97E846C67FA5}">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D60" authorId="0" shapeId="0" xr:uid="{7B89747D-500C-724F-9B42-496651E3C739}">
      <text>
        <r>
          <rPr>
            <b/>
            <sz val="10"/>
            <color rgb="FF000000"/>
            <rFont val="Tahoma"/>
            <family val="2"/>
          </rPr>
          <t>Nisaa Wulan:</t>
        </r>
        <r>
          <rPr>
            <sz val="10"/>
            <color rgb="FF000000"/>
            <rFont val="Tahoma"/>
            <family val="2"/>
          </rPr>
          <t xml:space="preserve">
</t>
        </r>
        <r>
          <rPr>
            <sz val="10"/>
            <color rgb="FF000000"/>
            <rFont val="Calibri"/>
            <family val="2"/>
            <scheme val="minor"/>
          </rPr>
          <t>GAM 2020 Country Report</t>
        </r>
        <r>
          <rPr>
            <sz val="10"/>
            <color rgb="FF000000"/>
            <rFont val="Calibri"/>
            <family val="2"/>
            <scheme val="minor"/>
          </rPr>
          <t xml:space="preserve"> </t>
        </r>
      </text>
    </comment>
    <comment ref="AE60" authorId="0" shapeId="0" xr:uid="{44F7A0E4-B28A-DC42-B2C2-744FB3784988}">
      <text>
        <r>
          <rPr>
            <b/>
            <sz val="10"/>
            <color rgb="FF000000"/>
            <rFont val="Tahoma"/>
            <family val="2"/>
          </rPr>
          <t>Nisaa Wulan:</t>
        </r>
        <r>
          <rPr>
            <sz val="10"/>
            <color rgb="FF000000"/>
            <rFont val="Tahoma"/>
            <family val="2"/>
          </rPr>
          <t xml:space="preserve">
</t>
        </r>
        <r>
          <rPr>
            <sz val="10"/>
            <color rgb="FF000000"/>
            <rFont val="Calibri"/>
            <family val="2"/>
          </rPr>
          <t xml:space="preserve">GAM 2020 Country Report </t>
        </r>
      </text>
    </comment>
    <comment ref="AF60" authorId="0" shapeId="0" xr:uid="{27419BF4-7DD2-FD4B-9CBC-462B9B96F552}">
      <text>
        <r>
          <rPr>
            <b/>
            <sz val="10"/>
            <color rgb="FF000000"/>
            <rFont val="Tahoma"/>
            <family val="2"/>
          </rPr>
          <t>Nisaa Wulan:</t>
        </r>
        <r>
          <rPr>
            <sz val="10"/>
            <color rgb="FF000000"/>
            <rFont val="Tahoma"/>
            <family val="2"/>
          </rPr>
          <t xml:space="preserve">
</t>
        </r>
        <r>
          <rPr>
            <sz val="10"/>
            <color rgb="FF000000"/>
            <rFont val="Calibri"/>
            <family val="2"/>
          </rPr>
          <t xml:space="preserve">GAM 2020 Country Report </t>
        </r>
      </text>
    </comment>
    <comment ref="AG60" authorId="5" shapeId="0" xr:uid="{D516D81F-D0DA-4A03-B2AB-D6C8A4CD83DA}">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60" authorId="6" shapeId="0" xr:uid="{D42935D5-F04D-46D3-8CE1-0AEBD9A38C0F}">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60" authorId="7" shapeId="0" xr:uid="{A54495DE-97BF-4669-9F83-67F1D786917D}">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D61" authorId="0" shapeId="0" xr:uid="{3A0D03D3-AA82-A742-80AE-F0BFCB7C1C4A}">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E61" authorId="0" shapeId="0" xr:uid="{B4FB40E5-63FF-5A4F-9BD6-0A1F7131D9EC}">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G61" authorId="8" shapeId="0" xr:uid="{611E398B-B68B-43C4-AC27-BB682F429AD9}">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61" authorId="9" shapeId="0" xr:uid="{E33644C3-2007-459E-A7D2-F1628E9485B4}">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61" authorId="10" shapeId="0" xr:uid="{515B947A-64A5-478A-9945-E8AB4CB86B71}">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W75" authorId="1" shapeId="0" xr:uid="{00000000-0006-0000-0600-000002000000}">
      <text>
        <r>
          <rPr>
            <sz val="9"/>
            <color indexed="81"/>
            <rFont val="Tahoma"/>
            <family val="2"/>
          </rPr>
          <t>AIDSinfo</t>
        </r>
      </text>
    </comment>
    <comment ref="X75" authorId="1" shapeId="0" xr:uid="{00000000-0006-0000-0600-000003000000}">
      <text>
        <r>
          <rPr>
            <sz val="9"/>
            <color indexed="81"/>
            <rFont val="Tahoma"/>
            <family val="2"/>
          </rPr>
          <t>AIDSinfo</t>
        </r>
      </text>
    </comment>
    <comment ref="Y75" authorId="1" shapeId="0" xr:uid="{00000000-0006-0000-0600-000004000000}">
      <text>
        <r>
          <rPr>
            <sz val="9"/>
            <color rgb="FF000000"/>
            <rFont val="Tahoma"/>
            <family val="2"/>
          </rPr>
          <t>AIDSinfo</t>
        </r>
      </text>
    </comment>
    <comment ref="Z75" authorId="1" shapeId="0" xr:uid="{00000000-0006-0000-0600-000005000000}">
      <text>
        <r>
          <rPr>
            <sz val="9"/>
            <color indexed="81"/>
            <rFont val="Tahoma"/>
            <family val="2"/>
          </rPr>
          <t>AIDSinfo</t>
        </r>
      </text>
    </comment>
    <comment ref="AA75" authorId="1" shapeId="0" xr:uid="{00000000-0006-0000-0600-000006000000}">
      <text>
        <r>
          <rPr>
            <sz val="9"/>
            <color indexed="81"/>
            <rFont val="Tahoma"/>
            <family val="2"/>
          </rPr>
          <t>AIDSinfo</t>
        </r>
      </text>
    </comment>
    <comment ref="AB75" authorId="1" shapeId="0" xr:uid="{00000000-0006-0000-0600-000007000000}">
      <text>
        <r>
          <rPr>
            <sz val="9"/>
            <color indexed="81"/>
            <rFont val="Tahoma"/>
            <family val="2"/>
          </rPr>
          <t>AIDSinfo</t>
        </r>
      </text>
    </comment>
    <comment ref="AC75" authorId="1" shapeId="0" xr:uid="{00000000-0006-0000-0600-000008000000}">
      <text>
        <r>
          <rPr>
            <sz val="9"/>
            <color indexed="81"/>
            <rFont val="Tahoma"/>
            <family val="2"/>
          </rPr>
          <t>AIDSinfo</t>
        </r>
      </text>
    </comment>
    <comment ref="AD75" authorId="0" shapeId="0" xr:uid="{92FED248-96C7-EE42-8F4D-3BB8F7C08C06}">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E75" authorId="0" shapeId="0" xr:uid="{F1F97D41-1873-9C4F-AEA2-35DE0332BCAD}">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F75" authorId="0" shapeId="0" xr:uid="{D7294CDF-8FCF-904E-9DA1-591FD0DBABF3}">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G75" authorId="11" shapeId="0" xr:uid="{3E9B345F-506A-4829-8ECD-B2A0F90E712E}">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75" authorId="12" shapeId="0" xr:uid="{05D03950-B0A8-4D32-8547-902C64CA05BD}">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75" authorId="13" shapeId="0" xr:uid="{6BF8CD8C-4789-42D4-BD27-2FF3E4536E38}">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W76" authorId="1" shapeId="0" xr:uid="{00000000-0006-0000-0600-000009000000}">
      <text>
        <r>
          <rPr>
            <sz val="9"/>
            <color indexed="81"/>
            <rFont val="Tahoma"/>
            <family val="2"/>
          </rPr>
          <t xml:space="preserve">Average of high and low
</t>
        </r>
      </text>
    </comment>
    <comment ref="X76" authorId="1" shapeId="0" xr:uid="{00000000-0006-0000-0600-00000A000000}">
      <text>
        <r>
          <rPr>
            <sz val="9"/>
            <color indexed="81"/>
            <rFont val="Tahoma"/>
            <family val="2"/>
          </rPr>
          <t xml:space="preserve">Average of high and low
</t>
        </r>
      </text>
    </comment>
    <comment ref="Y76" authorId="1" shapeId="0" xr:uid="{00000000-0006-0000-0600-00000B000000}">
      <text>
        <r>
          <rPr>
            <sz val="9"/>
            <color indexed="81"/>
            <rFont val="Tahoma"/>
            <family val="2"/>
          </rPr>
          <t xml:space="preserve">Average of high and low
</t>
        </r>
      </text>
    </comment>
    <comment ref="Z76" authorId="1" shapeId="0" xr:uid="{00000000-0006-0000-0600-00000C000000}">
      <text>
        <r>
          <rPr>
            <sz val="9"/>
            <color indexed="81"/>
            <rFont val="Tahoma"/>
            <family val="2"/>
          </rPr>
          <t xml:space="preserve">Average of high and low
</t>
        </r>
      </text>
    </comment>
    <comment ref="AA76" authorId="1" shapeId="0" xr:uid="{00000000-0006-0000-0600-00000D000000}">
      <text>
        <r>
          <rPr>
            <sz val="9"/>
            <color indexed="81"/>
            <rFont val="Tahoma"/>
            <family val="2"/>
          </rPr>
          <t xml:space="preserve">Average of high and low
</t>
        </r>
      </text>
    </comment>
    <comment ref="AB76" authorId="1" shapeId="0" xr:uid="{00000000-0006-0000-0600-00000E000000}">
      <text>
        <r>
          <rPr>
            <sz val="9"/>
            <color indexed="81"/>
            <rFont val="Tahoma"/>
            <family val="2"/>
          </rPr>
          <t xml:space="preserve">Average of high and low
</t>
        </r>
      </text>
    </comment>
    <comment ref="AD76" authorId="0" shapeId="0" xr:uid="{8527E004-C76B-3245-A92D-8D1B73490E0E}">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E76" authorId="0" shapeId="0" xr:uid="{E6D6A9A8-5948-3E4D-A4CB-2B8A39F8F6C8}">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F76" authorId="0" shapeId="0" xr:uid="{BADFF1F2-1219-8745-80C1-B9E7C039A027}">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G76" authorId="14" shapeId="0" xr:uid="{638E7F66-A9B4-479C-B841-FECAB8DEF09E}">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76" authorId="15" shapeId="0" xr:uid="{2423845E-7DB0-4355-838E-A6CBC29F9027}">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76" authorId="16" shapeId="0" xr:uid="{B65758A3-71A6-4690-91EF-1A74D64B647E}">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W77" authorId="1" shapeId="0" xr:uid="{00000000-0006-0000-0600-00000F000000}">
      <text>
        <r>
          <rPr>
            <sz val="9"/>
            <color indexed="81"/>
            <rFont val="Tahoma"/>
            <family val="2"/>
          </rPr>
          <t>AIDSinfo</t>
        </r>
      </text>
    </comment>
    <comment ref="X77" authorId="1" shapeId="0" xr:uid="{00000000-0006-0000-0600-000010000000}">
      <text>
        <r>
          <rPr>
            <sz val="9"/>
            <color indexed="81"/>
            <rFont val="Tahoma"/>
            <family val="2"/>
          </rPr>
          <t>AIDSinfo</t>
        </r>
      </text>
    </comment>
    <comment ref="Y77" authorId="1" shapeId="0" xr:uid="{00000000-0006-0000-0600-000011000000}">
      <text>
        <r>
          <rPr>
            <sz val="9"/>
            <color indexed="81"/>
            <rFont val="Tahoma"/>
            <family val="2"/>
          </rPr>
          <t>AIDSinfo</t>
        </r>
      </text>
    </comment>
    <comment ref="Z77" authorId="1" shapeId="0" xr:uid="{00000000-0006-0000-0600-000012000000}">
      <text>
        <r>
          <rPr>
            <sz val="9"/>
            <color indexed="81"/>
            <rFont val="Tahoma"/>
            <family val="2"/>
          </rPr>
          <t>AIDSinfo</t>
        </r>
      </text>
    </comment>
    <comment ref="AA77" authorId="1" shapeId="0" xr:uid="{00000000-0006-0000-0600-000013000000}">
      <text>
        <r>
          <rPr>
            <sz val="9"/>
            <color indexed="81"/>
            <rFont val="Tahoma"/>
            <family val="2"/>
          </rPr>
          <t>AIDSinfo</t>
        </r>
      </text>
    </comment>
    <comment ref="AB77" authorId="1" shapeId="0" xr:uid="{00000000-0006-0000-0600-000014000000}">
      <text>
        <r>
          <rPr>
            <sz val="9"/>
            <color indexed="81"/>
            <rFont val="Tahoma"/>
            <family val="2"/>
          </rPr>
          <t>AIDSinfo</t>
        </r>
      </text>
    </comment>
    <comment ref="AC77" authorId="1" shapeId="0" xr:uid="{00000000-0006-0000-0600-000015000000}">
      <text>
        <r>
          <rPr>
            <sz val="9"/>
            <color rgb="FF000000"/>
            <rFont val="Tahoma"/>
            <family val="2"/>
          </rPr>
          <t>AIDSinfo</t>
        </r>
      </text>
    </comment>
    <comment ref="AG77" authorId="17" shapeId="0" xr:uid="{71812EB3-BF9C-4856-B498-8EB3073B49EF}">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77" authorId="18" shapeId="0" xr:uid="{A2EECDC1-1E81-4BF3-9728-390B6E5DE38F}">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77" authorId="19" shapeId="0" xr:uid="{5FC3A94A-FF15-4578-8130-729FA8DF5F36}">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D84" authorId="0" shapeId="0" xr:uid="{F150AB5E-684A-AC4A-92F5-EF1F30B83744}">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E84" authorId="0" shapeId="0" xr:uid="{7CF1237A-F02B-8744-8B4F-C4314E80005B}">
      <text>
        <r>
          <rPr>
            <b/>
            <sz val="10"/>
            <color rgb="FF000000"/>
            <rFont val="Tahoma"/>
            <family val="2"/>
          </rPr>
          <t>Nisaa Wulan:</t>
        </r>
        <r>
          <rPr>
            <sz val="10"/>
            <color rgb="FF000000"/>
            <rFont val="Tahoma"/>
            <family val="2"/>
          </rPr>
          <t xml:space="preserve">
</t>
        </r>
        <r>
          <rPr>
            <sz val="10"/>
            <color rgb="FF000000"/>
            <rFont val="Calibri"/>
            <family val="2"/>
            <scheme val="minor"/>
          </rPr>
          <t>GAM 2020 Country Report</t>
        </r>
        <r>
          <rPr>
            <sz val="10"/>
            <color rgb="FF000000"/>
            <rFont val="Calibri"/>
            <family val="2"/>
            <scheme val="minor"/>
          </rPr>
          <t xml:space="preserve"> </t>
        </r>
      </text>
    </comment>
    <comment ref="AF84" authorId="0" shapeId="0" xr:uid="{905C8C95-0F25-C94C-96AD-A0BA240B32EB}">
      <text>
        <r>
          <rPr>
            <b/>
            <sz val="10"/>
            <color rgb="FF000000"/>
            <rFont val="Tahoma"/>
            <family val="2"/>
          </rPr>
          <t>Nisaa Wulan:</t>
        </r>
        <r>
          <rPr>
            <sz val="10"/>
            <color rgb="FF000000"/>
            <rFont val="Tahoma"/>
            <family val="2"/>
          </rPr>
          <t xml:space="preserve">
</t>
        </r>
        <r>
          <rPr>
            <sz val="10"/>
            <color rgb="FF000000"/>
            <rFont val="Calibri"/>
            <family val="2"/>
          </rPr>
          <t xml:space="preserve">GAM 2020 Country Report </t>
        </r>
      </text>
    </comment>
    <comment ref="AC91" authorId="1" shapeId="0" xr:uid="{00000000-0006-0000-0600-000016000000}">
      <text>
        <r>
          <rPr>
            <sz val="9"/>
            <color rgb="FF000000"/>
            <rFont val="Tahoma"/>
            <family val="2"/>
          </rPr>
          <t xml:space="preserve">Source: 2015-16 ZIMPHIA, females
</t>
        </r>
      </text>
    </comment>
    <comment ref="AG91" authorId="20" shapeId="0" xr:uid="{D6DD4A56-1A17-47B0-8951-FE2AAA4A47E5}">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91" authorId="21" shapeId="0" xr:uid="{54FEFDF7-1FDA-4D92-9E9E-01055D2B6E97}">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91" authorId="22" shapeId="0" xr:uid="{F953F244-2C01-4C6F-91FE-4940EE90E33B}">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C92" authorId="1" shapeId="0" xr:uid="{00000000-0006-0000-0600-000017000000}">
      <text>
        <r>
          <rPr>
            <sz val="9"/>
            <color rgb="FF000000"/>
            <rFont val="Tahoma"/>
            <family val="2"/>
          </rPr>
          <t xml:space="preserve">Source: 2015-16 ZIMPHIA conducted October 2015 to August 2016
</t>
        </r>
      </text>
    </comment>
    <comment ref="AD92" authorId="0" shapeId="0" xr:uid="{FF28B9BD-B048-C343-829A-41D4CA029BA3}">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E92" authorId="0" shapeId="0" xr:uid="{1B446726-20EA-3946-A07A-D7D898B3F776}">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F92" authorId="0" shapeId="0" xr:uid="{AEEEE8C2-9015-A047-AEDB-B8AE1E19CF6F}">
      <text>
        <r>
          <rPr>
            <b/>
            <sz val="10"/>
            <color rgb="FF000000"/>
            <rFont val="Tahoma"/>
            <family val="2"/>
          </rPr>
          <t>Nisaa Wulan:</t>
        </r>
        <r>
          <rPr>
            <sz val="10"/>
            <color rgb="FF000000"/>
            <rFont val="Tahoma"/>
            <family val="2"/>
          </rPr>
          <t xml:space="preserve">
</t>
        </r>
        <r>
          <rPr>
            <sz val="10"/>
            <color rgb="FF000000"/>
            <rFont val="Calibri"/>
            <family val="2"/>
          </rPr>
          <t xml:space="preserve">UNAIDS Global AIDS Update 2021 accessed 20210907 </t>
        </r>
      </text>
    </comment>
    <comment ref="AG92" authorId="23" shapeId="0" xr:uid="{F4A2F3EB-8B51-4C19-95C0-F0EE6BEA79D4}">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92" authorId="24" shapeId="0" xr:uid="{37C2F332-A7ED-4EDA-8B36-034559569222}">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92" authorId="25" shapeId="0" xr:uid="{068EC7F7-6F18-4FA1-8F6C-0452853FA334}">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C93" authorId="1" shapeId="0" xr:uid="{00000000-0006-0000-0600-000018000000}">
      <text>
        <r>
          <rPr>
            <sz val="9"/>
            <color indexed="81"/>
            <rFont val="Tahoma"/>
            <family val="2"/>
          </rPr>
          <t xml:space="preserve">Source: 2015-16 ZIMPHIA, females
</t>
        </r>
      </text>
    </comment>
    <comment ref="AG93" authorId="26" shapeId="0" xr:uid="{3FC93066-C39B-4F26-BD8C-D0FB4EDB4450}">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93" authorId="27" shapeId="0" xr:uid="{D259F8E5-F791-4DF0-BBAC-3E9054DCA14F}">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93" authorId="28" shapeId="0" xr:uid="{9262B291-B5C6-41C4-AFDF-AC5113B0D830}">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tc={2AD4D63F-A572-4404-8FCE-030FCE045BCE}</author>
    <author>tc={799F16C3-6B83-48C6-A3ED-BBA05CF7D962}</author>
    <author>tc={5B78F803-B669-4B9B-8150-A3EE9F0BE4DC}</author>
    <author>Sherrie Kelly</author>
    <author>tc={D5A95AD0-43CF-4E03-A2AD-72082B30897A}</author>
    <author>tc={BBDA06F0-D33E-4119-9BA6-AFB5E7B7DA6A}</author>
    <author>tc={58A535C2-46C6-4A27-AFA5-9980954BC2FA}</author>
    <author>tc={7B550D3A-BEDC-457A-9E1D-5D121BF650C9}</author>
    <author>tc={F03DCA87-824C-4DBF-9F7A-E9C13A16F3A6}</author>
    <author>tc={A70A8369-C6B3-4E1F-B8B9-B1E0B73D048B}</author>
    <author>tc={807ABB5B-CCD2-4BE7-B9B5-CF7B29516088}</author>
    <author>tc={BD2A1661-C57E-4EC0-A96A-3D51E84A6DE2}</author>
    <author>tc={F07324C9-8EBD-46CE-A616-0A4C9BFA273A}</author>
  </authors>
  <commentList>
    <comment ref="AC3" authorId="0" shapeId="0" xr:uid="{2AD4D63F-A572-4404-8FCE-030FCE045BCE}">
      <text>
        <t>[Threaded comment]
Your version of Excel allows you to read this threaded comment; however, any edits to it will get removed if the file is opened in a newer version of Excel. Learn more: https://go.microsoft.com/fwlink/?linkid=870924
Comment:
    Previously 0.1</t>
      </text>
    </comment>
    <comment ref="BZ3" authorId="1" shapeId="0" xr:uid="{799F16C3-6B83-48C6-A3ED-BBA05CF7D962}">
      <text>
        <t>[Threaded comment]
Your version of Excel allows you to read this threaded comment; however, any edits to it will get removed if the file is opened in a newer version of Excel. Learn more: https://go.microsoft.com/fwlink/?linkid=870924
Comment:
    Previously 0.1</t>
      </text>
    </comment>
    <comment ref="AC24" authorId="2" shapeId="0" xr:uid="{5B78F803-B669-4B9B-8150-A3EE9F0BE4DC}">
      <text>
        <t>[Threaded comment]
Your version of Excel allows you to read this threaded comment; however, any edits to it will get removed if the file is opened in a newer version of Excel. Learn more: https://go.microsoft.com/fwlink/?linkid=870924
Comment:
    Previously 0.1</t>
      </text>
    </comment>
    <comment ref="AD29" authorId="3" shapeId="0" xr:uid="{00000000-0006-0000-0700-000001000000}">
      <text>
        <r>
          <rPr>
            <sz val="9"/>
            <color rgb="FF000000"/>
            <rFont val="Tahoma"/>
            <family val="2"/>
          </rPr>
          <t>Source: LTFU/ on ART from ePMS</t>
        </r>
      </text>
    </comment>
    <comment ref="AT29" authorId="3" shapeId="0" xr:uid="{00000000-0006-0000-0700-000002000000}">
      <text>
        <r>
          <rPr>
            <sz val="9"/>
            <color indexed="81"/>
            <rFont val="Tahoma"/>
            <family val="2"/>
          </rPr>
          <t>Source: ePMS</t>
        </r>
        <r>
          <rPr>
            <sz val="9"/>
            <color indexed="81"/>
            <rFont val="Tahoma"/>
            <family val="2"/>
          </rPr>
          <t xml:space="preserve">
</t>
        </r>
      </text>
    </comment>
    <comment ref="AU29" authorId="3" shapeId="0" xr:uid="{00000000-0006-0000-0700-000003000000}">
      <text>
        <r>
          <rPr>
            <sz val="9"/>
            <color indexed="81"/>
            <rFont val="Tahoma"/>
            <family val="2"/>
          </rPr>
          <t>Source: ePMS</t>
        </r>
        <r>
          <rPr>
            <sz val="9"/>
            <color indexed="81"/>
            <rFont val="Tahoma"/>
            <family val="2"/>
          </rPr>
          <t xml:space="preserve">
</t>
        </r>
      </text>
    </comment>
    <comment ref="CA29" authorId="3" shapeId="0" xr:uid="{A3C65397-003E-4C36-AD84-29B6547359A2}">
      <text>
        <r>
          <rPr>
            <sz val="9"/>
            <color rgb="FF000000"/>
            <rFont val="Tahoma"/>
            <family val="2"/>
          </rPr>
          <t>Source: LTFU/ on ART from ePMS</t>
        </r>
      </text>
    </comment>
    <comment ref="M51" authorId="4" shapeId="0" xr:uid="{D5A95AD0-43CF-4E03-A2AD-72082B30897A}">
      <text>
        <t>[Threaded comment]
Your version of Excel allows you to read this threaded comment; however, any edits to it will get removed if the file is opened in a newer version of Excel. Learn more: https://go.microsoft.com/fwlink/?linkid=870924
Comment:
    Previously 20%</t>
      </text>
    </comment>
    <comment ref="V51" authorId="5" shapeId="0" xr:uid="{BBDA06F0-D33E-4119-9BA6-AFB5E7B7DA6A}">
      <text>
        <t>[Threaded comment]
Your version of Excel allows you to read this threaded comment; however, any edits to it will get removed if the file is opened in a newer version of Excel. Learn more: https://go.microsoft.com/fwlink/?linkid=870924
Comment:
    Previously 25%</t>
      </text>
    </comment>
    <comment ref="AC51" authorId="6" shapeId="0" xr:uid="{58A535C2-46C6-4A27-AFA5-9980954BC2FA}">
      <text>
        <t>[Threaded comment]
Your version of Excel allows you to read this threaded comment; however, any edits to it will get removed if the file is opened in a newer version of Excel. Learn more: https://go.microsoft.com/fwlink/?linkid=870924
Comment:
    Previously 13%</t>
      </text>
    </comment>
    <comment ref="AS51" authorId="7" shapeId="0" xr:uid="{7B550D3A-BEDC-457A-9E1D-5D121BF650C9}">
      <text>
        <t>[Threaded comment]
Your version of Excel allows you to read this threaded comment; however, any edits to it will get removed if the file is opened in a newer version of Excel. Learn more: https://go.microsoft.com/fwlink/?linkid=870924
Comment:
    Added for calibration purposes</t>
      </text>
    </comment>
    <comment ref="BZ51" authorId="8" shapeId="0" xr:uid="{F03DCA87-824C-4DBF-9F7A-E9C13A16F3A6}">
      <text>
        <t>[Threaded comment]
Your version of Excel allows you to read this threaded comment; however, any edits to it will get removed if the file is opened in a newer version of Excel. Learn more: https://go.microsoft.com/fwlink/?linkid=870924
Comment:
    Previously 13%</t>
      </text>
    </comment>
    <comment ref="CC51" authorId="9" shapeId="0" xr:uid="{A70A8369-C6B3-4E1F-B8B9-B1E0B73D048B}">
      <text>
        <t>[Threaded comment]
Your version of Excel allows you to read this threaded comment; however, any edits to it will get removed if the file is opened in a newer version of Excel. Learn more: https://go.microsoft.com/fwlink/?linkid=870924
Comment:
    Added for calibration purposes</t>
      </text>
    </comment>
    <comment ref="AC57" authorId="10" shapeId="0" xr:uid="{807ABB5B-CCD2-4BE7-B9B5-CF7B29516088}">
      <text>
        <t>[Threaded comment]
Your version of Excel allows you to read this threaded comment; however, any edits to it will get removed if the file is opened in a newer version of Excel. Learn more: https://go.microsoft.com/fwlink/?linkid=870924
Comment:
    Previously 0.1</t>
      </text>
    </comment>
    <comment ref="AB78" authorId="3" shapeId="0" xr:uid="{00000000-0006-0000-0700-000004000000}">
      <text>
        <r>
          <rPr>
            <sz val="9"/>
            <color indexed="81"/>
            <rFont val="Tahoma"/>
            <family val="2"/>
          </rPr>
          <t xml:space="preserve">Previously 39,000 
Targeted, likely only for PLHIV who are symptomatic.
</t>
        </r>
      </text>
    </comment>
    <comment ref="AS84" authorId="11" shapeId="0" xr:uid="{BD2A1661-C57E-4EC0-A96A-3D51E84A6DE2}">
      <text>
        <t>[Threaded comment]
Your version of Excel allows you to read this threaded comment; however, any edits to it will get removed if the file is opened in a newer version of Excel. Learn more: https://go.microsoft.com/fwlink/?linkid=870924
Comment:
    Default assumption</t>
      </text>
    </comment>
    <comment ref="AS90" authorId="12" shapeId="0" xr:uid="{F07324C9-8EBD-46CE-A616-0A4C9BFA273A}">
      <text>
        <t>[Threaded comment]
Your version of Excel allows you to read this threaded comment; however, any edits to it will get removed if the file is opened in a newer version of Excel. Learn more: https://go.microsoft.com/fwlink/?linkid=870924
Comment:
    Default assumption</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Maria del Mar Quiroga</author>
    <author>Sherrie Kelly</author>
    <author>Anna Bowring</author>
    <author>tc={85D3D85D-CECF-4160-982A-BC8EC07CD68C}</author>
    <author>tc={10C06F70-DFF0-4F38-B43D-81259A9BC358}</author>
    <author>tc={2AB5A828-641E-634D-AE78-075B871DBCC8}</author>
    <author>tc={B042E9DF-AC9C-4A72-9860-F8635F9E04FC}</author>
    <author>tc={9F26866F-0F95-2A4E-BF3D-A38B498F8914}</author>
    <author>tc={7EE220D5-918B-487C-BD9C-81972CFCDBA8}</author>
    <author>tc={9D32DAAD-21BA-544C-99DE-B2964964AB09}</author>
    <author>tc={3B99DC2F-A196-A144-A16D-742071FB0ABA}</author>
    <author>tc={23501EC0-D31F-1345-8B3A-DB1F2D3A569E}</author>
    <author>Nisaa Wulan</author>
    <author>tc={B80ECF95-CB2C-4A41-B09F-1FD5C14B907B}</author>
    <author>tc={0013C4AD-F9B0-4E42-A1EF-0728F24034A0}</author>
    <author>tc={64771324-FBE3-1F43-9C4D-C2E96E663FF7}</author>
    <author>tc={94538088-97B5-4DA7-B7E7-66C0B94B77F7}</author>
    <author>tc={FB831DB5-548E-4A41-8FD6-ED8D4C460874}</author>
    <author>tc={F912C439-37D9-D545-A12C-9949FC7E34F9}</author>
    <author>tc={17459707-5BC5-AA49-8ACE-54C747F08371}</author>
    <author>tc={8C83A583-D72B-47F2-967B-5024DB21CF7C}</author>
    <author>tc={2E781256-BB5B-4C35-91AF-2A0E815CBDC3}</author>
    <author>tc={4CFC7660-6118-4A76-9463-6E7D845C467B}</author>
    <author>tc={372DF097-EB0B-4C75-8C60-8868060A7354}</author>
  </authors>
  <commentList>
    <comment ref="B6" authorId="0" shapeId="0" xr:uid="{00000000-0006-0000-0800-000001000000}">
      <text>
        <r>
          <rPr>
            <sz val="9"/>
            <color indexed="81"/>
            <rFont val="Tahoma"/>
            <family val="2"/>
          </rPr>
          <t>Check  Partnerships and transitions tab, no conyugfal visits.</t>
        </r>
      </text>
    </comment>
    <comment ref="M6" authorId="1" shapeId="0" xr:uid="{00000000-0006-0000-0800-000002000000}">
      <text>
        <r>
          <rPr>
            <sz val="9"/>
            <color indexed="81"/>
            <rFont val="Tahoma"/>
            <family val="2"/>
          </rPr>
          <t xml:space="preserve">Halved, as only prisoner-prisoner interactions
</t>
        </r>
      </text>
    </comment>
    <comment ref="R6" authorId="1" shapeId="0" xr:uid="{00000000-0006-0000-0800-000003000000}">
      <text>
        <r>
          <rPr>
            <sz val="9"/>
            <color indexed="81"/>
            <rFont val="Tahoma"/>
            <family val="2"/>
          </rPr>
          <t xml:space="preserve">Halved, as only prisoner-prisoner interactions
</t>
        </r>
      </text>
    </comment>
    <comment ref="W6" authorId="1" shapeId="0" xr:uid="{00000000-0006-0000-0800-000004000000}">
      <text>
        <r>
          <rPr>
            <sz val="9"/>
            <color indexed="81"/>
            <rFont val="Tahoma"/>
            <family val="2"/>
          </rPr>
          <t xml:space="preserve">Halved, as only prisoner-prisoner interactions
</t>
        </r>
      </text>
    </comment>
    <comment ref="AB6" authorId="1" shapeId="0" xr:uid="{00000000-0006-0000-0800-000005000000}">
      <text>
        <r>
          <rPr>
            <sz val="9"/>
            <color indexed="81"/>
            <rFont val="Tahoma"/>
            <family val="2"/>
          </rPr>
          <t xml:space="preserve">Halved, as only prisoner-prisoner interactions
</t>
        </r>
      </text>
    </comment>
    <comment ref="M17" authorId="2" shapeId="0" xr:uid="{DB58247D-3DA0-4D47-945F-9446B7A1D515}">
      <text>
        <r>
          <rPr>
            <b/>
            <sz val="10"/>
            <color rgb="FF000000"/>
            <rFont val="Tahoma"/>
            <family val="2"/>
          </rPr>
          <t>Anna Bowring:</t>
        </r>
        <r>
          <rPr>
            <sz val="10"/>
            <color rgb="FF000000"/>
            <rFont val="Tahoma"/>
            <family val="2"/>
          </rPr>
          <t xml:space="preserve">
</t>
        </r>
        <r>
          <rPr>
            <sz val="10"/>
            <color rgb="FF000000"/>
            <rFont val="Tahoma"/>
            <family val="2"/>
          </rPr>
          <t>was 75</t>
        </r>
      </text>
    </comment>
    <comment ref="R17" authorId="2" shapeId="0" xr:uid="{4C34F428-4680-C649-B5F4-6B87DF2E9935}">
      <text>
        <r>
          <rPr>
            <b/>
            <sz val="10"/>
            <color rgb="FF000000"/>
            <rFont val="Tahoma"/>
            <family val="2"/>
          </rPr>
          <t>Anna Bowring:</t>
        </r>
        <r>
          <rPr>
            <sz val="10"/>
            <color rgb="FF000000"/>
            <rFont val="Tahoma"/>
            <family val="2"/>
          </rPr>
          <t xml:space="preserve">
</t>
        </r>
        <r>
          <rPr>
            <sz val="10"/>
            <color rgb="FF000000"/>
            <rFont val="Tahoma"/>
            <family val="2"/>
          </rPr>
          <t xml:space="preserve">was 67	</t>
        </r>
      </text>
    </comment>
    <comment ref="W17" authorId="2" shapeId="0" xr:uid="{373A36F5-59ED-2A48-A9A0-0E9A8FD3E3D5}">
      <text>
        <r>
          <rPr>
            <b/>
            <sz val="10"/>
            <color rgb="FF000000"/>
            <rFont val="Tahoma"/>
            <family val="2"/>
          </rPr>
          <t>Anna Bowring:</t>
        </r>
        <r>
          <rPr>
            <sz val="10"/>
            <color rgb="FF000000"/>
            <rFont val="Tahoma"/>
            <family val="2"/>
          </rPr>
          <t xml:space="preserve">
</t>
        </r>
        <r>
          <rPr>
            <sz val="10"/>
            <color rgb="FF000000"/>
            <rFont val="Tahoma"/>
            <family val="2"/>
          </rPr>
          <t>was 64</t>
        </r>
      </text>
    </comment>
    <comment ref="AB17" authorId="2" shapeId="0" xr:uid="{F35D043F-56BA-BE4D-8071-ED039B596A6C}">
      <text>
        <r>
          <rPr>
            <b/>
            <sz val="10"/>
            <color rgb="FF000000"/>
            <rFont val="Tahoma"/>
            <family val="2"/>
          </rPr>
          <t>Anna Bowring:</t>
        </r>
        <r>
          <rPr>
            <sz val="10"/>
            <color rgb="FF000000"/>
            <rFont val="Tahoma"/>
            <family val="2"/>
          </rPr>
          <t xml:space="preserve">
</t>
        </r>
        <r>
          <rPr>
            <sz val="10"/>
            <color rgb="FF000000"/>
            <rFont val="Tahoma"/>
            <family val="2"/>
          </rPr>
          <t>was 66</t>
        </r>
      </text>
    </comment>
    <comment ref="B27" authorId="0" shapeId="0" xr:uid="{00000000-0006-0000-0800-000006000000}">
      <text>
        <r>
          <rPr>
            <sz val="9"/>
            <color indexed="81"/>
            <rFont val="Tahoma"/>
            <family val="2"/>
          </rPr>
          <t>Check  Partnerships and transitions tab, no conyugfal visits.</t>
        </r>
      </text>
    </comment>
    <comment ref="M27" authorId="1" shapeId="0" xr:uid="{00000000-0006-0000-0800-000007000000}">
      <text>
        <r>
          <rPr>
            <sz val="9"/>
            <color indexed="81"/>
            <rFont val="Tahoma"/>
            <family val="2"/>
          </rPr>
          <t xml:space="preserve">Halved, as only prisoner-prisoner interactions
</t>
        </r>
      </text>
    </comment>
    <comment ref="AB27" authorId="1" shapeId="0" xr:uid="{00000000-0006-0000-0800-000008000000}">
      <text>
        <r>
          <rPr>
            <sz val="9"/>
            <color indexed="81"/>
            <rFont val="Tahoma"/>
            <family val="2"/>
          </rPr>
          <t xml:space="preserve">Halved, as only prisoner-prisoner interactions
</t>
        </r>
      </text>
    </comment>
    <comment ref="R45" authorId="1" shapeId="0" xr:uid="{00000000-0006-0000-0800-000009000000}">
      <text>
        <r>
          <rPr>
            <sz val="9"/>
            <color indexed="81"/>
            <rFont val="Tahoma"/>
            <family val="2"/>
          </rPr>
          <t xml:space="preserve">Formerly: 359
Source: DHS
</t>
        </r>
      </text>
    </comment>
    <comment ref="W45" authorId="1" shapeId="0" xr:uid="{00000000-0006-0000-0800-00000A000000}">
      <text>
        <r>
          <rPr>
            <sz val="9"/>
            <color indexed="81"/>
            <rFont val="Tahoma"/>
            <family val="2"/>
          </rPr>
          <t xml:space="preserve">Formerly: 284
Source: DHS
</t>
        </r>
      </text>
    </comment>
    <comment ref="AB45" authorId="1" shapeId="0" xr:uid="{00000000-0006-0000-0800-00000B000000}">
      <text>
        <r>
          <rPr>
            <sz val="9"/>
            <color indexed="81"/>
            <rFont val="Tahoma"/>
            <family val="2"/>
          </rPr>
          <t xml:space="preserve">Formerly: 331
Source: DHS
</t>
        </r>
      </text>
    </comment>
    <comment ref="AC129" authorId="3" shapeId="0" xr:uid="{85D3D85D-CECF-4160-982A-BC8EC07CD68C}">
      <text>
        <t>[Threaded comment]
Your version of Excel allows you to read this threaded comment; however, any edits to it will get removed if the file is opened in a newer version of Excel. Learn more: https://go.microsoft.com/fwlink/?linkid=870924
Comment:
    Previously 14%
Updated based on nonmedical circumcision
ZIMPHIA 2017, p 67, 15-49 years</t>
      </text>
    </comment>
    <comment ref="BG129" authorId="4" shapeId="0" xr:uid="{10C06F70-DFF0-4F38-B43D-81259A9BC358}">
      <text>
        <t>[Threaded comment]
Your version of Excel allows you to read this threaded comment; however, any edits to it will get removed if the file is opened in a newer version of Excel. Learn more: https://go.microsoft.com/fwlink/?linkid=870924
Comment:
    Previous value 9%</t>
      </text>
    </comment>
    <comment ref="CC129" authorId="5" shapeId="0" xr:uid="{2AB5A828-641E-634D-AE78-075B871DBCC8}">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0" authorId="6" shapeId="0" xr:uid="{B042E9DF-AC9C-4A72-9860-F8635F9E04FC}">
      <text>
        <t>[Threaded comment]
Your version of Excel allows you to read this threaded comment; however, any edits to it will get removed if the file is opened in a newer version of Excel. Learn more: https://go.microsoft.com/fwlink/?linkid=870924
Comment:
    Previously 14%
Updated based on nonmedical circumcision
ZIMPHIA 2017, p 67, 15-49 years</t>
      </text>
    </comment>
    <comment ref="CC130" authorId="7" shapeId="0" xr:uid="{9F26866F-0F95-2A4E-BF3D-A38B498F8914}">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1" authorId="8" shapeId="0" xr:uid="{7EE220D5-918B-487C-BD9C-81972CFCDBA8}">
      <text>
        <t>[Threaded comment]
Your version of Excel allows you to read this threaded comment; however, any edits to it will get removed if the file is opened in a newer version of Excel. Learn more: https://go.microsoft.com/fwlink/?linkid=870924
Comment:
    Previously 14%
Updated based on nonmedical circumcision
ZIMPHIA 2017, p 67, 15-49 years</t>
      </text>
    </comment>
    <comment ref="CC131" authorId="9" shapeId="0" xr:uid="{9D32DAAD-21BA-544C-99DE-B2964964AB09}">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S132" authorId="10" shapeId="0" xr:uid="{3B99DC2F-A196-A144-A16D-742071FB0ABA}">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CC132" authorId="11" shapeId="0" xr:uid="{23501EC0-D31F-1345-8B3A-DB1F2D3A569E}">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S133" authorId="12" shapeId="0" xr:uid="{98E20F24-41A6-8548-8809-412C9B3EABB9}">
      <text>
        <r>
          <rPr>
            <b/>
            <sz val="10"/>
            <color rgb="FF000000"/>
            <rFont val="Tahoma"/>
            <family val="2"/>
          </rPr>
          <t>Nisaa Wulan:</t>
        </r>
        <r>
          <rPr>
            <sz val="10"/>
            <color rgb="FF000000"/>
            <rFont val="Tahoma"/>
            <family val="2"/>
          </rPr>
          <t xml:space="preserve">
</t>
        </r>
        <r>
          <rPr>
            <sz val="10"/>
            <color rgb="FF000000"/>
            <rFont val="Tahoma"/>
            <family val="2"/>
          </rPr>
          <t>Household survey - from the model comparison slides</t>
        </r>
      </text>
    </comment>
    <comment ref="W133" authorId="12" shapeId="0" xr:uid="{023EBD28-5111-0643-872B-FB4F0ABEFA55}">
      <text>
        <r>
          <rPr>
            <b/>
            <sz val="10"/>
            <color rgb="FF000000"/>
            <rFont val="Tahoma"/>
            <family val="2"/>
          </rPr>
          <t>Nisaa Wulan:</t>
        </r>
        <r>
          <rPr>
            <sz val="10"/>
            <color rgb="FF000000"/>
            <rFont val="Tahoma"/>
            <family val="2"/>
          </rPr>
          <t xml:space="preserve">
</t>
        </r>
        <r>
          <rPr>
            <sz val="10"/>
            <color rgb="FF000000"/>
            <rFont val="Calibri"/>
            <family val="2"/>
            <scheme val="minor"/>
          </rPr>
          <t>Household survey - from the model comparison slides</t>
        </r>
        <r>
          <rPr>
            <sz val="10"/>
            <color rgb="FF000000"/>
            <rFont val="Calibri"/>
            <family val="2"/>
            <scheme val="minor"/>
          </rPr>
          <t xml:space="preserve">
</t>
        </r>
      </text>
    </comment>
    <comment ref="AC133" authorId="2" shapeId="0" xr:uid="{537E75BC-0852-4DA6-8A51-582733AECE13}">
      <text>
        <r>
          <rPr>
            <sz val="9"/>
            <color indexed="81"/>
            <rFont val="Tahoma"/>
            <family val="2"/>
          </rPr>
          <t>Source: Previously 15%. Updated based on nonmedical circumcision, ZIMPHIA 2017 pg 67</t>
        </r>
      </text>
    </comment>
    <comment ref="AG133" authorId="12" shapeId="0" xr:uid="{7778454B-2BF3-F742-AC41-00111B99CFF2}">
      <text>
        <r>
          <rPr>
            <b/>
            <sz val="10"/>
            <color rgb="FF000000"/>
            <rFont val="Tahoma"/>
            <family val="2"/>
          </rPr>
          <t>Source: Previously 25%. Updated based on nonmedical circumcision, ZIMPHIA pg 116</t>
        </r>
      </text>
    </comment>
    <comment ref="CC133" authorId="13" shapeId="0" xr:uid="{B80ECF95-CB2C-4A41-B09F-1FD5C14B907B}">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4" authorId="2" shapeId="0" xr:uid="{06322883-35F4-4F3A-84B8-2DB0D059FF7E}">
      <text>
        <r>
          <rPr>
            <sz val="9"/>
            <color indexed="81"/>
            <rFont val="Tahoma"/>
            <family val="2"/>
          </rPr>
          <t>Source: Previously 15%. Updated based on nonmedical circumcision, ZIMPHIA 2017 pg 67</t>
        </r>
      </text>
    </comment>
    <comment ref="AG134" authorId="2" shapeId="0" xr:uid="{DBFF5C7E-0FCB-4D4B-9D98-C26FD0A8D7CC}">
      <text>
        <r>
          <rPr>
            <sz val="9"/>
            <color indexed="81"/>
            <rFont val="Tahoma"/>
            <family val="2"/>
          </rPr>
          <t>Source: Previously 25%. Updated based on nonmedical circumcision, ZIMPHIA pg 116</t>
        </r>
      </text>
    </comment>
    <comment ref="CC134" authorId="14" shapeId="0" xr:uid="{0013C4AD-F9B0-4E42-A1EF-0728F24034A0}">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5" authorId="2" shapeId="0" xr:uid="{5C370B89-48A4-4260-BD45-E1BA1F30461D}">
      <text>
        <r>
          <rPr>
            <sz val="9"/>
            <color indexed="81"/>
            <rFont val="Tahoma"/>
            <family val="2"/>
          </rPr>
          <t>Source: Previously 15%. Updated based on nonmedical circumcision, ZIMPHIA 2017 pg 67</t>
        </r>
      </text>
    </comment>
    <comment ref="AG135" authorId="2" shapeId="0" xr:uid="{1B34AF28-5C93-402C-995D-A33A16DBE096}">
      <text>
        <r>
          <rPr>
            <sz val="9"/>
            <color indexed="81"/>
            <rFont val="Tahoma"/>
            <family val="2"/>
          </rPr>
          <t>Source: Previously 25%. Updated based on nonmedical circumcision, ZIMPHIA pg 116</t>
        </r>
      </text>
    </comment>
    <comment ref="CC135" authorId="15" shapeId="0" xr:uid="{64771324-FBE3-1F43-9C4D-C2E96E663FF7}">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6" authorId="2" shapeId="0" xr:uid="{2769322C-AD7D-4AD3-9F88-78663D445671}">
      <text>
        <r>
          <rPr>
            <sz val="9"/>
            <color indexed="81"/>
            <rFont val="Tahoma"/>
            <family val="2"/>
          </rPr>
          <t>Source: Previously 15%. Updated based on nonmedical circumcision, ZIMPHIA 2017 pg 67</t>
        </r>
      </text>
    </comment>
    <comment ref="AG136" authorId="16" shapeId="0" xr:uid="{94538088-97B5-4DA7-B7E7-66C0B94B77F7}">
      <text>
        <t>[Threaded comment]
Your version of Excel allows you to read this threaded comment; however, any edits to it will get removed if the file is opened in a newer version of Excel. Learn more: https://go.microsoft.com/fwlink/?linkid=870924
Comment:
    Previously 25%
Updated based on nonmedical circumcision
ZIMPHIA 2020, pg 116</t>
      </text>
    </comment>
    <comment ref="CC136" authorId="17" shapeId="0" xr:uid="{FB831DB5-548E-4A41-8FD6-ED8D4C460874}">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7" authorId="2" shapeId="0" xr:uid="{6E8D32EF-7240-4A97-B706-A430736CA0EC}">
      <text>
        <r>
          <rPr>
            <sz val="9"/>
            <color indexed="81"/>
            <rFont val="Tahoma"/>
            <family val="2"/>
          </rPr>
          <t>Source: Previously 15%. Updated based on nonmedical circumcision, ZIMPHIA 2017 pg 67</t>
        </r>
      </text>
    </comment>
    <comment ref="AS137" authorId="18" shapeId="0" xr:uid="{F912C439-37D9-D545-A12C-9949FC7E34F9}">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CC137" authorId="19" shapeId="0" xr:uid="{17459707-5BC5-AA49-8ACE-54C747F08371}">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Z143" authorId="20" shapeId="0" xr:uid="{8C83A583-D72B-47F2-967B-5024DB21CF7C}">
      <text>
        <t>[Threaded comment]
Your version of Excel allows you to read this threaded comment; however, any edits to it will get removed if the file is opened in a newer version of Excel. Learn more: https://go.microsoft.com/fwlink/?linkid=870924
Comment:
    VMMC strategy launched</t>
      </text>
    </comment>
    <comment ref="AV144" authorId="2" shapeId="0" xr:uid="{146E990D-21F7-456D-9DAC-B21998605832}">
      <text>
        <r>
          <rPr>
            <sz val="9"/>
            <color indexed="81"/>
            <rFont val="Tahoma"/>
            <family val="2"/>
          </rPr>
          <t>Source: VMMC progress brief 2022, https://cdn.who.int/media/docs/default-source/hq-hiv-hepatitis-and-stis-library/who-unaids-male-circumcision-progress-brief-2022.pdf?sfvrsn=2852eedf_1&amp;ua=1</t>
        </r>
      </text>
    </comment>
    <comment ref="AW144" authorId="2" shapeId="0" xr:uid="{825C6F0F-C5B7-42FE-B7C0-AE7E9CCDAD3E}">
      <text>
        <r>
          <rPr>
            <sz val="9"/>
            <color indexed="81"/>
            <rFont val="Tahoma"/>
            <family val="2"/>
          </rPr>
          <t>Source: VMMC progress brief 2022, https://cdn.who.int/media/docs/default-source/hq-hiv-hepatitis-and-stis-library/who-unaids-male-circumcision-progress-brief-2022.pdf?sfvrsn=2852eedf_1&amp;ua=1</t>
        </r>
      </text>
    </comment>
    <comment ref="BI144" authorId="21" shapeId="0" xr:uid="{2E781256-BB5B-4C35-91AF-2A0E815CBDC3}">
      <text>
        <t>[Threaded comment]
Your version of Excel allows you to read this threaded comment; however, any edits to it will get removed if the file is opened in a newer version of Excel. Learn more: https://go.microsoft.com/fwlink/?linkid=870924
Comment:
    AIDSInfo 2023</t>
      </text>
    </comment>
    <comment ref="BE146" authorId="2" shapeId="0" xr:uid="{41802890-DEDC-4817-BF08-780FBC8B07A3}">
      <text>
        <r>
          <rPr>
            <sz val="9"/>
            <color indexed="81"/>
            <rFont val="Tahoma"/>
            <family val="2"/>
          </rPr>
          <t>Source: CDC-supported. https://www.ncbi.nlm.nih.gov/pmc/articles/PMC10010757/</t>
        </r>
      </text>
    </comment>
    <comment ref="BF146" authorId="2" shapeId="0" xr:uid="{868F9D4A-4ABB-4E72-9FBC-D396ECD6FF61}">
      <text>
        <r>
          <rPr>
            <sz val="9"/>
            <color indexed="81"/>
            <rFont val="Tahoma"/>
            <family val="2"/>
          </rPr>
          <t>Source: CDC-supported. https://www.ncbi.nlm.nih.gov/pmc/articles/PMC10010757/</t>
        </r>
      </text>
    </comment>
    <comment ref="BG146" authorId="2" shapeId="0" xr:uid="{29795F4B-6F4A-4D29-B1DA-C0E5DC46AEFC}">
      <text>
        <r>
          <rPr>
            <sz val="9"/>
            <color indexed="81"/>
            <rFont val="Tahoma"/>
            <family val="2"/>
          </rPr>
          <t>Source: CDC-supported. https://www.ncbi.nlm.nih.gov/pmc/articles/PMC10010757/</t>
        </r>
      </text>
    </comment>
    <comment ref="BH146" authorId="2" shapeId="0" xr:uid="{E4DF9FA7-88D1-4DD1-9E56-FB62A13A70F4}">
      <text>
        <r>
          <rPr>
            <sz val="9"/>
            <color indexed="81"/>
            <rFont val="Tahoma"/>
            <family val="2"/>
          </rPr>
          <t>Source: CDC-supported. https://www.ncbi.nlm.nih.gov/pmc/articles/PMC10010757/</t>
        </r>
      </text>
    </comment>
    <comment ref="BI146" authorId="2" shapeId="0" xr:uid="{E6F29B46-6527-46B0-8716-C8A7CC63B1B9}">
      <text>
        <r>
          <rPr>
            <sz val="9"/>
            <color indexed="81"/>
            <rFont val="Tahoma"/>
            <family val="2"/>
          </rPr>
          <t>Source: CDC-supported. https://www.ncbi.nlm.nih.gov/pmc/articles/PMC10010757/</t>
        </r>
      </text>
    </comment>
    <comment ref="U147" authorId="2" shapeId="0" xr:uid="{DBD95E5A-704B-43D0-8B7B-76A1ED3EE54D}">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47" authorId="2" shapeId="0" xr:uid="{63FA8A08-E550-49B1-818B-B0C703487DF7}">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47" authorId="2" shapeId="0" xr:uid="{18E99D4D-F871-4DCD-BADA-E078E92A631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47" authorId="2" shapeId="0" xr:uid="{CBEC1D73-861A-43F7-AAFF-6CA5C2DB3BA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47" authorId="2" shapeId="0" xr:uid="{FEEA7CA5-77E8-443C-9FFC-206E149CB00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47" authorId="2" shapeId="0" xr:uid="{326A6364-BB95-4496-B149-DB7E68BB75E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47" authorId="2" shapeId="0" xr:uid="{FC96919A-AC69-4FA8-B1E4-79C75BABEB1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47" authorId="2" shapeId="0" xr:uid="{BD274F6E-923E-4B06-A61F-BFAB3A7D9C2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47" authorId="2" shapeId="0" xr:uid="{22F19536-F955-4195-9DE1-01B5076A1F3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47" authorId="2" shapeId="0" xr:uid="{7E511C16-BF8C-4097-8000-62E28D4F5FF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47" authorId="2" shapeId="0" xr:uid="{DA08EE73-E7E4-4D2B-BCE2-F53FF153DA0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47" authorId="2" shapeId="0" xr:uid="{C41B431F-A5AC-4548-A55D-13B8C3705D1B}">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47" authorId="2" shapeId="0" xr:uid="{B9313E11-CB73-4A24-B92C-597BD0E38C1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47" authorId="2" shapeId="0" xr:uid="{0069324A-A0A1-44D2-B78F-A046C16F9C1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S147" authorId="22" shapeId="0" xr:uid="{4CFC7660-6118-4A76-9463-6E7D845C467B}">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S148" authorId="12" shapeId="0" xr:uid="{B6099165-52E5-45AE-903E-BE983587FBCA}">
      <text>
        <r>
          <rPr>
            <b/>
            <sz val="10"/>
            <color rgb="FF000000"/>
            <rFont val="Tahoma"/>
            <family val="2"/>
          </rPr>
          <t>Nisaa Wulan:</t>
        </r>
        <r>
          <rPr>
            <sz val="10"/>
            <color rgb="FF000000"/>
            <rFont val="Tahoma"/>
            <family val="2"/>
          </rPr>
          <t xml:space="preserve">
</t>
        </r>
        <r>
          <rPr>
            <sz val="10"/>
            <color rgb="FF000000"/>
            <rFont val="Tahoma"/>
            <family val="2"/>
          </rPr>
          <t>Household survey - from the model comparison slides</t>
        </r>
      </text>
    </comment>
    <comment ref="U148" authorId="2" shapeId="0" xr:uid="{DAFB9F72-70A6-4DEA-958B-7BBDBE7C407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48" authorId="2" shapeId="0" xr:uid="{7BBE650C-8F7A-4102-BC63-9B6F933C696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48" authorId="2" shapeId="0" xr:uid="{4554E6CE-0D36-428D-9264-4077AAFE854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48" authorId="2" shapeId="0" xr:uid="{9D9FBA52-BBEC-427B-91F3-B43A9CC6A53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48" authorId="2" shapeId="0" xr:uid="{46BC80C0-EBA6-4E7E-AA5D-EF43AD67E6B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48" authorId="2" shapeId="0" xr:uid="{D99195C5-ECFF-4207-8B47-9A18B9198287}">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48" authorId="2" shapeId="0" xr:uid="{397B28D4-82A1-4F3F-A8D9-CF23FA3749C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48" authorId="2" shapeId="0" xr:uid="{552048F7-8067-4C87-A20F-6C2F1382123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48" authorId="2" shapeId="0" xr:uid="{4C205423-80A2-4A01-9F1E-5B693D4E652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48" authorId="2" shapeId="0" xr:uid="{61D82852-22E8-4E90-9213-470573E99EEE}">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48" authorId="2" shapeId="0" xr:uid="{9647AA61-2BB0-41D2-BEC3-D42E31113BE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48" authorId="2" shapeId="0" xr:uid="{2DA791EF-E22C-4C86-A519-921965F23D6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48" authorId="2" shapeId="0" xr:uid="{4FFAD86A-1BF7-4DC2-8CB8-A3A739499858}">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48" authorId="2" shapeId="0" xr:uid="{A2869A5A-E948-417E-9E2C-530748E45FC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U149" authorId="2" shapeId="0" xr:uid="{DBE9CA5B-5FE4-429C-98E3-C95C35D4E7B8}">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49" authorId="2" shapeId="0" xr:uid="{F9C4AD31-61C7-4851-90AA-B1371BC674F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49" authorId="2" shapeId="0" xr:uid="{BC65DE09-7E6C-4F45-B855-5B85938857E2}">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49" authorId="2" shapeId="0" xr:uid="{1F5A1A5E-D2A1-4B8A-B49E-8B4F06A07F46}">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49" authorId="2" shapeId="0" xr:uid="{C24EFE74-8EB3-4252-AEBF-D987AE005E5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49" authorId="2" shapeId="0" xr:uid="{BB3F3464-B225-4B4C-ADA7-822E824AE18D}">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49" authorId="2" shapeId="0" xr:uid="{BBDFD943-1235-4F77-9909-A90CB6817E9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49" authorId="2" shapeId="0" xr:uid="{3A91A443-F178-4E1E-979D-4D0361E2598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49" authorId="2" shapeId="0" xr:uid="{6D5ACFB6-5FC3-494E-8B53-E838FB331C2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49" authorId="2" shapeId="0" xr:uid="{E4ABE47C-E8F7-4BF0-A6F7-DABB6C57DDE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49" authorId="2" shapeId="0" xr:uid="{47EA278E-5854-43AB-BCE0-A0C805F6390D}">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49" authorId="2" shapeId="0" xr:uid="{B6722719-86D8-46E8-84D5-D4C17E32A0EE}">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49" authorId="2" shapeId="0" xr:uid="{3B1E48FF-6018-473D-81C3-1518DD65B85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49" authorId="2" shapeId="0" xr:uid="{6DA9FE21-0891-43A2-AEEA-68B215B1389E}">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U150" authorId="2" shapeId="0" xr:uid="{13C43C96-EFD0-4F27-BCCB-AFAA3CF9ACF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50" authorId="2" shapeId="0" xr:uid="{911B8399-1E8F-4E96-A7E3-BAEC126F918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50" authorId="2" shapeId="0" xr:uid="{DF075BCC-8527-4FBB-B3B4-01253EC9BD4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50" authorId="2" shapeId="0" xr:uid="{7A7DF855-9F4F-4E39-BC6E-AE780F040ED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50" authorId="2" shapeId="0" xr:uid="{3C76493A-4F58-4D6C-9881-371EEDD8062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50" authorId="2" shapeId="0" xr:uid="{B9992C4A-3848-492F-B145-278AAD0BB47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50" authorId="2" shapeId="0" xr:uid="{D47BFE6E-0776-4CBF-984F-9E0065B47B0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50" authorId="2" shapeId="0" xr:uid="{0287C6E0-01FC-45E8-A9E9-9453893F36F2}">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50" authorId="2" shapeId="0" xr:uid="{FF114067-F72A-4D69-A657-87B8E12C32F7}">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50" authorId="2" shapeId="0" xr:uid="{70032DE8-0DA3-4FDC-AF73-247E2E89035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50" authorId="2" shapeId="0" xr:uid="{DD10C5AD-859F-4CA6-A901-B1109A81683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50" authorId="2" shapeId="0" xr:uid="{CED765DD-77E0-4ACF-ACD1-CF7DBF09FBE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50" authorId="2" shapeId="0" xr:uid="{38ABCEA9-04C7-418C-BB76-396F207CF96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50" authorId="2" shapeId="0" xr:uid="{81C92D10-743E-4A73-84A3-C4B343371BC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U151" authorId="2" shapeId="0" xr:uid="{394032DE-FA54-49E1-972E-B7A315672CF2}">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51" authorId="2" shapeId="0" xr:uid="{B9526D6A-05FF-498C-85EE-B21C63CB22D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51" authorId="2" shapeId="0" xr:uid="{3EFB226A-E9C2-4EC5-80EA-EAB87F3C594D}">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51" authorId="2" shapeId="0" xr:uid="{D19310F5-AC70-40B4-9177-A6D823D58A7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51" authorId="2" shapeId="0" xr:uid="{6BC27FB1-E92F-4E24-9749-9C51675A9AD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51" authorId="2" shapeId="0" xr:uid="{CB9D5CCA-8DED-4AD8-96D5-DCEE1972998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51" authorId="2" shapeId="0" xr:uid="{5AF11D62-E0A5-49C5-8B06-88081BB1CA6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51" authorId="2" shapeId="0" xr:uid="{1B4CAC58-E039-49D0-99AF-6487EE25021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51" authorId="2" shapeId="0" xr:uid="{B192F77E-923B-4C8E-B9A2-F907C2BD72C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51" authorId="2" shapeId="0" xr:uid="{4549B5DA-27AC-42DC-8363-1850FA89857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51" authorId="2" shapeId="0" xr:uid="{8B9D475D-9B3A-4167-AC9F-542F0216B59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51" authorId="2" shapeId="0" xr:uid="{A1E79424-B186-490F-AAD0-D0D3D01A60E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51" authorId="2" shapeId="0" xr:uid="{F9AD85B4-BCE4-47A1-A1C0-B23EA8DD0CF2}">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51" authorId="2" shapeId="0" xr:uid="{763B8E24-2643-4F8D-901A-C8B21E06746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S152" authorId="23" shapeId="0" xr:uid="{372DF097-EB0B-4C75-8C60-8868060A7354}">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Sherrie Kelly</author>
    <author>Anna Bowring</author>
    <author>Maria del Mar Quiroga</author>
  </authors>
  <commentList>
    <comment ref="B6" authorId="0" shapeId="0" xr:uid="{00000000-0006-0000-0A00-000001000000}">
      <text>
        <r>
          <rPr>
            <sz val="9"/>
            <color indexed="81"/>
            <rFont val="Tahoma"/>
            <family val="2"/>
          </rPr>
          <t>No conjugal visits, confirmed by Isaac T (NAC), together with  Clemens (WB) 29 May 2018</t>
        </r>
        <r>
          <rPr>
            <sz val="9"/>
            <color indexed="81"/>
            <rFont val="Tahoma"/>
            <family val="2"/>
          </rPr>
          <t xml:space="preserve">
</t>
        </r>
      </text>
    </comment>
    <comment ref="F6" authorId="0" shapeId="0" xr:uid="{00000000-0006-0000-0A00-000002000000}">
      <text>
        <r>
          <rPr>
            <sz val="9"/>
            <color indexed="81"/>
            <rFont val="Tahoma"/>
            <family val="2"/>
          </rPr>
          <t xml:space="preserve">Added 29 May 2018
</t>
        </r>
      </text>
    </comment>
    <comment ref="B27" authorId="0" shapeId="0" xr:uid="{00000000-0006-0000-0A00-000003000000}">
      <text>
        <r>
          <rPr>
            <sz val="9"/>
            <color indexed="81"/>
            <rFont val="Tahoma"/>
            <family val="2"/>
          </rPr>
          <t>No conjugal visits, confirmed by Isaac T (NAC), together with  Clemens (WB) 29 May 2018</t>
        </r>
        <r>
          <rPr>
            <sz val="9"/>
            <color indexed="81"/>
            <rFont val="Tahoma"/>
            <family val="2"/>
          </rPr>
          <t xml:space="preserve">
</t>
        </r>
      </text>
    </comment>
    <comment ref="F27" authorId="0" shapeId="0" xr:uid="{00000000-0006-0000-0A00-000004000000}">
      <text>
        <r>
          <rPr>
            <sz val="9"/>
            <color indexed="81"/>
            <rFont val="Tahoma"/>
            <family val="2"/>
          </rPr>
          <t xml:space="preserve">Added 29 May 2018
</t>
        </r>
      </text>
    </comment>
    <comment ref="B120" authorId="1" shapeId="0" xr:uid="{4EC12C69-6186-1548-BEAE-53477F6EC38B}">
      <text>
        <r>
          <rPr>
            <b/>
            <sz val="10"/>
            <color rgb="FF000000"/>
            <rFont val="Tahoma"/>
            <family val="2"/>
          </rPr>
          <t>Anna Bowring:</t>
        </r>
        <r>
          <rPr>
            <sz val="10"/>
            <color rgb="FF000000"/>
            <rFont val="Tahoma"/>
            <family val="2"/>
          </rPr>
          <t xml:space="preserve">
</t>
        </r>
        <r>
          <rPr>
            <sz val="10"/>
            <color rgb="FF000000"/>
            <rFont val="Tahoma"/>
            <family val="2"/>
          </rPr>
          <t xml:space="preserve">average transition 5.5. 
</t>
        </r>
        <r>
          <rPr>
            <sz val="10"/>
            <color rgb="FF000000"/>
            <rFont val="Tahoma"/>
            <family val="2"/>
          </rPr>
          <t xml:space="preserve">
</t>
        </r>
        <r>
          <rPr>
            <sz val="10"/>
            <color rgb="FF000000"/>
            <rFont val="Tahoma"/>
            <family val="2"/>
          </rPr>
          <t xml:space="preserve">Fazito E, Cuchi P, Mahy M, Brown T. Analysis of duration of risk behaviour for key populations: a literature review. Sex Transm Infect. 2012;88 Suppl 2(Suppl_2):i24-i32. doi:10.1136/sextrans-2012-050647
</t>
        </r>
        <r>
          <rPr>
            <sz val="10"/>
            <color rgb="FF000000"/>
            <rFont val="Tahoma"/>
            <family val="2"/>
          </rPr>
          <t xml:space="preserve">Fits w/ Zim citation:Cowan FM, Mtetwa S, Davey C, Fearon E, Dirawo J, et al. (2013) Engagement with HIV Prevention Treatment and Care among Female Sex
</t>
        </r>
        <r>
          <rPr>
            <sz val="10"/>
            <color rgb="FF000000"/>
            <rFont val="Tahoma"/>
            <family val="2"/>
          </rPr>
          <t xml:space="preserve">Workers in Zimbabwe: a Respondent Driven Sampling Survey. PLoS ONE 8(10): e77080. doi:10.1371/journal.pone.0077080
</t>
        </r>
      </text>
    </comment>
    <comment ref="K120" authorId="2" shapeId="0" xr:uid="{00000000-0006-0000-0A00-000005000000}">
      <text>
        <r>
          <rPr>
            <sz val="9"/>
            <color rgb="FF000000"/>
            <rFont val="Tahoma"/>
            <family val="2"/>
          </rPr>
          <t xml:space="preserve">Was 80, but too many transitions into this 5 year group, compared to 10 or 15 years for others...
</t>
        </r>
      </text>
    </comment>
    <comment ref="M120" authorId="2" shapeId="0" xr:uid="{00000000-0006-0000-0A00-000006000000}">
      <text>
        <r>
          <rPr>
            <sz val="9"/>
            <color rgb="FF000000"/>
            <rFont val="Tahoma"/>
            <family val="2"/>
          </rPr>
          <t xml:space="preserve">Was 80, but too many transitions into this 10 year group.
</t>
        </r>
      </text>
    </comment>
    <comment ref="B121" authorId="1" shapeId="0" xr:uid="{3E43EDE7-734A-E640-9ABB-0C3FE0AAF3EC}">
      <text>
        <r>
          <rPr>
            <b/>
            <sz val="10"/>
            <color rgb="FF000000"/>
            <rFont val="Tahoma"/>
            <family val="2"/>
          </rPr>
          <t>Anna Bowring:</t>
        </r>
        <r>
          <rPr>
            <sz val="10"/>
            <color rgb="FF000000"/>
            <rFont val="Tahoma"/>
            <family val="2"/>
          </rPr>
          <t xml:space="preserve">
</t>
        </r>
        <r>
          <rPr>
            <sz val="10"/>
            <color rgb="FF000000"/>
            <rFont val="Tahoma"/>
            <family val="2"/>
          </rPr>
          <t xml:space="preserve">average time 5.5 
</t>
        </r>
        <r>
          <rPr>
            <sz val="10"/>
            <color rgb="FF000000"/>
            <rFont val="Calibri"/>
            <family val="2"/>
            <scheme val="minor"/>
          </rPr>
          <t>Fazito E, Cuchi P, Mahy M, Brown T. Analysis of duration of risk behaviour for key populations: a literature review. </t>
        </r>
        <r>
          <rPr>
            <i/>
            <sz val="10"/>
            <color rgb="FF000000"/>
            <rFont val="Calibri"/>
            <family val="2"/>
            <scheme val="minor"/>
          </rPr>
          <t>Sex Transm Infect</t>
        </r>
        <r>
          <rPr>
            <sz val="10"/>
            <color rgb="FF000000"/>
            <rFont val="Calibri"/>
            <family val="2"/>
            <scheme val="minor"/>
          </rPr>
          <t>. 2012;88 Suppl 2(Suppl_2):i24-i32. doi:10.1136/sextrans-2012-050647</t>
        </r>
        <r>
          <rPr>
            <sz val="10"/>
            <color rgb="FF000000"/>
            <rFont val="Calibri"/>
            <family val="2"/>
            <scheme val="minor"/>
          </rPr>
          <t xml:space="preserve">
</t>
        </r>
      </text>
    </comment>
    <comment ref="J121" authorId="2" shapeId="0" xr:uid="{00000000-0006-0000-0A00-000007000000}">
      <text>
        <r>
          <rPr>
            <sz val="9"/>
            <color rgb="FF000000"/>
            <rFont val="Tahoma"/>
            <family val="2"/>
          </rPr>
          <t xml:space="preserve">Was 80, but too many transitions into this 5 year group, compared to 10 or 15 years for others...
</t>
        </r>
      </text>
    </comment>
    <comment ref="L121" authorId="2" shapeId="0" xr:uid="{00000000-0006-0000-0A00-000008000000}">
      <text>
        <r>
          <rPr>
            <sz val="9"/>
            <color rgb="FF000000"/>
            <rFont val="Tahoma"/>
            <family val="2"/>
          </rPr>
          <t xml:space="preserve">Was 40, but too many transitions into this 5 year group, compared to 10 or 15 years for others...
</t>
        </r>
      </text>
    </comment>
    <comment ref="N121" authorId="2" shapeId="0" xr:uid="{00000000-0006-0000-0A00-000009000000}">
      <text>
        <r>
          <rPr>
            <sz val="9"/>
            <color rgb="FF000000"/>
            <rFont val="Tahoma"/>
            <family val="2"/>
          </rPr>
          <t xml:space="preserve">Was 40, but too many transitions into this 10 year group.
</t>
        </r>
      </text>
    </comment>
    <comment ref="L123" authorId="2" shapeId="0" xr:uid="{00000000-0006-0000-0A00-00000A000000}">
      <text>
        <r>
          <rPr>
            <sz val="9"/>
            <color rgb="FF000000"/>
            <rFont val="Tahoma"/>
            <family val="2"/>
          </rPr>
          <t xml:space="preserve">Was 24, but too many transitions into this 5 year group.
</t>
        </r>
      </text>
    </comment>
    <comment ref="N123" authorId="2" shapeId="0" xr:uid="{00000000-0006-0000-0A00-00000B000000}">
      <text>
        <r>
          <rPr>
            <sz val="9"/>
            <color rgb="FF000000"/>
            <rFont val="Tahoma"/>
            <family val="2"/>
          </rPr>
          <t xml:space="preserve">Was 12, but too many transitions into this 10 year group.
</t>
        </r>
      </text>
    </comment>
    <comment ref="P123" authorId="1" shapeId="0" xr:uid="{12D1F58D-9F34-3E4C-B9AC-EE16ACBEB0CD}">
      <text>
        <r>
          <rPr>
            <b/>
            <sz val="10"/>
            <color rgb="FF000000"/>
            <rFont val="Tahoma"/>
            <family val="2"/>
          </rPr>
          <t>Anna Bowring:</t>
        </r>
        <r>
          <rPr>
            <sz val="10"/>
            <color rgb="FF000000"/>
            <rFont val="Tahoma"/>
            <family val="2"/>
          </rPr>
          <t xml:space="preserve">
</t>
        </r>
        <r>
          <rPr>
            <sz val="10"/>
            <color rgb="FF000000"/>
            <rFont val="Tahoma"/>
            <family val="2"/>
          </rPr>
          <t>was 6</t>
        </r>
      </text>
    </comment>
  </commentList>
</comments>
</file>

<file path=xl/sharedStrings.xml><?xml version="1.0" encoding="utf-8"?>
<sst xmlns="http://schemas.openxmlformats.org/spreadsheetml/2006/main" count="1606" uniqueCount="442">
  <si>
    <t>O P T I M A   2 . 0</t>
  </si>
  <si>
    <t>Welcome to the Optima 2.0 data entry spreadsheet. This is where all data for the model will be entered. Please ask someone from the Optima development team if you need help, or use the default contact (info@optimamodel.com).</t>
  </si>
  <si>
    <t>For further details please visit: http://optimamodel.com/indicator-guide</t>
  </si>
  <si>
    <t>Date created: 2017-Dec-14 03:14:34</t>
  </si>
  <si>
    <t>Populations</t>
  </si>
  <si>
    <t>Short name</t>
  </si>
  <si>
    <t>Long name</t>
  </si>
  <si>
    <t>Male</t>
  </si>
  <si>
    <t>Female</t>
  </si>
  <si>
    <t>Age from (years)</t>
  </si>
  <si>
    <t>Age to (years)</t>
  </si>
  <si>
    <t>FSW</t>
  </si>
  <si>
    <t>Female sex workers</t>
  </si>
  <si>
    <t>Clients</t>
  </si>
  <si>
    <t>Clients of sex workers</t>
  </si>
  <si>
    <t>MSM</t>
  </si>
  <si>
    <t>Men who have sex with men</t>
  </si>
  <si>
    <t>Prisoners</t>
  </si>
  <si>
    <t>Prisoner population</t>
  </si>
  <si>
    <t>F0-14</t>
  </si>
  <si>
    <t>Girls 0-14</t>
  </si>
  <si>
    <t>M0-14</t>
  </si>
  <si>
    <t>Boys 0-14</t>
  </si>
  <si>
    <t>F15-19</t>
  </si>
  <si>
    <t>Young women 15-19</t>
  </si>
  <si>
    <t>M15-19</t>
  </si>
  <si>
    <t>Young men 15-19</t>
  </si>
  <si>
    <t>F20-24</t>
  </si>
  <si>
    <t>Young women 20-24</t>
  </si>
  <si>
    <t>M20-24</t>
  </si>
  <si>
    <t>Young men 20-24</t>
  </si>
  <si>
    <t>F25-34</t>
  </si>
  <si>
    <t>Adult women 25-34</t>
  </si>
  <si>
    <t>M25-34</t>
  </si>
  <si>
    <t>Adult men 25-34</t>
  </si>
  <si>
    <t>F35-49</t>
  </si>
  <si>
    <t>Adult women 35-49</t>
  </si>
  <si>
    <t>M35-49</t>
  </si>
  <si>
    <t>Adult men 35-49</t>
  </si>
  <si>
    <t>F50+</t>
  </si>
  <si>
    <t>Older women 50+</t>
  </si>
  <si>
    <t>M50+</t>
  </si>
  <si>
    <t>Older men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</si>
  <si>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</si>
  <si>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</si>
  <si>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</si>
  <si>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</si>
  <si>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</si>
  <si>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</si>
  <si>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</si>
  <si>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</si>
  <si>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</si>
  <si>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</si>
  <si>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</si>
  <si>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</si>
  <si>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</si>
  <si>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</si>
  <si>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</si>
  <si>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</si>
  <si>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</si>
  <si>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</si>
  <si>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</si>
  <si>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</si>
  <si>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</si>
  <si>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</si>
  <si>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</si>
  <si>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</si>
  <si>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</si>
  <si>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</si>
  <si>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</si>
  <si>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</si>
  <si>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</si>
  <si>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</si>
  <si>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</si>
  <si>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</si>
  <si>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</si>
  <si>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</si>
  <si>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</si>
  <si>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</si>
  <si>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</si>
  <si>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</si>
  <si>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</si>
  <si>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</si>
  <si>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</si>
  <si>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</si>
  <si>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</si>
  <si>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</si>
  <si>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</si>
  <si>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</si>
  <si>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</si>
  <si>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</si>
  <si>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</si>
  <si>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</si>
  <si>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</si>
  <si>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</si>
  <si>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</si>
  <si>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</si>
  <si>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</si>
  <si>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</si>
  <si>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</si>
  <si>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</si>
  <si>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</si>
  <si>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</si>
  <si>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</si>
  <si>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</si>
  <si>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</si>
  <si>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</si>
  <si>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</si>
  <si>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</si>
  <si>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</si>
  <si>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</si>
  <si>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</si>
  <si>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</si>
  <si>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</si>
  <si>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</si>
  <si>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</si>
  <si>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</si>
  <si>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</si>
  <si>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</si>
  <si>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</si>
  <si>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</si>
  <si>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</si>
  <si>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</si>
  <si>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</si>
  <si>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</si>
  <si>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</si>
  <si>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</si>
  <si>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</si>
  <si>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</si>
  <si>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</si>
  <si>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</si>
  <si>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</si>
  <si>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</si>
  <si>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</si>
  <si>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</si>
  <si>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</si>
  <si>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</si>
  <si>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</si>
  <si>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</si>
  <si>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15+</t>
  </si>
  <si>
    <t>0-14</t>
  </si>
  <si>
    <t>ZimStat 2015</t>
  </si>
  <si>
    <t>Dif Optima to ICDS</t>
  </si>
  <si>
    <t>Spectrum DemProj estimates: 2012 (census) projected to 2017</t>
  </si>
  <si>
    <t>ICDS 2017, no projections</t>
  </si>
  <si>
    <t>~14.8m</t>
  </si>
  <si>
    <t>Year</t>
  </si>
  <si>
    <t>LTFU, 2017</t>
  </si>
  <si>
    <t>On ART, 2017</t>
  </si>
  <si>
    <t>% LTFU, 2017</t>
  </si>
  <si>
    <t>Comparator</t>
  </si>
  <si>
    <t>Source</t>
  </si>
  <si>
    <t>ZIMPHIA</t>
  </si>
  <si>
    <t>DHIS2</t>
  </si>
  <si>
    <t>PLHIV</t>
  </si>
  <si>
    <t>Indictor</t>
  </si>
  <si>
    <t>New diagnoses</t>
  </si>
  <si>
    <t>Spectrum</t>
  </si>
  <si>
    <t>Optima pars0526</t>
  </si>
  <si>
    <t>Incidence pop</t>
  </si>
  <si>
    <t>Incidence</t>
  </si>
  <si>
    <t>Optima pars0526a</t>
  </si>
  <si>
    <t>Est PLHIV, 2017</t>
  </si>
  <si>
    <t>% est PLHIV, 2017</t>
  </si>
  <si>
    <t>Adjustments</t>
  </si>
  <si>
    <t>VL 1; failure 13.5%</t>
  </si>
  <si>
    <t>VL 1; failure 16%</t>
  </si>
  <si>
    <t>Optima pars0526b</t>
  </si>
  <si>
    <t>Optima pars0526bv2</t>
  </si>
  <si>
    <t>VL 1; failure 5%</t>
  </si>
  <si>
    <t>VL 0.135; failure 5%</t>
  </si>
  <si>
    <t>Optima pars0526bv3</t>
  </si>
  <si>
    <t>40,000 (36,092-43,782)</t>
  </si>
  <si>
    <t>VL 2; failure 5%</t>
  </si>
  <si>
    <t>Optima pars0526c</t>
  </si>
  <si>
    <t>Optima pars0526e</t>
  </si>
  <si>
    <t>VL 2; failure 5%; CD4(&lt;50) 29%; death unsupART 95% (above high bound 84%)</t>
  </si>
  <si>
    <t>Optima pars0527</t>
  </si>
  <si>
    <t>Incidence FSW</t>
  </si>
  <si>
    <t>2000-2002</t>
  </si>
  <si>
    <t>2009-2014</t>
  </si>
  <si>
    <t>Same as 0527, increased numcomacts (400-500) &amp; SW/client risk-trans (15 yrs)</t>
  </si>
  <si>
    <t>Optima pars0527b</t>
  </si>
  <si>
    <t>Same as 0526e, 85% condoms (vs 95%), ART decreased (sup 85%, unsup 45%)</t>
  </si>
  <si>
    <t>Optima pars0527c</t>
  </si>
  <si>
    <t>FSW incidence</t>
  </si>
  <si>
    <t>1,330,000 (1,197,000-1,463,000)</t>
  </si>
  <si>
    <t>Same as 0527b, ART (80%, 35%); VL 1; deathnonsup ART 84% (prev 95%)</t>
  </si>
  <si>
    <t>86.5% (84.0-88.0%)</t>
  </si>
  <si>
    <t>Optima pars0527d</t>
  </si>
  <si>
    <t>Same as 0527c, VL 0.5</t>
  </si>
  <si>
    <t>Same as 0527d, VL 0.7</t>
  </si>
  <si>
    <t>Optima pars0527e</t>
  </si>
  <si>
    <t>Optima pars0527d_v2</t>
  </si>
  <si>
    <t>Same as 0527d_v2, VL 0.8</t>
  </si>
  <si>
    <t>Optima pars05278</t>
  </si>
  <si>
    <t xml:space="preserve"> 15-49</t>
  </si>
  <si>
    <t>ZIMPHIA (see Optima Dec 2017 report fig 4.9)</t>
  </si>
  <si>
    <t>Modelled new infections</t>
  </si>
  <si>
    <t>15-49</t>
  </si>
  <si>
    <t>35,000-36,000</t>
  </si>
  <si>
    <t>Optima pars05278_v2</t>
  </si>
  <si>
    <t>Optima pars05278a</t>
  </si>
  <si>
    <t>Optima pars05278_v2, efficacy unsupART 0.35 ---&gt; 0.3</t>
  </si>
  <si>
    <t>15-20</t>
  </si>
  <si>
    <t>Optima pars0529_Swrisktrans</t>
  </si>
  <si>
    <t>Optima pars0529b</t>
  </si>
  <si>
    <t>This is actually 0529_Swrisktrans_v2 relabelled as 0529b</t>
  </si>
  <si>
    <t>Optima pars0530</t>
  </si>
  <si>
    <t>Deaths &lt;50 29% --&gt; 32.3%</t>
  </si>
  <si>
    <t>Proportion of those with VL failure who are provided with effective adherence support or a successful new regimen (%/year)</t>
  </si>
  <si>
    <t>Treatment failure rate (%/year)</t>
  </si>
  <si>
    <t>0614</t>
  </si>
  <si>
    <t>0615</t>
  </si>
  <si>
    <t>0615 CB</t>
  </si>
  <si>
    <t>0619</t>
  </si>
  <si>
    <t>Incidence 15-49</t>
  </si>
  <si>
    <t>0.54 (0.4-0.6)</t>
  </si>
  <si>
    <t>New infections</t>
  </si>
  <si>
    <t>0627</t>
  </si>
  <si>
    <t>0.50 (0.30-0.69)</t>
  </si>
  <si>
    <t>Pop 15-49</t>
  </si>
  <si>
    <t>HIV-ve 15-49 (pop-PLHIV)</t>
  </si>
  <si>
    <t>PLHIV 15-49</t>
  </si>
  <si>
    <t>New infections 15-49</t>
  </si>
  <si>
    <t>2017 ZIMPHIA table 3.3.A</t>
  </si>
  <si>
    <t>Optima</t>
  </si>
  <si>
    <t>0527 with increased FOI M/F35-49 &amp; other pops to increase new infections for 2016</t>
  </si>
  <si>
    <t>Parset 0627a</t>
  </si>
  <si>
    <t>Zimbabwe national calibration</t>
  </si>
  <si>
    <t>Parset 0627b</t>
  </si>
  <si>
    <t>Treated PLHIV with VS</t>
  </si>
  <si>
    <t>0527a with 'Treatment failure rate: meta' from 1.0 to 0.9 to increase Treated PLHIV with VS</t>
  </si>
  <si>
    <t>Parset 0627b_v2</t>
  </si>
  <si>
    <t>0527a with 'Treatment failure rate: meta' from 1.0 to 0.7 to increase Treated PLHIV with VS</t>
  </si>
  <si>
    <t>Parset 0627b_v3</t>
  </si>
  <si>
    <t>0527a with 'Treatment failure rate: meta' from 1.0 to 0.6 to increase Treated PLHIV with VS</t>
  </si>
  <si>
    <t>Parset 0627b (v4)</t>
  </si>
  <si>
    <t>Parset 0627c</t>
  </si>
  <si>
    <t>0627a with 'Treatment failure rate: meta' from 1.0 to 0.5 to increase Treated PLHIV with VS</t>
  </si>
  <si>
    <t>0627b with 25-34 higher initprev &amp; lower FOI</t>
  </si>
  <si>
    <t>0627c with 25-34 higher FOI closer to 0627b</t>
  </si>
  <si>
    <t>Parset 0627d</t>
  </si>
  <si>
    <t>On ART</t>
  </si>
  <si>
    <t>0627b with decreased 25-34 FOI</t>
  </si>
  <si>
    <t>M&amp;E WG Overview &amp; HIV cascade optimization slides.PPT, slide 67</t>
  </si>
  <si>
    <t>Parset 0628 (v4)</t>
  </si>
  <si>
    <t>ZIMPHIA (self-reported ART use)</t>
  </si>
  <si>
    <t>Parset 0628 (v5)</t>
  </si>
  <si>
    <t>Parset 0628 (v6)</t>
  </si>
  <si>
    <t>0628 v4 with VLmeta 1 to 1.1</t>
  </si>
  <si>
    <t>0628 v5 with VLmeta 1.1 to 1.09</t>
  </si>
  <si>
    <t>0628 v9 with VL &amp; treatment meta adjustments, prev adjustments</t>
  </si>
  <si>
    <t>Parset 0628 (v10)</t>
  </si>
  <si>
    <t>FINAL</t>
  </si>
  <si>
    <t>2018 GAM report page 10, on ART</t>
  </si>
  <si>
    <t># VL tests/yr</t>
  </si>
  <si>
    <t>VL monitoring</t>
  </si>
  <si>
    <t>value 4</t>
  </si>
  <si>
    <t>pars 4</t>
  </si>
  <si>
    <t>Value 3</t>
  </si>
  <si>
    <t>Pars 3</t>
  </si>
  <si>
    <t>Value 2</t>
  </si>
  <si>
    <t>Pars 2</t>
  </si>
  <si>
    <t>92 (2017)</t>
  </si>
  <si>
    <t>Value 1</t>
  </si>
  <si>
    <t>Pars 1</t>
  </si>
  <si>
    <t>orig value</t>
  </si>
  <si>
    <t>pars orig</t>
  </si>
  <si>
    <t>on ART
databook</t>
  </si>
  <si>
    <t>on PMTCT
databook</t>
  </si>
  <si>
    <t>VL/yr
AIDSinfo</t>
  </si>
  <si>
    <t>on treatment
AIDSinfo</t>
  </si>
  <si>
    <t>testing rate
AIDSinfo</t>
  </si>
  <si>
    <t>pars/source</t>
  </si>
  <si>
    <t>&gt;95 (97-98)</t>
  </si>
  <si>
    <t xml:space="preserve">On PMTCT </t>
  </si>
  <si>
    <t>On ART, VS (%)</t>
  </si>
  <si>
    <t>Aware, 
on ART (%)</t>
  </si>
  <si>
    <t>Aware of status (%)</t>
  </si>
  <si>
    <t>Indicator</t>
  </si>
  <si>
    <t>File: Zimbabwe_20181102_reconciled-parset-cascadeAIDSInfov4</t>
  </si>
  <si>
    <t>Optima HIV Calibration</t>
  </si>
  <si>
    <t>AIDSinfo 2018</t>
  </si>
  <si>
    <t>2017</t>
  </si>
  <si>
    <t>2016</t>
  </si>
  <si>
    <t>2015</t>
  </si>
  <si>
    <t>2014</t>
  </si>
  <si>
    <t>2013</t>
  </si>
  <si>
    <t>2012</t>
  </si>
  <si>
    <t>2011</t>
  </si>
  <si>
    <t>2010</t>
  </si>
  <si>
    <t>2009</t>
  </si>
  <si>
    <t>2008</t>
  </si>
  <si>
    <t>2007</t>
  </si>
  <si>
    <t>2006</t>
  </si>
  <si>
    <t>2005</t>
  </si>
  <si>
    <t>2004</t>
  </si>
  <si>
    <t>2003</t>
  </si>
  <si>
    <t>2002</t>
  </si>
  <si>
    <t>2001</t>
  </si>
  <si>
    <t>2000</t>
  </si>
  <si>
    <t>Calibration best</t>
  </si>
  <si>
    <t>Databook low</t>
  </si>
  <si>
    <t>Databook best</t>
  </si>
  <si>
    <t>Databook high</t>
  </si>
  <si>
    <t>Upper Estimate</t>
  </si>
  <si>
    <t>Lower Estimate</t>
  </si>
  <si>
    <t>AIDSinfo 2018All ages estimate</t>
  </si>
  <si>
    <t>Calibration value</t>
  </si>
  <si>
    <t>Calibration file</t>
  </si>
  <si>
    <t>Zimbabwe_20181102_reconciled-parset-cascadeAIDSInfov4.xlsx</t>
  </si>
  <si>
    <t>Parset name</t>
  </si>
  <si>
    <t>AIDSinfo</t>
  </si>
  <si>
    <t>2018 AIDSinfo: 46,493 [33,109-58,822]</t>
  </si>
  <si>
    <t>2018 AIDSinfo: 1,300,000 [1,200,000-1,500,000]</t>
  </si>
  <si>
    <t>Default (best)</t>
  </si>
  <si>
    <t>Default (low)</t>
  </si>
  <si>
    <t>Default (high)</t>
  </si>
  <si>
    <t xml:space="preserve">Zimbabwe PEPFAR VMMC program </t>
  </si>
  <si>
    <t>2014 – 155,778 * $109 = $16,979,802</t>
  </si>
  <si>
    <t>2017 – 227,299 * $109 = $24,775,591</t>
  </si>
  <si>
    <t>2017 – 301,366 * $109 = $32,848,894</t>
  </si>
  <si>
    <t>Male Circumcision</t>
  </si>
  <si>
    <t xml:space="preserve">        301,366 (cumulative 1,189,243 – 78%)</t>
  </si>
  <si>
    <r>
      <t xml:space="preserve">VMMC - $109 per procedure via </t>
    </r>
    <r>
      <rPr>
        <i/>
        <sz val="11"/>
        <color theme="1"/>
        <rFont val="Arial"/>
        <family val="2"/>
      </rPr>
      <t>McGillen JB, Stover J, Klein DJ, Xaba S, Ncube G, Mhangara M, et al. (2018) The emerging health impact of voluntary medical male circumcision in Zimbabwe: An evaluation using three epidemiological models. PLoS ONE 13(7): e0199453. https://doi.org/10.1371/journal. pone.0199453</t>
    </r>
  </si>
  <si>
    <t>National costing: Zimbabwe Ministry of Health and Child Welfare. Accelerated strategic and costed operational plan 2014–2018: Voluntary medical male circumcision. Harare,</t>
  </si>
  <si>
    <t>BMGF sponsored 18 districts until March 2019</t>
  </si>
  <si>
    <t>$32,385,490 spending 2017</t>
  </si>
  <si>
    <t>Global Fund ceased end 2017</t>
  </si>
  <si>
    <t>Cost and coverage</t>
  </si>
  <si>
    <t>Currency</t>
  </si>
  <si>
    <t>Targeted programs</t>
  </si>
  <si>
    <t>USD</t>
  </si>
  <si>
    <t>Cost</t>
  </si>
  <si>
    <t>Coverage</t>
  </si>
  <si>
    <t>Adult (15+) testing excludes prisoners</t>
  </si>
  <si>
    <t>ART (including refill)</t>
  </si>
  <si>
    <t>ART client defaulter tracing</t>
  </si>
  <si>
    <t>CD4 monitoring (6 mo)</t>
  </si>
  <si>
    <t>Child (0-14) testing</t>
  </si>
  <si>
    <t>Community support: linkage to care</t>
  </si>
  <si>
    <t>Pre-ART client tracing</t>
  </si>
  <si>
    <t>Pre-ART text messaging</t>
  </si>
  <si>
    <t>Prisoner testing</t>
  </si>
  <si>
    <t>Text messaging adherence</t>
  </si>
  <si>
    <t>VMMC</t>
  </si>
  <si>
    <t>VL monitoring (6m, y1/2/3…) plus adherence</t>
  </si>
  <si>
    <t>VL monitoring (6m, y1/3/5…) plus adherence</t>
  </si>
  <si>
    <t>Unit cost (low)</t>
  </si>
  <si>
    <t>Unit cost (high)</t>
  </si>
  <si>
    <t>2000-2005</t>
  </si>
  <si>
    <t>2005-2010</t>
  </si>
  <si>
    <t>2010-2015</t>
  </si>
  <si>
    <t>2015-2020</t>
  </si>
  <si>
    <t>75=90*X%</t>
  </si>
  <si>
    <t>revise F 50+</t>
  </si>
  <si>
    <t>ORIGINAL</t>
  </si>
  <si>
    <t>ASSUMPTION ADJUSTED BY DEBRA FOR CALIBRATION</t>
  </si>
  <si>
    <t>FACTOR CHANGE FROM ORIG (2030) - use to try recreate annual rates - DISREGARDED</t>
  </si>
  <si>
    <t>FACTOR CHANGE FROM ORIG (2020) - use to try recreate annual rates - DISREGARDED</t>
  </si>
  <si>
    <t>Age-specific fertility rates (births per 1,000 women)</t>
  </si>
  <si>
    <t>Region, subregion, country or area *</t>
  </si>
  <si>
    <t>Notes</t>
  </si>
  <si>
    <t>Country code</t>
  </si>
  <si>
    <t>Type</t>
  </si>
  <si>
    <t>Parent code</t>
  </si>
  <si>
    <t>Period</t>
  </si>
  <si>
    <t>15-19</t>
  </si>
  <si>
    <t>20-24</t>
  </si>
  <si>
    <t>25-29</t>
  </si>
  <si>
    <t>30-34</t>
  </si>
  <si>
    <t>35-39</t>
  </si>
  <si>
    <t>40-44</t>
  </si>
  <si>
    <t>45-49</t>
  </si>
  <si>
    <t>Zimbabwe</t>
  </si>
  <si>
    <t>Country/Area</t>
  </si>
  <si>
    <t>1950-1955</t>
  </si>
  <si>
    <t>1955-1960</t>
  </si>
  <si>
    <t>1960-1965</t>
  </si>
  <si>
    <t>1965-1970</t>
  </si>
  <si>
    <t>1970-1975</t>
  </si>
  <si>
    <t>1975-1980</t>
  </si>
  <si>
    <t>1980-1985</t>
  </si>
  <si>
    <t>1985-1990</t>
  </si>
  <si>
    <t>1990-1995</t>
  </si>
  <si>
    <t>1995-2000</t>
  </si>
  <si>
    <t>25-34</t>
  </si>
  <si>
    <t>35-49</t>
  </si>
  <si>
    <t>Previous values (used before 20211126)</t>
  </si>
  <si>
    <t>Females</t>
  </si>
  <si>
    <t>Males</t>
  </si>
  <si>
    <t>50-99</t>
  </si>
  <si>
    <t>Deaths all causes, 2019</t>
  </si>
  <si>
    <t>F Age (years)</t>
  </si>
  <si>
    <t>M Age (years)</t>
  </si>
  <si>
    <t>% Deaths all causes</t>
  </si>
  <si>
    <t>HIV-related deaths</t>
  </si>
  <si>
    <t>% HIV-related deaths</t>
  </si>
  <si>
    <t>All causes - HIV-related deaths = deaths non-HIV-related causes</t>
  </si>
  <si>
    <t>SUM</t>
  </si>
  <si>
    <t>TOTAL (M+F 0-99)</t>
  </si>
  <si>
    <t>Total F+M</t>
  </si>
  <si>
    <t>Non-HIV related deaths = Deaths all causes - HIV related deaths</t>
  </si>
  <si>
    <t>Tot</t>
  </si>
  <si>
    <t># increase in M</t>
  </si>
  <si>
    <t>growth rate</t>
  </si>
  <si>
    <t>Spreadsheet created with Optima version 2.11.0</t>
  </si>
  <si>
    <t>Percentage of people who age into the next age category per year</t>
  </si>
  <si>
    <t>Proportion of exposure events covered by ARV-based pre-exposure prophylaxis</t>
  </si>
  <si>
    <t>Proportion of exposure events covered by ARV-based post-exposure prophylaxis</t>
  </si>
  <si>
    <t>Percentage of people lost to follow-up who are returned to care per year (%/year)</t>
  </si>
  <si>
    <t>Percent of people living with HIV who know their status</t>
  </si>
  <si>
    <t>Percent of people who know their status who are retained in care</t>
  </si>
  <si>
    <t>Percent of people who know their status who are on ART</t>
  </si>
  <si>
    <t>Coverage of pregnant women who receive ARV for PMTCT</t>
  </si>
  <si>
    <t>Percent of people on ART who achieve viral suppression</t>
  </si>
  <si>
    <t>Percentage of males who have been traditionally circumcised</t>
  </si>
  <si>
    <t>Number of voluntary medical male circumcisions</t>
  </si>
  <si>
    <t>ARV-based pre-exposure prophylaxis</t>
  </si>
  <si>
    <t>ARV-based post-exposure prophylaxis</t>
  </si>
  <si>
    <t>Percentage of people who emigrate per year</t>
  </si>
  <si>
    <t>Number of people who immigrate into population per year</t>
  </si>
  <si>
    <t>HIV prevalence of immigrants into population per year</t>
  </si>
  <si>
    <t>Proportion of people living with HIV who immigrate who are diagnosed prior to arrival</t>
  </si>
  <si>
    <t>UNAIDS</t>
  </si>
  <si>
    <t>Country-provided</t>
  </si>
  <si>
    <t>CDC-supported</t>
  </si>
  <si>
    <t>&lt;15</t>
  </si>
  <si>
    <t>15-29</t>
  </si>
  <si>
    <t>30+</t>
  </si>
  <si>
    <t>POPN SIZE</t>
  </si>
  <si>
    <t>Average:</t>
  </si>
  <si>
    <t>POPN SIZE (% of all 30-49)</t>
  </si>
  <si>
    <t>POPN SIZE (% of all 15-34)</t>
  </si>
  <si>
    <t>Estimate by age using CDC and proportional age groups:</t>
  </si>
  <si>
    <t>Edited by AM</t>
  </si>
  <si>
    <t xml:space="preserve">ART numbers </t>
  </si>
  <si>
    <t>Infections</t>
  </si>
  <si>
    <t>ART coverages</t>
  </si>
  <si>
    <t>World Bank</t>
  </si>
  <si>
    <t>World Bank Coverages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</si>
</sst>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quot;$&quot;#,##0.00;[Red]\-&quot;$&quot;#,##0.00"/>
    <numFmt numFmtId="43" formatCode="_-* #,##0.00_-;\-* #,##0.00_-;_-* &quot;-&quot;??_-;_-@_-"/>
    <numFmt numFmtId="164" formatCode="0.0"/>
    <numFmt numFmtId="165" formatCode="0.0%"/>
    <numFmt numFmtId="166" formatCode="#,##0.000"/>
    <numFmt numFmtId="167" formatCode="0.000"/>
    <numFmt numFmtId="168" formatCode="\$#,##0.00"/>
    <numFmt numFmtId="169" formatCode="\$#,##0"/>
    <numFmt numFmtId="170" formatCode="&quot;$&quot;#,##0.00"/>
    <numFmt numFmtId="171" formatCode="#\ ###\ ###\ ##0;\-#\ ###\ ###\ ##0;0"/>
    <numFmt numFmtId="172" formatCode="_-* #,##0_-;\-* #,##0_-;_-* &quot;-&quot;??_-;_-@_-"/>
    <numFmt numFmtId="173" formatCode="0.0000000000"/>
  </numFmts>
  <fonts count="30" x14ac:knownFonts="1">
    <font>
      <sz val="11"/>
      <color theme="1"/>
      <name val="Calibri"/>
      <family val="2"/>
      <scheme val="minor"/>
    </font>
    <font>
      <sz val="20"/>
      <color rgb="FFD5AA1D"/>
      <name val="Calibri"/>
      <family val="2"/>
      <scheme val="minor"/>
    </font>
    <font>
      <b/>
      <sz val="11"/>
      <color theme="1"/>
      <name val="Calibri"/>
      <family val="2"/>
      <scheme val="minor"/>
    </font>
    <font>
      <sz val="9"/>
      <color indexed="81"/>
      <name val="Tahoma"/>
      <family val="2"/>
    </font>
    <font>
      <b/>
      <sz val="11"/>
      <color rgb="FF000000"/>
      <name val="Calibri"/>
      <family val="2"/>
      <charset val="1"/>
    </font>
    <font>
      <sz val="11"/>
      <color theme="1"/>
      <name val="Calibri"/>
      <family val="2"/>
      <scheme val="minor"/>
    </font>
    <font>
      <sz val="11"/>
      <color rgb="FFFF0000"/>
      <name val="Calibri"/>
      <family val="2"/>
      <scheme val="minor"/>
    </font>
    <font>
      <sz val="12"/>
      <color theme="1"/>
      <name val="Calibri"/>
      <family val="2"/>
      <scheme val="minor"/>
    </font>
    <font>
      <sz val="12"/>
      <color rgb="FF000000"/>
      <name val="Calibri"/>
      <family val="2"/>
      <scheme val="minor"/>
    </font>
    <font>
      <b/>
      <sz val="11"/>
      <color theme="0"/>
      <name val="Calibri"/>
      <family val="2"/>
      <scheme val="minor"/>
    </font>
    <font>
      <sz val="11"/>
      <color theme="0"/>
      <name val="Calibri"/>
      <family val="2"/>
      <scheme val="minor"/>
    </font>
    <font>
      <sz val="11"/>
      <color rgb="FF000000"/>
      <name val="Calibri"/>
      <family val="2"/>
      <charset val="1"/>
    </font>
    <font>
      <sz val="10"/>
      <name val="Arial"/>
      <family val="2"/>
      <charset val="1"/>
    </font>
    <font>
      <b/>
      <sz val="9"/>
      <color indexed="81"/>
      <name val="Tahoma"/>
      <family val="2"/>
    </font>
    <font>
      <b/>
      <sz val="11"/>
      <name val="Calibri"/>
      <family val="2"/>
      <scheme val="minor"/>
    </font>
    <font>
      <b/>
      <sz val="10"/>
      <name val="Arial"/>
      <family val="2"/>
    </font>
    <font>
      <sz val="11"/>
      <name val="Calibri"/>
      <family val="2"/>
      <scheme val="minor"/>
    </font>
    <font>
      <sz val="11"/>
      <color theme="1"/>
      <name val="Arial"/>
      <family val="2"/>
    </font>
    <font>
      <i/>
      <sz val="11"/>
      <color theme="1"/>
      <name val="Arial"/>
      <family val="2"/>
    </font>
    <font>
      <sz val="9"/>
      <color rgb="FF000000"/>
      <name val="Tahoma"/>
      <family val="2"/>
    </font>
    <font>
      <sz val="10"/>
      <color rgb="FF000000"/>
      <name val="Tahoma"/>
      <family val="2"/>
    </font>
    <font>
      <b/>
      <sz val="10"/>
      <color rgb="FF000000"/>
      <name val="Tahoma"/>
      <family val="2"/>
    </font>
    <font>
      <sz val="10"/>
      <color rgb="FF000000"/>
      <name val="Calibri"/>
      <family val="2"/>
      <scheme val="minor"/>
    </font>
    <font>
      <i/>
      <sz val="11"/>
      <color rgb="FF000000"/>
      <name val="Calibri"/>
      <family val="2"/>
      <charset val="1"/>
    </font>
    <font>
      <sz val="11"/>
      <name val="Calibri"/>
      <family val="2"/>
      <charset val="1"/>
    </font>
    <font>
      <sz val="11"/>
      <color rgb="FF7F7F7F"/>
      <name val="Calibri"/>
      <family val="2"/>
      <charset val="1"/>
    </font>
    <font>
      <b/>
      <sz val="9"/>
      <color theme="1"/>
      <name val="Arial"/>
      <family val="2"/>
    </font>
    <font>
      <sz val="9"/>
      <color theme="1"/>
      <name val="Arial"/>
      <family val="2"/>
    </font>
    <font>
      <sz val="10"/>
      <color rgb="FF000000"/>
      <name val="Calibri"/>
      <family val="2"/>
    </font>
    <font>
      <i/>
      <sz val="10"/>
      <color rgb="FF000000"/>
      <name val="Calibri"/>
      <family val="2"/>
      <scheme val="minor"/>
    </font>
  </fonts>
  <fills count="17">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FFFF00"/>
        <bgColor indexed="64"/>
      </patternFill>
    </fill>
    <fill>
      <patternFill patternType="solid">
        <fgColor rgb="FF92D050"/>
        <bgColor indexed="64"/>
      </patternFill>
    </fill>
    <fill>
      <patternFill patternType="solid">
        <fgColor theme="4"/>
        <bgColor indexed="64"/>
      </patternFill>
    </fill>
    <fill>
      <patternFill patternType="solid">
        <fgColor theme="8"/>
        <bgColor indexed="64"/>
      </patternFill>
    </fill>
    <fill>
      <patternFill patternType="solid">
        <fgColor rgb="FFFFEECB"/>
        <bgColor indexed="64"/>
      </patternFill>
    </fill>
    <fill>
      <patternFill patternType="solid">
        <fgColor theme="4" tint="0.79998168889431442"/>
        <bgColor indexed="64"/>
      </patternFill>
    </fill>
    <fill>
      <patternFill patternType="solid">
        <fgColor rgb="FFFFFF00"/>
        <bgColor rgb="FF00CCFF"/>
      </patternFill>
    </fill>
    <fill>
      <patternFill patternType="solid">
        <fgColor rgb="FF18C1FF"/>
        <bgColor rgb="FF00B0F0"/>
      </patternFill>
    </fill>
    <fill>
      <patternFill patternType="solid">
        <fgColor indexed="44"/>
        <bgColor indexed="64"/>
      </patternFill>
    </fill>
    <fill>
      <patternFill patternType="solid">
        <fgColor theme="6" tint="0.79998168889431442"/>
        <bgColor indexed="64"/>
      </patternFill>
    </fill>
  </fills>
  <borders count="12">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s>
  <cellStyleXfs count="8">
    <xf numFmtId="0" fontId="0" fillId="0" borderId="0"/>
    <xf numFmtId="0" fontId="5" fillId="0" borderId="0"/>
    <xf numFmtId="9" fontId="5" fillId="0" borderId="0" applyFont="0" applyFill="0" applyBorder="0" applyAlignment="0" applyProtection="0"/>
    <xf numFmtId="0" fontId="7" fillId="0" borderId="0"/>
    <xf numFmtId="43" fontId="5" fillId="0" borderId="0" applyFont="0" applyFill="0" applyBorder="0" applyAlignment="0" applyProtection="0"/>
    <xf numFmtId="9" fontId="11" fillId="0" borderId="0" applyBorder="0" applyProtection="0"/>
    <xf numFmtId="0" fontId="11" fillId="0" borderId="0"/>
    <xf numFmtId="43" fontId="5" fillId="0" borderId="0" applyFont="0" applyFill="0" applyBorder="0" applyAlignment="0" applyProtection="0"/>
  </cellStyleXfs>
  <cellXfs count="182">
    <xf numFmtId="0" fontId="0" fillId="0" borderId="0" xfId="0"/>
    <xf numFmtId="0" fontId="0" fillId="3" borderId="0" xfId="0" applyFill="1" applyAlignment="1">
      <alignment wrapText="1"/>
    </xf>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1" fontId="0" fillId="4" borderId="1" xfId="0" applyNumberFormat="1" applyFill="1" applyBorder="1" applyProtection="1">
      <protection locked="0"/>
    </xf>
    <xf numFmtId="3" fontId="0" fillId="4" borderId="1" xfId="0" applyNumberFormat="1" applyFill="1" applyBorder="1" applyProtection="1">
      <protection locked="0"/>
    </xf>
    <xf numFmtId="3" fontId="0" fillId="0" borderId="0" xfId="0" applyNumberFormat="1"/>
    <xf numFmtId="164" fontId="5" fillId="0" borderId="0" xfId="1" applyNumberFormat="1"/>
    <xf numFmtId="165" fontId="0" fillId="4" borderId="1" xfId="0" applyNumberFormat="1" applyFill="1" applyBorder="1" applyProtection="1">
      <protection locked="0"/>
    </xf>
    <xf numFmtId="10" fontId="0" fillId="7" borderId="1" xfId="0" applyNumberFormat="1" applyFill="1" applyBorder="1" applyProtection="1">
      <protection locked="0"/>
    </xf>
    <xf numFmtId="3" fontId="6" fillId="0" borderId="0" xfId="0" applyNumberFormat="1" applyFont="1"/>
    <xf numFmtId="0" fontId="6" fillId="0" borderId="0" xfId="0" applyFont="1"/>
    <xf numFmtId="9" fontId="0" fillId="0" borderId="0" xfId="2" applyFont="1"/>
    <xf numFmtId="165" fontId="0" fillId="0" borderId="0" xfId="2" applyNumberFormat="1" applyFont="1"/>
    <xf numFmtId="165" fontId="0" fillId="0" borderId="2" xfId="0" applyNumberFormat="1" applyBorder="1" applyProtection="1">
      <protection locked="0"/>
    </xf>
    <xf numFmtId="4" fontId="0" fillId="0" borderId="0" xfId="0" applyNumberFormat="1"/>
    <xf numFmtId="166" fontId="0" fillId="0" borderId="0" xfId="0" applyNumberFormat="1"/>
    <xf numFmtId="10" fontId="0" fillId="0" borderId="0" xfId="2" applyNumberFormat="1" applyFont="1"/>
    <xf numFmtId="3" fontId="0" fillId="0" borderId="2" xfId="0" applyNumberFormat="1" applyBorder="1" applyProtection="1">
      <protection locked="0"/>
    </xf>
    <xf numFmtId="0" fontId="0" fillId="0" borderId="0" xfId="0" applyAlignment="1">
      <alignment horizontal="left"/>
    </xf>
    <xf numFmtId="3" fontId="0" fillId="0" borderId="0" xfId="0" applyNumberFormat="1" applyAlignment="1">
      <alignment horizontal="left"/>
    </xf>
    <xf numFmtId="0" fontId="0" fillId="4" borderId="1" xfId="0" applyFill="1" applyBorder="1" applyAlignment="1" applyProtection="1">
      <alignment horizontal="left"/>
      <protection locked="0"/>
    </xf>
    <xf numFmtId="9" fontId="0" fillId="4" borderId="1" xfId="0" applyNumberFormat="1" applyFill="1" applyBorder="1" applyAlignment="1" applyProtection="1">
      <alignment horizontal="left"/>
      <protection locked="0"/>
    </xf>
    <xf numFmtId="165" fontId="0" fillId="0" borderId="0" xfId="0" applyNumberFormat="1"/>
    <xf numFmtId="165" fontId="2" fillId="0" borderId="0" xfId="2" applyNumberFormat="1" applyFont="1"/>
    <xf numFmtId="164" fontId="0" fillId="4" borderId="1" xfId="0" applyNumberFormat="1" applyFill="1" applyBorder="1" applyProtection="1">
      <protection locked="0"/>
    </xf>
    <xf numFmtId="0" fontId="10" fillId="0" borderId="0" xfId="0" applyFont="1"/>
    <xf numFmtId="9" fontId="0" fillId="7" borderId="1" xfId="0" applyNumberFormat="1" applyFill="1" applyBorder="1" applyProtection="1">
      <protection locked="0"/>
    </xf>
    <xf numFmtId="10" fontId="0" fillId="0" borderId="0" xfId="0" applyNumberFormat="1"/>
    <xf numFmtId="165" fontId="0" fillId="0" borderId="0" xfId="0" applyNumberFormat="1" applyAlignment="1">
      <alignment horizontal="left"/>
    </xf>
    <xf numFmtId="2" fontId="0" fillId="4" borderId="1" xfId="0" applyNumberFormat="1" applyFill="1" applyBorder="1" applyProtection="1">
      <protection locked="0"/>
    </xf>
    <xf numFmtId="165" fontId="2" fillId="4" borderId="1" xfId="0" applyNumberFormat="1" applyFont="1" applyFill="1" applyBorder="1" applyProtection="1">
      <protection locked="0"/>
    </xf>
    <xf numFmtId="0" fontId="0" fillId="0" borderId="0" xfId="0" applyAlignment="1">
      <alignment wrapText="1"/>
    </xf>
    <xf numFmtId="1" fontId="0" fillId="0" borderId="0" xfId="0" applyNumberFormat="1"/>
    <xf numFmtId="3" fontId="2" fillId="0" borderId="0" xfId="0" applyNumberFormat="1" applyFont="1" applyAlignment="1">
      <alignment horizontal="center"/>
    </xf>
    <xf numFmtId="0" fontId="4" fillId="0" borderId="0" xfId="5" applyNumberFormat="1" applyFont="1"/>
    <xf numFmtId="0" fontId="12" fillId="0" borderId="0" xfId="5" applyNumberFormat="1" applyFont="1"/>
    <xf numFmtId="0" fontId="4" fillId="0" borderId="0" xfId="5" applyNumberFormat="1" applyFont="1" applyAlignment="1">
      <alignment horizontal="right"/>
    </xf>
    <xf numFmtId="0" fontId="4" fillId="0" borderId="0" xfId="5" applyNumberFormat="1" applyFont="1" applyAlignment="1">
      <alignment horizontal="center"/>
    </xf>
    <xf numFmtId="0" fontId="11" fillId="0" borderId="0" xfId="6"/>
    <xf numFmtId="10" fontId="5" fillId="4" borderId="1" xfId="1" applyNumberFormat="1" applyFill="1" applyBorder="1" applyProtection="1">
      <protection locked="0"/>
    </xf>
    <xf numFmtId="0" fontId="9" fillId="9" borderId="3" xfId="0" applyFont="1" applyFill="1" applyBorder="1" applyAlignment="1">
      <alignment wrapText="1"/>
    </xf>
    <xf numFmtId="0" fontId="9" fillId="9" borderId="3" xfId="0" applyFont="1" applyFill="1" applyBorder="1" applyAlignment="1">
      <alignment horizontal="left" wrapText="1"/>
    </xf>
    <xf numFmtId="0" fontId="9" fillId="10" borderId="3" xfId="0" applyFont="1" applyFill="1" applyBorder="1" applyAlignment="1">
      <alignment horizontal="left" wrapText="1"/>
    </xf>
    <xf numFmtId="0" fontId="9" fillId="9" borderId="3" xfId="0" applyFont="1" applyFill="1" applyBorder="1"/>
    <xf numFmtId="0" fontId="9" fillId="9" borderId="3" xfId="0" applyFont="1" applyFill="1" applyBorder="1" applyAlignment="1">
      <alignment horizontal="left"/>
    </xf>
    <xf numFmtId="0" fontId="9" fillId="10" borderId="3" xfId="0" applyFont="1" applyFill="1" applyBorder="1" applyAlignment="1">
      <alignment horizontal="left"/>
    </xf>
    <xf numFmtId="0" fontId="10" fillId="9" borderId="3" xfId="0" applyFont="1" applyFill="1" applyBorder="1"/>
    <xf numFmtId="0" fontId="0" fillId="0" borderId="3" xfId="0" applyBorder="1"/>
    <xf numFmtId="0" fontId="0" fillId="0" borderId="3" xfId="0" applyBorder="1" applyAlignment="1">
      <alignment horizontal="left"/>
    </xf>
    <xf numFmtId="2" fontId="0" fillId="0" borderId="3" xfId="0" applyNumberFormat="1" applyBorder="1"/>
    <xf numFmtId="2" fontId="0" fillId="0" borderId="3" xfId="0" quotePrefix="1" applyNumberFormat="1" applyBorder="1"/>
    <xf numFmtId="3" fontId="0" fillId="0" borderId="3" xfId="0" quotePrefix="1" applyNumberFormat="1" applyBorder="1" applyAlignment="1">
      <alignment horizontal="left"/>
    </xf>
    <xf numFmtId="167" fontId="0" fillId="0" borderId="3" xfId="0" applyNumberFormat="1" applyBorder="1" applyAlignment="1">
      <alignment horizontal="left"/>
    </xf>
    <xf numFmtId="3" fontId="0" fillId="0" borderId="3" xfId="0" applyNumberFormat="1" applyBorder="1" applyAlignment="1">
      <alignment horizontal="left"/>
    </xf>
    <xf numFmtId="165" fontId="0" fillId="0" borderId="3" xfId="0" applyNumberFormat="1" applyBorder="1" applyAlignment="1">
      <alignment horizontal="left"/>
    </xf>
    <xf numFmtId="0" fontId="0" fillId="0" borderId="3" xfId="0" applyBorder="1" applyAlignment="1">
      <alignment horizontal="right"/>
    </xf>
    <xf numFmtId="0" fontId="2" fillId="0" borderId="3" xfId="0" applyFont="1" applyBorder="1"/>
    <xf numFmtId="9" fontId="0" fillId="0" borderId="3" xfId="0" applyNumberFormat="1" applyBorder="1" applyAlignment="1">
      <alignment horizontal="left"/>
    </xf>
    <xf numFmtId="0" fontId="6" fillId="0" borderId="3" xfId="0" applyFont="1" applyBorder="1"/>
    <xf numFmtId="167" fontId="0" fillId="8" borderId="3" xfId="0" applyNumberFormat="1" applyFill="1" applyBorder="1" applyAlignment="1">
      <alignment horizontal="left"/>
    </xf>
    <xf numFmtId="165" fontId="0" fillId="8" borderId="3" xfId="0" applyNumberFormat="1" applyFill="1" applyBorder="1" applyAlignment="1">
      <alignment horizontal="left"/>
    </xf>
    <xf numFmtId="3" fontId="0" fillId="8" borderId="3" xfId="0" applyNumberFormat="1" applyFill="1" applyBorder="1" applyAlignment="1">
      <alignment horizontal="left"/>
    </xf>
    <xf numFmtId="16" fontId="0" fillId="0" borderId="3" xfId="0" applyNumberFormat="1" applyBorder="1"/>
    <xf numFmtId="0" fontId="2" fillId="0" borderId="3" xfId="0" quotePrefix="1" applyFont="1" applyBorder="1"/>
    <xf numFmtId="3" fontId="0" fillId="0" borderId="3" xfId="0" applyNumberFormat="1" applyBorder="1"/>
    <xf numFmtId="2" fontId="0" fillId="0" borderId="3" xfId="0" applyNumberFormat="1" applyBorder="1" applyAlignment="1">
      <alignment horizontal="left"/>
    </xf>
    <xf numFmtId="3" fontId="0" fillId="7" borderId="3" xfId="0" applyNumberFormat="1" applyFill="1" applyBorder="1" applyAlignment="1">
      <alignment horizontal="left"/>
    </xf>
    <xf numFmtId="9" fontId="0" fillId="0" borderId="3" xfId="2" quotePrefix="1" applyFont="1" applyFill="1" applyBorder="1" applyAlignment="1">
      <alignment horizontal="left"/>
    </xf>
    <xf numFmtId="165" fontId="0" fillId="0" borderId="3" xfId="2" quotePrefix="1" applyNumberFormat="1" applyFont="1" applyFill="1" applyBorder="1" applyAlignment="1">
      <alignment horizontal="left"/>
    </xf>
    <xf numFmtId="4" fontId="0" fillId="11" borderId="0" xfId="0" applyNumberFormat="1" applyFill="1"/>
    <xf numFmtId="165" fontId="0" fillId="0" borderId="7" xfId="0" applyNumberFormat="1" applyBorder="1" applyAlignment="1">
      <alignment horizontal="left"/>
    </xf>
    <xf numFmtId="0" fontId="2" fillId="0" borderId="8" xfId="0" quotePrefix="1" applyFont="1" applyBorder="1"/>
    <xf numFmtId="0" fontId="2" fillId="0" borderId="3" xfId="0" quotePrefix="1" applyFont="1" applyBorder="1" applyAlignment="1">
      <alignment horizontal="left"/>
    </xf>
    <xf numFmtId="9" fontId="0" fillId="4" borderId="1" xfId="2" applyFont="1" applyFill="1" applyBorder="1" applyProtection="1">
      <protection locked="0"/>
    </xf>
    <xf numFmtId="165" fontId="0" fillId="7" borderId="3" xfId="0" applyNumberFormat="1" applyFill="1" applyBorder="1" applyAlignment="1">
      <alignment horizontal="left"/>
    </xf>
    <xf numFmtId="9" fontId="0" fillId="0" borderId="0" xfId="0" applyNumberFormat="1"/>
    <xf numFmtId="0" fontId="0" fillId="0" borderId="0" xfId="0" applyAlignment="1">
      <alignment horizontal="left" vertical="top"/>
    </xf>
    <xf numFmtId="0" fontId="2" fillId="0" borderId="0" xfId="0" applyFont="1" applyAlignment="1">
      <alignment horizontal="left" vertical="top"/>
    </xf>
    <xf numFmtId="3" fontId="0" fillId="12" borderId="3" xfId="0" applyNumberFormat="1" applyFill="1" applyBorder="1" applyAlignment="1">
      <alignment horizontal="left" vertical="top"/>
    </xf>
    <xf numFmtId="0" fontId="2" fillId="12" borderId="3" xfId="0" applyFont="1" applyFill="1" applyBorder="1" applyAlignment="1">
      <alignment horizontal="left" vertical="top"/>
    </xf>
    <xf numFmtId="0" fontId="0" fillId="12" borderId="3" xfId="0" applyFill="1" applyBorder="1" applyAlignment="1">
      <alignment horizontal="left" vertical="top"/>
    </xf>
    <xf numFmtId="0" fontId="0" fillId="0" borderId="3" xfId="0" applyBorder="1" applyAlignment="1">
      <alignment horizontal="left" vertical="top"/>
    </xf>
    <xf numFmtId="3" fontId="6" fillId="12" borderId="3" xfId="0" applyNumberFormat="1" applyFont="1" applyFill="1" applyBorder="1" applyAlignment="1">
      <alignment horizontal="left" vertical="top"/>
    </xf>
    <xf numFmtId="0" fontId="0" fillId="0" borderId="3" xfId="0" applyBorder="1" applyAlignment="1">
      <alignment horizontal="left" vertical="top" wrapText="1"/>
    </xf>
    <xf numFmtId="3" fontId="2" fillId="0" borderId="3" xfId="0" quotePrefix="1" applyNumberFormat="1" applyFont="1" applyBorder="1" applyAlignment="1">
      <alignment horizontal="left" vertical="top"/>
    </xf>
    <xf numFmtId="167" fontId="2" fillId="0" borderId="3" xfId="0" applyNumberFormat="1" applyFont="1" applyBorder="1" applyAlignment="1">
      <alignment horizontal="left" vertical="top"/>
    </xf>
    <xf numFmtId="2" fontId="2" fillId="0" borderId="3" xfId="0" quotePrefix="1" applyNumberFormat="1" applyFont="1" applyBorder="1" applyAlignment="1">
      <alignment vertical="top"/>
    </xf>
    <xf numFmtId="3" fontId="2" fillId="0" borderId="3" xfId="0" applyNumberFormat="1" applyFont="1" applyBorder="1" applyAlignment="1">
      <alignment horizontal="left" vertical="top"/>
    </xf>
    <xf numFmtId="0" fontId="14" fillId="7" borderId="3" xfId="0" applyFont="1" applyFill="1" applyBorder="1" applyAlignment="1">
      <alignment horizontal="left" vertical="top"/>
    </xf>
    <xf numFmtId="0" fontId="2" fillId="0" borderId="3" xfId="0" applyFont="1" applyBorder="1" applyAlignment="1">
      <alignment horizontal="left" vertical="top"/>
    </xf>
    <xf numFmtId="0" fontId="9" fillId="9" borderId="3" xfId="0" applyFont="1" applyFill="1" applyBorder="1" applyAlignment="1">
      <alignment horizontal="left" vertical="top"/>
    </xf>
    <xf numFmtId="0" fontId="9" fillId="9" borderId="3" xfId="0" applyFont="1" applyFill="1" applyBorder="1" applyAlignment="1">
      <alignment horizontal="left" vertical="top" wrapText="1"/>
    </xf>
    <xf numFmtId="3" fontId="0" fillId="0" borderId="1" xfId="0" applyNumberFormat="1" applyBorder="1" applyAlignment="1" applyProtection="1">
      <alignment horizontal="left"/>
      <protection locked="0"/>
    </xf>
    <xf numFmtId="0" fontId="15" fillId="0" borderId="0" xfId="0" applyFont="1" applyAlignment="1">
      <alignment horizontal="left"/>
    </xf>
    <xf numFmtId="0" fontId="15" fillId="0" borderId="0" xfId="0" applyFont="1" applyAlignment="1">
      <alignment horizontal="left" wrapText="1"/>
    </xf>
    <xf numFmtId="0" fontId="2" fillId="0" borderId="0" xfId="0" applyFont="1" applyAlignment="1">
      <alignment horizontal="left" wrapText="1"/>
    </xf>
    <xf numFmtId="3" fontId="15" fillId="0" borderId="0" xfId="0" applyNumberFormat="1" applyFont="1" applyAlignment="1">
      <alignment horizontal="left" wrapText="1"/>
    </xf>
    <xf numFmtId="3" fontId="16" fillId="12" borderId="3" xfId="0" applyNumberFormat="1" applyFont="1" applyFill="1" applyBorder="1" applyAlignment="1">
      <alignment horizontal="left" vertical="top"/>
    </xf>
    <xf numFmtId="0" fontId="4" fillId="0" borderId="0" xfId="0" applyFont="1" applyAlignment="1">
      <alignment horizontal="left"/>
    </xf>
    <xf numFmtId="3" fontId="0" fillId="4" borderId="1" xfId="0" applyNumberFormat="1" applyFill="1" applyBorder="1" applyAlignment="1" applyProtection="1">
      <alignment horizontal="left"/>
      <protection locked="0"/>
    </xf>
    <xf numFmtId="4" fontId="0" fillId="5" borderId="1" xfId="0" applyNumberFormat="1" applyFill="1" applyBorder="1" applyAlignment="1" applyProtection="1">
      <alignment horizontal="left"/>
      <protection locked="0"/>
    </xf>
    <xf numFmtId="3" fontId="0" fillId="6" borderId="1" xfId="0" applyNumberFormat="1" applyFill="1" applyBorder="1" applyAlignment="1" applyProtection="1">
      <alignment horizontal="left"/>
      <protection locked="0"/>
    </xf>
    <xf numFmtId="164" fontId="0" fillId="0" borderId="0" xfId="0" applyNumberFormat="1" applyAlignment="1">
      <alignment horizontal="left"/>
    </xf>
    <xf numFmtId="165" fontId="0" fillId="0" borderId="0" xfId="2" applyNumberFormat="1" applyFont="1" applyAlignment="1">
      <alignment horizontal="left"/>
    </xf>
    <xf numFmtId="10" fontId="0" fillId="0" borderId="0" xfId="2" applyNumberFormat="1" applyFont="1" applyAlignment="1">
      <alignment horizontal="left"/>
    </xf>
    <xf numFmtId="165" fontId="0" fillId="4" borderId="1" xfId="0" applyNumberFormat="1" applyFill="1" applyBorder="1" applyAlignment="1" applyProtection="1">
      <alignment horizontal="left"/>
      <protection locked="0"/>
    </xf>
    <xf numFmtId="0" fontId="8" fillId="0" borderId="0" xfId="0" applyFont="1" applyAlignment="1">
      <alignment horizontal="left"/>
    </xf>
    <xf numFmtId="0" fontId="0" fillId="0" borderId="0" xfId="0" applyAlignment="1">
      <alignment horizontal="left" vertical="top" wrapText="1"/>
    </xf>
    <xf numFmtId="165" fontId="0" fillId="0" borderId="0" xfId="2" applyNumberFormat="1" applyFont="1" applyFill="1"/>
    <xf numFmtId="0" fontId="0" fillId="7" borderId="1" xfId="0" applyFill="1" applyBorder="1" applyProtection="1">
      <protection locked="0"/>
    </xf>
    <xf numFmtId="0" fontId="17" fillId="0" borderId="0" xfId="0" applyFont="1" applyAlignment="1">
      <alignment vertical="center"/>
    </xf>
    <xf numFmtId="0" fontId="17" fillId="0" borderId="0" xfId="0" applyFont="1" applyAlignment="1">
      <alignment horizontal="left" vertical="center" indent="9"/>
    </xf>
    <xf numFmtId="8" fontId="17" fillId="0" borderId="0" xfId="0" applyNumberFormat="1" applyFont="1" applyAlignment="1">
      <alignment vertical="center"/>
    </xf>
    <xf numFmtId="164" fontId="0" fillId="7" borderId="1" xfId="0" applyNumberFormat="1" applyFill="1" applyBorder="1" applyProtection="1">
      <protection locked="0"/>
    </xf>
    <xf numFmtId="9" fontId="0" fillId="7" borderId="1" xfId="0" applyNumberFormat="1" applyFill="1" applyBorder="1" applyAlignment="1" applyProtection="1">
      <alignment horizontal="left"/>
      <protection locked="0"/>
    </xf>
    <xf numFmtId="9" fontId="0" fillId="5" borderId="1" xfId="2" applyFont="1" applyFill="1" applyBorder="1" applyAlignment="1" applyProtection="1">
      <alignment horizontal="left"/>
      <protection locked="0"/>
    </xf>
    <xf numFmtId="9" fontId="0" fillId="13" borderId="1" xfId="2" applyFont="1" applyFill="1" applyBorder="1" applyAlignment="1" applyProtection="1">
      <alignment horizontal="left"/>
      <protection locked="0"/>
    </xf>
    <xf numFmtId="165" fontId="0" fillId="7" borderId="1" xfId="0" applyNumberFormat="1" applyFill="1" applyBorder="1" applyProtection="1">
      <protection locked="0"/>
    </xf>
    <xf numFmtId="3" fontId="0" fillId="7" borderId="1" xfId="0" applyNumberFormat="1" applyFill="1" applyBorder="1" applyAlignment="1" applyProtection="1">
      <alignment horizontal="left"/>
      <protection locked="0"/>
    </xf>
    <xf numFmtId="0" fontId="4" fillId="0" borderId="9" xfId="5" applyNumberFormat="1" applyFont="1" applyBorder="1" applyAlignment="1">
      <alignment horizontal="left" vertical="center"/>
    </xf>
    <xf numFmtId="0" fontId="4" fillId="0" borderId="10" xfId="5" applyNumberFormat="1" applyFont="1" applyBorder="1" applyAlignment="1">
      <alignment horizontal="center" vertical="center"/>
    </xf>
    <xf numFmtId="0" fontId="23" fillId="0" borderId="11" xfId="5" applyNumberFormat="1" applyFont="1" applyBorder="1" applyAlignment="1">
      <alignment horizontal="left" vertical="center"/>
    </xf>
    <xf numFmtId="0" fontId="0" fillId="0" borderId="0" xfId="5" applyNumberFormat="1" applyFont="1" applyBorder="1" applyAlignment="1">
      <alignment horizontal="left" vertical="center"/>
    </xf>
    <xf numFmtId="0" fontId="11" fillId="0" borderId="0" xfId="5" applyNumberFormat="1" applyAlignment="1">
      <alignment vertical="center"/>
    </xf>
    <xf numFmtId="0" fontId="11" fillId="0" borderId="0" xfId="5" applyNumberFormat="1" applyAlignment="1">
      <alignment horizontal="center" vertical="center"/>
    </xf>
    <xf numFmtId="168" fontId="24" fillId="0" borderId="0" xfId="5" applyNumberFormat="1" applyFont="1" applyAlignment="1">
      <alignment horizontal="center" vertical="center"/>
    </xf>
    <xf numFmtId="168" fontId="25" fillId="0" borderId="0" xfId="5" applyNumberFormat="1" applyFont="1" applyAlignment="1">
      <alignment vertical="center"/>
    </xf>
    <xf numFmtId="0" fontId="4" fillId="0" borderId="11" xfId="5" applyNumberFormat="1" applyFont="1" applyBorder="1" applyAlignment="1">
      <alignment horizontal="right" vertical="center"/>
    </xf>
    <xf numFmtId="0" fontId="4" fillId="0" borderId="0" xfId="5" applyNumberFormat="1" applyFont="1" applyAlignment="1">
      <alignment horizontal="right" vertical="center"/>
    </xf>
    <xf numFmtId="169" fontId="11" fillId="14" borderId="1" xfId="5" applyNumberFormat="1" applyFill="1" applyBorder="1" applyAlignment="1" applyProtection="1">
      <alignment vertical="center"/>
      <protection locked="0"/>
    </xf>
    <xf numFmtId="3" fontId="11" fillId="14" borderId="1" xfId="5" applyNumberFormat="1" applyFill="1" applyBorder="1" applyAlignment="1" applyProtection="1">
      <alignment vertical="center"/>
      <protection locked="0"/>
    </xf>
    <xf numFmtId="170" fontId="11" fillId="14" borderId="1" xfId="5" applyNumberFormat="1" applyFill="1" applyBorder="1" applyAlignment="1" applyProtection="1">
      <alignment vertical="center"/>
      <protection locked="0"/>
    </xf>
    <xf numFmtId="0" fontId="26" fillId="15" borderId="3" xfId="0" quotePrefix="1" applyFont="1" applyFill="1" applyBorder="1" applyAlignment="1">
      <alignment horizontal="center" vertical="center"/>
    </xf>
    <xf numFmtId="171" fontId="27" fillId="0" borderId="0" xfId="0" applyNumberFormat="1" applyFont="1" applyAlignment="1">
      <alignment horizontal="right"/>
    </xf>
    <xf numFmtId="164" fontId="0" fillId="0" borderId="0" xfId="0" applyNumberFormat="1"/>
    <xf numFmtId="2" fontId="0" fillId="0" borderId="0" xfId="2" applyNumberFormat="1" applyFont="1"/>
    <xf numFmtId="10" fontId="0" fillId="0" borderId="0" xfId="0" applyNumberFormat="1" applyProtection="1">
      <protection locked="0"/>
    </xf>
    <xf numFmtId="0" fontId="0" fillId="0" borderId="0" xfId="0" applyProtection="1">
      <protection locked="0"/>
    </xf>
    <xf numFmtId="0" fontId="2" fillId="0" borderId="0" xfId="0" applyFont="1" applyAlignment="1" applyProtection="1">
      <alignment horizontal="right"/>
      <protection locked="0"/>
    </xf>
    <xf numFmtId="9" fontId="2" fillId="0" borderId="0" xfId="2" applyFont="1" applyFill="1" applyAlignment="1">
      <alignment horizontal="right"/>
    </xf>
    <xf numFmtId="0" fontId="0" fillId="0" borderId="0" xfId="2" applyNumberFormat="1" applyFont="1" applyFill="1"/>
    <xf numFmtId="0" fontId="0" fillId="0" borderId="0" xfId="0" applyAlignment="1">
      <alignment horizontal="right"/>
    </xf>
    <xf numFmtId="10" fontId="0" fillId="0" borderId="0" xfId="2" applyNumberFormat="1" applyFont="1" applyFill="1"/>
    <xf numFmtId="3" fontId="0" fillId="0" borderId="0" xfId="0" applyNumberFormat="1" applyProtection="1">
      <protection locked="0"/>
    </xf>
    <xf numFmtId="172" fontId="0" fillId="0" borderId="0" xfId="7" applyNumberFormat="1" applyFont="1" applyFill="1" applyBorder="1" applyProtection="1">
      <protection locked="0"/>
    </xf>
    <xf numFmtId="172" fontId="0" fillId="0" borderId="0" xfId="0" applyNumberFormat="1"/>
    <xf numFmtId="2" fontId="0" fillId="0" borderId="0" xfId="2" applyNumberFormat="1" applyFont="1" applyFill="1"/>
    <xf numFmtId="3" fontId="0" fillId="7" borderId="0" xfId="0" applyNumberFormat="1" applyFill="1" applyProtection="1">
      <protection locked="0"/>
    </xf>
    <xf numFmtId="3" fontId="0" fillId="7" borderId="0" xfId="0" applyNumberFormat="1" applyFill="1"/>
    <xf numFmtId="3" fontId="0" fillId="0" borderId="0" xfId="7" applyNumberFormat="1" applyFont="1" applyFill="1" applyBorder="1" applyProtection="1">
      <protection locked="0"/>
    </xf>
    <xf numFmtId="3" fontId="0" fillId="0" borderId="0" xfId="2" applyNumberFormat="1" applyFont="1" applyFill="1"/>
    <xf numFmtId="172" fontId="0" fillId="4" borderId="1" xfId="7" applyNumberFormat="1" applyFont="1" applyFill="1" applyBorder="1" applyProtection="1">
      <protection locked="0"/>
    </xf>
    <xf numFmtId="10" fontId="0" fillId="4" borderId="1" xfId="2" applyNumberFormat="1" applyFont="1" applyFill="1" applyBorder="1" applyProtection="1">
      <protection locked="0"/>
    </xf>
    <xf numFmtId="3" fontId="2" fillId="4" borderId="1" xfId="0" applyNumberFormat="1" applyFont="1" applyFill="1" applyBorder="1" applyAlignment="1" applyProtection="1">
      <alignment horizontal="left"/>
      <protection locked="0"/>
    </xf>
    <xf numFmtId="11" fontId="0" fillId="4" borderId="1" xfId="0" applyNumberFormat="1" applyFill="1" applyBorder="1" applyProtection="1">
      <protection locked="0"/>
    </xf>
    <xf numFmtId="11" fontId="0" fillId="7" borderId="1" xfId="0" applyNumberFormat="1" applyFill="1" applyBorder="1" applyProtection="1">
      <protection locked="0"/>
    </xf>
    <xf numFmtId="172" fontId="0" fillId="4" borderId="1" xfId="2" applyNumberFormat="1" applyFont="1" applyFill="1" applyBorder="1" applyProtection="1">
      <protection locked="0"/>
    </xf>
    <xf numFmtId="9" fontId="0" fillId="4" borderId="2" xfId="0" applyNumberFormat="1" applyFill="1" applyBorder="1" applyProtection="1">
      <protection locked="0"/>
    </xf>
    <xf numFmtId="0" fontId="16" fillId="0" borderId="0" xfId="0" applyFont="1"/>
    <xf numFmtId="0" fontId="14" fillId="0" borderId="0" xfId="0" applyFont="1" applyAlignment="1">
      <alignment horizontal="right"/>
    </xf>
    <xf numFmtId="3" fontId="16" fillId="0" borderId="0" xfId="0" applyNumberFormat="1" applyFont="1"/>
    <xf numFmtId="0" fontId="16" fillId="16" borderId="0" xfId="0" applyFont="1" applyFill="1"/>
    <xf numFmtId="9" fontId="16" fillId="0" borderId="0" xfId="2" applyFont="1"/>
    <xf numFmtId="9" fontId="16" fillId="0" borderId="0" xfId="0" applyNumberFormat="1" applyFont="1"/>
    <xf numFmtId="3" fontId="10" fillId="0" borderId="0" xfId="0" applyNumberFormat="1" applyFont="1"/>
    <xf numFmtId="173" fontId="0" fillId="0" borderId="0" xfId="0" applyNumberFormat="1"/>
    <xf numFmtId="3" fontId="0" fillId="4" borderId="0" xfId="0" applyNumberFormat="1" applyFill="1" applyAlignment="1" applyProtection="1">
      <alignment horizontal="left"/>
      <protection locked="0"/>
    </xf>
    <xf numFmtId="4" fontId="0" fillId="5" borderId="0" xfId="0" applyNumberFormat="1" applyFill="1" applyAlignment="1" applyProtection="1">
      <alignment horizontal="left"/>
      <protection locked="0"/>
    </xf>
    <xf numFmtId="3" fontId="0" fillId="6" borderId="0" xfId="0" applyNumberFormat="1" applyFill="1" applyAlignment="1" applyProtection="1">
      <alignment horizontal="left"/>
      <protection locked="0"/>
    </xf>
    <xf numFmtId="0" fontId="0" fillId="4" borderId="0" xfId="0" applyFill="1" applyAlignment="1" applyProtection="1">
      <alignment horizontal="left"/>
      <protection locked="0"/>
    </xf>
    <xf numFmtId="0" fontId="1" fillId="2" borderId="0" xfId="0" applyFont="1" applyFill="1" applyAlignment="1">
      <alignment horizontal="center" vertical="center"/>
    </xf>
    <xf numFmtId="0" fontId="9" fillId="9" borderId="3" xfId="0" applyFont="1" applyFill="1" applyBorder="1" applyAlignment="1">
      <alignment horizontal="center" wrapText="1"/>
    </xf>
    <xf numFmtId="0" fontId="9" fillId="9" borderId="4" xfId="0" applyFont="1" applyFill="1" applyBorder="1" applyAlignment="1">
      <alignment horizontal="left"/>
    </xf>
    <xf numFmtId="0" fontId="9" fillId="9" borderId="5" xfId="0" applyFont="1" applyFill="1" applyBorder="1" applyAlignment="1">
      <alignment horizontal="left"/>
    </xf>
    <xf numFmtId="0" fontId="9" fillId="9" borderId="6" xfId="0" applyFont="1" applyFill="1" applyBorder="1" applyAlignment="1">
      <alignment horizontal="left"/>
    </xf>
  </cellXfs>
  <cellStyles count="8">
    <cellStyle name="Comma" xfId="7" builtinId="3"/>
    <cellStyle name="Comma 3 2" xfId="4" xr:uid="{00000000-0005-0000-0000-000000000000}"/>
    <cellStyle name="Explanatory Text 4" xfId="5" xr:uid="{00000000-0005-0000-0000-000001000000}"/>
    <cellStyle name="Normal" xfId="0" builtinId="0"/>
    <cellStyle name="Normal 12" xfId="6" xr:uid="{00000000-0005-0000-0000-000003000000}"/>
    <cellStyle name="Normal 2" xfId="1" xr:uid="{00000000-0005-0000-0000-000004000000}"/>
    <cellStyle name="Normal 2 2" xfId="3" xr:uid="{00000000-0005-0000-0000-000005000000}"/>
    <cellStyle name="Percent" xfId="2" builtinId="5"/>
  </cellStyles>
  <dxfs count="0"/>
  <tableStyles count="0" defaultTableStyle="TableStyleMedium9"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46</xdr:col>
      <xdr:colOff>1</xdr:colOff>
      <xdr:row>29</xdr:row>
      <xdr:rowOff>0</xdr:rowOff>
    </xdr:from>
    <xdr:to>
      <xdr:col>53</xdr:col>
      <xdr:colOff>140133</xdr:colOff>
      <xdr:row>42</xdr:row>
      <xdr:rowOff>133350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4525626" y="5248275"/>
          <a:ext cx="4604180" cy="24860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ebra" id="{FE6D18C0-7EA1-4B6A-9575-DE8108E733CD}" userId="Debra" providerId="None"/>
  <person displayName="Optima" id="{AF6AE7EC-9B0E-4D0B-A5C0-33E562AD866F}" userId="Optima" providerId="None"/>
  <person displayName="Sherrie Kelly" id="{71D8BE8B-48A3-4E45-A5BE-D507F57FBFE4}" userId="Sherrie Kelly" providerId="None"/>
  <person displayName="Anna Bowring" id="{82D5409A-23F4-46CE-B12D-B5F408DF310D}" userId="S::anna.bowring@burnet.edu.au::63c70b25-d815-45c3-9b0a-b231ad537568"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30" dT="2023-07-04T09:37:19.39" personId="{AF6AE7EC-9B0E-4D0B-A5C0-33E562AD866F}" id="{78D8EDED-15F1-4B4D-AEE8-746B5727A0C4}">
    <text>Provided by MIHPSA working group from AIDSinfo</text>
  </threadedComment>
  <threadedComment ref="AC31" dT="2020-04-20T11:23:34.31" personId="{71D8BE8B-48A3-4E45-A5BE-D507F57FBFE4}" id="{2ABA2B1B-4D75-4CC0-8DB2-BB3B8BDA1685}">
    <text>Source: AIDSinfo</text>
  </threadedComment>
  <threadedComment ref="AD31" dT="2020-04-20T11:23:34.31" personId="{71D8BE8B-48A3-4E45-A5BE-D507F57FBFE4}" id="{B13A42D5-A594-4708-B1DC-E62A8674111B}">
    <text>Source: AIDSinfo</text>
  </threadedComment>
  <threadedComment ref="AC78" dT="2022-03-08T19:28:19.33" personId="{AF6AE7EC-9B0E-4D0B-A5C0-33E562AD866F}" id="{02669074-76B5-4912-BF6C-BB83D0F7B4C9}">
    <text>AIDSinfo accessed 08-03-2022</text>
  </threadedComment>
  <threadedComment ref="AE78" dT="2022-03-08T19:28:19.33" personId="{AF6AE7EC-9B0E-4D0B-A5C0-33E562AD866F}" id="{D385A15C-EFA0-4555-835A-27E7524BE507}">
    <text>AIDSinfo accessed 08-03-2022</text>
  </threadedComment>
  <threadedComment ref="AF78" dT="2022-03-08T19:28:19.33" personId="{AF6AE7EC-9B0E-4D0B-A5C0-33E562AD866F}" id="{80258DD5-AA78-4B32-A756-EA20ECC7240E}">
    <text>AIDSinfo accessed 08-03-2022</text>
  </threadedComment>
  <threadedComment ref="AG78" dT="2022-03-08T19:28:19.33" personId="{AF6AE7EC-9B0E-4D0B-A5C0-33E562AD866F}" id="{F9DCEC7F-9BC7-44D9-BA55-461DDB90FBE9}">
    <text>AIDSinfo accessed 08-03-2022</text>
  </threadedComment>
  <threadedComment ref="AH78" dT="2023-07-14T08:04:16.25" personId="{AF6AE7EC-9B0E-4D0B-A5C0-33E562AD866F}" id="{BE155E18-70B1-4BDA-B905-ABF54564D15A}">
    <text>Aidsinfo accessed 14-07-2023</text>
  </threadedComment>
  <threadedComment ref="AI78" dT="2023-07-14T08:04:16.25" personId="{AF6AE7EC-9B0E-4D0B-A5C0-33E562AD866F}" id="{50856477-17CB-4BA7-BC42-DE7CF48438CC}">
    <text>Aidsinfo accessed 14-07-2023</text>
  </threadedComment>
  <threadedComment ref="BL87" dT="2021-11-17T13:09:16.18" personId="{AF6AE7EC-9B0E-4D0B-A5C0-33E562AD866F}" id="{48479BBC-EAD5-4357-8D05-64AD2A58FD9B}">
    <text>Weighted average calculated in "Population_Zimbabwe_20210924"</text>
  </threadedComment>
  <threadedComment ref="BM87" dT="2021-11-17T13:09:16.18" personId="{AF6AE7EC-9B0E-4D0B-A5C0-33E562AD866F}" id="{89C26B14-0891-4D0A-A1E5-4D528412EA4F}">
    <text>Weighted average calculated in "Population_Zimbabwe_20210924"</text>
  </threadedComment>
</ThreadedComments>
</file>

<file path=xl/threadedComments/threadedComment2.xml><?xml version="1.0" encoding="utf-8"?>
<ThreadedComments xmlns="http://schemas.microsoft.com/office/spreadsheetml/2018/threadedcomments" xmlns:x="http://schemas.openxmlformats.org/spreadsheetml/2006/main">
  <threadedComment ref="AH15" dT="2023-07-04T09:37:19.39" personId="{AF6AE7EC-9B0E-4D0B-A5C0-33E562AD866F}" id="{E81F3CDC-BC0C-4A37-A923-56EEB2C0B4E6}">
    <text>Provided by MIHPSA working group from AIDSinfo</text>
  </threadedComment>
</ThreadedComments>
</file>

<file path=xl/threadedComments/threadedComment3.xml><?xml version="1.0" encoding="utf-8"?>
<ThreadedComments xmlns="http://schemas.microsoft.com/office/spreadsheetml/2018/threadedcomments" xmlns:x="http://schemas.openxmlformats.org/spreadsheetml/2006/main">
  <threadedComment ref="AG59" dT="2023-07-14T08:04:16.25" personId="{AF6AE7EC-9B0E-4D0B-A5C0-33E562AD866F}" id="{7EAF5144-154B-4AF9-90A6-EA6C2D3CA7D8}">
    <text>Aidsinfo accessed 14-07-2023</text>
  </threadedComment>
  <threadedComment ref="AH59" dT="2023-07-14T08:04:16.25" personId="{AF6AE7EC-9B0E-4D0B-A5C0-33E562AD866F}" id="{25F4BF24-07A0-4B20-872F-1045962EF78F}">
    <text>Aidsinfo accessed 14-07-2023</text>
  </threadedComment>
  <threadedComment ref="AI59" dT="2023-07-14T08:04:16.25" personId="{AF6AE7EC-9B0E-4D0B-A5C0-33E562AD866F}" id="{9DE3B331-570A-410F-82B0-97E846C67FA5}">
    <text>Aidsinfo accessed 14-07-2023</text>
  </threadedComment>
  <threadedComment ref="AG60" dT="2023-07-14T08:04:16.25" personId="{AF6AE7EC-9B0E-4D0B-A5C0-33E562AD866F}" id="{D516D81F-D0DA-4A03-B2AB-D6C8A4CD83DA}">
    <text>Aidsinfo accessed 14-07-2023</text>
  </threadedComment>
  <threadedComment ref="AH60" dT="2023-07-14T08:04:16.25" personId="{AF6AE7EC-9B0E-4D0B-A5C0-33E562AD866F}" id="{D42935D5-F04D-46D3-8CE1-0AEBD9A38C0F}">
    <text>Aidsinfo accessed 14-07-2023</text>
  </threadedComment>
  <threadedComment ref="AI60" dT="2023-07-14T08:04:16.25" personId="{AF6AE7EC-9B0E-4D0B-A5C0-33E562AD866F}" id="{A54495DE-97BF-4669-9F83-67F1D786917D}">
    <text>Aidsinfo accessed 14-07-2023</text>
  </threadedComment>
  <threadedComment ref="AG61" dT="2023-07-14T08:04:16.25" personId="{AF6AE7EC-9B0E-4D0B-A5C0-33E562AD866F}" id="{611E398B-B68B-43C4-AC27-BB682F429AD9}">
    <text>Aidsinfo accessed 14-07-2023</text>
  </threadedComment>
  <threadedComment ref="AH61" dT="2023-07-14T08:04:16.25" personId="{AF6AE7EC-9B0E-4D0B-A5C0-33E562AD866F}" id="{E33644C3-2007-459E-A7D2-F1628E9485B4}">
    <text>Aidsinfo accessed 14-07-2023</text>
  </threadedComment>
  <threadedComment ref="AI61" dT="2023-07-14T08:04:16.25" personId="{AF6AE7EC-9B0E-4D0B-A5C0-33E562AD866F}" id="{515B947A-64A5-478A-9945-E8AB4CB86B71}">
    <text>Aidsinfo accessed 14-07-2023</text>
  </threadedComment>
  <threadedComment ref="AG75" dT="2023-07-14T08:04:16.25" personId="{AF6AE7EC-9B0E-4D0B-A5C0-33E562AD866F}" id="{3E9B345F-506A-4829-8ECD-B2A0F90E712E}">
    <text>Aidsinfo accessed 14-07-2023</text>
  </threadedComment>
  <threadedComment ref="AH75" dT="2023-07-14T08:04:16.25" personId="{AF6AE7EC-9B0E-4D0B-A5C0-33E562AD866F}" id="{05D03950-B0A8-4D32-8547-902C64CA05BD}">
    <text>Aidsinfo accessed 14-07-2023</text>
  </threadedComment>
  <threadedComment ref="AI75" dT="2023-07-14T08:04:16.25" personId="{AF6AE7EC-9B0E-4D0B-A5C0-33E562AD866F}" id="{6BF8CD8C-4789-42D4-BD27-2FF3E4536E38}">
    <text>Aidsinfo accessed 14-07-2023</text>
  </threadedComment>
  <threadedComment ref="AG76" dT="2023-07-14T08:04:16.25" personId="{AF6AE7EC-9B0E-4D0B-A5C0-33E562AD866F}" id="{638E7F66-A9B4-479C-B841-FECAB8DEF09E}">
    <text>Aidsinfo accessed 14-07-2023</text>
  </threadedComment>
  <threadedComment ref="AH76" dT="2023-07-14T08:04:16.25" personId="{AF6AE7EC-9B0E-4D0B-A5C0-33E562AD866F}" id="{2423845E-7DB0-4355-838E-A6CBC29F9027}">
    <text>Aidsinfo accessed 14-07-2023</text>
  </threadedComment>
  <threadedComment ref="AI76" dT="2023-07-14T08:04:16.25" personId="{AF6AE7EC-9B0E-4D0B-A5C0-33E562AD866F}" id="{B65758A3-71A6-4690-91EF-1A74D64B647E}">
    <text>Aidsinfo accessed 14-07-2023</text>
  </threadedComment>
  <threadedComment ref="AG77" dT="2023-07-14T08:04:16.25" personId="{AF6AE7EC-9B0E-4D0B-A5C0-33E562AD866F}" id="{71812EB3-BF9C-4856-B498-8EB3073B49EF}">
    <text>Aidsinfo accessed 14-07-2023</text>
  </threadedComment>
  <threadedComment ref="AH77" dT="2023-07-14T08:04:16.25" personId="{AF6AE7EC-9B0E-4D0B-A5C0-33E562AD866F}" id="{A2EECDC1-1E81-4BF3-9728-390B6E5DE38F}">
    <text>Aidsinfo accessed 14-07-2023</text>
  </threadedComment>
  <threadedComment ref="AI77" dT="2023-07-14T08:04:16.25" personId="{AF6AE7EC-9B0E-4D0B-A5C0-33E562AD866F}" id="{5FC3A94A-FF15-4578-8130-729FA8DF5F36}">
    <text>Aidsinfo accessed 14-07-2023</text>
  </threadedComment>
  <threadedComment ref="AG91" dT="2023-07-14T08:04:16.25" personId="{AF6AE7EC-9B0E-4D0B-A5C0-33E562AD866F}" id="{D6DD4A56-1A17-47B0-8951-FE2AAA4A47E5}">
    <text>Aidsinfo accessed 14-07-2023</text>
  </threadedComment>
  <threadedComment ref="AH91" dT="2023-07-14T08:04:16.25" personId="{AF6AE7EC-9B0E-4D0B-A5C0-33E562AD866F}" id="{54FEFDF7-1FDA-4D92-9E9E-01055D2B6E97}">
    <text>Aidsinfo accessed 14-07-2023</text>
  </threadedComment>
  <threadedComment ref="AI91" dT="2023-07-14T08:04:16.25" personId="{AF6AE7EC-9B0E-4D0B-A5C0-33E562AD866F}" id="{F953F244-2C01-4C6F-91FE-4940EE90E33B}">
    <text>Aidsinfo accessed 14-07-2023</text>
  </threadedComment>
  <threadedComment ref="AG92" dT="2023-07-14T08:04:16.25" personId="{AF6AE7EC-9B0E-4D0B-A5C0-33E562AD866F}" id="{F4A2F3EB-8B51-4C19-95C0-F0EE6BEA79D4}">
    <text>Aidsinfo accessed 14-07-2023</text>
  </threadedComment>
  <threadedComment ref="AH92" dT="2023-07-14T08:04:16.25" personId="{AF6AE7EC-9B0E-4D0B-A5C0-33E562AD866F}" id="{37C2F332-A7ED-4EDA-8B36-034559569222}">
    <text>Aidsinfo accessed 14-07-2023</text>
  </threadedComment>
  <threadedComment ref="AI92" dT="2023-07-14T08:04:16.25" personId="{AF6AE7EC-9B0E-4D0B-A5C0-33E562AD866F}" id="{068EC7F7-6F18-4FA1-8F6C-0452853FA334}">
    <text>Aidsinfo accessed 14-07-2023</text>
  </threadedComment>
  <threadedComment ref="AG93" dT="2023-07-14T08:04:16.25" personId="{AF6AE7EC-9B0E-4D0B-A5C0-33E562AD866F}" id="{3FC93066-C39B-4F26-BD8C-D0FB4EDB4450}">
    <text>Aidsinfo accessed 14-07-2023</text>
  </threadedComment>
  <threadedComment ref="AH93" dT="2023-07-14T08:04:16.25" personId="{AF6AE7EC-9B0E-4D0B-A5C0-33E562AD866F}" id="{D259F8E5-F791-4DF0-BBAC-3E9054DCA14F}">
    <text>Aidsinfo accessed 14-07-2023</text>
  </threadedComment>
  <threadedComment ref="AI93" dT="2023-07-14T08:04:16.25" personId="{AF6AE7EC-9B0E-4D0B-A5C0-33E562AD866F}" id="{9262B291-B5C6-41C4-AFDF-AC5113B0D830}">
    <text>Aidsinfo accessed 14-07-2023</text>
  </threadedComment>
</ThreadedComments>
</file>

<file path=xl/threadedComments/threadedComment4.xml><?xml version="1.0" encoding="utf-8"?>
<ThreadedComments xmlns="http://schemas.microsoft.com/office/spreadsheetml/2018/threadedcomments" xmlns:x="http://schemas.openxmlformats.org/spreadsheetml/2006/main">
  <threadedComment ref="AC3" dT="2020-08-03T09:36:36.93" personId="{AF6AE7EC-9B0E-4D0B-A5C0-33E562AD866F}" id="{2AD4D63F-A572-4404-8FCE-030FCE045BCE}">
    <text>Previously 0.1</text>
  </threadedComment>
  <threadedComment ref="BZ3" dT="2020-08-03T09:36:36.93" personId="{AF6AE7EC-9B0E-4D0B-A5C0-33E562AD866F}" id="{799F16C3-6B83-48C6-A3ED-BBA05CF7D962}">
    <text>Previously 0.1</text>
  </threadedComment>
  <threadedComment ref="AC24" dT="2020-08-03T09:36:49.68" personId="{AF6AE7EC-9B0E-4D0B-A5C0-33E562AD866F}" id="{5B78F803-B669-4B9B-8150-A3EE9F0BE4DC}">
    <text>Previously 0.1</text>
  </threadedComment>
  <threadedComment ref="M51" dT="2022-02-16T16:27:16.55" personId="{AF6AE7EC-9B0E-4D0B-A5C0-33E562AD866F}" id="{D5A95AD0-43CF-4E03-A2AD-72082B30897A}">
    <text>Previously 20%</text>
  </threadedComment>
  <threadedComment ref="V51" dT="2022-02-16T16:27:24.18" personId="{AF6AE7EC-9B0E-4D0B-A5C0-33E562AD866F}" id="{BBDA06F0-D33E-4119-9BA6-AFB5E7B7DA6A}">
    <text>Previously 25%</text>
  </threadedComment>
  <threadedComment ref="AC51" dT="2020-08-03T09:42:30.37" personId="{AF6AE7EC-9B0E-4D0B-A5C0-33E562AD866F}" id="{58A535C2-46C6-4A27-AFA5-9980954BC2FA}">
    <text>Previously 13%</text>
  </threadedComment>
  <threadedComment ref="AS51" dT="2022-02-16T16:20:43.25" personId="{AF6AE7EC-9B0E-4D0B-A5C0-33E562AD866F}" id="{7B550D3A-BEDC-457A-9E1D-5D121BF650C9}">
    <text>Added for calibration purposes</text>
  </threadedComment>
  <threadedComment ref="BZ51" dT="2020-08-03T09:42:30.37" personId="{AF6AE7EC-9B0E-4D0B-A5C0-33E562AD866F}" id="{F03DCA87-824C-4DBF-9F7A-E9C13A16F3A6}">
    <text>Previously 13%</text>
  </threadedComment>
  <threadedComment ref="CC51" dT="2022-02-16T16:20:43.25" personId="{AF6AE7EC-9B0E-4D0B-A5C0-33E562AD866F}" id="{A70A8369-C6B3-4E1F-B8B9-B1E0B73D048B}">
    <text>Added for calibration purposes</text>
  </threadedComment>
  <threadedComment ref="AC57" dT="2020-08-03T09:36:36.93" personId="{AF6AE7EC-9B0E-4D0B-A5C0-33E562AD866F}" id="{807ABB5B-CCD2-4BE7-B9B5-CF7B29516088}">
    <text>Previously 0.1</text>
  </threadedComment>
  <threadedComment ref="AS84" dT="2022-02-16T16:20:49.41" personId="{AF6AE7EC-9B0E-4D0B-A5C0-33E562AD866F}" id="{BD2A1661-C57E-4EC0-A96A-3D51E84A6DE2}">
    <text>Default assumption</text>
  </threadedComment>
  <threadedComment ref="AS90" dT="2022-02-16T16:20:49.41" personId="{AF6AE7EC-9B0E-4D0B-A5C0-33E562AD866F}" id="{F07324C9-8EBD-46CE-A616-0A4C9BFA273A}">
    <text>Default assumption</text>
  </threadedComment>
</ThreadedComments>
</file>

<file path=xl/threadedComments/threadedComment5.xml><?xml version="1.0" encoding="utf-8"?>
<ThreadedComments xmlns="http://schemas.microsoft.com/office/spreadsheetml/2018/threadedcomments" xmlns:x="http://schemas.openxmlformats.org/spreadsheetml/2006/main">
  <threadedComment ref="AC129" dT="2023-07-25T11:54:53.66" personId="{82D5409A-23F4-46CE-B12D-B5F408DF310D}" id="{85D3D85D-CECF-4160-982A-BC8EC07CD68C}">
    <text>Previously 14%
Updated based on nonmedical circumcision
ZIMPHIA 2017, p 67, 15-49 years</text>
  </threadedComment>
  <threadedComment ref="BG129" dT="2020-07-27T12:25:29.99" personId="{FE6D18C0-7EA1-4B6A-9575-DE8108E733CD}" id="{10C06F70-DFF0-4F38-B43D-81259A9BC358}">
    <text>Previous value 9%</text>
  </threadedComment>
  <threadedComment ref="CC129" dT="2020-07-27T12:32:08.74" personId="{FE6D18C0-7EA1-4B6A-9575-DE8108E733CD}" id="{2AB5A828-641E-634D-AE78-075B871DBCC8}">
    <text>ZIMPHIA Table 3.7 B Male circumcision 
page 67</text>
  </threadedComment>
  <threadedComment ref="AC130" dT="2023-07-25T11:54:53.66" personId="{82D5409A-23F4-46CE-B12D-B5F408DF310D}" id="{B042E9DF-AC9C-4A72-9860-F8635F9E04FC}">
    <text>Previously 14%
Updated based on nonmedical circumcision
ZIMPHIA 2017, p 67, 15-49 years</text>
  </threadedComment>
  <threadedComment ref="CC130" dT="2020-07-27T12:32:08.74" personId="{FE6D18C0-7EA1-4B6A-9575-DE8108E733CD}" id="{9F26866F-0F95-2A4E-BF3D-A38B498F8914}">
    <text>ZIMPHIA Table 3.7 B Male circumcision 
page 67</text>
  </threadedComment>
  <threadedComment ref="AC131" dT="2023-07-25T11:54:53.66" personId="{82D5409A-23F4-46CE-B12D-B5F408DF310D}" id="{7EE220D5-918B-487C-BD9C-81972CFCDBA8}">
    <text>Previously 14%
Updated based on nonmedical circumcision
ZIMPHIA 2017, p 67, 15-49 years</text>
  </threadedComment>
  <threadedComment ref="CC131" dT="2020-07-27T12:32:08.74" personId="{FE6D18C0-7EA1-4B6A-9575-DE8108E733CD}" id="{9D32DAAD-21BA-544C-99DE-B2964964AB09}">
    <text>ZIMPHIA Table 3.7 B Male circumcision 
page 67</text>
  </threadedComment>
  <threadedComment ref="AS132" dT="2020-07-27T12:32:08.74" personId="{FE6D18C0-7EA1-4B6A-9575-DE8108E733CD}" id="{3B99DC2F-A196-A144-A16D-742071FB0ABA}">
    <text>ZIMPHIA Table 3.7 B Male circumcision 
page 67</text>
  </threadedComment>
  <threadedComment ref="CC132" dT="2020-07-27T12:32:08.74" personId="{FE6D18C0-7EA1-4B6A-9575-DE8108E733CD}" id="{23501EC0-D31F-1345-8B3A-DB1F2D3A569E}">
    <text>ZIMPHIA Table 3.7 B Male circumcision 
page 67</text>
  </threadedComment>
  <threadedComment ref="CC133" dT="2020-07-27T12:32:08.74" personId="{FE6D18C0-7EA1-4B6A-9575-DE8108E733CD}" id="{B80ECF95-CB2C-4A41-B09F-1FD5C14B907B}">
    <text>ZIMPHIA Table 3.7 B Male circumcision 
page 67</text>
  </threadedComment>
  <threadedComment ref="CC134" dT="2020-07-27T12:32:08.74" personId="{FE6D18C0-7EA1-4B6A-9575-DE8108E733CD}" id="{0013C4AD-F9B0-4E42-A1EF-0728F24034A0}">
    <text>ZIMPHIA Table 3.7 B Male circumcision 
page 67</text>
  </threadedComment>
  <threadedComment ref="CC135" dT="2020-07-27T12:32:08.74" personId="{FE6D18C0-7EA1-4B6A-9575-DE8108E733CD}" id="{64771324-FBE3-1F43-9C4D-C2E96E663FF7}">
    <text>ZIMPHIA Table 3.7 B Male circumcision 
page 67</text>
  </threadedComment>
  <threadedComment ref="AG136" dT="2023-07-25T11:48:13.44" personId="{82D5409A-23F4-46CE-B12D-B5F408DF310D}" id="{94538088-97B5-4DA7-B7E7-66C0B94B77F7}">
    <text>Previously 25%
Updated based on nonmedical circumcision
ZIMPHIA 2020, pg 116</text>
  </threadedComment>
  <threadedComment ref="CC136" dT="2020-07-27T12:32:08.74" personId="{FE6D18C0-7EA1-4B6A-9575-DE8108E733CD}" id="{FB831DB5-548E-4A41-8FD6-ED8D4C460874}">
    <text>ZIMPHIA Table 3.7 B Male circumcision 
page 67</text>
  </threadedComment>
  <threadedComment ref="AS137" dT="2020-07-27T12:32:08.74" personId="{FE6D18C0-7EA1-4B6A-9575-DE8108E733CD}" id="{F912C439-37D9-D545-A12C-9949FC7E34F9}">
    <text>ZIMPHIA Table 3.7 B Male circumcision 
page 67</text>
  </threadedComment>
  <threadedComment ref="CC137" dT="2020-07-27T12:32:08.74" personId="{FE6D18C0-7EA1-4B6A-9575-DE8108E733CD}" id="{17459707-5BC5-AA49-8ACE-54C747F08371}">
    <text>ZIMPHIA Table 3.7 B Male circumcision 
page 67</text>
  </threadedComment>
  <threadedComment ref="AZ143" dT="2023-07-25T10:16:04.86" personId="{82D5409A-23F4-46CE-B12D-B5F408DF310D}" id="{8C83A583-D72B-47F2-967B-5024DB21CF7C}">
    <text>VMMC strategy launched</text>
  </threadedComment>
  <threadedComment ref="BI144" dT="2023-07-25T10:45:21.72" personId="{82D5409A-23F4-46CE-B12D-B5F408DF310D}" id="{2E781256-BB5B-4C35-91AF-2A0E815CBDC3}">
    <text>AIDSInfo 2023</text>
  </threadedComment>
  <threadedComment ref="AS147" dT="2020-07-27T12:32:08.74" personId="{FE6D18C0-7EA1-4B6A-9575-DE8108E733CD}" id="{4CFC7660-6118-4A76-9463-6E7D845C467B}">
    <text>ZIMPHIA Table 3.7 B Male circumcision 
page 67</text>
  </threadedComment>
  <threadedComment ref="AS152" dT="2020-07-27T12:32:08.74" personId="{FE6D18C0-7EA1-4B6A-9575-DE8108E733CD}" id="{372DF097-EB0B-4C75-8C60-8868060A7354}">
    <text>ZIMPHIA Table 3.7 B Male circumcision 
page 67</text>
  </threadedComment>
</ThreadedComments>
</file>

<file path=xl/threadedComments/threadedComment6.xml><?xml version="1.0" encoding="utf-8"?>
<ThreadedComments xmlns="http://schemas.microsoft.com/office/spreadsheetml/2018/threadedcomments" xmlns:x="http://schemas.openxmlformats.org/spreadsheetml/2006/main">
  <threadedComment ref="C79" dT="2020-08-03T08:59:00.42" personId="{FE6D18C0-7EA1-4B6A-9575-DE8108E733CD}" id="{03F11DD4-8E4E-4C34-8AB8-4C9C4E51BCEE}">
    <text>Changed 03-08-2020 to 95%</text>
  </threadedComment>
</ThreadedComments>
</file>

<file path=xl/threadedComments/threadedComment7.xml><?xml version="1.0" encoding="utf-8"?>
<ThreadedComments xmlns="http://schemas.microsoft.com/office/spreadsheetml/2018/threadedcomments" xmlns:x="http://schemas.openxmlformats.org/spreadsheetml/2006/main">
  <threadedComment ref="U34" dT="2022-03-08T19:28:19.33" personId="{AF6AE7EC-9B0E-4D0B-A5C0-33E562AD866F}" id="{60511EFE-DE7C-437A-BE38-C3B9C2E240BB}">
    <text>AIDSinfo accessed 08-03-2022</text>
  </threadedComment>
  <threadedComment ref="V34" dT="2022-03-08T19:28:19.33" personId="{AF6AE7EC-9B0E-4D0B-A5C0-33E562AD866F}" id="{F57438DA-F0F7-4516-AC5A-D035638C0E42}">
    <text>AIDSinfo accessed 08-03-2022</text>
  </threadedComment>
  <threadedComment ref="W34" dT="2022-03-08T19:28:19.33" personId="{AF6AE7EC-9B0E-4D0B-A5C0-33E562AD866F}" id="{025B506D-3F9F-4ED6-B514-2AA63B4FAD5A}">
    <text>AIDSinfo accessed 08-03-2022</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microsoft.com/office/2017/10/relationships/threadedComment" Target="../threadedComments/threadedComment5.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zoomScale="80" zoomScaleNormal="80" workbookViewId="0">
      <selection activeCell="B36" sqref="B36"/>
    </sheetView>
  </sheetViews>
  <sheetFormatPr defaultColWidth="8.81640625" defaultRowHeight="14.5" x14ac:dyDescent="0.35"/>
  <cols>
    <col min="1" max="1" width="80.453125" customWidth="1"/>
  </cols>
  <sheetData>
    <row r="1" spans="1:1" x14ac:dyDescent="0.35">
      <c r="A1" s="177" t="s">
        <v>0</v>
      </c>
    </row>
    <row r="2" spans="1:1" x14ac:dyDescent="0.35">
      <c r="A2" s="177"/>
    </row>
    <row r="3" spans="1:1" x14ac:dyDescent="0.35">
      <c r="A3" s="177"/>
    </row>
    <row r="4" spans="1:1" x14ac:dyDescent="0.35">
      <c r="A4" s="1"/>
    </row>
    <row r="5" spans="1:1" ht="65.25" customHeight="1" x14ac:dyDescent="0.35">
      <c r="A5" s="1" t="s">
        <v>1</v>
      </c>
    </row>
    <row r="6" spans="1:1" x14ac:dyDescent="0.35">
      <c r="A6" s="1"/>
    </row>
    <row r="7" spans="1:1" x14ac:dyDescent="0.35">
      <c r="A7" s="1" t="s">
        <v>2</v>
      </c>
    </row>
    <row r="8" spans="1:1" x14ac:dyDescent="0.35">
      <c r="A8" s="1"/>
    </row>
    <row r="9" spans="1:1" x14ac:dyDescent="0.35">
      <c r="A9" s="1" t="s">
        <v>407</v>
      </c>
    </row>
    <row r="10" spans="1:1" x14ac:dyDescent="0.35">
      <c r="A10" s="1"/>
    </row>
    <row r="11" spans="1:1" x14ac:dyDescent="0.35">
      <c r="A11" s="1" t="s">
        <v>3</v>
      </c>
    </row>
    <row r="12" spans="1:1" x14ac:dyDescent="0.35">
      <c r="A12" s="1"/>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DW183"/>
  <sheetViews>
    <sheetView zoomScale="80" zoomScaleNormal="80" workbookViewId="0">
      <pane xSplit="2" ySplit="2" topLeftCell="F3" activePane="bottomRight" state="frozen"/>
      <selection pane="topRight" activeCell="C1" sqref="C1"/>
      <selection pane="bottomLeft" activeCell="A3" sqref="A3"/>
      <selection pane="bottomRight" activeCell="J23" sqref="J23"/>
    </sheetView>
  </sheetViews>
  <sheetFormatPr defaultColWidth="9" defaultRowHeight="14.5" x14ac:dyDescent="0.35"/>
  <cols>
    <col min="1" max="1" width="5.1796875" customWidth="1"/>
    <col min="2" max="12" width="8.81640625" customWidth="1"/>
    <col min="13" max="21" width="5.1796875" bestFit="1" customWidth="1"/>
    <col min="22" max="23" width="5.26953125" bestFit="1" customWidth="1"/>
    <col min="24" max="29" width="6.36328125" bestFit="1" customWidth="1"/>
    <col min="30" max="31" width="7.36328125" bestFit="1" customWidth="1"/>
    <col min="32" max="32" width="8.1796875" customWidth="1"/>
    <col min="33" max="33" width="9.453125" customWidth="1"/>
    <col min="34" max="34" width="6.36328125" bestFit="1" customWidth="1"/>
    <col min="35" max="43" width="5.1796875" bestFit="1" customWidth="1"/>
    <col min="44" max="44" width="3.453125" bestFit="1" customWidth="1"/>
    <col min="45" max="45" width="11.1796875" bestFit="1" customWidth="1"/>
  </cols>
  <sheetData>
    <row r="1" spans="1:51" x14ac:dyDescent="0.35">
      <c r="A1" s="2" t="s">
        <v>73</v>
      </c>
    </row>
    <row r="2" spans="1:51" x14ac:dyDescent="0.35">
      <c r="C2" s="3">
        <v>1990</v>
      </c>
      <c r="D2" s="3">
        <v>1991</v>
      </c>
      <c r="E2" s="3">
        <v>1992</v>
      </c>
      <c r="F2" s="3">
        <v>1993</v>
      </c>
      <c r="G2" s="3">
        <v>1994</v>
      </c>
      <c r="H2" s="3">
        <v>1995</v>
      </c>
      <c r="I2" s="3">
        <v>1996</v>
      </c>
      <c r="J2" s="3">
        <v>1997</v>
      </c>
      <c r="K2" s="3">
        <v>1998</v>
      </c>
      <c r="L2" s="3">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row>
    <row r="3" spans="1:51" x14ac:dyDescent="0.35">
      <c r="B3" s="4" t="str">
        <f>Populations!$C$3</f>
        <v>FSW</v>
      </c>
      <c r="C3" s="8"/>
      <c r="D3" s="8"/>
      <c r="E3" s="8"/>
      <c r="F3" s="8"/>
      <c r="G3" s="8"/>
      <c r="H3" s="8"/>
      <c r="I3" s="8"/>
      <c r="J3" s="8"/>
      <c r="K3" s="8"/>
      <c r="L3" s="8"/>
      <c r="M3" s="10">
        <v>63.4</v>
      </c>
      <c r="N3" s="10"/>
      <c r="O3" s="10"/>
      <c r="P3" s="10"/>
      <c r="Q3" s="10"/>
      <c r="R3" s="10">
        <v>61.4</v>
      </c>
      <c r="S3" s="10"/>
      <c r="T3" s="10"/>
      <c r="U3" s="10"/>
      <c r="V3" s="10"/>
      <c r="W3" s="10">
        <f>R3</f>
        <v>61.4</v>
      </c>
      <c r="X3" s="10"/>
      <c r="Y3" s="10"/>
      <c r="Z3" s="10"/>
      <c r="AA3" s="10"/>
      <c r="AB3" s="10">
        <v>61.6</v>
      </c>
      <c r="AC3" s="5"/>
      <c r="AD3" s="5"/>
      <c r="AE3" s="5"/>
      <c r="AF3" s="5"/>
      <c r="AG3" s="5"/>
      <c r="AH3" s="5"/>
      <c r="AI3" s="5"/>
      <c r="AJ3" s="5"/>
      <c r="AK3" s="5"/>
      <c r="AL3" s="5"/>
      <c r="AM3" s="5"/>
      <c r="AN3" s="5"/>
      <c r="AO3" s="5"/>
      <c r="AP3" s="5"/>
      <c r="AQ3" s="5"/>
      <c r="AR3" s="6" t="s">
        <v>46</v>
      </c>
      <c r="AS3" s="5"/>
    </row>
    <row r="4" spans="1:51" x14ac:dyDescent="0.35">
      <c r="B4" s="4" t="str">
        <f>Populations!$C$4</f>
        <v>Clients</v>
      </c>
      <c r="C4" s="8"/>
      <c r="D4" s="8"/>
      <c r="E4" s="8"/>
      <c r="F4" s="8"/>
      <c r="G4" s="8"/>
      <c r="H4" s="8"/>
      <c r="I4" s="8"/>
      <c r="J4" s="8"/>
      <c r="K4" s="8"/>
      <c r="L4" s="8"/>
      <c r="M4" s="10">
        <v>46.4</v>
      </c>
      <c r="N4" s="10"/>
      <c r="O4" s="10"/>
      <c r="P4" s="10"/>
      <c r="Q4" s="10"/>
      <c r="R4" s="10">
        <v>45.1</v>
      </c>
      <c r="S4" s="10"/>
      <c r="T4" s="10"/>
      <c r="U4" s="10"/>
      <c r="V4" s="10"/>
      <c r="W4" s="10">
        <v>51.6</v>
      </c>
      <c r="X4" s="10"/>
      <c r="Y4" s="10"/>
      <c r="Z4" s="10"/>
      <c r="AA4" s="10"/>
      <c r="AB4" s="10">
        <v>50.8</v>
      </c>
      <c r="AC4" s="5"/>
      <c r="AD4" s="5"/>
      <c r="AE4" s="5"/>
      <c r="AF4" s="5"/>
      <c r="AG4" s="5"/>
      <c r="AH4" s="5"/>
      <c r="AI4" s="5"/>
      <c r="AJ4" s="5"/>
      <c r="AK4" s="5"/>
      <c r="AL4" s="5"/>
      <c r="AM4" s="5"/>
      <c r="AN4" s="5"/>
      <c r="AO4" s="5"/>
      <c r="AP4" s="5"/>
      <c r="AQ4" s="5"/>
      <c r="AR4" s="6" t="s">
        <v>46</v>
      </c>
      <c r="AS4" s="5"/>
    </row>
    <row r="5" spans="1:51" x14ac:dyDescent="0.35">
      <c r="B5" s="4" t="str">
        <f>Populations!$C$5</f>
        <v>MSM</v>
      </c>
      <c r="C5" s="8"/>
      <c r="D5" s="8"/>
      <c r="E5" s="8"/>
      <c r="F5" s="8"/>
      <c r="G5" s="8"/>
      <c r="H5" s="8"/>
      <c r="I5" s="8"/>
      <c r="J5" s="8"/>
      <c r="K5" s="8"/>
      <c r="L5" s="8"/>
      <c r="M5" s="10">
        <v>46.4</v>
      </c>
      <c r="N5" s="10"/>
      <c r="O5" s="10"/>
      <c r="P5" s="10"/>
      <c r="Q5" s="10"/>
      <c r="R5" s="10">
        <v>45.1</v>
      </c>
      <c r="S5" s="10"/>
      <c r="T5" s="10"/>
      <c r="U5" s="10"/>
      <c r="V5" s="10"/>
      <c r="W5" s="10">
        <v>51.6</v>
      </c>
      <c r="X5" s="10"/>
      <c r="Y5" s="10"/>
      <c r="Z5" s="10"/>
      <c r="AA5" s="10"/>
      <c r="AB5" s="10">
        <v>50.8</v>
      </c>
      <c r="AC5" s="5"/>
      <c r="AD5" s="5"/>
      <c r="AE5" s="5"/>
      <c r="AF5" s="5"/>
      <c r="AG5" s="5"/>
      <c r="AH5" s="5"/>
      <c r="AI5" s="5"/>
      <c r="AJ5" s="5"/>
      <c r="AK5" s="5"/>
      <c r="AL5" s="5"/>
      <c r="AM5" s="5"/>
      <c r="AN5" s="5"/>
      <c r="AO5" s="5"/>
      <c r="AP5" s="5"/>
      <c r="AQ5" s="5"/>
      <c r="AR5" s="6" t="s">
        <v>46</v>
      </c>
      <c r="AS5" s="5"/>
    </row>
    <row r="6" spans="1:51" x14ac:dyDescent="0.35">
      <c r="B6" s="4" t="s">
        <v>17</v>
      </c>
      <c r="C6" s="8"/>
      <c r="D6" s="8"/>
      <c r="E6" s="8"/>
      <c r="F6" s="8"/>
      <c r="G6" s="8"/>
      <c r="H6" s="8"/>
      <c r="I6" s="8"/>
      <c r="J6" s="8"/>
      <c r="K6" s="8"/>
      <c r="L6" s="8"/>
      <c r="M6" s="10">
        <f>46.4/2</f>
        <v>23.2</v>
      </c>
      <c r="N6" s="10"/>
      <c r="O6" s="10"/>
      <c r="P6" s="10"/>
      <c r="Q6" s="10"/>
      <c r="R6" s="10">
        <f>45.1/2</f>
        <v>22.55</v>
      </c>
      <c r="S6" s="10"/>
      <c r="T6" s="10"/>
      <c r="U6" s="10"/>
      <c r="V6" s="10"/>
      <c r="W6" s="10">
        <f>51.6/2</f>
        <v>25.8</v>
      </c>
      <c r="X6" s="10"/>
      <c r="Y6" s="10"/>
      <c r="Z6" s="10"/>
      <c r="AA6" s="10"/>
      <c r="AB6" s="10">
        <f>50.8/2</f>
        <v>25.4</v>
      </c>
      <c r="AC6" s="5"/>
      <c r="AD6" s="5"/>
      <c r="AE6" s="5"/>
      <c r="AF6" s="5"/>
      <c r="AG6" s="5"/>
      <c r="AH6" s="5"/>
      <c r="AI6" s="5"/>
      <c r="AJ6" s="5"/>
      <c r="AK6" s="5"/>
      <c r="AL6" s="5"/>
      <c r="AM6" s="5"/>
      <c r="AN6" s="5"/>
      <c r="AO6" s="5"/>
      <c r="AP6" s="5"/>
      <c r="AQ6" s="5"/>
      <c r="AR6" s="6" t="s">
        <v>46</v>
      </c>
      <c r="AS6" s="5"/>
    </row>
    <row r="7" spans="1:51" x14ac:dyDescent="0.35">
      <c r="B7" s="4" t="str">
        <f>Populations!$C$7</f>
        <v>F0-14</v>
      </c>
      <c r="C7" s="8"/>
      <c r="D7" s="8"/>
      <c r="E7" s="8"/>
      <c r="F7" s="8"/>
      <c r="G7" s="8"/>
      <c r="H7" s="8"/>
      <c r="I7" s="8"/>
      <c r="J7" s="8"/>
      <c r="K7" s="8"/>
      <c r="L7" s="8"/>
      <c r="M7" s="10"/>
      <c r="N7" s="10"/>
      <c r="O7" s="10"/>
      <c r="P7" s="10"/>
      <c r="Q7" s="10"/>
      <c r="R7" s="10"/>
      <c r="S7" s="10"/>
      <c r="T7" s="10"/>
      <c r="U7" s="10"/>
      <c r="V7" s="10"/>
      <c r="W7" s="10"/>
      <c r="X7" s="10"/>
      <c r="Y7" s="10"/>
      <c r="Z7" s="10"/>
      <c r="AA7" s="10"/>
      <c r="AB7" s="10"/>
      <c r="AC7" s="5"/>
      <c r="AD7" s="5"/>
      <c r="AE7" s="5"/>
      <c r="AF7" s="5"/>
      <c r="AG7" s="5"/>
      <c r="AH7" s="5"/>
      <c r="AI7" s="5"/>
      <c r="AJ7" s="5"/>
      <c r="AK7" s="5"/>
      <c r="AL7" s="5"/>
      <c r="AM7" s="5"/>
      <c r="AN7" s="5"/>
      <c r="AO7" s="5"/>
      <c r="AP7" s="5"/>
      <c r="AQ7" s="5"/>
      <c r="AR7" s="6" t="s">
        <v>46</v>
      </c>
      <c r="AS7" s="5">
        <v>0</v>
      </c>
    </row>
    <row r="8" spans="1:51" x14ac:dyDescent="0.35">
      <c r="B8" s="4" t="str">
        <f>Populations!$C$8</f>
        <v>M0-14</v>
      </c>
      <c r="C8" s="8"/>
      <c r="D8" s="8"/>
      <c r="E8" s="8"/>
      <c r="F8" s="8"/>
      <c r="G8" s="8"/>
      <c r="H8" s="8"/>
      <c r="I8" s="8"/>
      <c r="J8" s="8"/>
      <c r="K8" s="8"/>
      <c r="L8" s="8"/>
      <c r="M8" s="10"/>
      <c r="N8" s="10"/>
      <c r="O8" s="10"/>
      <c r="P8" s="10"/>
      <c r="Q8" s="10"/>
      <c r="R8" s="10"/>
      <c r="S8" s="10"/>
      <c r="T8" s="10"/>
      <c r="U8" s="10"/>
      <c r="V8" s="10"/>
      <c r="W8" s="10"/>
      <c r="X8" s="10"/>
      <c r="Y8" s="10"/>
      <c r="Z8" s="10"/>
      <c r="AA8" s="10"/>
      <c r="AB8" s="10"/>
      <c r="AC8" s="5"/>
      <c r="AD8" s="5"/>
      <c r="AE8" s="5"/>
      <c r="AF8" s="5"/>
      <c r="AG8" s="5"/>
      <c r="AH8" s="5"/>
      <c r="AI8" s="5"/>
      <c r="AJ8" s="5"/>
      <c r="AK8" s="5"/>
      <c r="AL8" s="5"/>
      <c r="AM8" s="5"/>
      <c r="AN8" s="5"/>
      <c r="AO8" s="5"/>
      <c r="AP8" s="5"/>
      <c r="AQ8" s="5"/>
      <c r="AR8" s="6" t="s">
        <v>46</v>
      </c>
      <c r="AS8" s="5">
        <v>0</v>
      </c>
    </row>
    <row r="9" spans="1:51" x14ac:dyDescent="0.35">
      <c r="B9" s="4" t="str">
        <f>Populations!$C$9</f>
        <v>F15-19</v>
      </c>
      <c r="C9" s="8"/>
      <c r="D9" s="8"/>
      <c r="E9" s="8"/>
      <c r="F9" s="8"/>
      <c r="G9" s="8"/>
      <c r="H9" s="8"/>
      <c r="I9" s="8"/>
      <c r="J9" s="8"/>
      <c r="K9" s="8"/>
      <c r="L9" s="8"/>
      <c r="M9" s="10">
        <v>21.7</v>
      </c>
      <c r="N9" s="10"/>
      <c r="O9" s="10"/>
      <c r="P9" s="10"/>
      <c r="Q9" s="10"/>
      <c r="R9" s="10">
        <v>20.8</v>
      </c>
      <c r="S9" s="10"/>
      <c r="T9" s="10"/>
      <c r="U9" s="10"/>
      <c r="V9" s="10"/>
      <c r="W9" s="10">
        <v>23.2</v>
      </c>
      <c r="X9" s="10"/>
      <c r="Y9" s="10"/>
      <c r="Z9" s="10"/>
      <c r="AA9" s="10"/>
      <c r="AB9" s="10">
        <v>19.600000000000001</v>
      </c>
      <c r="AC9" s="5"/>
      <c r="AD9" s="5"/>
      <c r="AE9" s="5"/>
      <c r="AF9" s="5"/>
      <c r="AG9" s="5"/>
      <c r="AH9" s="5"/>
      <c r="AI9" s="5"/>
      <c r="AJ9" s="5"/>
      <c r="AK9" s="5"/>
      <c r="AL9" s="5"/>
      <c r="AM9" s="5"/>
      <c r="AN9" s="5"/>
      <c r="AO9" s="5"/>
      <c r="AP9" s="5"/>
      <c r="AQ9" s="5"/>
      <c r="AR9" s="6" t="s">
        <v>46</v>
      </c>
      <c r="AS9" s="5"/>
    </row>
    <row r="10" spans="1:51" x14ac:dyDescent="0.35">
      <c r="B10" s="4" t="str">
        <f>Populations!$C$10</f>
        <v>M15-19</v>
      </c>
      <c r="C10" s="8"/>
      <c r="D10" s="8"/>
      <c r="E10" s="8"/>
      <c r="F10" s="8"/>
      <c r="G10" s="8"/>
      <c r="H10" s="8"/>
      <c r="I10" s="8"/>
      <c r="J10" s="8"/>
      <c r="K10" s="8"/>
      <c r="L10" s="8"/>
      <c r="M10" s="10">
        <v>0.6</v>
      </c>
      <c r="N10" s="10"/>
      <c r="O10" s="10"/>
      <c r="P10" s="10"/>
      <c r="Q10" s="10"/>
      <c r="R10" s="10">
        <v>0.4</v>
      </c>
      <c r="S10" s="10"/>
      <c r="T10" s="10"/>
      <c r="U10" s="10"/>
      <c r="V10" s="10"/>
      <c r="W10" s="10">
        <v>1</v>
      </c>
      <c r="X10" s="10"/>
      <c r="Y10" s="10"/>
      <c r="Z10" s="10"/>
      <c r="AA10" s="10"/>
      <c r="AB10" s="10">
        <v>0.8</v>
      </c>
      <c r="AC10" s="5"/>
      <c r="AD10" s="5"/>
      <c r="AE10" s="5"/>
      <c r="AF10" s="5"/>
      <c r="AG10" s="5"/>
      <c r="AH10" s="5"/>
      <c r="AI10" s="5"/>
      <c r="AJ10" s="5"/>
      <c r="AK10" s="5"/>
      <c r="AL10" s="5"/>
      <c r="AM10" s="5"/>
      <c r="AN10" s="5"/>
      <c r="AO10" s="5"/>
      <c r="AP10" s="5"/>
      <c r="AQ10" s="5"/>
      <c r="AR10" s="6" t="s">
        <v>46</v>
      </c>
      <c r="AS10" s="5"/>
    </row>
    <row r="11" spans="1:51" x14ac:dyDescent="0.35">
      <c r="B11" s="4" t="str">
        <f>Populations!$C$11</f>
        <v>F20-24</v>
      </c>
      <c r="C11" s="8"/>
      <c r="D11" s="8"/>
      <c r="E11" s="8"/>
      <c r="F11" s="8"/>
      <c r="G11" s="8"/>
      <c r="H11" s="8"/>
      <c r="I11" s="8"/>
      <c r="J11" s="8"/>
      <c r="K11" s="8"/>
      <c r="L11" s="8"/>
      <c r="M11" s="10">
        <v>63.4</v>
      </c>
      <c r="N11" s="10"/>
      <c r="O11" s="10"/>
      <c r="P11" s="10"/>
      <c r="Q11" s="10"/>
      <c r="R11" s="10">
        <v>61.4</v>
      </c>
      <c r="S11" s="10"/>
      <c r="T11" s="10"/>
      <c r="U11" s="10"/>
      <c r="V11" s="10"/>
      <c r="W11" s="10">
        <v>65.8</v>
      </c>
      <c r="X11" s="10"/>
      <c r="Y11" s="10"/>
      <c r="Z11" s="10"/>
      <c r="AA11" s="10"/>
      <c r="AB11" s="10">
        <v>61.6</v>
      </c>
      <c r="AC11" s="5"/>
      <c r="AD11" s="5"/>
      <c r="AE11" s="5"/>
      <c r="AF11" s="5"/>
      <c r="AG11" s="5"/>
      <c r="AH11" s="5"/>
      <c r="AI11" s="5"/>
      <c r="AJ11" s="5"/>
      <c r="AK11" s="5"/>
      <c r="AL11" s="5"/>
      <c r="AM11" s="5"/>
      <c r="AN11" s="5"/>
      <c r="AO11" s="5"/>
      <c r="AP11" s="5"/>
      <c r="AQ11" s="5"/>
      <c r="AR11" s="6" t="s">
        <v>46</v>
      </c>
      <c r="AS11" s="5"/>
    </row>
    <row r="12" spans="1:51" x14ac:dyDescent="0.35">
      <c r="B12" s="4" t="str">
        <f>Populations!$C$12</f>
        <v>M20-24</v>
      </c>
      <c r="C12" s="8"/>
      <c r="D12" s="8"/>
      <c r="E12" s="8"/>
      <c r="F12" s="8"/>
      <c r="G12" s="8"/>
      <c r="H12" s="8"/>
      <c r="I12" s="8"/>
      <c r="J12" s="8"/>
      <c r="K12" s="8"/>
      <c r="L12" s="8"/>
      <c r="M12" s="10">
        <v>21.8</v>
      </c>
      <c r="N12" s="10"/>
      <c r="O12" s="10"/>
      <c r="P12" s="10"/>
      <c r="Q12" s="10"/>
      <c r="R12" s="10">
        <v>21.3</v>
      </c>
      <c r="S12" s="10"/>
      <c r="T12" s="10"/>
      <c r="U12" s="10"/>
      <c r="V12" s="10"/>
      <c r="W12" s="10">
        <v>26.1</v>
      </c>
      <c r="X12" s="10"/>
      <c r="Y12" s="10"/>
      <c r="Z12" s="10"/>
      <c r="AA12" s="10"/>
      <c r="AB12" s="10">
        <v>22</v>
      </c>
      <c r="AC12" s="5"/>
      <c r="AD12" s="5"/>
      <c r="AE12" s="5"/>
      <c r="AF12" s="5"/>
      <c r="AG12" s="5"/>
      <c r="AH12" s="5"/>
      <c r="AI12" s="5"/>
      <c r="AJ12" s="5"/>
      <c r="AK12" s="5"/>
      <c r="AL12" s="5"/>
      <c r="AM12" s="5"/>
      <c r="AN12" s="5"/>
      <c r="AO12" s="5"/>
      <c r="AP12" s="5"/>
      <c r="AQ12" s="5"/>
      <c r="AR12" s="6" t="s">
        <v>46</v>
      </c>
      <c r="AS12" s="5"/>
      <c r="AX12" t="s">
        <v>356</v>
      </c>
    </row>
    <row r="13" spans="1:51" x14ac:dyDescent="0.35">
      <c r="B13" s="4" t="str">
        <f>Populations!$C$13</f>
        <v>F25-34</v>
      </c>
      <c r="C13" s="8"/>
      <c r="D13" s="8"/>
      <c r="E13" s="8"/>
      <c r="F13" s="8"/>
      <c r="G13" s="8"/>
      <c r="H13" s="8"/>
      <c r="I13" s="8"/>
      <c r="J13" s="8"/>
      <c r="K13" s="8"/>
      <c r="L13" s="8"/>
      <c r="M13" s="10">
        <v>78.2</v>
      </c>
      <c r="N13" s="10"/>
      <c r="O13" s="10"/>
      <c r="P13" s="10"/>
      <c r="Q13" s="10"/>
      <c r="R13" s="10">
        <v>76.8</v>
      </c>
      <c r="S13" s="10"/>
      <c r="T13" s="10"/>
      <c r="U13" s="10"/>
      <c r="V13" s="10"/>
      <c r="W13" s="10">
        <v>78.5</v>
      </c>
      <c r="X13" s="10"/>
      <c r="Y13" s="10"/>
      <c r="Z13" s="10"/>
      <c r="AA13" s="10"/>
      <c r="AB13" s="10">
        <v>79.7</v>
      </c>
      <c r="AC13" s="5"/>
      <c r="AD13" s="5"/>
      <c r="AE13" s="5"/>
      <c r="AF13" s="5"/>
      <c r="AG13" s="5"/>
      <c r="AH13" s="5"/>
      <c r="AI13" s="5"/>
      <c r="AJ13" s="5"/>
      <c r="AK13" s="5"/>
      <c r="AL13" s="5"/>
      <c r="AM13" s="5"/>
      <c r="AN13" s="5"/>
      <c r="AO13" s="5"/>
      <c r="AP13" s="5"/>
      <c r="AQ13" s="5"/>
      <c r="AR13" s="6" t="s">
        <v>46</v>
      </c>
      <c r="AS13" s="5"/>
    </row>
    <row r="14" spans="1:51" x14ac:dyDescent="0.35">
      <c r="B14" s="4" t="str">
        <f>Populations!$C$14</f>
        <v>M25-34</v>
      </c>
      <c r="C14" s="8"/>
      <c r="D14" s="8"/>
      <c r="E14" s="8"/>
      <c r="F14" s="8"/>
      <c r="G14" s="8"/>
      <c r="H14" s="8"/>
      <c r="I14" s="8"/>
      <c r="J14" s="8"/>
      <c r="K14" s="8"/>
      <c r="L14" s="8"/>
      <c r="M14" s="10">
        <v>73.5</v>
      </c>
      <c r="N14" s="10"/>
      <c r="O14" s="10"/>
      <c r="P14" s="10"/>
      <c r="Q14" s="10"/>
      <c r="R14" s="10">
        <v>73.7</v>
      </c>
      <c r="S14" s="10"/>
      <c r="T14" s="10"/>
      <c r="U14" s="10"/>
      <c r="V14" s="10"/>
      <c r="W14" s="10">
        <v>72.599999999999994</v>
      </c>
      <c r="X14" s="10"/>
      <c r="Y14" s="10"/>
      <c r="Z14" s="10"/>
      <c r="AA14" s="10"/>
      <c r="AB14" s="10">
        <v>72.3</v>
      </c>
      <c r="AC14" s="5"/>
      <c r="AD14" s="5"/>
      <c r="AE14" s="5"/>
      <c r="AF14" s="5"/>
      <c r="AG14" s="5"/>
      <c r="AH14" s="5"/>
      <c r="AI14" s="5"/>
      <c r="AJ14" s="5"/>
      <c r="AK14" s="5"/>
      <c r="AL14" s="5"/>
      <c r="AM14" s="5"/>
      <c r="AN14" s="5"/>
      <c r="AO14" s="5"/>
      <c r="AP14" s="5"/>
      <c r="AQ14" s="5"/>
      <c r="AR14" s="6" t="s">
        <v>46</v>
      </c>
      <c r="AS14" s="5"/>
      <c r="AX14" t="s">
        <v>355</v>
      </c>
    </row>
    <row r="15" spans="1:51" x14ac:dyDescent="0.35">
      <c r="B15" s="4" t="str">
        <f>Populations!$C$15</f>
        <v>F35-49</v>
      </c>
      <c r="C15" s="8"/>
      <c r="D15" s="8"/>
      <c r="E15" s="8"/>
      <c r="F15" s="8"/>
      <c r="G15" s="8"/>
      <c r="H15" s="8"/>
      <c r="I15" s="8"/>
      <c r="J15" s="8"/>
      <c r="K15" s="8"/>
      <c r="L15" s="8"/>
      <c r="M15" s="10">
        <v>78.099999999999994</v>
      </c>
      <c r="N15" s="10"/>
      <c r="O15" s="10"/>
      <c r="P15" s="10"/>
      <c r="Q15" s="10"/>
      <c r="R15" s="10">
        <v>67.7</v>
      </c>
      <c r="S15" s="10"/>
      <c r="T15" s="10"/>
      <c r="U15" s="10"/>
      <c r="V15" s="10"/>
      <c r="W15" s="10">
        <v>70.8</v>
      </c>
      <c r="X15" s="10"/>
      <c r="Y15" s="10"/>
      <c r="Z15" s="10"/>
      <c r="AA15" s="10"/>
      <c r="AB15" s="10">
        <v>74.099999999999994</v>
      </c>
      <c r="AC15" s="5"/>
      <c r="AD15" s="5"/>
      <c r="AE15" s="5"/>
      <c r="AF15" s="5"/>
      <c r="AG15" s="5"/>
      <c r="AH15" s="5"/>
      <c r="AI15" s="5"/>
      <c r="AJ15" s="5"/>
      <c r="AK15" s="5"/>
      <c r="AL15" s="5"/>
      <c r="AM15" s="5"/>
      <c r="AN15" s="5"/>
      <c r="AO15" s="5"/>
      <c r="AP15" s="5"/>
      <c r="AQ15" s="5"/>
      <c r="AR15" s="6" t="s">
        <v>46</v>
      </c>
      <c r="AS15" s="5"/>
      <c r="AX15">
        <f>75/90</f>
        <v>0.83333333333333337</v>
      </c>
      <c r="AY15" s="39">
        <f>AX15*60</f>
        <v>50</v>
      </c>
    </row>
    <row r="16" spans="1:51" x14ac:dyDescent="0.35">
      <c r="B16" s="4" t="str">
        <f>Populations!$C$16</f>
        <v>M35-49</v>
      </c>
      <c r="C16" s="8"/>
      <c r="D16" s="8"/>
      <c r="E16" s="8"/>
      <c r="F16" s="8"/>
      <c r="G16" s="8"/>
      <c r="H16" s="8"/>
      <c r="I16" s="8"/>
      <c r="J16" s="8"/>
      <c r="K16" s="8"/>
      <c r="L16" s="8"/>
      <c r="M16" s="10">
        <v>89.5</v>
      </c>
      <c r="N16" s="10"/>
      <c r="O16" s="10"/>
      <c r="P16" s="10"/>
      <c r="Q16" s="10"/>
      <c r="R16" s="10">
        <v>88.6</v>
      </c>
      <c r="S16" s="10"/>
      <c r="T16" s="10"/>
      <c r="U16" s="10"/>
      <c r="V16" s="10"/>
      <c r="W16" s="10">
        <v>89.6</v>
      </c>
      <c r="X16" s="10"/>
      <c r="Y16" s="10"/>
      <c r="Z16" s="10"/>
      <c r="AA16" s="10"/>
      <c r="AB16" s="10">
        <v>89</v>
      </c>
      <c r="AC16" s="5"/>
      <c r="AD16" s="5"/>
      <c r="AE16" s="5"/>
      <c r="AF16" s="5"/>
      <c r="AG16" s="5"/>
      <c r="AH16" s="5"/>
      <c r="AI16" s="5"/>
      <c r="AJ16" s="5"/>
      <c r="AK16" s="5"/>
      <c r="AL16" s="5"/>
      <c r="AM16" s="5"/>
      <c r="AN16" s="5"/>
      <c r="AO16" s="5"/>
      <c r="AP16" s="5"/>
      <c r="AQ16" s="5"/>
      <c r="AR16" s="6" t="s">
        <v>46</v>
      </c>
      <c r="AS16" s="5"/>
      <c r="AX16">
        <f>R17/90</f>
        <v>0.33333333333333331</v>
      </c>
      <c r="AY16" s="39">
        <f t="shared" ref="AY16:AY18" si="0">AX16*60</f>
        <v>20</v>
      </c>
    </row>
    <row r="17" spans="1:51" x14ac:dyDescent="0.35">
      <c r="B17" s="4" t="str">
        <f>Populations!$C$17</f>
        <v>F50+</v>
      </c>
      <c r="C17" s="8"/>
      <c r="D17" s="8"/>
      <c r="E17" s="8"/>
      <c r="F17" s="8"/>
      <c r="G17" s="8"/>
      <c r="H17" s="8"/>
      <c r="I17" s="8"/>
      <c r="J17" s="8"/>
      <c r="K17" s="8"/>
      <c r="L17" s="8"/>
      <c r="M17" s="10">
        <v>50</v>
      </c>
      <c r="N17" s="10"/>
      <c r="O17" s="10"/>
      <c r="P17" s="10"/>
      <c r="Q17" s="10"/>
      <c r="R17" s="10">
        <v>30</v>
      </c>
      <c r="S17" s="10"/>
      <c r="T17" s="10"/>
      <c r="U17" s="10"/>
      <c r="V17" s="10"/>
      <c r="W17" s="10">
        <v>43</v>
      </c>
      <c r="X17" s="10"/>
      <c r="Y17" s="10"/>
      <c r="Z17" s="10"/>
      <c r="AA17" s="10"/>
      <c r="AB17" s="10">
        <v>44</v>
      </c>
      <c r="AC17" s="5"/>
      <c r="AD17" s="5"/>
      <c r="AE17" s="5"/>
      <c r="AF17" s="5"/>
      <c r="AG17" s="5"/>
      <c r="AH17" s="5"/>
      <c r="AI17" s="5"/>
      <c r="AJ17" s="5"/>
      <c r="AK17" s="5"/>
      <c r="AL17" s="5"/>
      <c r="AM17" s="5"/>
      <c r="AN17" s="5"/>
      <c r="AO17" s="5"/>
      <c r="AP17" s="5"/>
      <c r="AQ17" s="5"/>
      <c r="AR17" s="6" t="s">
        <v>46</v>
      </c>
      <c r="AS17" s="5"/>
      <c r="AX17">
        <f>W17/90</f>
        <v>0.4777777777777778</v>
      </c>
      <c r="AY17" s="39">
        <f t="shared" si="0"/>
        <v>28.666666666666668</v>
      </c>
    </row>
    <row r="18" spans="1:51" x14ac:dyDescent="0.35">
      <c r="B18" s="4" t="str">
        <f>Populations!$C$18</f>
        <v>M50+</v>
      </c>
      <c r="C18" s="8"/>
      <c r="D18" s="8"/>
      <c r="E18" s="8"/>
      <c r="F18" s="8"/>
      <c r="G18" s="8"/>
      <c r="H18" s="8"/>
      <c r="I18" s="8"/>
      <c r="J18" s="8"/>
      <c r="K18" s="8"/>
      <c r="L18" s="8"/>
      <c r="M18" s="10">
        <v>89</v>
      </c>
      <c r="N18" s="10"/>
      <c r="O18" s="10"/>
      <c r="P18" s="10"/>
      <c r="Q18" s="10"/>
      <c r="R18" s="10">
        <v>90.2</v>
      </c>
      <c r="S18" s="10"/>
      <c r="T18" s="10"/>
      <c r="U18" s="10"/>
      <c r="V18" s="10"/>
      <c r="W18" s="10">
        <v>90</v>
      </c>
      <c r="X18" s="10"/>
      <c r="Y18" s="10"/>
      <c r="Z18" s="10"/>
      <c r="AA18" s="10"/>
      <c r="AB18" s="10">
        <v>88.4</v>
      </c>
      <c r="AC18" s="5"/>
      <c r="AD18" s="5"/>
      <c r="AE18" s="5"/>
      <c r="AF18" s="5"/>
      <c r="AG18" s="5"/>
      <c r="AH18" s="5"/>
      <c r="AI18" s="5"/>
      <c r="AJ18" s="5"/>
      <c r="AK18" s="5"/>
      <c r="AL18" s="5"/>
      <c r="AM18" s="5"/>
      <c r="AN18" s="5"/>
      <c r="AO18" s="5"/>
      <c r="AP18" s="5"/>
      <c r="AQ18" s="5"/>
      <c r="AR18" s="6" t="s">
        <v>46</v>
      </c>
      <c r="AS18" s="5"/>
      <c r="AX18">
        <f>AB17/90</f>
        <v>0.48888888888888887</v>
      </c>
      <c r="AY18" s="39">
        <f t="shared" si="0"/>
        <v>29.333333333333332</v>
      </c>
    </row>
    <row r="22" spans="1:51" x14ac:dyDescent="0.35">
      <c r="A22" s="2" t="s">
        <v>74</v>
      </c>
    </row>
    <row r="23" spans="1:51" x14ac:dyDescent="0.35">
      <c r="C23" s="3">
        <v>1990</v>
      </c>
      <c r="D23" s="3">
        <v>1991</v>
      </c>
      <c r="E23" s="3">
        <v>1992</v>
      </c>
      <c r="F23" s="3">
        <v>1993</v>
      </c>
      <c r="G23" s="3">
        <v>1994</v>
      </c>
      <c r="H23" s="3">
        <v>1995</v>
      </c>
      <c r="I23" s="3">
        <v>1996</v>
      </c>
      <c r="J23" s="3">
        <v>1997</v>
      </c>
      <c r="K23" s="3">
        <v>1998</v>
      </c>
      <c r="L23" s="3">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4" t="s">
        <v>44</v>
      </c>
    </row>
    <row r="24" spans="1:51" x14ac:dyDescent="0.35">
      <c r="B24" s="4" t="str">
        <f>Populations!$C$3</f>
        <v>FSW</v>
      </c>
      <c r="C24" s="8"/>
      <c r="D24" s="8"/>
      <c r="E24" s="8"/>
      <c r="F24" s="8"/>
      <c r="G24" s="8"/>
      <c r="H24" s="8"/>
      <c r="I24" s="8"/>
      <c r="J24" s="8"/>
      <c r="K24" s="8"/>
      <c r="L24" s="8"/>
      <c r="M24" s="11">
        <v>20</v>
      </c>
      <c r="N24" s="11"/>
      <c r="O24" s="11"/>
      <c r="P24" s="11"/>
      <c r="Q24" s="11"/>
      <c r="R24" s="11"/>
      <c r="S24" s="11"/>
      <c r="T24" s="11"/>
      <c r="U24" s="11"/>
      <c r="V24" s="11"/>
      <c r="W24" s="11"/>
      <c r="X24" s="11"/>
      <c r="Y24" s="11"/>
      <c r="Z24" s="11"/>
      <c r="AA24" s="11"/>
      <c r="AB24" s="11">
        <v>20</v>
      </c>
      <c r="AC24" s="11"/>
      <c r="AD24" s="11"/>
      <c r="AE24" s="11"/>
      <c r="AF24" s="11"/>
      <c r="AG24" s="11"/>
      <c r="AH24" s="11"/>
      <c r="AI24" s="11"/>
      <c r="AJ24" s="11"/>
      <c r="AK24" s="11"/>
      <c r="AL24" s="11"/>
      <c r="AM24" s="11"/>
      <c r="AN24" s="11"/>
      <c r="AO24" s="11"/>
      <c r="AP24" s="11"/>
      <c r="AQ24" s="11"/>
      <c r="AR24" s="40" t="s">
        <v>46</v>
      </c>
      <c r="AS24" s="11"/>
    </row>
    <row r="25" spans="1:51" x14ac:dyDescent="0.35">
      <c r="B25" s="4" t="str">
        <f>Populations!$C$4</f>
        <v>Clients</v>
      </c>
      <c r="C25" s="8"/>
      <c r="D25" s="8"/>
      <c r="E25" s="8"/>
      <c r="F25" s="8"/>
      <c r="G25" s="8"/>
      <c r="H25" s="8"/>
      <c r="I25" s="8"/>
      <c r="J25" s="8"/>
      <c r="K25" s="8"/>
      <c r="L25" s="8"/>
      <c r="M25" s="11">
        <v>15</v>
      </c>
      <c r="N25" s="11"/>
      <c r="O25" s="11"/>
      <c r="P25" s="11"/>
      <c r="Q25" s="11"/>
      <c r="R25" s="11"/>
      <c r="S25" s="11"/>
      <c r="T25" s="11"/>
      <c r="U25" s="11"/>
      <c r="V25" s="11"/>
      <c r="W25" s="11"/>
      <c r="X25" s="11"/>
      <c r="Y25" s="11"/>
      <c r="Z25" s="11"/>
      <c r="AA25" s="11"/>
      <c r="AB25" s="11">
        <v>15</v>
      </c>
      <c r="AC25" s="11"/>
      <c r="AD25" s="11"/>
      <c r="AE25" s="11"/>
      <c r="AF25" s="11"/>
      <c r="AG25" s="11"/>
      <c r="AH25" s="11"/>
      <c r="AI25" s="11"/>
      <c r="AJ25" s="11"/>
      <c r="AK25" s="11"/>
      <c r="AL25" s="11"/>
      <c r="AM25" s="11"/>
      <c r="AN25" s="11"/>
      <c r="AO25" s="11"/>
      <c r="AP25" s="11"/>
      <c r="AQ25" s="11"/>
      <c r="AR25" s="40" t="s">
        <v>46</v>
      </c>
      <c r="AS25" s="11"/>
    </row>
    <row r="26" spans="1:51" x14ac:dyDescent="0.35">
      <c r="B26" s="4" t="str">
        <f>Populations!$C$5</f>
        <v>MSM</v>
      </c>
      <c r="C26" s="8"/>
      <c r="D26" s="8"/>
      <c r="E26" s="8"/>
      <c r="F26" s="8"/>
      <c r="G26" s="8"/>
      <c r="H26" s="8"/>
      <c r="I26" s="8"/>
      <c r="J26" s="8"/>
      <c r="K26" s="8"/>
      <c r="L26" s="8"/>
      <c r="M26" s="11">
        <v>20</v>
      </c>
      <c r="N26" s="11"/>
      <c r="O26" s="11"/>
      <c r="P26" s="11"/>
      <c r="Q26" s="11"/>
      <c r="R26" s="11"/>
      <c r="S26" s="11"/>
      <c r="T26" s="11"/>
      <c r="U26" s="11"/>
      <c r="V26" s="11"/>
      <c r="W26" s="11"/>
      <c r="X26" s="11"/>
      <c r="Y26" s="11"/>
      <c r="Z26" s="11"/>
      <c r="AA26" s="11"/>
      <c r="AB26" s="11">
        <v>20</v>
      </c>
      <c r="AC26" s="11"/>
      <c r="AD26" s="11"/>
      <c r="AE26" s="11"/>
      <c r="AF26" s="11"/>
      <c r="AG26" s="11"/>
      <c r="AH26" s="11"/>
      <c r="AI26" s="11"/>
      <c r="AJ26" s="11"/>
      <c r="AK26" s="11"/>
      <c r="AL26" s="11"/>
      <c r="AM26" s="11"/>
      <c r="AN26" s="11"/>
      <c r="AO26" s="11"/>
      <c r="AP26" s="11"/>
      <c r="AQ26" s="11"/>
      <c r="AR26" s="40" t="s">
        <v>46</v>
      </c>
      <c r="AS26" s="11"/>
    </row>
    <row r="27" spans="1:51" x14ac:dyDescent="0.35">
      <c r="B27" s="4" t="s">
        <v>17</v>
      </c>
      <c r="C27" s="8"/>
      <c r="D27" s="8"/>
      <c r="E27" s="8"/>
      <c r="F27" s="8"/>
      <c r="G27" s="8"/>
      <c r="H27" s="8"/>
      <c r="I27" s="8"/>
      <c r="J27" s="8"/>
      <c r="K27" s="8"/>
      <c r="L27" s="8"/>
      <c r="M27" s="10">
        <f>15/2</f>
        <v>7.5</v>
      </c>
      <c r="N27" s="10"/>
      <c r="O27" s="10"/>
      <c r="P27" s="10"/>
      <c r="Q27" s="10"/>
      <c r="R27" s="10"/>
      <c r="S27" s="10"/>
      <c r="T27" s="10"/>
      <c r="U27" s="10"/>
      <c r="V27" s="10"/>
      <c r="W27" s="10"/>
      <c r="X27" s="10"/>
      <c r="Y27" s="10"/>
      <c r="Z27" s="10"/>
      <c r="AA27" s="10"/>
      <c r="AB27" s="10">
        <f>15/2</f>
        <v>7.5</v>
      </c>
      <c r="AC27" s="5"/>
      <c r="AD27" s="5"/>
      <c r="AE27" s="11"/>
      <c r="AF27" s="11"/>
      <c r="AG27" s="11"/>
      <c r="AH27" s="11"/>
      <c r="AI27" s="11"/>
      <c r="AJ27" s="11"/>
      <c r="AK27" s="11"/>
      <c r="AL27" s="11"/>
      <c r="AM27" s="11"/>
      <c r="AN27" s="11"/>
      <c r="AO27" s="11"/>
      <c r="AP27" s="11"/>
      <c r="AQ27" s="11"/>
      <c r="AR27" s="40" t="s">
        <v>46</v>
      </c>
      <c r="AS27" s="11"/>
    </row>
    <row r="28" spans="1:51" x14ac:dyDescent="0.35">
      <c r="B28" s="4" t="str">
        <f>Populations!$C$7</f>
        <v>F0-14</v>
      </c>
      <c r="C28" s="8"/>
      <c r="D28" s="8"/>
      <c r="E28" s="8"/>
      <c r="F28" s="8"/>
      <c r="G28" s="8"/>
      <c r="H28" s="8"/>
      <c r="I28" s="8"/>
      <c r="J28" s="8"/>
      <c r="K28" s="8"/>
      <c r="L28" s="8"/>
      <c r="M28" s="11">
        <v>0</v>
      </c>
      <c r="N28" s="11"/>
      <c r="O28" s="11"/>
      <c r="P28" s="11"/>
      <c r="Q28" s="11"/>
      <c r="R28" s="11"/>
      <c r="S28" s="11"/>
      <c r="T28" s="11"/>
      <c r="U28" s="11"/>
      <c r="V28" s="11"/>
      <c r="W28" s="11"/>
      <c r="X28" s="11"/>
      <c r="Y28" s="11"/>
      <c r="Z28" s="11"/>
      <c r="AA28" s="11"/>
      <c r="AB28" s="11">
        <v>0</v>
      </c>
      <c r="AC28" s="11"/>
      <c r="AD28" s="11"/>
      <c r="AE28" s="11"/>
      <c r="AF28" s="11"/>
      <c r="AG28" s="11"/>
      <c r="AH28" s="11"/>
      <c r="AI28" s="11"/>
      <c r="AJ28" s="11"/>
      <c r="AK28" s="11"/>
      <c r="AL28" s="11"/>
      <c r="AM28" s="11"/>
      <c r="AN28" s="11"/>
      <c r="AO28" s="11"/>
      <c r="AP28" s="11"/>
      <c r="AQ28" s="11"/>
      <c r="AR28" s="40" t="s">
        <v>46</v>
      </c>
      <c r="AS28" s="11"/>
    </row>
    <row r="29" spans="1:51" x14ac:dyDescent="0.35">
      <c r="B29" s="4" t="str">
        <f>Populations!$C$8</f>
        <v>M0-14</v>
      </c>
      <c r="C29" s="8"/>
      <c r="D29" s="8"/>
      <c r="E29" s="8"/>
      <c r="F29" s="8"/>
      <c r="G29" s="8"/>
      <c r="H29" s="8"/>
      <c r="I29" s="8"/>
      <c r="J29" s="8"/>
      <c r="K29" s="8"/>
      <c r="L29" s="8"/>
      <c r="M29" s="11">
        <v>0</v>
      </c>
      <c r="N29" s="11"/>
      <c r="O29" s="11"/>
      <c r="P29" s="11"/>
      <c r="Q29" s="11"/>
      <c r="R29" s="11"/>
      <c r="S29" s="11"/>
      <c r="T29" s="11"/>
      <c r="U29" s="11"/>
      <c r="V29" s="11"/>
      <c r="W29" s="11"/>
      <c r="X29" s="11"/>
      <c r="Y29" s="11"/>
      <c r="Z29" s="11"/>
      <c r="AA29" s="11"/>
      <c r="AB29" s="11">
        <v>0</v>
      </c>
      <c r="AC29" s="11"/>
      <c r="AD29" s="11"/>
      <c r="AE29" s="11"/>
      <c r="AF29" s="11"/>
      <c r="AG29" s="11"/>
      <c r="AH29" s="11"/>
      <c r="AI29" s="11"/>
      <c r="AJ29" s="11"/>
      <c r="AK29" s="11"/>
      <c r="AL29" s="11"/>
      <c r="AM29" s="11"/>
      <c r="AN29" s="11"/>
      <c r="AO29" s="11"/>
      <c r="AP29" s="11"/>
      <c r="AQ29" s="11"/>
      <c r="AR29" s="40" t="s">
        <v>46</v>
      </c>
      <c r="AS29" s="11"/>
    </row>
    <row r="30" spans="1:51" x14ac:dyDescent="0.35">
      <c r="B30" s="4" t="str">
        <f>Populations!$C$9</f>
        <v>F15-19</v>
      </c>
      <c r="C30" s="8"/>
      <c r="D30" s="8"/>
      <c r="E30" s="8"/>
      <c r="F30" s="8"/>
      <c r="G30" s="8"/>
      <c r="H30" s="8"/>
      <c r="I30" s="8"/>
      <c r="J30" s="8"/>
      <c r="K30" s="8"/>
      <c r="L30" s="8"/>
      <c r="M30" s="11">
        <v>6.65</v>
      </c>
      <c r="N30" s="11"/>
      <c r="O30" s="11"/>
      <c r="P30" s="11"/>
      <c r="Q30" s="11"/>
      <c r="R30" s="11">
        <v>6.2</v>
      </c>
      <c r="S30" s="11"/>
      <c r="T30" s="11"/>
      <c r="U30" s="11"/>
      <c r="V30" s="11"/>
      <c r="W30" s="11">
        <v>5.7</v>
      </c>
      <c r="X30" s="11"/>
      <c r="Y30" s="11"/>
      <c r="Z30" s="11"/>
      <c r="AA30" s="11"/>
      <c r="AB30" s="11">
        <v>7.0250000000000004</v>
      </c>
      <c r="AC30" s="11"/>
      <c r="AD30" s="11"/>
      <c r="AE30" s="11"/>
      <c r="AF30" s="11"/>
      <c r="AG30" s="11"/>
      <c r="AH30" s="11"/>
      <c r="AI30" s="11"/>
      <c r="AJ30" s="11"/>
      <c r="AK30" s="11"/>
      <c r="AL30" s="11"/>
      <c r="AM30" s="11"/>
      <c r="AN30" s="11"/>
      <c r="AO30" s="11"/>
      <c r="AP30" s="11"/>
      <c r="AQ30" s="11"/>
      <c r="AR30" s="40" t="s">
        <v>46</v>
      </c>
      <c r="AS30" s="11"/>
    </row>
    <row r="31" spans="1:51" x14ac:dyDescent="0.35">
      <c r="B31" s="4" t="str">
        <f>Populations!$C$10</f>
        <v>M15-19</v>
      </c>
      <c r="C31" s="8"/>
      <c r="D31" s="8"/>
      <c r="E31" s="8"/>
      <c r="F31" s="8"/>
      <c r="G31" s="8"/>
      <c r="H31" s="8"/>
      <c r="I31" s="8"/>
      <c r="J31" s="8"/>
      <c r="K31" s="8"/>
      <c r="L31" s="8"/>
      <c r="M31" s="11">
        <v>24.75</v>
      </c>
      <c r="N31" s="11"/>
      <c r="O31" s="11"/>
      <c r="P31" s="11"/>
      <c r="Q31" s="11"/>
      <c r="R31" s="11">
        <v>24.125</v>
      </c>
      <c r="S31" s="11"/>
      <c r="T31" s="11"/>
      <c r="U31" s="11"/>
      <c r="V31" s="11"/>
      <c r="W31" s="11">
        <v>23.774999999999999</v>
      </c>
      <c r="X31" s="11"/>
      <c r="Y31" s="11"/>
      <c r="Z31" s="11"/>
      <c r="AA31" s="11"/>
      <c r="AB31" s="11">
        <v>24.225000000000001</v>
      </c>
      <c r="AC31" s="11"/>
      <c r="AD31" s="11"/>
      <c r="AE31" s="11"/>
      <c r="AF31" s="11"/>
      <c r="AG31" s="11"/>
      <c r="AH31" s="11"/>
      <c r="AI31" s="11"/>
      <c r="AJ31" s="11"/>
      <c r="AK31" s="11"/>
      <c r="AL31" s="11"/>
      <c r="AM31" s="11"/>
      <c r="AN31" s="11"/>
      <c r="AO31" s="11"/>
      <c r="AP31" s="11"/>
      <c r="AQ31" s="11"/>
      <c r="AR31" s="40" t="s">
        <v>46</v>
      </c>
      <c r="AS31" s="11"/>
    </row>
    <row r="32" spans="1:51" x14ac:dyDescent="0.35">
      <c r="B32" s="4" t="str">
        <f>Populations!$C$11</f>
        <v>F20-24</v>
      </c>
      <c r="C32" s="8"/>
      <c r="D32" s="8"/>
      <c r="E32" s="8"/>
      <c r="F32" s="8"/>
      <c r="G32" s="8"/>
      <c r="H32" s="8"/>
      <c r="I32" s="8"/>
      <c r="J32" s="8"/>
      <c r="K32" s="8"/>
      <c r="L32" s="8"/>
      <c r="M32" s="11">
        <v>8.65</v>
      </c>
      <c r="N32" s="11"/>
      <c r="O32" s="11"/>
      <c r="P32" s="11"/>
      <c r="Q32" s="11"/>
      <c r="R32" s="11">
        <v>6.9</v>
      </c>
      <c r="S32" s="11"/>
      <c r="T32" s="11"/>
      <c r="U32" s="11"/>
      <c r="V32" s="11"/>
      <c r="W32" s="11">
        <v>6.95</v>
      </c>
      <c r="X32" s="11"/>
      <c r="Y32" s="11"/>
      <c r="Z32" s="11"/>
      <c r="AA32" s="11"/>
      <c r="AB32" s="11">
        <v>9</v>
      </c>
      <c r="AC32" s="11"/>
      <c r="AD32" s="11"/>
      <c r="AE32" s="11"/>
      <c r="AF32" s="11"/>
      <c r="AG32" s="11"/>
      <c r="AH32" s="11"/>
      <c r="AI32" s="11"/>
      <c r="AJ32" s="11"/>
      <c r="AK32" s="11"/>
      <c r="AL32" s="11"/>
      <c r="AM32" s="11"/>
      <c r="AN32" s="11"/>
      <c r="AO32" s="11"/>
      <c r="AP32" s="11"/>
      <c r="AQ32" s="11"/>
      <c r="AR32" s="40" t="s">
        <v>46</v>
      </c>
      <c r="AS32" s="11"/>
    </row>
    <row r="33" spans="1:45" x14ac:dyDescent="0.35">
      <c r="B33" s="4" t="str">
        <f>Populations!$C$12</f>
        <v>M20-24</v>
      </c>
      <c r="C33" s="8"/>
      <c r="D33" s="8"/>
      <c r="E33" s="8"/>
      <c r="F33" s="8"/>
      <c r="G33" s="8"/>
      <c r="H33" s="8"/>
      <c r="I33" s="8"/>
      <c r="J33" s="8"/>
      <c r="K33" s="8"/>
      <c r="L33" s="8"/>
      <c r="M33" s="11">
        <v>36.65</v>
      </c>
      <c r="N33" s="11"/>
      <c r="O33" s="11"/>
      <c r="P33" s="11"/>
      <c r="Q33" s="11"/>
      <c r="R33" s="11">
        <v>34.950000000000003</v>
      </c>
      <c r="S33" s="11"/>
      <c r="T33" s="11"/>
      <c r="U33" s="11"/>
      <c r="V33" s="11"/>
      <c r="W33" s="11">
        <v>33.4</v>
      </c>
      <c r="X33" s="11"/>
      <c r="Y33" s="11"/>
      <c r="Z33" s="11"/>
      <c r="AA33" s="11"/>
      <c r="AB33" s="11">
        <v>35.799999999999997</v>
      </c>
      <c r="AC33" s="11"/>
      <c r="AD33" s="11"/>
      <c r="AE33" s="11"/>
      <c r="AF33" s="11"/>
      <c r="AG33" s="11"/>
      <c r="AH33" s="11"/>
      <c r="AI33" s="11"/>
      <c r="AJ33" s="11"/>
      <c r="AK33" s="11"/>
      <c r="AL33" s="11"/>
      <c r="AM33" s="11"/>
      <c r="AN33" s="11"/>
      <c r="AO33" s="11"/>
      <c r="AP33" s="11"/>
      <c r="AQ33" s="11"/>
      <c r="AR33" s="40" t="s">
        <v>46</v>
      </c>
      <c r="AS33" s="11"/>
    </row>
    <row r="34" spans="1:45" x14ac:dyDescent="0.35">
      <c r="B34" s="4" t="str">
        <f>Populations!$C$13</f>
        <v>F25-34</v>
      </c>
      <c r="C34" s="8"/>
      <c r="D34" s="8"/>
      <c r="E34" s="8"/>
      <c r="F34" s="8"/>
      <c r="G34" s="8"/>
      <c r="H34" s="8"/>
      <c r="I34" s="8"/>
      <c r="J34" s="8"/>
      <c r="K34" s="8"/>
      <c r="L34" s="8"/>
      <c r="M34" s="11">
        <v>5.25</v>
      </c>
      <c r="N34" s="11"/>
      <c r="O34" s="11"/>
      <c r="P34" s="11"/>
      <c r="Q34" s="11"/>
      <c r="R34" s="11">
        <v>4.3</v>
      </c>
      <c r="S34" s="11"/>
      <c r="T34" s="11"/>
      <c r="U34" s="11"/>
      <c r="V34" s="11"/>
      <c r="W34" s="11">
        <v>5.15</v>
      </c>
      <c r="X34" s="11"/>
      <c r="Y34" s="11"/>
      <c r="Z34" s="11"/>
      <c r="AA34" s="11"/>
      <c r="AB34" s="11">
        <v>5.95</v>
      </c>
      <c r="AC34" s="11"/>
      <c r="AD34" s="11"/>
      <c r="AE34" s="11"/>
      <c r="AF34" s="11"/>
      <c r="AG34" s="11"/>
      <c r="AH34" s="11"/>
      <c r="AI34" s="11"/>
      <c r="AJ34" s="11"/>
      <c r="AK34" s="11"/>
      <c r="AL34" s="11"/>
      <c r="AM34" s="11"/>
      <c r="AN34" s="11"/>
      <c r="AO34" s="11"/>
      <c r="AP34" s="11"/>
      <c r="AQ34" s="11"/>
      <c r="AR34" s="40" t="s">
        <v>46</v>
      </c>
      <c r="AS34" s="11"/>
    </row>
    <row r="35" spans="1:45" x14ac:dyDescent="0.35">
      <c r="B35" s="4" t="str">
        <f>Populations!$C$14</f>
        <v>M25-34</v>
      </c>
      <c r="C35" s="8"/>
      <c r="D35" s="8"/>
      <c r="E35" s="8"/>
      <c r="F35" s="8"/>
      <c r="G35" s="8"/>
      <c r="H35" s="8"/>
      <c r="I35" s="8"/>
      <c r="J35" s="8"/>
      <c r="K35" s="8"/>
      <c r="L35" s="8"/>
      <c r="M35" s="11">
        <v>16.45</v>
      </c>
      <c r="N35" s="11"/>
      <c r="O35" s="11"/>
      <c r="P35" s="11"/>
      <c r="Q35" s="11"/>
      <c r="R35" s="11">
        <v>13.2</v>
      </c>
      <c r="S35" s="11"/>
      <c r="T35" s="11"/>
      <c r="U35" s="11"/>
      <c r="V35" s="11"/>
      <c r="W35" s="11">
        <v>15.05</v>
      </c>
      <c r="X35" s="11"/>
      <c r="Y35" s="11"/>
      <c r="Z35" s="11"/>
      <c r="AA35" s="11"/>
      <c r="AB35" s="11">
        <v>17.149999999999999</v>
      </c>
      <c r="AC35" s="11"/>
      <c r="AD35" s="11"/>
      <c r="AE35" s="11"/>
      <c r="AF35" s="11"/>
      <c r="AG35" s="11"/>
      <c r="AH35" s="11"/>
      <c r="AI35" s="11"/>
      <c r="AJ35" s="11"/>
      <c r="AK35" s="11"/>
      <c r="AL35" s="11"/>
      <c r="AM35" s="11"/>
      <c r="AN35" s="11"/>
      <c r="AO35" s="11"/>
      <c r="AP35" s="11"/>
      <c r="AQ35" s="11"/>
      <c r="AR35" s="40" t="s">
        <v>46</v>
      </c>
      <c r="AS35" s="11"/>
    </row>
    <row r="36" spans="1:45" x14ac:dyDescent="0.35">
      <c r="B36" s="4" t="str">
        <f>Populations!$C$15</f>
        <v>F35-49</v>
      </c>
      <c r="C36" s="8"/>
      <c r="D36" s="8"/>
      <c r="E36" s="8"/>
      <c r="F36" s="8"/>
      <c r="G36" s="8"/>
      <c r="H36" s="8"/>
      <c r="I36" s="8"/>
      <c r="J36" s="8"/>
      <c r="K36" s="8"/>
      <c r="L36" s="8"/>
      <c r="M36" s="11">
        <v>4.8499999999999996</v>
      </c>
      <c r="N36" s="11"/>
      <c r="O36" s="11"/>
      <c r="P36" s="11"/>
      <c r="Q36" s="11"/>
      <c r="R36" s="11">
        <v>4.0999999999999996</v>
      </c>
      <c r="S36" s="11"/>
      <c r="T36" s="11"/>
      <c r="U36" s="11"/>
      <c r="V36" s="11"/>
      <c r="W36" s="11">
        <v>4.55</v>
      </c>
      <c r="X36" s="11"/>
      <c r="Y36" s="11"/>
      <c r="Z36" s="11"/>
      <c r="AA36" s="11"/>
      <c r="AB36" s="11">
        <v>5.5</v>
      </c>
      <c r="AC36" s="11"/>
      <c r="AD36" s="11"/>
      <c r="AE36" s="11"/>
      <c r="AF36" s="11"/>
      <c r="AG36" s="11"/>
      <c r="AH36" s="11"/>
      <c r="AI36" s="11"/>
      <c r="AJ36" s="11"/>
      <c r="AK36" s="11"/>
      <c r="AL36" s="11"/>
      <c r="AM36" s="11"/>
      <c r="AN36" s="11"/>
      <c r="AO36" s="11"/>
      <c r="AP36" s="11"/>
      <c r="AQ36" s="11"/>
      <c r="AR36" s="40" t="s">
        <v>46</v>
      </c>
      <c r="AS36" s="11"/>
    </row>
    <row r="37" spans="1:45" x14ac:dyDescent="0.35">
      <c r="B37" s="4" t="str">
        <f>Populations!$C$16</f>
        <v>M35-49</v>
      </c>
      <c r="C37" s="8"/>
      <c r="D37" s="8"/>
      <c r="E37" s="8"/>
      <c r="F37" s="8"/>
      <c r="G37" s="8"/>
      <c r="H37" s="8"/>
      <c r="I37" s="8"/>
      <c r="J37" s="8"/>
      <c r="K37" s="8"/>
      <c r="L37" s="8"/>
      <c r="M37" s="11">
        <v>8.8000000000000007</v>
      </c>
      <c r="N37" s="11"/>
      <c r="O37" s="11"/>
      <c r="P37" s="11"/>
      <c r="Q37" s="11"/>
      <c r="R37" s="11">
        <v>6.1</v>
      </c>
      <c r="S37" s="11"/>
      <c r="T37" s="11"/>
      <c r="U37" s="11"/>
      <c r="V37" s="11"/>
      <c r="W37" s="11">
        <v>6.85</v>
      </c>
      <c r="X37" s="11"/>
      <c r="Y37" s="11"/>
      <c r="Z37" s="11"/>
      <c r="AA37" s="11"/>
      <c r="AB37" s="11">
        <v>7.9</v>
      </c>
      <c r="AC37" s="11"/>
      <c r="AD37" s="11"/>
      <c r="AE37" s="11"/>
      <c r="AF37" s="11"/>
      <c r="AG37" s="11"/>
      <c r="AH37" s="11"/>
      <c r="AI37" s="11"/>
      <c r="AJ37" s="11"/>
      <c r="AK37" s="11"/>
      <c r="AL37" s="11"/>
      <c r="AM37" s="11"/>
      <c r="AN37" s="11"/>
      <c r="AO37" s="11"/>
      <c r="AP37" s="11"/>
      <c r="AQ37" s="11"/>
      <c r="AR37" s="40" t="s">
        <v>46</v>
      </c>
      <c r="AS37" s="11"/>
    </row>
    <row r="38" spans="1:45" x14ac:dyDescent="0.35">
      <c r="B38" s="4" t="str">
        <f>Populations!$C$17</f>
        <v>F50+</v>
      </c>
      <c r="C38" s="8"/>
      <c r="D38" s="8"/>
      <c r="E38" s="8"/>
      <c r="F38" s="8"/>
      <c r="G38" s="8"/>
      <c r="H38" s="8"/>
      <c r="I38" s="8"/>
      <c r="J38" s="8"/>
      <c r="K38" s="8"/>
      <c r="L38" s="8"/>
      <c r="M38" s="11">
        <v>4</v>
      </c>
      <c r="N38" s="11"/>
      <c r="O38" s="11"/>
      <c r="P38" s="11"/>
      <c r="Q38" s="11"/>
      <c r="R38" s="11">
        <v>3.25</v>
      </c>
      <c r="S38" s="11"/>
      <c r="T38" s="11"/>
      <c r="U38" s="11"/>
      <c r="V38" s="11"/>
      <c r="W38" s="11">
        <v>4.05</v>
      </c>
      <c r="X38" s="11"/>
      <c r="Y38" s="11"/>
      <c r="Z38" s="11"/>
      <c r="AA38" s="11"/>
      <c r="AB38" s="11">
        <v>6.15</v>
      </c>
      <c r="AC38" s="11"/>
      <c r="AD38" s="11"/>
      <c r="AE38" s="11"/>
      <c r="AF38" s="11"/>
      <c r="AG38" s="11"/>
      <c r="AH38" s="11"/>
      <c r="AI38" s="11"/>
      <c r="AJ38" s="11"/>
      <c r="AK38" s="11"/>
      <c r="AL38" s="11"/>
      <c r="AM38" s="11"/>
      <c r="AN38" s="11"/>
      <c r="AO38" s="11"/>
      <c r="AP38" s="11"/>
      <c r="AQ38" s="11"/>
      <c r="AR38" s="40" t="s">
        <v>46</v>
      </c>
      <c r="AS38" s="11"/>
    </row>
    <row r="39" spans="1:45" x14ac:dyDescent="0.35">
      <c r="B39" s="4" t="str">
        <f>Populations!$C$18</f>
        <v>M50+</v>
      </c>
      <c r="C39" s="8"/>
      <c r="D39" s="8"/>
      <c r="E39" s="8"/>
      <c r="F39" s="8"/>
      <c r="G39" s="8"/>
      <c r="H39" s="8"/>
      <c r="I39" s="8"/>
      <c r="J39" s="8"/>
      <c r="K39" s="8"/>
      <c r="L39" s="8"/>
      <c r="M39" s="11">
        <v>9.4499999999999993</v>
      </c>
      <c r="N39" s="11"/>
      <c r="O39" s="11"/>
      <c r="P39" s="11"/>
      <c r="Q39" s="11"/>
      <c r="R39" s="11">
        <v>4.8</v>
      </c>
      <c r="S39" s="11"/>
      <c r="T39" s="11"/>
      <c r="U39" s="11"/>
      <c r="V39" s="11"/>
      <c r="W39" s="11">
        <v>4.7</v>
      </c>
      <c r="X39" s="11"/>
      <c r="Y39" s="11"/>
      <c r="Z39" s="11"/>
      <c r="AA39" s="11"/>
      <c r="AB39" s="11">
        <v>7</v>
      </c>
      <c r="AC39" s="11"/>
      <c r="AD39" s="11"/>
      <c r="AE39" s="11"/>
      <c r="AF39" s="11"/>
      <c r="AG39" s="11"/>
      <c r="AH39" s="11"/>
      <c r="AI39" s="11"/>
      <c r="AJ39" s="11"/>
      <c r="AK39" s="11"/>
      <c r="AL39" s="11"/>
      <c r="AM39" s="11"/>
      <c r="AN39" s="11"/>
      <c r="AO39" s="11"/>
      <c r="AP39" s="11"/>
      <c r="AQ39" s="11"/>
      <c r="AR39" s="40" t="s">
        <v>46</v>
      </c>
      <c r="AS39" s="11"/>
    </row>
    <row r="43" spans="1:45" x14ac:dyDescent="0.35">
      <c r="A43" s="2" t="s">
        <v>75</v>
      </c>
    </row>
    <row r="44" spans="1:45" x14ac:dyDescent="0.35">
      <c r="C44" s="3">
        <v>1990</v>
      </c>
      <c r="D44" s="3">
        <v>1991</v>
      </c>
      <c r="E44" s="3">
        <v>1992</v>
      </c>
      <c r="F44" s="3">
        <v>1993</v>
      </c>
      <c r="G44" s="3">
        <v>1994</v>
      </c>
      <c r="H44" s="3">
        <v>1995</v>
      </c>
      <c r="I44" s="3">
        <v>1996</v>
      </c>
      <c r="J44" s="3">
        <v>1997</v>
      </c>
      <c r="K44" s="3">
        <v>1998</v>
      </c>
      <c r="L44" s="3">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H44" s="4">
        <v>2021</v>
      </c>
      <c r="AI44" s="4">
        <v>2022</v>
      </c>
      <c r="AJ44" s="4">
        <v>2023</v>
      </c>
      <c r="AK44" s="4">
        <v>2024</v>
      </c>
      <c r="AL44" s="4">
        <v>2025</v>
      </c>
      <c r="AM44" s="4">
        <v>2026</v>
      </c>
      <c r="AN44" s="4">
        <v>2027</v>
      </c>
      <c r="AO44" s="4">
        <v>2028</v>
      </c>
      <c r="AP44" s="4">
        <v>2029</v>
      </c>
      <c r="AQ44" s="4">
        <v>2030</v>
      </c>
      <c r="AS44" s="4" t="s">
        <v>44</v>
      </c>
    </row>
    <row r="45" spans="1:45" x14ac:dyDescent="0.35">
      <c r="B45" s="4" t="str">
        <f>Populations!$C$3</f>
        <v>FSW</v>
      </c>
      <c r="C45" s="8"/>
      <c r="D45" s="8"/>
      <c r="E45" s="8"/>
      <c r="F45" s="8"/>
      <c r="G45" s="8"/>
      <c r="H45" s="8"/>
      <c r="I45" s="8"/>
      <c r="J45" s="8"/>
      <c r="K45" s="8"/>
      <c r="L45" s="8"/>
      <c r="M45" s="10">
        <v>505.90561128777</v>
      </c>
      <c r="N45" s="36"/>
      <c r="O45" s="10"/>
      <c r="P45" s="10"/>
      <c r="Q45" s="10"/>
      <c r="R45" s="5">
        <v>450</v>
      </c>
      <c r="S45" s="5"/>
      <c r="T45" s="5"/>
      <c r="U45" s="5"/>
      <c r="V45" s="5"/>
      <c r="W45" s="5">
        <v>450</v>
      </c>
      <c r="X45" s="5"/>
      <c r="Y45" s="5"/>
      <c r="Z45" s="5"/>
      <c r="AA45" s="5"/>
      <c r="AB45" s="5">
        <v>500</v>
      </c>
      <c r="AC45" s="5"/>
      <c r="AD45" s="5"/>
      <c r="AE45" s="5"/>
      <c r="AF45" s="5"/>
      <c r="AG45" s="5"/>
      <c r="AH45" s="5"/>
      <c r="AI45" s="5"/>
      <c r="AJ45" s="5"/>
      <c r="AK45" s="5"/>
      <c r="AL45" s="5"/>
      <c r="AM45" s="5"/>
      <c r="AN45" s="5"/>
      <c r="AO45" s="5"/>
      <c r="AP45" s="5"/>
      <c r="AQ45" s="5"/>
      <c r="AR45" s="6" t="s">
        <v>46</v>
      </c>
      <c r="AS45" s="5"/>
    </row>
    <row r="46" spans="1:45" x14ac:dyDescent="0.35">
      <c r="B46" s="4" t="str">
        <f>Populations!$C$4</f>
        <v>Clients</v>
      </c>
      <c r="C46" s="8"/>
      <c r="D46" s="8"/>
      <c r="E46" s="8"/>
      <c r="F46" s="8"/>
      <c r="G46" s="8"/>
      <c r="H46" s="8"/>
      <c r="I46" s="8"/>
      <c r="J46" s="8"/>
      <c r="K46" s="8"/>
      <c r="L46" s="8"/>
      <c r="M46" s="5">
        <v>50</v>
      </c>
      <c r="N46" s="5"/>
      <c r="O46" s="5"/>
      <c r="P46" s="5"/>
      <c r="Q46" s="5"/>
      <c r="R46" s="5">
        <v>50</v>
      </c>
      <c r="S46" s="5"/>
      <c r="T46" s="5"/>
      <c r="U46" s="5"/>
      <c r="V46" s="5"/>
      <c r="W46" s="5">
        <v>50</v>
      </c>
      <c r="X46" s="5"/>
      <c r="Y46" s="5"/>
      <c r="Z46" s="5"/>
      <c r="AA46" s="5"/>
      <c r="AB46" s="5">
        <v>50</v>
      </c>
      <c r="AC46" s="5"/>
      <c r="AD46" s="5"/>
      <c r="AE46" s="5"/>
      <c r="AF46" s="5"/>
      <c r="AG46" s="5"/>
      <c r="AH46" s="5"/>
      <c r="AI46" s="5"/>
      <c r="AJ46" s="5"/>
      <c r="AK46" s="5"/>
      <c r="AL46" s="5"/>
      <c r="AM46" s="5"/>
      <c r="AN46" s="5"/>
      <c r="AO46" s="5"/>
      <c r="AP46" s="5"/>
      <c r="AQ46" s="5"/>
      <c r="AR46" s="6" t="s">
        <v>46</v>
      </c>
      <c r="AS46" s="5"/>
    </row>
    <row r="47" spans="1:45" x14ac:dyDescent="0.35">
      <c r="B47" s="4" t="str">
        <f>Populations!$C$5</f>
        <v>MSM</v>
      </c>
      <c r="C47" s="8"/>
      <c r="D47" s="8"/>
      <c r="E47" s="8"/>
      <c r="F47" s="8"/>
      <c r="G47" s="8"/>
      <c r="H47" s="8"/>
      <c r="I47" s="8"/>
      <c r="J47" s="8"/>
      <c r="K47" s="8"/>
      <c r="L47" s="8"/>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6" t="s">
        <v>46</v>
      </c>
      <c r="AS47" s="5">
        <v>0</v>
      </c>
    </row>
    <row r="48" spans="1:45" x14ac:dyDescent="0.35">
      <c r="B48" s="4" t="str">
        <f>Populations!$C$6</f>
        <v>Prisoners</v>
      </c>
      <c r="C48" s="8"/>
      <c r="D48" s="8"/>
      <c r="E48" s="8"/>
      <c r="F48" s="8"/>
      <c r="G48" s="8"/>
      <c r="H48" s="8"/>
      <c r="I48" s="8"/>
      <c r="J48" s="8"/>
      <c r="K48" s="8"/>
      <c r="L48" s="8"/>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6" t="s">
        <v>46</v>
      </c>
      <c r="AS48" s="5">
        <v>0</v>
      </c>
    </row>
    <row r="49" spans="1:45" x14ac:dyDescent="0.35">
      <c r="B49" s="4" t="str">
        <f>Populations!$C$7</f>
        <v>F0-14</v>
      </c>
      <c r="C49" s="8"/>
      <c r="D49" s="8"/>
      <c r="E49" s="8"/>
      <c r="F49" s="8"/>
      <c r="G49" s="8"/>
      <c r="H49" s="8"/>
      <c r="I49" s="8"/>
      <c r="J49" s="8"/>
      <c r="K49" s="8"/>
      <c r="L49" s="8"/>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6" t="s">
        <v>46</v>
      </c>
      <c r="AS49" s="5">
        <v>0</v>
      </c>
    </row>
    <row r="50" spans="1:45" x14ac:dyDescent="0.35">
      <c r="B50" s="4" t="str">
        <f>Populations!$C$8</f>
        <v>M0-14</v>
      </c>
      <c r="C50" s="8"/>
      <c r="D50" s="8"/>
      <c r="E50" s="8"/>
      <c r="F50" s="8"/>
      <c r="G50" s="8"/>
      <c r="H50" s="8"/>
      <c r="I50" s="8"/>
      <c r="J50" s="8"/>
      <c r="K50" s="8"/>
      <c r="L50" s="8"/>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6" t="s">
        <v>46</v>
      </c>
      <c r="AS50" s="5">
        <v>0</v>
      </c>
    </row>
    <row r="51" spans="1:45" x14ac:dyDescent="0.35">
      <c r="B51" s="4" t="str">
        <f>Populations!$C$9</f>
        <v>F15-19</v>
      </c>
      <c r="C51" s="8"/>
      <c r="D51" s="8"/>
      <c r="E51" s="8"/>
      <c r="F51" s="8"/>
      <c r="G51" s="8"/>
      <c r="H51" s="8"/>
      <c r="I51" s="8"/>
      <c r="J51" s="8"/>
      <c r="K51" s="8"/>
      <c r="L51" s="8"/>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6" t="s">
        <v>46</v>
      </c>
      <c r="AS51" s="5">
        <v>0</v>
      </c>
    </row>
    <row r="52" spans="1:45" x14ac:dyDescent="0.35">
      <c r="B52" s="4" t="str">
        <f>Populations!$C$10</f>
        <v>M15-19</v>
      </c>
      <c r="C52" s="8"/>
      <c r="D52" s="8"/>
      <c r="E52" s="8"/>
      <c r="F52" s="8"/>
      <c r="G52" s="8"/>
      <c r="H52" s="8"/>
      <c r="I52" s="8"/>
      <c r="J52" s="8"/>
      <c r="K52" s="8"/>
      <c r="L52" s="8"/>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6" t="s">
        <v>46</v>
      </c>
      <c r="AS52" s="5">
        <v>0</v>
      </c>
    </row>
    <row r="53" spans="1:45" x14ac:dyDescent="0.35">
      <c r="B53" s="4" t="str">
        <f>Populations!$C$11</f>
        <v>F20-24</v>
      </c>
      <c r="C53" s="8"/>
      <c r="D53" s="8"/>
      <c r="E53" s="8"/>
      <c r="F53" s="8"/>
      <c r="G53" s="8"/>
      <c r="H53" s="8"/>
      <c r="I53" s="8"/>
      <c r="J53" s="8"/>
      <c r="K53" s="8"/>
      <c r="L53" s="8"/>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6" t="s">
        <v>46</v>
      </c>
      <c r="AS53" s="5">
        <v>0</v>
      </c>
    </row>
    <row r="54" spans="1:45" x14ac:dyDescent="0.35">
      <c r="B54" s="4" t="str">
        <f>Populations!$C$12</f>
        <v>M20-24</v>
      </c>
      <c r="C54" s="8"/>
      <c r="D54" s="8"/>
      <c r="E54" s="8"/>
      <c r="F54" s="8"/>
      <c r="G54" s="8"/>
      <c r="H54" s="8"/>
      <c r="I54" s="8"/>
      <c r="J54" s="8"/>
      <c r="K54" s="8"/>
      <c r="L54" s="8"/>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6" t="s">
        <v>46</v>
      </c>
      <c r="AS54" s="5">
        <v>0</v>
      </c>
    </row>
    <row r="55" spans="1:45" x14ac:dyDescent="0.35">
      <c r="B55" s="4" t="str">
        <f>Populations!$C$13</f>
        <v>F25-34</v>
      </c>
      <c r="C55" s="8"/>
      <c r="D55" s="8"/>
      <c r="E55" s="8"/>
      <c r="F55" s="8"/>
      <c r="G55" s="8"/>
      <c r="H55" s="8"/>
      <c r="I55" s="8"/>
      <c r="J55" s="8"/>
      <c r="K55" s="8"/>
      <c r="L55" s="8"/>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6" t="s">
        <v>46</v>
      </c>
      <c r="AS55" s="5">
        <v>0</v>
      </c>
    </row>
    <row r="56" spans="1:45" x14ac:dyDescent="0.35">
      <c r="B56" s="4" t="str">
        <f>Populations!$C$14</f>
        <v>M25-34</v>
      </c>
      <c r="C56" s="8"/>
      <c r="D56" s="8"/>
      <c r="E56" s="8"/>
      <c r="F56" s="8"/>
      <c r="G56" s="8"/>
      <c r="H56" s="8"/>
      <c r="I56" s="8"/>
      <c r="J56" s="8"/>
      <c r="K56" s="8"/>
      <c r="L56" s="8"/>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6" t="s">
        <v>46</v>
      </c>
      <c r="AS56" s="5">
        <v>0</v>
      </c>
    </row>
    <row r="57" spans="1:45" x14ac:dyDescent="0.35">
      <c r="B57" s="4" t="str">
        <f>Populations!$C$15</f>
        <v>F35-49</v>
      </c>
      <c r="C57" s="8"/>
      <c r="D57" s="8"/>
      <c r="E57" s="8"/>
      <c r="F57" s="8"/>
      <c r="G57" s="8"/>
      <c r="H57" s="8"/>
      <c r="I57" s="8"/>
      <c r="J57" s="8"/>
      <c r="K57" s="8"/>
      <c r="L57" s="8"/>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6" t="s">
        <v>46</v>
      </c>
      <c r="AS57" s="5">
        <v>0</v>
      </c>
    </row>
    <row r="58" spans="1:45" x14ac:dyDescent="0.35">
      <c r="B58" s="4" t="str">
        <f>Populations!$C$16</f>
        <v>M35-49</v>
      </c>
      <c r="C58" s="8"/>
      <c r="D58" s="8"/>
      <c r="E58" s="8"/>
      <c r="F58" s="8"/>
      <c r="G58" s="8"/>
      <c r="H58" s="8"/>
      <c r="I58" s="8"/>
      <c r="J58" s="8"/>
      <c r="K58" s="8"/>
      <c r="L58" s="8"/>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6" t="s">
        <v>46</v>
      </c>
      <c r="AS58" s="5">
        <v>0</v>
      </c>
    </row>
    <row r="59" spans="1:45" x14ac:dyDescent="0.35">
      <c r="B59" s="4" t="str">
        <f>Populations!$C$17</f>
        <v>F50+</v>
      </c>
      <c r="C59" s="8"/>
      <c r="D59" s="8"/>
      <c r="E59" s="8"/>
      <c r="F59" s="8"/>
      <c r="G59" s="8"/>
      <c r="H59" s="8"/>
      <c r="I59" s="8"/>
      <c r="J59" s="8"/>
      <c r="K59" s="8"/>
      <c r="L59" s="8"/>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6" t="s">
        <v>46</v>
      </c>
      <c r="AS59" s="5">
        <v>0</v>
      </c>
    </row>
    <row r="60" spans="1:45" x14ac:dyDescent="0.35">
      <c r="B60" s="4" t="str">
        <f>Populations!$C$18</f>
        <v>M50+</v>
      </c>
      <c r="C60" s="8"/>
      <c r="D60" s="8"/>
      <c r="E60" s="8"/>
      <c r="F60" s="8"/>
      <c r="G60" s="8"/>
      <c r="H60" s="8"/>
      <c r="I60" s="8"/>
      <c r="J60" s="8"/>
      <c r="K60" s="8"/>
      <c r="L60" s="8"/>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6" t="s">
        <v>46</v>
      </c>
      <c r="AS60" s="5">
        <v>0</v>
      </c>
    </row>
    <row r="64" spans="1:45" x14ac:dyDescent="0.35">
      <c r="A64" s="2" t="s">
        <v>76</v>
      </c>
    </row>
    <row r="65" spans="2:45" x14ac:dyDescent="0.35">
      <c r="C65" s="3">
        <v>1990</v>
      </c>
      <c r="D65" s="3">
        <v>1991</v>
      </c>
      <c r="E65" s="3">
        <v>1992</v>
      </c>
      <c r="F65" s="3">
        <v>1993</v>
      </c>
      <c r="G65" s="3">
        <v>1994</v>
      </c>
      <c r="H65" s="3">
        <v>1995</v>
      </c>
      <c r="I65" s="3">
        <v>1996</v>
      </c>
      <c r="J65" s="3">
        <v>1997</v>
      </c>
      <c r="K65" s="3">
        <v>1998</v>
      </c>
      <c r="L65" s="3">
        <v>1999</v>
      </c>
      <c r="M65" s="4">
        <v>2000</v>
      </c>
      <c r="N65" s="4">
        <v>2001</v>
      </c>
      <c r="O65" s="4">
        <v>2002</v>
      </c>
      <c r="P65" s="4">
        <v>2003</v>
      </c>
      <c r="Q65" s="4">
        <v>2004</v>
      </c>
      <c r="R65" s="4">
        <v>2005</v>
      </c>
      <c r="S65" s="4">
        <v>2006</v>
      </c>
      <c r="T65" s="4">
        <v>2007</v>
      </c>
      <c r="U65" s="4">
        <v>2008</v>
      </c>
      <c r="V65" s="4">
        <v>2009</v>
      </c>
      <c r="W65" s="4">
        <v>2010</v>
      </c>
      <c r="X65" s="4">
        <v>2011</v>
      </c>
      <c r="Y65" s="4">
        <v>2012</v>
      </c>
      <c r="Z65" s="4">
        <v>2013</v>
      </c>
      <c r="AA65" s="4">
        <v>2014</v>
      </c>
      <c r="AB65" s="4">
        <v>2015</v>
      </c>
      <c r="AC65" s="4">
        <v>2016</v>
      </c>
      <c r="AD65" s="4">
        <v>2017</v>
      </c>
      <c r="AE65" s="4">
        <v>2018</v>
      </c>
      <c r="AF65" s="4">
        <v>2019</v>
      </c>
      <c r="AG65" s="4">
        <v>2020</v>
      </c>
      <c r="AH65" s="4">
        <v>2021</v>
      </c>
      <c r="AI65" s="4">
        <v>2022</v>
      </c>
      <c r="AJ65" s="4">
        <v>2023</v>
      </c>
      <c r="AK65" s="4">
        <v>2024</v>
      </c>
      <c r="AL65" s="4">
        <v>2025</v>
      </c>
      <c r="AM65" s="4">
        <v>2026</v>
      </c>
      <c r="AN65" s="4">
        <v>2027</v>
      </c>
      <c r="AO65" s="4">
        <v>2028</v>
      </c>
      <c r="AP65" s="4">
        <v>2029</v>
      </c>
      <c r="AQ65" s="4">
        <v>2030</v>
      </c>
      <c r="AS65" s="4" t="s">
        <v>44</v>
      </c>
    </row>
    <row r="66" spans="2:45" x14ac:dyDescent="0.35">
      <c r="B66" s="4" t="str">
        <f>Populations!$C$3</f>
        <v>FSW</v>
      </c>
      <c r="C66" s="8">
        <v>0</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6" t="s">
        <v>46</v>
      </c>
      <c r="AS66" s="8">
        <v>0.1</v>
      </c>
    </row>
    <row r="67" spans="2:45" x14ac:dyDescent="0.35">
      <c r="B67" s="4" t="str">
        <f>Populations!$C$4</f>
        <v>Clients</v>
      </c>
      <c r="C67" s="8">
        <v>0</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6" t="s">
        <v>46</v>
      </c>
      <c r="AS67" s="8">
        <v>0.05</v>
      </c>
    </row>
    <row r="68" spans="2:45" x14ac:dyDescent="0.35">
      <c r="B68" s="4" t="str">
        <f>Populations!$C$5</f>
        <v>MSM</v>
      </c>
      <c r="C68" s="8">
        <v>0</v>
      </c>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6" t="s">
        <v>46</v>
      </c>
      <c r="AS68" s="8">
        <v>0.1</v>
      </c>
    </row>
    <row r="69" spans="2:45" x14ac:dyDescent="0.35">
      <c r="B69" s="4" t="str">
        <f>Populations!$C$6</f>
        <v>Prisoners</v>
      </c>
      <c r="C69" s="8">
        <v>0</v>
      </c>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6" t="s">
        <v>46</v>
      </c>
      <c r="AS69" s="8">
        <v>0.05</v>
      </c>
    </row>
    <row r="70" spans="2:45" x14ac:dyDescent="0.35">
      <c r="B70" s="4" t="str">
        <f>Populations!$C$7</f>
        <v>F0-14</v>
      </c>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6" t="s">
        <v>46</v>
      </c>
      <c r="AS70" s="8">
        <v>0</v>
      </c>
    </row>
    <row r="71" spans="2:45" x14ac:dyDescent="0.35">
      <c r="B71" s="4" t="str">
        <f>Populations!$C$8</f>
        <v>M0-14</v>
      </c>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6" t="s">
        <v>46</v>
      </c>
      <c r="AS71" s="8">
        <v>0</v>
      </c>
    </row>
    <row r="72" spans="2:45" x14ac:dyDescent="0.35">
      <c r="B72" s="4" t="str">
        <f>Populations!$C$9</f>
        <v>F15-19</v>
      </c>
      <c r="C72" s="8">
        <v>0</v>
      </c>
      <c r="D72" s="8"/>
      <c r="E72" s="8"/>
      <c r="F72" s="8"/>
      <c r="G72" s="8"/>
      <c r="H72" s="8"/>
      <c r="I72" s="8"/>
      <c r="J72" s="8"/>
      <c r="K72" s="8"/>
      <c r="L72" s="8"/>
      <c r="M72" s="8">
        <v>2.3E-2</v>
      </c>
      <c r="N72" s="8"/>
      <c r="O72" s="8"/>
      <c r="P72" s="8"/>
      <c r="Q72" s="8"/>
      <c r="R72" s="8">
        <v>3.0000000000000001E-3</v>
      </c>
      <c r="S72" s="8"/>
      <c r="T72" s="8"/>
      <c r="U72" s="8"/>
      <c r="V72" s="8"/>
      <c r="W72" s="8">
        <v>8.9999999999999993E-3</v>
      </c>
      <c r="X72" s="8"/>
      <c r="Y72" s="8"/>
      <c r="Z72" s="8"/>
      <c r="AA72" s="8"/>
      <c r="AB72" s="8">
        <v>1.4999999999999999E-2</v>
      </c>
      <c r="AC72" s="8"/>
      <c r="AD72" s="8"/>
      <c r="AE72" s="8"/>
      <c r="AF72" s="8"/>
      <c r="AG72" s="8"/>
      <c r="AH72" s="8"/>
      <c r="AI72" s="8"/>
      <c r="AJ72" s="8"/>
      <c r="AK72" s="8"/>
      <c r="AL72" s="8"/>
      <c r="AM72" s="8"/>
      <c r="AN72" s="8"/>
      <c r="AO72" s="8"/>
      <c r="AP72" s="8"/>
      <c r="AQ72" s="8"/>
      <c r="AR72" s="6" t="s">
        <v>46</v>
      </c>
      <c r="AS72" s="8"/>
    </row>
    <row r="73" spans="2:45" x14ac:dyDescent="0.35">
      <c r="B73" s="4" t="str">
        <f>Populations!$C$10</f>
        <v>M15-19</v>
      </c>
      <c r="C73" s="8">
        <v>0</v>
      </c>
      <c r="D73" s="8"/>
      <c r="E73" s="8"/>
      <c r="F73" s="8"/>
      <c r="G73" s="8"/>
      <c r="H73" s="8"/>
      <c r="I73" s="8"/>
      <c r="J73" s="8"/>
      <c r="K73" s="8"/>
      <c r="L73" s="8"/>
      <c r="M73" s="8">
        <v>2.3E-2</v>
      </c>
      <c r="N73" s="8"/>
      <c r="O73" s="8"/>
      <c r="P73" s="8"/>
      <c r="Q73" s="8"/>
      <c r="R73" s="8">
        <v>3.0000000000000001E-3</v>
      </c>
      <c r="S73" s="8"/>
      <c r="T73" s="8"/>
      <c r="U73" s="8"/>
      <c r="V73" s="8"/>
      <c r="W73" s="8">
        <v>8.9999999999999993E-3</v>
      </c>
      <c r="X73" s="8"/>
      <c r="Y73" s="8"/>
      <c r="Z73" s="8"/>
      <c r="AA73" s="8"/>
      <c r="AB73" s="8">
        <v>1.4999999999999999E-2</v>
      </c>
      <c r="AC73" s="8"/>
      <c r="AD73" s="8"/>
      <c r="AE73" s="8"/>
      <c r="AF73" s="8"/>
      <c r="AG73" s="8"/>
      <c r="AH73" s="8"/>
      <c r="AI73" s="8"/>
      <c r="AJ73" s="8"/>
      <c r="AK73" s="8"/>
      <c r="AL73" s="8"/>
      <c r="AM73" s="8"/>
      <c r="AN73" s="8"/>
      <c r="AO73" s="8"/>
      <c r="AP73" s="8"/>
      <c r="AQ73" s="8"/>
      <c r="AR73" s="6" t="s">
        <v>46</v>
      </c>
      <c r="AS73" s="8"/>
    </row>
    <row r="74" spans="2:45" x14ac:dyDescent="0.35">
      <c r="B74" s="4" t="str">
        <f>Populations!$C$11</f>
        <v>F20-24</v>
      </c>
      <c r="C74" s="8">
        <v>0</v>
      </c>
      <c r="D74" s="8"/>
      <c r="E74" s="8"/>
      <c r="F74" s="8"/>
      <c r="G74" s="8"/>
      <c r="H74" s="8"/>
      <c r="I74" s="8"/>
      <c r="J74" s="8"/>
      <c r="K74" s="8"/>
      <c r="L74" s="8"/>
      <c r="M74" s="8">
        <v>1.6E-2</v>
      </c>
      <c r="N74" s="8"/>
      <c r="O74" s="8"/>
      <c r="P74" s="8"/>
      <c r="Q74" s="8"/>
      <c r="R74" s="8">
        <v>8.9999999999999993E-3</v>
      </c>
      <c r="S74" s="8"/>
      <c r="T74" s="8"/>
      <c r="U74" s="8"/>
      <c r="V74" s="8"/>
      <c r="W74" s="8">
        <v>1.2999999999999999E-2</v>
      </c>
      <c r="X74" s="8"/>
      <c r="Y74" s="8"/>
      <c r="Z74" s="8"/>
      <c r="AA74" s="8"/>
      <c r="AB74" s="8">
        <v>1.7000000000000001E-2</v>
      </c>
      <c r="AC74" s="8"/>
      <c r="AD74" s="8"/>
      <c r="AE74" s="8"/>
      <c r="AF74" s="8"/>
      <c r="AG74" s="8"/>
      <c r="AH74" s="8"/>
      <c r="AI74" s="8"/>
      <c r="AJ74" s="8"/>
      <c r="AK74" s="8"/>
      <c r="AL74" s="8"/>
      <c r="AM74" s="8"/>
      <c r="AN74" s="8"/>
      <c r="AO74" s="8"/>
      <c r="AP74" s="8"/>
      <c r="AQ74" s="8"/>
      <c r="AR74" s="6" t="s">
        <v>46</v>
      </c>
      <c r="AS74" s="8"/>
    </row>
    <row r="75" spans="2:45" x14ac:dyDescent="0.35">
      <c r="B75" s="4" t="str">
        <f>Populations!$C$12</f>
        <v>M20-24</v>
      </c>
      <c r="C75" s="8">
        <v>0</v>
      </c>
      <c r="D75" s="8"/>
      <c r="E75" s="8"/>
      <c r="F75" s="8"/>
      <c r="G75" s="8"/>
      <c r="H75" s="8"/>
      <c r="I75" s="8"/>
      <c r="J75" s="8"/>
      <c r="K75" s="8"/>
      <c r="L75" s="8"/>
      <c r="M75" s="8">
        <v>1.6E-2</v>
      </c>
      <c r="N75" s="8"/>
      <c r="O75" s="8"/>
      <c r="P75" s="8"/>
      <c r="Q75" s="8"/>
      <c r="R75" s="8">
        <v>8.9999999999999993E-3</v>
      </c>
      <c r="S75" s="8"/>
      <c r="T75" s="8"/>
      <c r="U75" s="8"/>
      <c r="V75" s="8"/>
      <c r="W75" s="8">
        <v>1.2999999999999999E-2</v>
      </c>
      <c r="X75" s="8"/>
      <c r="Y75" s="8"/>
      <c r="Z75" s="8"/>
      <c r="AA75" s="8"/>
      <c r="AB75" s="8">
        <v>1.7000000000000001E-2</v>
      </c>
      <c r="AC75" s="8"/>
      <c r="AD75" s="8"/>
      <c r="AE75" s="8"/>
      <c r="AF75" s="8"/>
      <c r="AG75" s="8"/>
      <c r="AH75" s="8"/>
      <c r="AI75" s="8"/>
      <c r="AJ75" s="8"/>
      <c r="AK75" s="8"/>
      <c r="AL75" s="8"/>
      <c r="AM75" s="8"/>
      <c r="AN75" s="8"/>
      <c r="AO75" s="8"/>
      <c r="AP75" s="8"/>
      <c r="AQ75" s="8"/>
      <c r="AR75" s="6" t="s">
        <v>46</v>
      </c>
      <c r="AS75" s="8"/>
    </row>
    <row r="76" spans="2:45" x14ac:dyDescent="0.35">
      <c r="B76" s="4" t="str">
        <f>Populations!$C$13</f>
        <v>F25-34</v>
      </c>
      <c r="C76" s="8">
        <v>0</v>
      </c>
      <c r="D76" s="8"/>
      <c r="E76" s="8"/>
      <c r="F76" s="8"/>
      <c r="G76" s="8"/>
      <c r="H76" s="8"/>
      <c r="I76" s="8"/>
      <c r="J76" s="8"/>
      <c r="K76" s="8"/>
      <c r="L76" s="8"/>
      <c r="M76" s="8">
        <v>2.1999999999999999E-2</v>
      </c>
      <c r="N76" s="8"/>
      <c r="O76" s="8"/>
      <c r="P76" s="8"/>
      <c r="Q76" s="8"/>
      <c r="R76" s="8">
        <v>1.6E-2</v>
      </c>
      <c r="S76" s="8"/>
      <c r="T76" s="8"/>
      <c r="U76" s="8"/>
      <c r="V76" s="8"/>
      <c r="W76" s="8">
        <v>3.1E-2</v>
      </c>
      <c r="X76" s="8"/>
      <c r="Y76" s="8"/>
      <c r="Z76" s="8"/>
      <c r="AA76" s="8"/>
      <c r="AB76" s="8">
        <v>2.9000000000000001E-2</v>
      </c>
      <c r="AC76" s="8"/>
      <c r="AD76" s="8"/>
      <c r="AE76" s="8"/>
      <c r="AF76" s="8"/>
      <c r="AG76" s="8"/>
      <c r="AH76" s="8"/>
      <c r="AI76" s="8"/>
      <c r="AJ76" s="8"/>
      <c r="AK76" s="8"/>
      <c r="AL76" s="8"/>
      <c r="AM76" s="8"/>
      <c r="AN76" s="8"/>
      <c r="AO76" s="8"/>
      <c r="AP76" s="8"/>
      <c r="AQ76" s="8"/>
      <c r="AR76" s="6" t="s">
        <v>46</v>
      </c>
      <c r="AS76" s="8"/>
    </row>
    <row r="77" spans="2:45" x14ac:dyDescent="0.35">
      <c r="B77" s="4" t="str">
        <f>Populations!$C$14</f>
        <v>M25-34</v>
      </c>
      <c r="C77" s="8">
        <v>0</v>
      </c>
      <c r="D77" s="8"/>
      <c r="E77" s="8"/>
      <c r="F77" s="8"/>
      <c r="G77" s="8"/>
      <c r="H77" s="8"/>
      <c r="I77" s="8"/>
      <c r="J77" s="8"/>
      <c r="K77" s="8"/>
      <c r="L77" s="8"/>
      <c r="M77" s="8">
        <v>2.1999999999999999E-2</v>
      </c>
      <c r="N77" s="8"/>
      <c r="O77" s="8"/>
      <c r="P77" s="8"/>
      <c r="Q77" s="8"/>
      <c r="R77" s="8">
        <v>1.6E-2</v>
      </c>
      <c r="S77" s="8"/>
      <c r="T77" s="8"/>
      <c r="U77" s="8"/>
      <c r="V77" s="8"/>
      <c r="W77" s="8">
        <v>3.1E-2</v>
      </c>
      <c r="X77" s="8"/>
      <c r="Y77" s="8"/>
      <c r="Z77" s="8"/>
      <c r="AA77" s="8"/>
      <c r="AB77" s="8">
        <v>2.9000000000000001E-2</v>
      </c>
      <c r="AC77" s="8"/>
      <c r="AD77" s="8"/>
      <c r="AE77" s="8"/>
      <c r="AF77" s="8"/>
      <c r="AG77" s="8"/>
      <c r="AH77" s="8"/>
      <c r="AI77" s="8"/>
      <c r="AJ77" s="8"/>
      <c r="AK77" s="8"/>
      <c r="AL77" s="8"/>
      <c r="AM77" s="8"/>
      <c r="AN77" s="8"/>
      <c r="AO77" s="8"/>
      <c r="AP77" s="8"/>
      <c r="AQ77" s="8"/>
      <c r="AR77" s="6" t="s">
        <v>46</v>
      </c>
      <c r="AS77" s="8"/>
    </row>
    <row r="78" spans="2:45" x14ac:dyDescent="0.35">
      <c r="B78" s="4" t="str">
        <f>Populations!$C$15</f>
        <v>F35-49</v>
      </c>
      <c r="C78" s="8">
        <v>0</v>
      </c>
      <c r="D78" s="8"/>
      <c r="E78" s="8"/>
      <c r="F78" s="8"/>
      <c r="G78" s="8"/>
      <c r="H78" s="8"/>
      <c r="I78" s="8"/>
      <c r="J78" s="8"/>
      <c r="K78" s="8"/>
      <c r="L78" s="8"/>
      <c r="M78" s="8">
        <v>1.2E-2</v>
      </c>
      <c r="N78" s="8"/>
      <c r="O78" s="8"/>
      <c r="P78" s="8"/>
      <c r="Q78" s="8"/>
      <c r="R78" s="8">
        <v>2.1000000000000001E-2</v>
      </c>
      <c r="S78" s="8"/>
      <c r="T78" s="8"/>
      <c r="U78" s="8"/>
      <c r="V78" s="8"/>
      <c r="W78" s="8">
        <v>5.8999999999999997E-2</v>
      </c>
      <c r="X78" s="8"/>
      <c r="Y78" s="8"/>
      <c r="Z78" s="8"/>
      <c r="AA78" s="8"/>
      <c r="AB78" s="8">
        <v>6.8000000000000005E-2</v>
      </c>
      <c r="AC78" s="8"/>
      <c r="AD78" s="8"/>
      <c r="AE78" s="8"/>
      <c r="AF78" s="8"/>
      <c r="AG78" s="8"/>
      <c r="AH78" s="8"/>
      <c r="AI78" s="8"/>
      <c r="AJ78" s="8"/>
      <c r="AK78" s="8"/>
      <c r="AL78" s="8"/>
      <c r="AM78" s="8"/>
      <c r="AN78" s="8"/>
      <c r="AO78" s="8"/>
      <c r="AP78" s="8"/>
      <c r="AQ78" s="8"/>
      <c r="AR78" s="6" t="s">
        <v>46</v>
      </c>
      <c r="AS78" s="8"/>
    </row>
    <row r="79" spans="2:45" x14ac:dyDescent="0.35">
      <c r="B79" s="4" t="str">
        <f>Populations!$C$16</f>
        <v>M35-49</v>
      </c>
      <c r="C79" s="8">
        <v>0</v>
      </c>
      <c r="D79" s="8"/>
      <c r="E79" s="8"/>
      <c r="F79" s="8"/>
      <c r="G79" s="8"/>
      <c r="H79" s="8"/>
      <c r="I79" s="8"/>
      <c r="J79" s="8"/>
      <c r="K79" s="8"/>
      <c r="L79" s="8"/>
      <c r="M79" s="8">
        <v>1.2E-2</v>
      </c>
      <c r="N79" s="8"/>
      <c r="O79" s="8"/>
      <c r="P79" s="8"/>
      <c r="Q79" s="8"/>
      <c r="R79" s="8">
        <v>2.1000000000000001E-2</v>
      </c>
      <c r="S79" s="8"/>
      <c r="T79" s="8"/>
      <c r="U79" s="8"/>
      <c r="V79" s="8"/>
      <c r="W79" s="8">
        <v>5.8999999999999997E-2</v>
      </c>
      <c r="X79" s="8"/>
      <c r="Y79" s="8"/>
      <c r="Z79" s="8"/>
      <c r="AA79" s="8"/>
      <c r="AB79" s="8">
        <v>6.8000000000000005E-2</v>
      </c>
      <c r="AC79" s="8"/>
      <c r="AD79" s="8"/>
      <c r="AE79" s="8"/>
      <c r="AF79" s="8"/>
      <c r="AG79" s="8"/>
      <c r="AH79" s="8"/>
      <c r="AI79" s="8"/>
      <c r="AJ79" s="8"/>
      <c r="AK79" s="8"/>
      <c r="AL79" s="8"/>
      <c r="AM79" s="8"/>
      <c r="AN79" s="8"/>
      <c r="AO79" s="8"/>
      <c r="AP79" s="8"/>
      <c r="AQ79" s="8"/>
      <c r="AR79" s="6" t="s">
        <v>46</v>
      </c>
      <c r="AS79" s="8"/>
    </row>
    <row r="80" spans="2:45" x14ac:dyDescent="0.35">
      <c r="B80" s="4" t="str">
        <f>Populations!$C$17</f>
        <v>F50+</v>
      </c>
      <c r="C80" s="8">
        <v>0</v>
      </c>
      <c r="D80" s="8"/>
      <c r="E80" s="8"/>
      <c r="F80" s="8"/>
      <c r="G80" s="8"/>
      <c r="H80" s="8"/>
      <c r="I80" s="8"/>
      <c r="J80" s="8"/>
      <c r="K80" s="8"/>
      <c r="L80" s="8"/>
      <c r="M80" s="8">
        <v>2E-3</v>
      </c>
      <c r="N80" s="8"/>
      <c r="O80" s="8"/>
      <c r="P80" s="8"/>
      <c r="Q80" s="8"/>
      <c r="R80" s="8">
        <v>0.01</v>
      </c>
      <c r="S80" s="8"/>
      <c r="T80" s="8"/>
      <c r="U80" s="8"/>
      <c r="V80" s="8"/>
      <c r="W80" s="8">
        <v>4.9000000000000002E-2</v>
      </c>
      <c r="X80" s="8"/>
      <c r="Y80" s="8"/>
      <c r="Z80" s="8"/>
      <c r="AA80" s="8"/>
      <c r="AB80" s="8">
        <v>0.10199999999999999</v>
      </c>
      <c r="AC80" s="8"/>
      <c r="AD80" s="8"/>
      <c r="AE80" s="8"/>
      <c r="AF80" s="8"/>
      <c r="AG80" s="8"/>
      <c r="AH80" s="8"/>
      <c r="AI80" s="8"/>
      <c r="AJ80" s="8"/>
      <c r="AK80" s="8"/>
      <c r="AL80" s="8"/>
      <c r="AM80" s="8"/>
      <c r="AN80" s="8"/>
      <c r="AO80" s="8"/>
      <c r="AP80" s="8"/>
      <c r="AQ80" s="8"/>
      <c r="AR80" s="6" t="s">
        <v>46</v>
      </c>
      <c r="AS80" s="8"/>
    </row>
    <row r="81" spans="1:45" x14ac:dyDescent="0.35">
      <c r="B81" s="4" t="str">
        <f>Populations!$C$18</f>
        <v>M50+</v>
      </c>
      <c r="C81" s="8">
        <v>0</v>
      </c>
      <c r="D81" s="8"/>
      <c r="E81" s="8"/>
      <c r="F81" s="8"/>
      <c r="G81" s="8"/>
      <c r="H81" s="8"/>
      <c r="I81" s="8"/>
      <c r="J81" s="8"/>
      <c r="K81" s="8"/>
      <c r="L81" s="8"/>
      <c r="M81" s="8">
        <v>2E-3</v>
      </c>
      <c r="N81" s="8"/>
      <c r="O81" s="8"/>
      <c r="P81" s="8"/>
      <c r="Q81" s="8"/>
      <c r="R81" s="8">
        <v>0.01</v>
      </c>
      <c r="S81" s="8"/>
      <c r="T81" s="8"/>
      <c r="U81" s="8"/>
      <c r="V81" s="8"/>
      <c r="W81" s="8">
        <v>4.9000000000000002E-2</v>
      </c>
      <c r="X81" s="8"/>
      <c r="Y81" s="8"/>
      <c r="Z81" s="8"/>
      <c r="AA81" s="8"/>
      <c r="AB81" s="8">
        <v>0.10199999999999999</v>
      </c>
      <c r="AC81" s="8"/>
      <c r="AD81" s="8"/>
      <c r="AE81" s="8"/>
      <c r="AF81" s="8"/>
      <c r="AG81" s="8"/>
      <c r="AH81" s="8"/>
      <c r="AI81" s="8"/>
      <c r="AJ81" s="8"/>
      <c r="AK81" s="8"/>
      <c r="AL81" s="8"/>
      <c r="AM81" s="8"/>
      <c r="AN81" s="8"/>
      <c r="AO81" s="8"/>
      <c r="AP81" s="8"/>
      <c r="AQ81" s="8"/>
      <c r="AR81" s="6" t="s">
        <v>46</v>
      </c>
      <c r="AS81" s="8"/>
    </row>
    <row r="85" spans="1:45" x14ac:dyDescent="0.35">
      <c r="A85" s="2" t="s">
        <v>77</v>
      </c>
    </row>
    <row r="86" spans="1:45" x14ac:dyDescent="0.35">
      <c r="C86" s="3">
        <v>1990</v>
      </c>
      <c r="D86" s="3">
        <v>1991</v>
      </c>
      <c r="E86" s="3">
        <v>1992</v>
      </c>
      <c r="F86" s="3">
        <v>1993</v>
      </c>
      <c r="G86" s="3">
        <v>1994</v>
      </c>
      <c r="H86" s="3">
        <v>1995</v>
      </c>
      <c r="I86" s="3">
        <v>1996</v>
      </c>
      <c r="J86" s="3">
        <v>1997</v>
      </c>
      <c r="K86" s="3">
        <v>1998</v>
      </c>
      <c r="L86" s="3">
        <v>1999</v>
      </c>
      <c r="M86" s="4">
        <v>2000</v>
      </c>
      <c r="N86" s="4">
        <v>2001</v>
      </c>
      <c r="O86" s="4">
        <v>2002</v>
      </c>
      <c r="P86" s="4">
        <v>2003</v>
      </c>
      <c r="Q86" s="4">
        <v>2004</v>
      </c>
      <c r="R86" s="4">
        <v>2005</v>
      </c>
      <c r="S86" s="4">
        <v>2006</v>
      </c>
      <c r="T86" s="4">
        <v>2007</v>
      </c>
      <c r="U86" s="4">
        <v>2008</v>
      </c>
      <c r="V86" s="4">
        <v>2009</v>
      </c>
      <c r="W86" s="4">
        <v>2010</v>
      </c>
      <c r="X86" s="4">
        <v>2011</v>
      </c>
      <c r="Y86" s="4">
        <v>2012</v>
      </c>
      <c r="Z86" s="4">
        <v>2013</v>
      </c>
      <c r="AA86" s="4">
        <v>2014</v>
      </c>
      <c r="AB86" s="4">
        <v>2015</v>
      </c>
      <c r="AC86" s="4">
        <v>2016</v>
      </c>
      <c r="AD86" s="4">
        <v>2017</v>
      </c>
      <c r="AE86" s="4">
        <v>2018</v>
      </c>
      <c r="AF86" s="4">
        <v>2019</v>
      </c>
      <c r="AG86" s="4">
        <v>2020</v>
      </c>
      <c r="AH86" s="4">
        <v>2021</v>
      </c>
      <c r="AI86" s="4">
        <v>2022</v>
      </c>
      <c r="AJ86" s="4">
        <v>2023</v>
      </c>
      <c r="AK86" s="4">
        <v>2024</v>
      </c>
      <c r="AL86" s="4">
        <v>2025</v>
      </c>
      <c r="AM86" s="4">
        <v>2026</v>
      </c>
      <c r="AN86" s="4">
        <v>2027</v>
      </c>
      <c r="AO86" s="4">
        <v>2028</v>
      </c>
      <c r="AP86" s="4">
        <v>2029</v>
      </c>
      <c r="AQ86" s="4">
        <v>2030</v>
      </c>
      <c r="AS86" s="4" t="s">
        <v>44</v>
      </c>
    </row>
    <row r="87" spans="1:45" x14ac:dyDescent="0.35">
      <c r="B87" s="4" t="str">
        <f>Populations!$C$3</f>
        <v>FSW</v>
      </c>
      <c r="C87" s="8">
        <v>0</v>
      </c>
      <c r="D87" s="8"/>
      <c r="E87" s="8"/>
      <c r="F87" s="8"/>
      <c r="G87" s="8"/>
      <c r="H87" s="8"/>
      <c r="I87" s="8"/>
      <c r="J87" s="8"/>
      <c r="K87" s="8"/>
      <c r="L87" s="8"/>
      <c r="M87" s="8">
        <v>0.48599999999999999</v>
      </c>
      <c r="N87" s="8"/>
      <c r="O87" s="8"/>
      <c r="P87" s="8"/>
      <c r="Q87" s="8"/>
      <c r="R87" s="8">
        <v>0.56100000000000005</v>
      </c>
      <c r="S87" s="8"/>
      <c r="T87" s="8"/>
      <c r="U87" s="8"/>
      <c r="V87" s="8"/>
      <c r="W87" s="8">
        <v>0.66900000000000004</v>
      </c>
      <c r="X87" s="8"/>
      <c r="Y87" s="8"/>
      <c r="Z87" s="8"/>
      <c r="AA87" s="8"/>
      <c r="AB87" s="8">
        <v>0.76200000000000001</v>
      </c>
      <c r="AC87" s="8"/>
      <c r="AD87" s="8"/>
      <c r="AE87" s="8"/>
      <c r="AF87" s="8"/>
      <c r="AG87" s="8"/>
      <c r="AH87" s="8"/>
      <c r="AI87" s="8"/>
      <c r="AJ87" s="8"/>
      <c r="AK87" s="8"/>
      <c r="AL87" s="8"/>
      <c r="AM87" s="8"/>
      <c r="AN87" s="8"/>
      <c r="AO87" s="8"/>
      <c r="AP87" s="8"/>
      <c r="AQ87" s="8"/>
      <c r="AR87" s="6" t="s">
        <v>46</v>
      </c>
      <c r="AS87" s="8"/>
    </row>
    <row r="88" spans="1:45" x14ac:dyDescent="0.35">
      <c r="B88" s="4" t="str">
        <f>Populations!$C$4</f>
        <v>Clients</v>
      </c>
      <c r="C88" s="8">
        <v>0</v>
      </c>
      <c r="D88" s="8"/>
      <c r="E88" s="8"/>
      <c r="F88" s="8"/>
      <c r="G88" s="8"/>
      <c r="H88" s="8"/>
      <c r="I88" s="8"/>
      <c r="J88" s="8"/>
      <c r="K88" s="8"/>
      <c r="L88" s="8"/>
      <c r="M88" s="8">
        <v>0.77700000000000002</v>
      </c>
      <c r="N88" s="8"/>
      <c r="O88" s="8"/>
      <c r="P88" s="8"/>
      <c r="Q88" s="8"/>
      <c r="R88" s="8">
        <v>0.78900000000000003</v>
      </c>
      <c r="S88" s="8"/>
      <c r="T88" s="8"/>
      <c r="U88" s="8"/>
      <c r="V88" s="8"/>
      <c r="W88" s="8">
        <v>0.81799999999999995</v>
      </c>
      <c r="X88" s="8"/>
      <c r="Y88" s="8"/>
      <c r="Z88" s="8"/>
      <c r="AA88" s="8"/>
      <c r="AB88" s="8">
        <v>0.86899999999999999</v>
      </c>
      <c r="AC88" s="8"/>
      <c r="AD88" s="8"/>
      <c r="AE88" s="8"/>
      <c r="AF88" s="8"/>
      <c r="AG88" s="8"/>
      <c r="AH88" s="8"/>
      <c r="AI88" s="8"/>
      <c r="AJ88" s="8"/>
      <c r="AK88" s="8"/>
      <c r="AL88" s="8"/>
      <c r="AM88" s="8"/>
      <c r="AN88" s="8"/>
      <c r="AO88" s="8"/>
      <c r="AP88" s="8"/>
      <c r="AQ88" s="8"/>
      <c r="AR88" s="6" t="s">
        <v>46</v>
      </c>
      <c r="AS88" s="8"/>
    </row>
    <row r="89" spans="1:45" x14ac:dyDescent="0.35">
      <c r="B89" s="4" t="str">
        <f>Populations!$C$5</f>
        <v>MSM</v>
      </c>
      <c r="C89" s="8">
        <v>0</v>
      </c>
      <c r="D89" s="8"/>
      <c r="E89" s="8"/>
      <c r="F89" s="8"/>
      <c r="G89" s="8"/>
      <c r="H89" s="8"/>
      <c r="I89" s="8"/>
      <c r="J89" s="8"/>
      <c r="K89" s="8"/>
      <c r="L89" s="8"/>
      <c r="M89" s="8">
        <v>0.77700000000000002</v>
      </c>
      <c r="N89" s="8"/>
      <c r="O89" s="8"/>
      <c r="P89" s="8"/>
      <c r="Q89" s="8"/>
      <c r="R89" s="8">
        <v>0.78900000000000003</v>
      </c>
      <c r="S89" s="8"/>
      <c r="T89" s="8"/>
      <c r="U89" s="8"/>
      <c r="V89" s="8"/>
      <c r="W89" s="8">
        <v>0.81799999999999995</v>
      </c>
      <c r="X89" s="8"/>
      <c r="Y89" s="8"/>
      <c r="Z89" s="8"/>
      <c r="AA89" s="8"/>
      <c r="AB89" s="8">
        <v>0.86899999999999999</v>
      </c>
      <c r="AC89" s="8"/>
      <c r="AD89" s="8"/>
      <c r="AE89" s="8"/>
      <c r="AF89" s="8"/>
      <c r="AG89" s="8"/>
      <c r="AH89" s="8"/>
      <c r="AI89" s="8"/>
      <c r="AJ89" s="8"/>
      <c r="AK89" s="8"/>
      <c r="AL89" s="8"/>
      <c r="AM89" s="8"/>
      <c r="AN89" s="8"/>
      <c r="AO89" s="8"/>
      <c r="AP89" s="8"/>
      <c r="AQ89" s="8"/>
      <c r="AR89" s="6" t="s">
        <v>46</v>
      </c>
      <c r="AS89" s="8"/>
    </row>
    <row r="90" spans="1:45" x14ac:dyDescent="0.35">
      <c r="B90" s="4" t="str">
        <f>Populations!$C$6</f>
        <v>Prisoners</v>
      </c>
      <c r="C90" s="8">
        <v>0</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6" t="s">
        <v>46</v>
      </c>
      <c r="AS90" s="8">
        <v>0.5</v>
      </c>
    </row>
    <row r="91" spans="1:45" x14ac:dyDescent="0.35">
      <c r="B91" s="4" t="str">
        <f>Populations!$C$7</f>
        <v>F0-14</v>
      </c>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6" t="s">
        <v>46</v>
      </c>
      <c r="AS91" s="8">
        <v>0</v>
      </c>
    </row>
    <row r="92" spans="1:45" x14ac:dyDescent="0.35">
      <c r="B92" s="4" t="str">
        <f>Populations!$C$8</f>
        <v>M0-14</v>
      </c>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6" t="s">
        <v>46</v>
      </c>
      <c r="AS92" s="8">
        <v>0</v>
      </c>
    </row>
    <row r="93" spans="1:45" x14ac:dyDescent="0.35">
      <c r="B93" s="4" t="str">
        <f>Populations!$C$9</f>
        <v>F15-19</v>
      </c>
      <c r="C93" s="8">
        <v>0</v>
      </c>
      <c r="D93" s="8"/>
      <c r="E93" s="8"/>
      <c r="F93" s="8"/>
      <c r="G93" s="8"/>
      <c r="H93" s="8"/>
      <c r="I93" s="8"/>
      <c r="J93" s="8"/>
      <c r="K93" s="8"/>
      <c r="L93" s="8"/>
      <c r="M93" s="8">
        <v>0.374</v>
      </c>
      <c r="N93" s="8"/>
      <c r="O93" s="8"/>
      <c r="P93" s="8"/>
      <c r="Q93" s="8"/>
      <c r="R93" s="8">
        <v>0.40100000000000002</v>
      </c>
      <c r="S93" s="8"/>
      <c r="T93" s="8"/>
      <c r="U93" s="8"/>
      <c r="V93" s="8"/>
      <c r="W93" s="8">
        <v>0.38500000000000001</v>
      </c>
      <c r="X93" s="8"/>
      <c r="Y93" s="8"/>
      <c r="Z93" s="8"/>
      <c r="AA93" s="8"/>
      <c r="AB93" s="8">
        <v>0.47</v>
      </c>
      <c r="AC93" s="8"/>
      <c r="AD93" s="8"/>
      <c r="AE93" s="8"/>
      <c r="AF93" s="8"/>
      <c r="AG93" s="8"/>
      <c r="AH93" s="8"/>
      <c r="AI93" s="8"/>
      <c r="AJ93" s="8"/>
      <c r="AK93" s="8"/>
      <c r="AL93" s="8"/>
      <c r="AM93" s="8"/>
      <c r="AN93" s="8"/>
      <c r="AO93" s="8"/>
      <c r="AP93" s="8"/>
      <c r="AQ93" s="8"/>
      <c r="AR93" s="6" t="s">
        <v>46</v>
      </c>
      <c r="AS93" s="8"/>
    </row>
    <row r="94" spans="1:45" x14ac:dyDescent="0.35">
      <c r="B94" s="4" t="str">
        <f>Populations!$C$10</f>
        <v>M15-19</v>
      </c>
      <c r="C94" s="8">
        <v>0</v>
      </c>
      <c r="D94" s="8"/>
      <c r="E94" s="8"/>
      <c r="F94" s="8"/>
      <c r="G94" s="8"/>
      <c r="H94" s="8"/>
      <c r="I94" s="8"/>
      <c r="J94" s="8"/>
      <c r="K94" s="8"/>
      <c r="L94" s="8"/>
      <c r="M94" s="8">
        <v>0.59099999999999997</v>
      </c>
      <c r="N94" s="8"/>
      <c r="O94" s="8"/>
      <c r="P94" s="8"/>
      <c r="Q94" s="8"/>
      <c r="R94" s="8">
        <v>0.54400000000000004</v>
      </c>
      <c r="S94" s="8"/>
      <c r="T94" s="8"/>
      <c r="U94" s="8"/>
      <c r="V94" s="8"/>
      <c r="W94" s="8">
        <v>0.66100000000000003</v>
      </c>
      <c r="X94" s="8"/>
      <c r="Y94" s="8"/>
      <c r="Z94" s="8"/>
      <c r="AA94" s="8"/>
      <c r="AB94" s="8">
        <v>0.78800000000000003</v>
      </c>
      <c r="AC94" s="8"/>
      <c r="AD94" s="8"/>
      <c r="AE94" s="8"/>
      <c r="AF94" s="8"/>
      <c r="AG94" s="8"/>
      <c r="AH94" s="8"/>
      <c r="AI94" s="8"/>
      <c r="AJ94" s="8"/>
      <c r="AK94" s="8"/>
      <c r="AL94" s="8"/>
      <c r="AM94" s="8"/>
      <c r="AN94" s="8"/>
      <c r="AO94" s="8"/>
      <c r="AP94" s="8"/>
      <c r="AQ94" s="8"/>
      <c r="AR94" s="6" t="s">
        <v>46</v>
      </c>
      <c r="AS94" s="8"/>
    </row>
    <row r="95" spans="1:45" x14ac:dyDescent="0.35">
      <c r="B95" s="4" t="str">
        <f>Populations!$C$11</f>
        <v>F20-24</v>
      </c>
      <c r="C95" s="8">
        <v>0</v>
      </c>
      <c r="D95" s="8"/>
      <c r="E95" s="8"/>
      <c r="F95" s="8"/>
      <c r="G95" s="8"/>
      <c r="H95" s="8"/>
      <c r="I95" s="8"/>
      <c r="J95" s="8"/>
      <c r="K95" s="8"/>
      <c r="L95" s="8"/>
      <c r="M95" s="8">
        <v>0.45</v>
      </c>
      <c r="N95" s="8"/>
      <c r="O95" s="8"/>
      <c r="P95" s="8"/>
      <c r="Q95" s="8"/>
      <c r="R95" s="8">
        <v>0.41299999999999998</v>
      </c>
      <c r="S95" s="8"/>
      <c r="T95" s="8"/>
      <c r="U95" s="8"/>
      <c r="V95" s="8"/>
      <c r="W95" s="8">
        <v>0.54400000000000004</v>
      </c>
      <c r="X95" s="8"/>
      <c r="Y95" s="8"/>
      <c r="Z95" s="8"/>
      <c r="AA95" s="8"/>
      <c r="AB95" s="8">
        <v>0.63800000000000001</v>
      </c>
      <c r="AC95" s="8"/>
      <c r="AD95" s="8"/>
      <c r="AE95" s="8"/>
      <c r="AF95" s="8"/>
      <c r="AG95" s="8"/>
      <c r="AH95" s="8"/>
      <c r="AI95" s="8"/>
      <c r="AJ95" s="8"/>
      <c r="AK95" s="8"/>
      <c r="AL95" s="8"/>
      <c r="AM95" s="8"/>
      <c r="AN95" s="8"/>
      <c r="AO95" s="8"/>
      <c r="AP95" s="8"/>
      <c r="AQ95" s="8"/>
      <c r="AR95" s="6" t="s">
        <v>46</v>
      </c>
      <c r="AS95" s="8"/>
    </row>
    <row r="96" spans="1:45" x14ac:dyDescent="0.35">
      <c r="B96" s="4" t="str">
        <f>Populations!$C$12</f>
        <v>M20-24</v>
      </c>
      <c r="C96" s="8">
        <v>0</v>
      </c>
      <c r="D96" s="8"/>
      <c r="E96" s="8"/>
      <c r="F96" s="8"/>
      <c r="G96" s="8"/>
      <c r="H96" s="8"/>
      <c r="I96" s="8"/>
      <c r="J96" s="8"/>
      <c r="K96" s="8"/>
      <c r="L96" s="8"/>
      <c r="M96" s="8">
        <v>0.751</v>
      </c>
      <c r="N96" s="8"/>
      <c r="O96" s="8"/>
      <c r="P96" s="8"/>
      <c r="Q96" s="8"/>
      <c r="R96" s="8">
        <v>0.75600000000000001</v>
      </c>
      <c r="S96" s="8"/>
      <c r="T96" s="8"/>
      <c r="U96" s="8"/>
      <c r="V96" s="8"/>
      <c r="W96" s="8">
        <v>0.77300000000000002</v>
      </c>
      <c r="X96" s="8"/>
      <c r="Y96" s="8"/>
      <c r="Z96" s="8"/>
      <c r="AA96" s="8"/>
      <c r="AB96" s="8">
        <v>0.879</v>
      </c>
      <c r="AC96" s="8"/>
      <c r="AD96" s="8"/>
      <c r="AE96" s="8"/>
      <c r="AF96" s="8"/>
      <c r="AG96" s="8"/>
      <c r="AH96" s="8"/>
      <c r="AI96" s="8"/>
      <c r="AJ96" s="8"/>
      <c r="AK96" s="8"/>
      <c r="AL96" s="8"/>
      <c r="AM96" s="8"/>
      <c r="AN96" s="8"/>
      <c r="AO96" s="8"/>
      <c r="AP96" s="8"/>
      <c r="AQ96" s="8"/>
      <c r="AR96" s="6" t="s">
        <v>46</v>
      </c>
      <c r="AS96" s="8"/>
    </row>
    <row r="97" spans="1:45" x14ac:dyDescent="0.35">
      <c r="B97" s="4" t="str">
        <f>Populations!$C$13</f>
        <v>F25-34</v>
      </c>
      <c r="C97" s="8">
        <v>0</v>
      </c>
      <c r="D97" s="8"/>
      <c r="E97" s="8"/>
      <c r="F97" s="8"/>
      <c r="G97" s="8"/>
      <c r="H97" s="8"/>
      <c r="I97" s="8"/>
      <c r="J97" s="8"/>
      <c r="K97" s="8"/>
      <c r="L97" s="8"/>
      <c r="M97" s="8">
        <v>0.48599999999999999</v>
      </c>
      <c r="N97" s="8"/>
      <c r="O97" s="8"/>
      <c r="P97" s="8"/>
      <c r="Q97" s="8"/>
      <c r="R97" s="8">
        <v>0.56100000000000005</v>
      </c>
      <c r="S97" s="8"/>
      <c r="T97" s="8"/>
      <c r="U97" s="8"/>
      <c r="V97" s="8"/>
      <c r="W97" s="8">
        <v>0.66900000000000004</v>
      </c>
      <c r="X97" s="8"/>
      <c r="Y97" s="8"/>
      <c r="Z97" s="8"/>
      <c r="AA97" s="8"/>
      <c r="AB97" s="8">
        <v>0.76200000000000001</v>
      </c>
      <c r="AC97" s="8"/>
      <c r="AD97" s="8"/>
      <c r="AE97" s="8"/>
      <c r="AF97" s="8"/>
      <c r="AG97" s="8"/>
      <c r="AH97" s="8"/>
      <c r="AI97" s="8"/>
      <c r="AJ97" s="8"/>
      <c r="AK97" s="8"/>
      <c r="AL97" s="8"/>
      <c r="AM97" s="8"/>
      <c r="AN97" s="8"/>
      <c r="AO97" s="8"/>
      <c r="AP97" s="8"/>
      <c r="AQ97" s="8"/>
      <c r="AR97" s="6" t="s">
        <v>46</v>
      </c>
      <c r="AS97" s="8"/>
    </row>
    <row r="98" spans="1:45" x14ac:dyDescent="0.35">
      <c r="B98" s="4" t="str">
        <f>Populations!$C$14</f>
        <v>M25-34</v>
      </c>
      <c r="C98" s="8">
        <v>0</v>
      </c>
      <c r="D98" s="8"/>
      <c r="E98" s="8"/>
      <c r="F98" s="8"/>
      <c r="G98" s="8"/>
      <c r="H98" s="8"/>
      <c r="I98" s="8"/>
      <c r="J98" s="8"/>
      <c r="K98" s="8"/>
      <c r="L98" s="8"/>
      <c r="M98" s="8">
        <v>0.77700000000000002</v>
      </c>
      <c r="N98" s="8"/>
      <c r="O98" s="8"/>
      <c r="P98" s="8"/>
      <c r="Q98" s="8"/>
      <c r="R98" s="8">
        <v>0.78900000000000003</v>
      </c>
      <c r="S98" s="8"/>
      <c r="T98" s="8"/>
      <c r="U98" s="8"/>
      <c r="V98" s="8"/>
      <c r="W98" s="8">
        <v>0.81799999999999995</v>
      </c>
      <c r="X98" s="8"/>
      <c r="Y98" s="8"/>
      <c r="Z98" s="8"/>
      <c r="AA98" s="8"/>
      <c r="AB98" s="8">
        <v>0.86899999999999999</v>
      </c>
      <c r="AC98" s="8"/>
      <c r="AD98" s="8"/>
      <c r="AE98" s="8"/>
      <c r="AF98" s="8"/>
      <c r="AG98" s="8"/>
      <c r="AH98" s="8"/>
      <c r="AI98" s="8"/>
      <c r="AJ98" s="8"/>
      <c r="AK98" s="8"/>
      <c r="AL98" s="8"/>
      <c r="AM98" s="8"/>
      <c r="AN98" s="8"/>
      <c r="AO98" s="8"/>
      <c r="AP98" s="8"/>
      <c r="AQ98" s="8"/>
      <c r="AR98" s="6" t="s">
        <v>46</v>
      </c>
      <c r="AS98" s="8"/>
    </row>
    <row r="99" spans="1:45" x14ac:dyDescent="0.35">
      <c r="B99" s="4" t="str">
        <f>Populations!$C$15</f>
        <v>F35-49</v>
      </c>
      <c r="C99" s="8">
        <v>0</v>
      </c>
      <c r="D99" s="8"/>
      <c r="E99" s="8"/>
      <c r="F99" s="8"/>
      <c r="G99" s="8"/>
      <c r="H99" s="8"/>
      <c r="I99" s="8"/>
      <c r="J99" s="8"/>
      <c r="K99" s="8"/>
      <c r="L99" s="8"/>
      <c r="M99" s="8">
        <v>0.37</v>
      </c>
      <c r="N99" s="8"/>
      <c r="O99" s="8"/>
      <c r="P99" s="8"/>
      <c r="Q99" s="8"/>
      <c r="R99" s="8">
        <v>0.42599999999999999</v>
      </c>
      <c r="S99" s="8"/>
      <c r="T99" s="8"/>
      <c r="U99" s="8"/>
      <c r="V99" s="8"/>
      <c r="W99" s="8">
        <v>0.623</v>
      </c>
      <c r="X99" s="8"/>
      <c r="Y99" s="8"/>
      <c r="Z99" s="8"/>
      <c r="AA99" s="8"/>
      <c r="AB99" s="8">
        <v>0.70299999999999996</v>
      </c>
      <c r="AC99" s="8"/>
      <c r="AD99" s="8"/>
      <c r="AE99" s="8"/>
      <c r="AF99" s="8"/>
      <c r="AG99" s="8"/>
      <c r="AH99" s="8"/>
      <c r="AI99" s="8"/>
      <c r="AJ99" s="8"/>
      <c r="AK99" s="8"/>
      <c r="AL99" s="8"/>
      <c r="AM99" s="8"/>
      <c r="AN99" s="8"/>
      <c r="AO99" s="8"/>
      <c r="AP99" s="8"/>
      <c r="AQ99" s="8"/>
      <c r="AR99" s="6" t="s">
        <v>46</v>
      </c>
      <c r="AS99" s="8"/>
    </row>
    <row r="100" spans="1:45" x14ac:dyDescent="0.35">
      <c r="B100" s="4" t="str">
        <f>Populations!$C$16</f>
        <v>M35-49</v>
      </c>
      <c r="C100" s="8">
        <v>0</v>
      </c>
      <c r="D100" s="8"/>
      <c r="E100" s="8"/>
      <c r="F100" s="8"/>
      <c r="G100" s="8"/>
      <c r="H100" s="8"/>
      <c r="I100" s="8"/>
      <c r="J100" s="8"/>
      <c r="K100" s="8"/>
      <c r="L100" s="8"/>
      <c r="M100" s="8">
        <v>0.60899999999999999</v>
      </c>
      <c r="N100" s="8"/>
      <c r="O100" s="8"/>
      <c r="P100" s="8"/>
      <c r="Q100" s="8"/>
      <c r="R100" s="8">
        <v>0.67200000000000004</v>
      </c>
      <c r="S100" s="8"/>
      <c r="T100" s="8"/>
      <c r="U100" s="8"/>
      <c r="V100" s="8"/>
      <c r="W100" s="8">
        <v>0.80200000000000005</v>
      </c>
      <c r="X100" s="8"/>
      <c r="Y100" s="8"/>
      <c r="Z100" s="8"/>
      <c r="AA100" s="8"/>
      <c r="AB100" s="8">
        <v>0.85499999999999998</v>
      </c>
      <c r="AC100" s="8"/>
      <c r="AD100" s="8"/>
      <c r="AE100" s="8"/>
      <c r="AF100" s="8"/>
      <c r="AG100" s="8"/>
      <c r="AH100" s="8"/>
      <c r="AI100" s="8"/>
      <c r="AJ100" s="8"/>
      <c r="AK100" s="8"/>
      <c r="AL100" s="8"/>
      <c r="AM100" s="8"/>
      <c r="AN100" s="8"/>
      <c r="AO100" s="8"/>
      <c r="AP100" s="8"/>
      <c r="AQ100" s="8"/>
      <c r="AR100" s="6" t="s">
        <v>46</v>
      </c>
      <c r="AS100" s="8"/>
    </row>
    <row r="101" spans="1:45" x14ac:dyDescent="0.35">
      <c r="B101" s="4" t="str">
        <f>Populations!$C$17</f>
        <v>F50+</v>
      </c>
      <c r="C101" s="8">
        <v>0</v>
      </c>
      <c r="D101" s="8"/>
      <c r="E101" s="8"/>
      <c r="F101" s="8"/>
      <c r="G101" s="8"/>
      <c r="H101" s="8"/>
      <c r="I101" s="8"/>
      <c r="J101" s="8"/>
      <c r="K101" s="8"/>
      <c r="L101" s="8"/>
      <c r="M101" s="8">
        <v>0.25</v>
      </c>
      <c r="N101" s="8"/>
      <c r="O101" s="8"/>
      <c r="P101" s="8"/>
      <c r="Q101" s="8"/>
      <c r="R101" s="8">
        <v>0.38500000000000001</v>
      </c>
      <c r="S101" s="8"/>
      <c r="T101" s="8"/>
      <c r="U101" s="8"/>
      <c r="V101" s="8"/>
      <c r="W101" s="8">
        <v>0.53600000000000003</v>
      </c>
      <c r="X101" s="8"/>
      <c r="Y101" s="8"/>
      <c r="Z101" s="8"/>
      <c r="AA101" s="8"/>
      <c r="AB101" s="8">
        <v>0.68100000000000005</v>
      </c>
      <c r="AC101" s="8"/>
      <c r="AD101" s="8"/>
      <c r="AE101" s="8"/>
      <c r="AF101" s="8"/>
      <c r="AG101" s="8"/>
      <c r="AH101" s="8"/>
      <c r="AI101" s="8"/>
      <c r="AJ101" s="8"/>
      <c r="AK101" s="8"/>
      <c r="AL101" s="8"/>
      <c r="AM101" s="8"/>
      <c r="AN101" s="8"/>
      <c r="AO101" s="8"/>
      <c r="AP101" s="8"/>
      <c r="AQ101" s="8"/>
      <c r="AR101" s="6" t="s">
        <v>46</v>
      </c>
      <c r="AS101" s="8"/>
    </row>
    <row r="102" spans="1:45" x14ac:dyDescent="0.35">
      <c r="B102" s="4" t="str">
        <f>Populations!$C$18</f>
        <v>M50+</v>
      </c>
      <c r="C102" s="8">
        <v>0</v>
      </c>
      <c r="D102" s="8"/>
      <c r="E102" s="8"/>
      <c r="F102" s="8"/>
      <c r="G102" s="8"/>
      <c r="H102" s="8"/>
      <c r="I102" s="8"/>
      <c r="J102" s="8"/>
      <c r="K102" s="8"/>
      <c r="L102" s="8"/>
      <c r="M102" s="8">
        <v>0.64500000000000002</v>
      </c>
      <c r="N102" s="8"/>
      <c r="O102" s="8"/>
      <c r="P102" s="8"/>
      <c r="Q102" s="8"/>
      <c r="R102" s="8">
        <v>0.52800000000000002</v>
      </c>
      <c r="S102" s="8"/>
      <c r="T102" s="8"/>
      <c r="U102" s="8"/>
      <c r="V102" s="8"/>
      <c r="W102" s="8">
        <v>0.81599999999999995</v>
      </c>
      <c r="X102" s="8"/>
      <c r="Y102" s="8"/>
      <c r="Z102" s="8"/>
      <c r="AA102" s="8"/>
      <c r="AB102" s="8">
        <v>0.81699999999999995</v>
      </c>
      <c r="AC102" s="8"/>
      <c r="AD102" s="8"/>
      <c r="AE102" s="8"/>
      <c r="AF102" s="8"/>
      <c r="AG102" s="8"/>
      <c r="AH102" s="8"/>
      <c r="AI102" s="8"/>
      <c r="AJ102" s="8"/>
      <c r="AK102" s="8"/>
      <c r="AL102" s="8"/>
      <c r="AM102" s="8"/>
      <c r="AN102" s="8"/>
      <c r="AO102" s="8"/>
      <c r="AP102" s="8"/>
      <c r="AQ102" s="8"/>
      <c r="AR102" s="6" t="s">
        <v>46</v>
      </c>
      <c r="AS102" s="8"/>
    </row>
    <row r="106" spans="1:45" x14ac:dyDescent="0.35">
      <c r="A106" s="2" t="s">
        <v>78</v>
      </c>
    </row>
    <row r="107" spans="1:45" x14ac:dyDescent="0.35">
      <c r="C107" s="3">
        <v>1990</v>
      </c>
      <c r="D107" s="3">
        <v>1991</v>
      </c>
      <c r="E107" s="3">
        <v>1992</v>
      </c>
      <c r="F107" s="3">
        <v>1993</v>
      </c>
      <c r="G107" s="3">
        <v>1994</v>
      </c>
      <c r="H107" s="3">
        <v>1995</v>
      </c>
      <c r="I107" s="3">
        <v>1996</v>
      </c>
      <c r="J107" s="3">
        <v>1997</v>
      </c>
      <c r="K107" s="3">
        <v>1998</v>
      </c>
      <c r="L107" s="3">
        <v>1999</v>
      </c>
      <c r="M107" s="4">
        <v>2000</v>
      </c>
      <c r="N107" s="4">
        <v>2001</v>
      </c>
      <c r="O107" s="4">
        <v>2002</v>
      </c>
      <c r="P107" s="4">
        <v>2003</v>
      </c>
      <c r="Q107" s="4">
        <v>2004</v>
      </c>
      <c r="R107" s="4">
        <v>2005</v>
      </c>
      <c r="S107" s="4">
        <v>2006</v>
      </c>
      <c r="T107" s="4">
        <v>2007</v>
      </c>
      <c r="U107" s="4">
        <v>2008</v>
      </c>
      <c r="V107" s="4">
        <v>2009</v>
      </c>
      <c r="W107" s="4">
        <v>2010</v>
      </c>
      <c r="X107" s="4">
        <v>2011</v>
      </c>
      <c r="Y107" s="4">
        <v>2012</v>
      </c>
      <c r="Z107" s="4">
        <v>2013</v>
      </c>
      <c r="AA107" s="4">
        <v>2014</v>
      </c>
      <c r="AB107" s="4">
        <v>2015</v>
      </c>
      <c r="AC107" s="4">
        <v>2016</v>
      </c>
      <c r="AD107" s="4">
        <v>2017</v>
      </c>
      <c r="AE107" s="4">
        <v>2018</v>
      </c>
      <c r="AF107" s="4">
        <v>2019</v>
      </c>
      <c r="AG107" s="4">
        <v>2020</v>
      </c>
      <c r="AH107" s="4">
        <v>2021</v>
      </c>
      <c r="AI107" s="4">
        <v>2022</v>
      </c>
      <c r="AJ107" s="4">
        <v>2023</v>
      </c>
      <c r="AK107" s="4">
        <v>2024</v>
      </c>
      <c r="AL107" s="4">
        <v>2025</v>
      </c>
      <c r="AM107" s="4">
        <v>2026</v>
      </c>
      <c r="AN107" s="4">
        <v>2027</v>
      </c>
      <c r="AO107" s="4">
        <v>2028</v>
      </c>
      <c r="AP107" s="4">
        <v>2029</v>
      </c>
      <c r="AQ107" s="4">
        <v>2030</v>
      </c>
      <c r="AS107" s="4" t="s">
        <v>44</v>
      </c>
    </row>
    <row r="108" spans="1:45" x14ac:dyDescent="0.35">
      <c r="B108" s="4" t="str">
        <f>Populations!$C$3</f>
        <v>FSW</v>
      </c>
      <c r="C108" s="8"/>
      <c r="D108" s="8"/>
      <c r="E108" s="8"/>
      <c r="F108" s="8"/>
      <c r="G108" s="8"/>
      <c r="H108" s="8"/>
      <c r="I108" s="8"/>
      <c r="J108" s="8"/>
      <c r="K108" s="8"/>
      <c r="L108" s="8"/>
      <c r="M108" s="8">
        <v>0.67800000000000005</v>
      </c>
      <c r="N108" s="8"/>
      <c r="O108" s="8"/>
      <c r="P108" s="8"/>
      <c r="Q108" s="8"/>
      <c r="R108" s="8">
        <v>0.73099999999999998</v>
      </c>
      <c r="S108" s="8"/>
      <c r="T108" s="8"/>
      <c r="U108" s="8"/>
      <c r="V108" s="8"/>
      <c r="W108" s="8">
        <v>0.878</v>
      </c>
      <c r="X108" s="8"/>
      <c r="Y108" s="8"/>
      <c r="Z108" s="8"/>
      <c r="AA108" s="8"/>
      <c r="AB108" s="8">
        <v>0.90200000000000002</v>
      </c>
      <c r="AC108" s="8"/>
      <c r="AD108" s="8"/>
      <c r="AE108" s="8"/>
      <c r="AF108" s="8"/>
      <c r="AG108" s="8"/>
      <c r="AH108" s="8"/>
      <c r="AI108" s="8"/>
      <c r="AJ108" s="8"/>
      <c r="AK108" s="8"/>
      <c r="AL108" s="8"/>
      <c r="AM108" s="8"/>
      <c r="AN108" s="8"/>
      <c r="AO108" s="8"/>
      <c r="AP108" s="8"/>
      <c r="AQ108" s="8"/>
      <c r="AR108" s="6" t="s">
        <v>46</v>
      </c>
      <c r="AS108" s="8"/>
    </row>
    <row r="109" spans="1:45" x14ac:dyDescent="0.35">
      <c r="B109" s="4" t="str">
        <f>Populations!$C$4</f>
        <v>Clients</v>
      </c>
      <c r="C109" s="8"/>
      <c r="D109" s="8"/>
      <c r="E109" s="8"/>
      <c r="F109" s="8"/>
      <c r="G109" s="8"/>
      <c r="H109" s="8"/>
      <c r="I109" s="8"/>
      <c r="J109" s="8"/>
      <c r="K109" s="8"/>
      <c r="L109" s="8"/>
      <c r="M109" s="8">
        <v>0.67800000000000005</v>
      </c>
      <c r="N109" s="8"/>
      <c r="O109" s="8"/>
      <c r="P109" s="8"/>
      <c r="Q109" s="8"/>
      <c r="R109" s="8">
        <v>0.73099999999999998</v>
      </c>
      <c r="S109" s="8"/>
      <c r="T109" s="8"/>
      <c r="U109" s="8"/>
      <c r="V109" s="8"/>
      <c r="W109" s="8">
        <v>0.878</v>
      </c>
      <c r="X109" s="8"/>
      <c r="Y109" s="8"/>
      <c r="Z109" s="8"/>
      <c r="AA109" s="8"/>
      <c r="AB109" s="8">
        <v>0.90200000000000002</v>
      </c>
      <c r="AC109" s="8"/>
      <c r="AD109" s="8"/>
      <c r="AE109" s="8"/>
      <c r="AF109" s="8"/>
      <c r="AG109" s="8"/>
      <c r="AH109" s="8"/>
      <c r="AI109" s="8"/>
      <c r="AJ109" s="8"/>
      <c r="AK109" s="8"/>
      <c r="AL109" s="8"/>
      <c r="AM109" s="8"/>
      <c r="AN109" s="8"/>
      <c r="AO109" s="8"/>
      <c r="AP109" s="8"/>
      <c r="AQ109" s="8"/>
      <c r="AR109" s="6" t="s">
        <v>46</v>
      </c>
      <c r="AS109" s="8"/>
    </row>
    <row r="110" spans="1:45" x14ac:dyDescent="0.35">
      <c r="B110" s="4" t="str">
        <f>Populations!$C$5</f>
        <v>MSM</v>
      </c>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6" t="s">
        <v>46</v>
      </c>
      <c r="AS110" s="8">
        <v>0</v>
      </c>
    </row>
    <row r="111" spans="1:45" x14ac:dyDescent="0.35">
      <c r="B111" s="4" t="str">
        <f>Populations!$C$6</f>
        <v>Prisoners</v>
      </c>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6" t="s">
        <v>46</v>
      </c>
      <c r="AS111" s="8">
        <v>0</v>
      </c>
    </row>
    <row r="112" spans="1:45" x14ac:dyDescent="0.35">
      <c r="B112" s="4" t="str">
        <f>Populations!$C$7</f>
        <v>F0-14</v>
      </c>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6" t="s">
        <v>46</v>
      </c>
      <c r="AS112" s="8">
        <v>0</v>
      </c>
    </row>
    <row r="113" spans="1:127" x14ac:dyDescent="0.35">
      <c r="B113" s="4" t="str">
        <f>Populations!$C$8</f>
        <v>M0-14</v>
      </c>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6" t="s">
        <v>46</v>
      </c>
      <c r="AS113" s="8">
        <v>0</v>
      </c>
    </row>
    <row r="114" spans="1:127" x14ac:dyDescent="0.35">
      <c r="B114" s="4" t="str">
        <f>Populations!$C$9</f>
        <v>F15-19</v>
      </c>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6" t="s">
        <v>46</v>
      </c>
      <c r="AS114" s="8">
        <v>0</v>
      </c>
    </row>
    <row r="115" spans="1:127" x14ac:dyDescent="0.35">
      <c r="B115" s="4" t="str">
        <f>Populations!$C$10</f>
        <v>M15-19</v>
      </c>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6" t="s">
        <v>46</v>
      </c>
      <c r="AS115" s="8">
        <v>0</v>
      </c>
    </row>
    <row r="116" spans="1:127" x14ac:dyDescent="0.35">
      <c r="B116" s="4" t="str">
        <f>Populations!$C$11</f>
        <v>F20-24</v>
      </c>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6" t="s">
        <v>46</v>
      </c>
      <c r="AS116" s="8">
        <v>0</v>
      </c>
    </row>
    <row r="117" spans="1:127" x14ac:dyDescent="0.35">
      <c r="B117" s="4" t="str">
        <f>Populations!$C$12</f>
        <v>M20-24</v>
      </c>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6" t="s">
        <v>46</v>
      </c>
      <c r="AS117" s="8">
        <v>0</v>
      </c>
    </row>
    <row r="118" spans="1:127" x14ac:dyDescent="0.35">
      <c r="B118" s="4" t="str">
        <f>Populations!$C$13</f>
        <v>F25-34</v>
      </c>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6" t="s">
        <v>46</v>
      </c>
      <c r="AS118" s="8">
        <v>0</v>
      </c>
    </row>
    <row r="119" spans="1:127" x14ac:dyDescent="0.35">
      <c r="B119" s="4" t="str">
        <f>Populations!$C$14</f>
        <v>M25-34</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6" t="s">
        <v>46</v>
      </c>
      <c r="AS119" s="8">
        <v>0</v>
      </c>
    </row>
    <row r="120" spans="1:127" x14ac:dyDescent="0.35">
      <c r="B120" s="4" t="str">
        <f>Populations!$C$15</f>
        <v>F35-49</v>
      </c>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6" t="s">
        <v>46</v>
      </c>
      <c r="AS120" s="8">
        <v>0</v>
      </c>
    </row>
    <row r="121" spans="1:127" x14ac:dyDescent="0.35">
      <c r="B121" s="4" t="str">
        <f>Populations!$C$16</f>
        <v>M35-49</v>
      </c>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6" t="s">
        <v>46</v>
      </c>
      <c r="AS121" s="8">
        <v>0</v>
      </c>
    </row>
    <row r="122" spans="1:127" x14ac:dyDescent="0.35">
      <c r="B122" s="4" t="str">
        <f>Populations!$C$17</f>
        <v>F50+</v>
      </c>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6" t="s">
        <v>46</v>
      </c>
      <c r="AS122" s="8">
        <v>0</v>
      </c>
    </row>
    <row r="123" spans="1:127" x14ac:dyDescent="0.35">
      <c r="B123" s="4" t="str">
        <f>Populations!$C$18</f>
        <v>M50+</v>
      </c>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6" t="s">
        <v>46</v>
      </c>
      <c r="AS123" s="8">
        <v>0</v>
      </c>
    </row>
    <row r="127" spans="1:127" x14ac:dyDescent="0.35">
      <c r="A127" s="2" t="s">
        <v>417</v>
      </c>
      <c r="AU127" s="2" t="s">
        <v>79</v>
      </c>
    </row>
    <row r="128" spans="1:127" x14ac:dyDescent="0.35">
      <c r="C128" s="3">
        <v>1990</v>
      </c>
      <c r="D128" s="3">
        <v>1991</v>
      </c>
      <c r="E128" s="3">
        <v>1992</v>
      </c>
      <c r="F128" s="3">
        <v>1993</v>
      </c>
      <c r="G128" s="3">
        <v>1994</v>
      </c>
      <c r="H128" s="3">
        <v>1995</v>
      </c>
      <c r="I128" s="3">
        <v>1996</v>
      </c>
      <c r="J128" s="3">
        <v>1997</v>
      </c>
      <c r="K128" s="3">
        <v>1998</v>
      </c>
      <c r="L128" s="3">
        <v>1999</v>
      </c>
      <c r="M128" s="4">
        <v>2000</v>
      </c>
      <c r="N128" s="4">
        <v>2001</v>
      </c>
      <c r="O128" s="4">
        <v>2002</v>
      </c>
      <c r="P128" s="4">
        <v>2003</v>
      </c>
      <c r="Q128" s="4">
        <v>2004</v>
      </c>
      <c r="R128" s="4">
        <v>2005</v>
      </c>
      <c r="S128" s="4">
        <v>2006</v>
      </c>
      <c r="T128" s="4">
        <v>2007</v>
      </c>
      <c r="U128" s="4">
        <v>2008</v>
      </c>
      <c r="V128" s="4">
        <v>2009</v>
      </c>
      <c r="W128" s="4">
        <v>2010</v>
      </c>
      <c r="X128" s="4">
        <v>2011</v>
      </c>
      <c r="Y128" s="4">
        <v>2012</v>
      </c>
      <c r="Z128" s="4">
        <v>2013</v>
      </c>
      <c r="AA128" s="4">
        <v>2014</v>
      </c>
      <c r="AB128" s="4">
        <v>2015</v>
      </c>
      <c r="AC128" s="4">
        <v>2016</v>
      </c>
      <c r="AD128" s="4">
        <v>2017</v>
      </c>
      <c r="AE128" s="4">
        <v>2018</v>
      </c>
      <c r="AF128" s="4">
        <v>2019</v>
      </c>
      <c r="AG128" s="4">
        <v>2020</v>
      </c>
      <c r="AH128" s="4">
        <v>2021</v>
      </c>
      <c r="AI128" s="4">
        <v>2022</v>
      </c>
      <c r="AJ128" s="4">
        <v>2023</v>
      </c>
      <c r="AK128" s="4">
        <v>2024</v>
      </c>
      <c r="AL128" s="4">
        <v>2025</v>
      </c>
      <c r="AM128" s="4">
        <v>2026</v>
      </c>
      <c r="AN128" s="4">
        <v>2027</v>
      </c>
      <c r="AO128" s="4">
        <v>2028</v>
      </c>
      <c r="AP128" s="4">
        <v>2029</v>
      </c>
      <c r="AQ128" s="4">
        <v>2030</v>
      </c>
      <c r="AS128" s="4" t="s">
        <v>44</v>
      </c>
      <c r="AW128" s="4">
        <v>2000</v>
      </c>
      <c r="AX128" s="4">
        <v>2001</v>
      </c>
      <c r="AY128" s="4">
        <v>2002</v>
      </c>
      <c r="AZ128" s="4">
        <v>2003</v>
      </c>
      <c r="BA128" s="4">
        <v>2004</v>
      </c>
      <c r="BB128" s="4">
        <v>2005</v>
      </c>
      <c r="BC128" s="4">
        <v>2006</v>
      </c>
      <c r="BD128" s="4">
        <v>2007</v>
      </c>
      <c r="BE128" s="4">
        <v>2008</v>
      </c>
      <c r="BF128" s="4">
        <v>2009</v>
      </c>
      <c r="BG128" s="4">
        <v>2010</v>
      </c>
      <c r="BH128" s="4">
        <v>2011</v>
      </c>
      <c r="BI128" s="4">
        <v>2012</v>
      </c>
      <c r="BJ128" s="4">
        <v>2013</v>
      </c>
      <c r="BK128" s="4">
        <v>2014</v>
      </c>
      <c r="BL128" s="4">
        <v>2015</v>
      </c>
      <c r="BM128" s="4">
        <v>2016</v>
      </c>
      <c r="BN128" s="4">
        <v>2017</v>
      </c>
      <c r="BO128" s="4">
        <v>2018</v>
      </c>
      <c r="BP128" s="4">
        <v>2019</v>
      </c>
      <c r="BQ128" s="4">
        <v>2020</v>
      </c>
      <c r="BR128" s="4">
        <v>2021</v>
      </c>
      <c r="BS128" s="4">
        <v>2022</v>
      </c>
      <c r="BT128" s="4">
        <v>2023</v>
      </c>
      <c r="BU128" s="4">
        <v>2024</v>
      </c>
      <c r="BV128" s="4">
        <v>2025</v>
      </c>
      <c r="BW128" s="4">
        <v>2026</v>
      </c>
      <c r="BX128" s="4">
        <v>2027</v>
      </c>
      <c r="BY128" s="4">
        <v>2028</v>
      </c>
      <c r="BZ128" s="4">
        <v>2029</v>
      </c>
      <c r="CA128" s="4">
        <v>2030</v>
      </c>
      <c r="CC128" s="4" t="s">
        <v>44</v>
      </c>
      <c r="CG128" s="3">
        <v>1990</v>
      </c>
      <c r="CH128" s="3">
        <v>1991</v>
      </c>
      <c r="CI128" s="3">
        <v>1992</v>
      </c>
      <c r="CJ128" s="3">
        <v>1993</v>
      </c>
      <c r="CK128" s="3">
        <v>1994</v>
      </c>
      <c r="CL128" s="3">
        <v>1995</v>
      </c>
      <c r="CM128" s="3">
        <v>1996</v>
      </c>
      <c r="CN128" s="3">
        <v>1997</v>
      </c>
      <c r="CO128" s="3">
        <v>1998</v>
      </c>
      <c r="CP128" s="3">
        <v>1999</v>
      </c>
      <c r="CQ128" s="4">
        <v>2000</v>
      </c>
      <c r="CR128" s="4">
        <v>2001</v>
      </c>
      <c r="CS128" s="4">
        <v>2002</v>
      </c>
      <c r="CT128" s="4">
        <v>2003</v>
      </c>
      <c r="CU128" s="4">
        <v>2004</v>
      </c>
      <c r="CV128" s="4">
        <v>2005</v>
      </c>
      <c r="CW128" s="4">
        <v>2006</v>
      </c>
      <c r="CX128" s="4">
        <v>2007</v>
      </c>
      <c r="CY128" s="4">
        <v>2008</v>
      </c>
      <c r="CZ128" s="4">
        <v>2009</v>
      </c>
      <c r="DA128" s="4">
        <v>2010</v>
      </c>
      <c r="DB128" s="4">
        <v>2011</v>
      </c>
      <c r="DC128" s="4">
        <v>2012</v>
      </c>
      <c r="DD128" s="4">
        <v>2013</v>
      </c>
      <c r="DE128" s="4">
        <v>2014</v>
      </c>
      <c r="DF128" s="4">
        <v>2015</v>
      </c>
      <c r="DG128" s="4">
        <v>2016</v>
      </c>
      <c r="DH128" s="4">
        <v>2017</v>
      </c>
      <c r="DI128" s="4">
        <v>2018</v>
      </c>
      <c r="DJ128" s="4">
        <v>2019</v>
      </c>
      <c r="DK128" s="4">
        <v>2020</v>
      </c>
      <c r="DL128" s="4">
        <v>2021</v>
      </c>
      <c r="DM128" s="4">
        <v>2022</v>
      </c>
      <c r="DN128" s="4">
        <v>2023</v>
      </c>
      <c r="DO128" s="4">
        <v>2024</v>
      </c>
      <c r="DP128" s="4">
        <v>2025</v>
      </c>
      <c r="DQ128" s="4">
        <v>2026</v>
      </c>
      <c r="DR128" s="4">
        <v>2027</v>
      </c>
      <c r="DS128" s="4">
        <v>2028</v>
      </c>
      <c r="DT128" s="4">
        <v>2029</v>
      </c>
      <c r="DU128" s="4">
        <v>2030</v>
      </c>
      <c r="DW128" s="4" t="s">
        <v>44</v>
      </c>
    </row>
    <row r="129" spans="1:127" x14ac:dyDescent="0.35">
      <c r="B129" s="4" t="str">
        <f>Populations!$C$4</f>
        <v>Clients</v>
      </c>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v>1.9E-2</v>
      </c>
      <c r="AD129" s="8"/>
      <c r="AE129" s="8"/>
      <c r="AF129" s="8"/>
      <c r="AG129" s="8">
        <v>3.2000000000000001E-2</v>
      </c>
      <c r="AH129" s="8"/>
      <c r="AI129" s="8"/>
      <c r="AJ129" s="8"/>
      <c r="AK129" s="8"/>
      <c r="AL129" s="8"/>
      <c r="AM129" s="8"/>
      <c r="AN129" s="8"/>
      <c r="AO129" s="8"/>
      <c r="AP129" s="8"/>
      <c r="AQ129" s="8"/>
      <c r="AR129" s="6" t="s">
        <v>46</v>
      </c>
      <c r="AS129" s="8"/>
      <c r="AV129" s="4" t="str">
        <f>Populations!$C$4</f>
        <v>Clients</v>
      </c>
      <c r="AW129" s="8"/>
      <c r="AX129" s="8"/>
      <c r="AY129" s="8"/>
      <c r="AZ129" s="8"/>
      <c r="BA129" s="8"/>
      <c r="BB129" s="8">
        <v>0.105</v>
      </c>
      <c r="BC129" s="8"/>
      <c r="BD129" s="8"/>
      <c r="BE129" s="8"/>
      <c r="BF129" s="8"/>
      <c r="BG129" s="8">
        <v>9.1999999999999998E-2</v>
      </c>
      <c r="BH129" s="8"/>
      <c r="BI129" s="8"/>
      <c r="BJ129" s="8"/>
      <c r="BK129" s="8"/>
      <c r="BL129" s="8">
        <v>0.14299999999999999</v>
      </c>
      <c r="BM129" s="8">
        <v>1.7999999999999999E-2</v>
      </c>
      <c r="BN129" s="8"/>
      <c r="BO129" s="8"/>
      <c r="BP129" s="8"/>
      <c r="BQ129" s="8"/>
      <c r="BR129" s="8"/>
      <c r="BS129" s="8"/>
      <c r="BT129" s="8"/>
      <c r="BU129" s="8"/>
      <c r="BV129" s="8"/>
      <c r="BW129" s="8"/>
      <c r="BX129" s="8"/>
      <c r="BY129" s="8"/>
      <c r="BZ129" s="8"/>
      <c r="CA129" s="8"/>
      <c r="CB129" s="6" t="s">
        <v>46</v>
      </c>
      <c r="CC129" s="8">
        <v>1.7999999999999999E-2</v>
      </c>
      <c r="CF129" s="4" t="str">
        <f>Populations!$C$4</f>
        <v>Clients</v>
      </c>
      <c r="CG129" s="8"/>
      <c r="CH129" s="8"/>
      <c r="CI129" s="8"/>
      <c r="CJ129" s="8"/>
      <c r="CK129" s="8"/>
      <c r="CL129" s="8"/>
      <c r="CM129" s="8"/>
      <c r="CN129" s="8"/>
      <c r="CO129" s="8"/>
      <c r="CP129" s="8"/>
      <c r="CQ129" s="8"/>
      <c r="CR129" s="8"/>
      <c r="CS129" s="8"/>
      <c r="CT129" s="8"/>
      <c r="CU129" s="8"/>
      <c r="CV129" s="8"/>
      <c r="CW129" s="8">
        <v>0.105</v>
      </c>
      <c r="CX129" s="8"/>
      <c r="CY129" s="8"/>
      <c r="CZ129" s="8"/>
      <c r="DA129" s="8">
        <v>9.0999999999999998E-2</v>
      </c>
      <c r="DB129" s="8"/>
      <c r="DC129" s="8"/>
      <c r="DD129" s="8"/>
      <c r="DE129" s="8"/>
      <c r="DF129" s="8"/>
      <c r="DG129" s="8">
        <v>0.14299999999999999</v>
      </c>
      <c r="DH129" s="8"/>
      <c r="DI129" s="8"/>
      <c r="DJ129" s="8"/>
      <c r="DK129" s="8">
        <f>25%*1.5</f>
        <v>0.375</v>
      </c>
      <c r="DL129" s="8"/>
      <c r="DM129" s="8"/>
      <c r="DN129" s="8"/>
      <c r="DO129" s="8"/>
      <c r="DP129" s="8"/>
      <c r="DQ129" s="8"/>
      <c r="DR129" s="8"/>
      <c r="DS129" s="8"/>
      <c r="DT129" s="8"/>
      <c r="DU129" s="8"/>
      <c r="DV129" s="6" t="s">
        <v>46</v>
      </c>
      <c r="DW129" s="8"/>
    </row>
    <row r="130" spans="1:127" x14ac:dyDescent="0.35">
      <c r="B130" s="4" t="str">
        <f>Populations!$C$5</f>
        <v>MSM</v>
      </c>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v>1.9E-2</v>
      </c>
      <c r="AD130" s="8"/>
      <c r="AE130" s="8"/>
      <c r="AF130" s="8"/>
      <c r="AG130" s="8">
        <v>3.2000000000000001E-2</v>
      </c>
      <c r="AH130" s="8"/>
      <c r="AI130" s="8"/>
      <c r="AJ130" s="8"/>
      <c r="AK130" s="8"/>
      <c r="AL130" s="8"/>
      <c r="AM130" s="8"/>
      <c r="AN130" s="8"/>
      <c r="AO130" s="8"/>
      <c r="AP130" s="8"/>
      <c r="AQ130" s="8"/>
      <c r="AR130" s="6" t="s">
        <v>46</v>
      </c>
      <c r="AS130" s="8"/>
      <c r="AV130" s="4" t="str">
        <f>Populations!$C$5</f>
        <v>MSM</v>
      </c>
      <c r="AW130" s="8"/>
      <c r="AX130" s="8"/>
      <c r="AY130" s="8"/>
      <c r="AZ130" s="8"/>
      <c r="BA130" s="8"/>
      <c r="BB130" s="8">
        <v>0.105</v>
      </c>
      <c r="BC130" s="8"/>
      <c r="BD130" s="8"/>
      <c r="BE130" s="8"/>
      <c r="BF130" s="8"/>
      <c r="BG130" s="8">
        <v>9.1999999999999998E-2</v>
      </c>
      <c r="BH130" s="8"/>
      <c r="BI130" s="8"/>
      <c r="BJ130" s="8"/>
      <c r="BK130" s="8"/>
      <c r="BL130" s="8">
        <v>0.14299999999999999</v>
      </c>
      <c r="BM130" s="8">
        <v>1.7999999999999999E-2</v>
      </c>
      <c r="BN130" s="8"/>
      <c r="BO130" s="8"/>
      <c r="BP130" s="8"/>
      <c r="BQ130" s="8"/>
      <c r="BR130" s="8"/>
      <c r="BS130" s="8"/>
      <c r="BT130" s="8"/>
      <c r="BU130" s="8"/>
      <c r="BV130" s="8"/>
      <c r="BW130" s="8"/>
      <c r="BX130" s="8"/>
      <c r="BY130" s="8"/>
      <c r="BZ130" s="8"/>
      <c r="CA130" s="8"/>
      <c r="CB130" s="6" t="s">
        <v>46</v>
      </c>
      <c r="CC130" s="8">
        <v>1.7999999999999999E-2</v>
      </c>
      <c r="CF130" s="4" t="str">
        <f>Populations!$C$5</f>
        <v>MSM</v>
      </c>
      <c r="CG130" s="8"/>
      <c r="CH130" s="8"/>
      <c r="CI130" s="8"/>
      <c r="CJ130" s="8"/>
      <c r="CK130" s="8"/>
      <c r="CL130" s="8"/>
      <c r="CM130" s="8"/>
      <c r="CN130" s="8"/>
      <c r="CO130" s="8"/>
      <c r="CP130" s="8"/>
      <c r="CQ130" s="8"/>
      <c r="CR130" s="8"/>
      <c r="CS130" s="8"/>
      <c r="CT130" s="8"/>
      <c r="CU130" s="8"/>
      <c r="CV130" s="8"/>
      <c r="CW130" s="8">
        <v>0.105</v>
      </c>
      <c r="CX130" s="8"/>
      <c r="CY130" s="8"/>
      <c r="CZ130" s="8"/>
      <c r="DA130" s="8">
        <v>9.0999999999999998E-2</v>
      </c>
      <c r="DB130" s="8"/>
      <c r="DC130" s="8"/>
      <c r="DD130" s="8"/>
      <c r="DE130" s="8"/>
      <c r="DF130" s="8"/>
      <c r="DG130" s="8">
        <v>0.14299999999999999</v>
      </c>
      <c r="DH130" s="8"/>
      <c r="DI130" s="8"/>
      <c r="DJ130" s="8"/>
      <c r="DK130" s="8">
        <f>25%*1.5</f>
        <v>0.375</v>
      </c>
      <c r="DL130" s="8"/>
      <c r="DM130" s="8"/>
      <c r="DN130" s="8"/>
      <c r="DO130" s="8"/>
      <c r="DP130" s="8"/>
      <c r="DQ130" s="8"/>
      <c r="DR130" s="8"/>
      <c r="DS130" s="8"/>
      <c r="DT130" s="8"/>
      <c r="DU130" s="8"/>
      <c r="DV130" s="6" t="s">
        <v>46</v>
      </c>
      <c r="DW130" s="8"/>
    </row>
    <row r="131" spans="1:127" x14ac:dyDescent="0.35">
      <c r="B131" s="4" t="str">
        <f>Populations!$C$6</f>
        <v>Prisoners</v>
      </c>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v>1.9E-2</v>
      </c>
      <c r="AD131" s="8"/>
      <c r="AE131" s="8"/>
      <c r="AF131" s="8"/>
      <c r="AG131" s="8">
        <v>3.2000000000000001E-2</v>
      </c>
      <c r="AH131" s="8"/>
      <c r="AI131" s="8"/>
      <c r="AJ131" s="8"/>
      <c r="AK131" s="8"/>
      <c r="AL131" s="8"/>
      <c r="AM131" s="8"/>
      <c r="AN131" s="8"/>
      <c r="AO131" s="8"/>
      <c r="AP131" s="8"/>
      <c r="AQ131" s="8"/>
      <c r="AR131" s="6" t="s">
        <v>46</v>
      </c>
      <c r="AS131" s="8"/>
      <c r="AV131" s="4" t="str">
        <f>Populations!$C$6</f>
        <v>Prisoners</v>
      </c>
      <c r="AW131" s="8"/>
      <c r="AX131" s="8"/>
      <c r="AY131" s="8"/>
      <c r="AZ131" s="8"/>
      <c r="BA131" s="8"/>
      <c r="BB131" s="8">
        <v>0.105</v>
      </c>
      <c r="BC131" s="8"/>
      <c r="BD131" s="8"/>
      <c r="BE131" s="8"/>
      <c r="BF131" s="8"/>
      <c r="BG131" s="8">
        <v>9.1999999999999998E-2</v>
      </c>
      <c r="BH131" s="8"/>
      <c r="BI131" s="8"/>
      <c r="BJ131" s="8"/>
      <c r="BK131" s="8"/>
      <c r="BL131" s="8">
        <v>0.14299999999999999</v>
      </c>
      <c r="BM131" s="8">
        <v>1.7999999999999999E-2</v>
      </c>
      <c r="BN131" s="8"/>
      <c r="BO131" s="8"/>
      <c r="BP131" s="8"/>
      <c r="BQ131" s="8"/>
      <c r="BR131" s="8"/>
      <c r="BS131" s="8"/>
      <c r="BT131" s="8"/>
      <c r="BU131" s="8"/>
      <c r="BV131" s="8"/>
      <c r="BW131" s="8"/>
      <c r="BX131" s="8"/>
      <c r="BY131" s="8"/>
      <c r="BZ131" s="8"/>
      <c r="CA131" s="8"/>
      <c r="CB131" s="6" t="s">
        <v>46</v>
      </c>
      <c r="CC131" s="8">
        <v>1.7999999999999999E-2</v>
      </c>
      <c r="CF131" s="4" t="str">
        <f>Populations!$C$6</f>
        <v>Prisoners</v>
      </c>
      <c r="CG131" s="8"/>
      <c r="CH131" s="8"/>
      <c r="CI131" s="8"/>
      <c r="CJ131" s="8"/>
      <c r="CK131" s="8"/>
      <c r="CL131" s="8"/>
      <c r="CM131" s="8"/>
      <c r="CN131" s="8"/>
      <c r="CO131" s="8"/>
      <c r="CP131" s="8"/>
      <c r="CQ131" s="8"/>
      <c r="CR131" s="8"/>
      <c r="CS131" s="8"/>
      <c r="CT131" s="8"/>
      <c r="CU131" s="8"/>
      <c r="CV131" s="8"/>
      <c r="CW131" s="8">
        <v>0.105</v>
      </c>
      <c r="CX131" s="8"/>
      <c r="CY131" s="8"/>
      <c r="CZ131" s="8"/>
      <c r="DA131" s="8">
        <v>9.0999999999999998E-2</v>
      </c>
      <c r="DB131" s="8"/>
      <c r="DC131" s="8"/>
      <c r="DD131" s="8"/>
      <c r="DE131" s="8"/>
      <c r="DF131" s="8"/>
      <c r="DG131" s="8">
        <v>0.14299999999999999</v>
      </c>
      <c r="DH131" s="8"/>
      <c r="DI131" s="8"/>
      <c r="DJ131" s="8"/>
      <c r="DK131" s="8">
        <f>25%*1.5</f>
        <v>0.375</v>
      </c>
      <c r="DL131" s="8"/>
      <c r="DM131" s="8"/>
      <c r="DN131" s="8"/>
      <c r="DO131" s="8"/>
      <c r="DP131" s="8"/>
      <c r="DQ131" s="8"/>
      <c r="DR131" s="8"/>
      <c r="DS131" s="8"/>
      <c r="DT131" s="8"/>
      <c r="DU131" s="8"/>
      <c r="DV131" s="6" t="s">
        <v>46</v>
      </c>
      <c r="DW131" s="8"/>
    </row>
    <row r="132" spans="1:127" x14ac:dyDescent="0.35">
      <c r="B132" s="4" t="str">
        <f>Populations!$C$8</f>
        <v>M0-14</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6" t="s">
        <v>46</v>
      </c>
      <c r="AS132" s="8">
        <v>0</v>
      </c>
      <c r="AV132" s="4" t="str">
        <f>Populations!$C$8</f>
        <v>M0-14</v>
      </c>
      <c r="AW132" s="8"/>
      <c r="AX132" s="8"/>
      <c r="AY132" s="8"/>
      <c r="AZ132" s="8"/>
      <c r="BA132" s="8"/>
      <c r="BB132" s="8">
        <v>0.05</v>
      </c>
      <c r="BC132" s="8"/>
      <c r="BD132" s="8"/>
      <c r="BE132" s="8"/>
      <c r="BF132" s="8"/>
      <c r="BG132" s="8">
        <v>0.05</v>
      </c>
      <c r="BH132" s="8"/>
      <c r="BI132" s="8"/>
      <c r="BJ132" s="8"/>
      <c r="BK132" s="8"/>
      <c r="BL132" s="8">
        <v>0.1</v>
      </c>
      <c r="BM132" s="8">
        <v>0</v>
      </c>
      <c r="BN132" s="8"/>
      <c r="BO132" s="8"/>
      <c r="BP132" s="8"/>
      <c r="BQ132" s="8"/>
      <c r="BR132" s="8"/>
      <c r="BS132" s="8"/>
      <c r="BT132" s="8"/>
      <c r="BU132" s="8"/>
      <c r="BV132" s="8"/>
      <c r="BW132" s="8"/>
      <c r="BX132" s="8"/>
      <c r="BY132" s="8"/>
      <c r="BZ132" s="8"/>
      <c r="CA132" s="8"/>
      <c r="CB132" s="6" t="s">
        <v>46</v>
      </c>
      <c r="CC132" s="8">
        <v>0</v>
      </c>
      <c r="CF132" s="4" t="str">
        <f>Populations!$C$8</f>
        <v>M0-14</v>
      </c>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c r="DK132" s="8"/>
      <c r="DL132" s="8"/>
      <c r="DM132" s="8"/>
      <c r="DN132" s="8"/>
      <c r="DO132" s="8"/>
      <c r="DP132" s="8"/>
      <c r="DQ132" s="8"/>
      <c r="DR132" s="8"/>
      <c r="DS132" s="8"/>
      <c r="DT132" s="8"/>
      <c r="DU132" s="8"/>
      <c r="DV132" s="6" t="s">
        <v>46</v>
      </c>
      <c r="DW132" s="8">
        <v>0</v>
      </c>
    </row>
    <row r="133" spans="1:127" x14ac:dyDescent="0.35">
      <c r="B133" s="4" t="str">
        <f>Populations!$C$10</f>
        <v>M15-19</v>
      </c>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v>7.0000000000000001E-3</v>
      </c>
      <c r="AD133" s="8"/>
      <c r="AE133" s="8"/>
      <c r="AF133" s="8"/>
      <c r="AG133" s="8">
        <v>1.2E-4</v>
      </c>
      <c r="AH133" s="8"/>
      <c r="AI133" s="8"/>
      <c r="AJ133" s="8"/>
      <c r="AK133" s="8"/>
      <c r="AL133" s="8"/>
      <c r="AM133" s="8"/>
      <c r="AN133" s="8"/>
      <c r="AO133" s="8"/>
      <c r="AP133" s="8"/>
      <c r="AQ133" s="8"/>
      <c r="AR133" s="6" t="s">
        <v>46</v>
      </c>
      <c r="AS133" s="8"/>
      <c r="AV133" s="4" t="str">
        <f>Populations!$C$10</f>
        <v>M15-19</v>
      </c>
      <c r="AW133" s="8"/>
      <c r="AX133" s="8"/>
      <c r="AY133" s="8"/>
      <c r="AZ133" s="8"/>
      <c r="BA133" s="8"/>
      <c r="BB133" s="8">
        <v>7.9000000000000001E-2</v>
      </c>
      <c r="BC133" s="8"/>
      <c r="BD133" s="8"/>
      <c r="BE133" s="8"/>
      <c r="BF133" s="8"/>
      <c r="BG133" s="8">
        <v>5.2999999999999999E-2</v>
      </c>
      <c r="BH133" s="8"/>
      <c r="BI133" s="8"/>
      <c r="BJ133" s="8"/>
      <c r="BK133" s="8"/>
      <c r="BL133" s="8">
        <v>0.22600000000000001</v>
      </c>
      <c r="BM133" s="8">
        <v>7.0000000000000001E-3</v>
      </c>
      <c r="BN133" s="8"/>
      <c r="BO133" s="8"/>
      <c r="BP133" s="8"/>
      <c r="BQ133" s="8"/>
      <c r="BR133" s="8"/>
      <c r="BS133" s="8"/>
      <c r="BT133" s="8"/>
      <c r="BU133" s="8"/>
      <c r="BV133" s="8"/>
      <c r="BW133" s="8"/>
      <c r="BX133" s="8"/>
      <c r="BY133" s="8"/>
      <c r="BZ133" s="8"/>
      <c r="CA133" s="8"/>
      <c r="CB133" s="6" t="s">
        <v>46</v>
      </c>
      <c r="CC133" s="8">
        <v>7.0000000000000001E-3</v>
      </c>
      <c r="CF133" s="4" t="str">
        <f>Populations!$C$10</f>
        <v>M15-19</v>
      </c>
      <c r="CG133" s="8"/>
      <c r="CH133" s="8"/>
      <c r="CI133" s="8"/>
      <c r="CJ133" s="8"/>
      <c r="CK133" s="8"/>
      <c r="CL133" s="8"/>
      <c r="CM133" s="8"/>
      <c r="CN133" s="8"/>
      <c r="CO133" s="8"/>
      <c r="CP133" s="8"/>
      <c r="CQ133" s="8"/>
      <c r="CR133" s="8"/>
      <c r="CS133" s="8"/>
      <c r="CT133" s="8"/>
      <c r="CU133" s="8"/>
      <c r="CV133" s="8"/>
      <c r="CW133" s="8">
        <v>0.105</v>
      </c>
      <c r="CX133" s="8"/>
      <c r="CY133" s="8"/>
      <c r="CZ133" s="8"/>
      <c r="DA133" s="8">
        <v>9.0999999999999998E-2</v>
      </c>
      <c r="DB133" s="8"/>
      <c r="DC133" s="8"/>
      <c r="DD133" s="8"/>
      <c r="DE133" s="8"/>
      <c r="DF133" s="8"/>
      <c r="DG133" s="8">
        <v>0.14299999999999999</v>
      </c>
      <c r="DH133" s="8"/>
      <c r="DI133" s="8"/>
      <c r="DJ133" s="8"/>
      <c r="DK133" s="8">
        <f>25%*1.5</f>
        <v>0.375</v>
      </c>
      <c r="DL133" s="8"/>
      <c r="DM133" s="8"/>
      <c r="DN133" s="8"/>
      <c r="DO133" s="8"/>
      <c r="DP133" s="8"/>
      <c r="DQ133" s="8"/>
      <c r="DR133" s="8"/>
      <c r="DS133" s="8"/>
      <c r="DT133" s="8"/>
      <c r="DU133" s="8"/>
      <c r="DV133" s="6" t="s">
        <v>46</v>
      </c>
      <c r="DW133" s="8"/>
    </row>
    <row r="134" spans="1:127" x14ac:dyDescent="0.35">
      <c r="B134" s="4" t="str">
        <f>Populations!$C$12</f>
        <v>M20-24</v>
      </c>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v>1.7999999999999999E-2</v>
      </c>
      <c r="AD134" s="8"/>
      <c r="AE134" s="8"/>
      <c r="AF134" s="8"/>
      <c r="AG134" s="8">
        <f>0.014</f>
        <v>1.4E-2</v>
      </c>
      <c r="AH134" s="8"/>
      <c r="AI134" s="8"/>
      <c r="AJ134" s="8"/>
      <c r="AK134" s="8"/>
      <c r="AL134" s="8"/>
      <c r="AM134" s="8"/>
      <c r="AN134" s="8"/>
      <c r="AO134" s="8"/>
      <c r="AP134" s="8"/>
      <c r="AQ134" s="8"/>
      <c r="AR134" s="6" t="s">
        <v>46</v>
      </c>
      <c r="AS134" s="8"/>
      <c r="AV134" s="4" t="str">
        <f>Populations!$C$12</f>
        <v>M20-24</v>
      </c>
      <c r="AW134" s="8"/>
      <c r="AX134" s="8"/>
      <c r="AY134" s="8"/>
      <c r="AZ134" s="8"/>
      <c r="BA134" s="8"/>
      <c r="BB134" s="8">
        <v>0.106</v>
      </c>
      <c r="BC134" s="8"/>
      <c r="BD134" s="8"/>
      <c r="BE134" s="8"/>
      <c r="BF134" s="8"/>
      <c r="BG134" s="8">
        <v>8.1000000000000003E-2</v>
      </c>
      <c r="BH134" s="8"/>
      <c r="BI134" s="8"/>
      <c r="BJ134" s="8"/>
      <c r="BK134" s="8"/>
      <c r="BL134" s="8">
        <v>0.128</v>
      </c>
      <c r="BM134" s="8">
        <v>1.7999999999999999E-2</v>
      </c>
      <c r="BN134" s="8"/>
      <c r="BO134" s="8"/>
      <c r="BP134" s="8"/>
      <c r="BQ134" s="8"/>
      <c r="BR134" s="8"/>
      <c r="BS134" s="8"/>
      <c r="BT134" s="8"/>
      <c r="BU134" s="8"/>
      <c r="BV134" s="8"/>
      <c r="BW134" s="8"/>
      <c r="BX134" s="8"/>
      <c r="BY134" s="8"/>
      <c r="BZ134" s="8"/>
      <c r="CA134" s="8"/>
      <c r="CB134" s="6" t="s">
        <v>46</v>
      </c>
      <c r="CC134" s="8">
        <v>1.7999999999999999E-2</v>
      </c>
      <c r="CF134" s="4" t="str">
        <f>Populations!$C$12</f>
        <v>M20-24</v>
      </c>
      <c r="CG134" s="8"/>
      <c r="CH134" s="8"/>
      <c r="CI134" s="8"/>
      <c r="CJ134" s="8"/>
      <c r="CK134" s="8"/>
      <c r="CL134" s="8"/>
      <c r="CM134" s="8"/>
      <c r="CN134" s="8"/>
      <c r="CO134" s="8"/>
      <c r="CP134" s="8"/>
      <c r="CQ134" s="8"/>
      <c r="CR134" s="8"/>
      <c r="CS134" s="8"/>
      <c r="CT134" s="8"/>
      <c r="CU134" s="8"/>
      <c r="CV134" s="8"/>
      <c r="CW134" s="8">
        <v>0.105</v>
      </c>
      <c r="CX134" s="8"/>
      <c r="CY134" s="8"/>
      <c r="CZ134" s="8"/>
      <c r="DA134" s="8">
        <v>9.0999999999999998E-2</v>
      </c>
      <c r="DB134" s="8"/>
      <c r="DC134" s="8"/>
      <c r="DD134" s="8"/>
      <c r="DE134" s="8"/>
      <c r="DF134" s="8"/>
      <c r="DG134" s="8">
        <v>0.14299999999999999</v>
      </c>
      <c r="DH134" s="8"/>
      <c r="DI134" s="8"/>
      <c r="DJ134" s="8"/>
      <c r="DK134" s="8">
        <f>25%*1.5</f>
        <v>0.375</v>
      </c>
      <c r="DL134" s="8"/>
      <c r="DM134" s="8"/>
      <c r="DN134" s="8"/>
      <c r="DO134" s="8"/>
      <c r="DP134" s="8"/>
      <c r="DQ134" s="8"/>
      <c r="DR134" s="8"/>
      <c r="DS134" s="8"/>
      <c r="DT134" s="8"/>
      <c r="DU134" s="8"/>
      <c r="DV134" s="6" t="s">
        <v>46</v>
      </c>
      <c r="DW134" s="8"/>
    </row>
    <row r="135" spans="1:127" x14ac:dyDescent="0.35">
      <c r="B135" s="4" t="str">
        <f>Populations!$C$14</f>
        <v>M25-34</v>
      </c>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f>AVERAGE(1.7%,1.8%)</f>
        <v>1.7500000000000002E-2</v>
      </c>
      <c r="AD135" s="8"/>
      <c r="AE135" s="8"/>
      <c r="AF135" s="8"/>
      <c r="AG135" s="8">
        <f>AVERAGE(0.027,0.048)</f>
        <v>3.7499999999999999E-2</v>
      </c>
      <c r="AH135" s="8"/>
      <c r="AI135" s="8"/>
      <c r="AJ135" s="8"/>
      <c r="AK135" s="8"/>
      <c r="AL135" s="8"/>
      <c r="AM135" s="8"/>
      <c r="AN135" s="8"/>
      <c r="AO135" s="8"/>
      <c r="AP135" s="8"/>
      <c r="AQ135" s="8"/>
      <c r="AR135" s="6" t="s">
        <v>46</v>
      </c>
      <c r="AS135" s="8"/>
      <c r="AV135" s="4" t="str">
        <f>Populations!$C$14</f>
        <v>M25-34</v>
      </c>
      <c r="AW135" s="8"/>
      <c r="AX135" s="8"/>
      <c r="AY135" s="8"/>
      <c r="AZ135" s="8"/>
      <c r="BA135" s="8"/>
      <c r="BB135" s="8">
        <v>0.127</v>
      </c>
      <c r="BC135" s="8"/>
      <c r="BD135" s="8"/>
      <c r="BE135" s="8"/>
      <c r="BF135" s="8"/>
      <c r="BG135" s="8">
        <v>0.104</v>
      </c>
      <c r="BH135" s="8"/>
      <c r="BI135" s="8"/>
      <c r="BJ135" s="8"/>
      <c r="BK135" s="8"/>
      <c r="BL135" s="8">
        <v>0.107</v>
      </c>
      <c r="BM135" s="8">
        <f>(1.7%+1.8%)/2</f>
        <v>1.7500000000000002E-2</v>
      </c>
      <c r="BN135" s="8"/>
      <c r="BO135" s="8"/>
      <c r="BP135" s="8"/>
      <c r="BQ135" s="8"/>
      <c r="BR135" s="8"/>
      <c r="BS135" s="8"/>
      <c r="BT135" s="8"/>
      <c r="BU135" s="8"/>
      <c r="BV135" s="8"/>
      <c r="BW135" s="8"/>
      <c r="BX135" s="8"/>
      <c r="BY135" s="8"/>
      <c r="BZ135" s="8"/>
      <c r="CA135" s="8"/>
      <c r="CB135" s="6" t="s">
        <v>46</v>
      </c>
      <c r="CC135" s="8">
        <f>(1.7%+1.8%)/2</f>
        <v>1.7500000000000002E-2</v>
      </c>
      <c r="CF135" s="4" t="str">
        <f>Populations!$C$14</f>
        <v>M25-34</v>
      </c>
      <c r="CG135" s="8"/>
      <c r="CH135" s="8"/>
      <c r="CI135" s="8"/>
      <c r="CJ135" s="8"/>
      <c r="CK135" s="8"/>
      <c r="CL135" s="8"/>
      <c r="CM135" s="8"/>
      <c r="CN135" s="8"/>
      <c r="CO135" s="8"/>
      <c r="CP135" s="8"/>
      <c r="CQ135" s="8"/>
      <c r="CR135" s="8"/>
      <c r="CS135" s="8"/>
      <c r="CT135" s="8"/>
      <c r="CU135" s="8"/>
      <c r="CV135" s="8"/>
      <c r="CW135" s="8">
        <v>0.105</v>
      </c>
      <c r="CX135" s="8"/>
      <c r="CY135" s="8"/>
      <c r="CZ135" s="8"/>
      <c r="DA135" s="8">
        <v>9.0999999999999998E-2</v>
      </c>
      <c r="DB135" s="8"/>
      <c r="DC135" s="8"/>
      <c r="DD135" s="8"/>
      <c r="DE135" s="8"/>
      <c r="DF135" s="8"/>
      <c r="DG135" s="8">
        <v>0.14299999999999999</v>
      </c>
      <c r="DH135" s="8"/>
      <c r="DI135" s="8"/>
      <c r="DJ135" s="8"/>
      <c r="DK135" s="8">
        <f>25%*1.5</f>
        <v>0.375</v>
      </c>
      <c r="DL135" s="8"/>
      <c r="DM135" s="8"/>
      <c r="DN135" s="8"/>
      <c r="DO135" s="8"/>
      <c r="DP135" s="8"/>
      <c r="DQ135" s="8"/>
      <c r="DR135" s="8"/>
      <c r="DS135" s="8"/>
      <c r="DT135" s="8"/>
      <c r="DU135" s="8"/>
      <c r="DV135" s="6" t="s">
        <v>46</v>
      </c>
      <c r="DW135" s="8"/>
    </row>
    <row r="136" spans="1:127" x14ac:dyDescent="0.35">
      <c r="B136" s="4" t="str">
        <f>Populations!$C$16</f>
        <v>M35-49</v>
      </c>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f>AVERAGE(2%, 2.9%,5.1%)</f>
        <v>3.3333333333333333E-2</v>
      </c>
      <c r="AD136" s="8"/>
      <c r="AE136" s="8"/>
      <c r="AF136" s="8"/>
      <c r="AG136" s="8">
        <f>AVERAGE(0.053,0.044,0.074)</f>
        <v>5.6999999999999995E-2</v>
      </c>
      <c r="AH136" s="8"/>
      <c r="AI136" s="8"/>
      <c r="AJ136" s="8"/>
      <c r="AK136" s="8"/>
      <c r="AL136" s="8"/>
      <c r="AM136" s="8"/>
      <c r="AN136" s="8"/>
      <c r="AO136" s="8"/>
      <c r="AP136" s="8"/>
      <c r="AQ136" s="8"/>
      <c r="AR136" s="6" t="s">
        <v>46</v>
      </c>
      <c r="AS136" s="8"/>
      <c r="AV136" s="4" t="str">
        <f>Populations!$C$16</f>
        <v>M35-49</v>
      </c>
      <c r="AW136" s="8"/>
      <c r="AX136" s="8"/>
      <c r="AY136" s="8"/>
      <c r="AZ136" s="8"/>
      <c r="BA136" s="8"/>
      <c r="BB136" s="8">
        <v>0.1</v>
      </c>
      <c r="BC136" s="8"/>
      <c r="BD136" s="8"/>
      <c r="BE136" s="8"/>
      <c r="BF136" s="8"/>
      <c r="BG136" s="8">
        <v>0.11899999999999999</v>
      </c>
      <c r="BH136" s="8"/>
      <c r="BI136" s="8"/>
      <c r="BJ136" s="8"/>
      <c r="BK136" s="8"/>
      <c r="BL136" s="8">
        <v>0.11</v>
      </c>
      <c r="BM136" s="8">
        <f>(2.9%+5.1%+4.5%)/3</f>
        <v>4.1666666666666664E-2</v>
      </c>
      <c r="BN136" s="8"/>
      <c r="BO136" s="8"/>
      <c r="BP136" s="8"/>
      <c r="BQ136" s="8"/>
      <c r="BR136" s="8"/>
      <c r="BS136" s="8"/>
      <c r="BT136" s="8"/>
      <c r="BU136" s="8"/>
      <c r="BV136" s="8"/>
      <c r="BW136" s="8"/>
      <c r="BX136" s="8"/>
      <c r="BY136" s="8"/>
      <c r="BZ136" s="8"/>
      <c r="CA136" s="8"/>
      <c r="CB136" s="6" t="s">
        <v>46</v>
      </c>
      <c r="CC136" s="8">
        <f>(2.9%+5.1%+4.5%)/3</f>
        <v>4.1666666666666664E-2</v>
      </c>
      <c r="CF136" s="4" t="str">
        <f>Populations!$C$16</f>
        <v>M35-49</v>
      </c>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c r="DK136" s="8"/>
      <c r="DL136" s="8"/>
      <c r="DM136" s="8"/>
      <c r="DN136" s="8"/>
      <c r="DO136" s="8"/>
      <c r="DP136" s="8"/>
      <c r="DQ136" s="8"/>
      <c r="DR136" s="8"/>
      <c r="DS136" s="8"/>
      <c r="DT136" s="8"/>
      <c r="DU136" s="8"/>
      <c r="DV136" s="6" t="s">
        <v>46</v>
      </c>
      <c r="DW136" s="8">
        <v>0.04</v>
      </c>
    </row>
    <row r="137" spans="1:127" x14ac:dyDescent="0.35">
      <c r="B137" s="4" t="str">
        <f>Populations!$C$18</f>
        <v>M50+</v>
      </c>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f>AVERAGE(5.1%, 4.5%, 7.5%)</f>
        <v>5.6999999999999995E-2</v>
      </c>
      <c r="AD137" s="8"/>
      <c r="AE137" s="8"/>
      <c r="AF137" s="8"/>
      <c r="AG137" s="8">
        <v>7.6999999999999999E-2</v>
      </c>
      <c r="AH137" s="8"/>
      <c r="AI137" s="8"/>
      <c r="AJ137" s="8"/>
      <c r="AK137" s="8"/>
      <c r="AL137" s="8"/>
      <c r="AM137" s="8"/>
      <c r="AN137" s="8"/>
      <c r="AO137" s="8"/>
      <c r="AP137" s="8"/>
      <c r="AQ137" s="8"/>
      <c r="AR137" s="6" t="s">
        <v>46</v>
      </c>
      <c r="AS137" s="8"/>
      <c r="AV137" s="4" t="str">
        <f>Populations!$C$18</f>
        <v>M50+</v>
      </c>
      <c r="AW137" s="8"/>
      <c r="AX137" s="8"/>
      <c r="AY137" s="8"/>
      <c r="AZ137" s="8"/>
      <c r="BA137" s="8"/>
      <c r="BB137" s="8">
        <v>0.10299999999999999</v>
      </c>
      <c r="BC137" s="8"/>
      <c r="BD137" s="8"/>
      <c r="BE137" s="8"/>
      <c r="BF137" s="8"/>
      <c r="BG137" s="8">
        <v>0.13600000000000001</v>
      </c>
      <c r="BH137" s="8"/>
      <c r="BI137" s="8"/>
      <c r="BJ137" s="8"/>
      <c r="BK137" s="8"/>
      <c r="BL137" s="8">
        <v>0.11899999999999999</v>
      </c>
      <c r="BM137" s="8">
        <f>(4.5%+7.5%+1.9%)/3</f>
        <v>4.6333333333333331E-2</v>
      </c>
      <c r="BN137" s="8"/>
      <c r="BO137" s="8"/>
      <c r="BP137" s="8"/>
      <c r="BQ137" s="8"/>
      <c r="BR137" s="8"/>
      <c r="BS137" s="8"/>
      <c r="BT137" s="8"/>
      <c r="BU137" s="8"/>
      <c r="BV137" s="8"/>
      <c r="BW137" s="8"/>
      <c r="BX137" s="8"/>
      <c r="BY137" s="8"/>
      <c r="BZ137" s="8"/>
      <c r="CA137" s="8"/>
      <c r="CB137" s="6" t="s">
        <v>46</v>
      </c>
      <c r="CC137" s="8">
        <f>(4.5%+7.5%+1.9%)/3</f>
        <v>4.6333333333333331E-2</v>
      </c>
      <c r="CF137" s="4" t="str">
        <f>Populations!$C$18</f>
        <v>M50+</v>
      </c>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c r="DK137" s="8"/>
      <c r="DL137" s="8"/>
      <c r="DM137" s="8"/>
      <c r="DN137" s="8"/>
      <c r="DO137" s="8"/>
      <c r="DP137" s="8"/>
      <c r="DQ137" s="8"/>
      <c r="DR137" s="8"/>
      <c r="DS137" s="8"/>
      <c r="DT137" s="8"/>
      <c r="DU137" s="8"/>
      <c r="DV137" s="6" t="s">
        <v>46</v>
      </c>
      <c r="DW137" s="8">
        <v>0.05</v>
      </c>
    </row>
    <row r="138" spans="1:127" x14ac:dyDescent="0.35">
      <c r="AG138" s="82"/>
    </row>
    <row r="142" spans="1:127" x14ac:dyDescent="0.35">
      <c r="A142" s="2" t="s">
        <v>418</v>
      </c>
      <c r="AU142" s="165"/>
      <c r="AV142" s="165"/>
      <c r="AW142" s="165"/>
      <c r="AX142" s="165"/>
      <c r="AY142" s="165"/>
      <c r="AZ142" s="165"/>
      <c r="BA142" s="165"/>
      <c r="BB142" s="165"/>
      <c r="BC142" s="165"/>
      <c r="BD142" s="165"/>
      <c r="BE142" s="165"/>
      <c r="BF142" s="165"/>
      <c r="BG142" s="165"/>
      <c r="BH142" s="165"/>
      <c r="BI142" s="165"/>
      <c r="BJ142" s="165"/>
    </row>
    <row r="143" spans="1:127" x14ac:dyDescent="0.35">
      <c r="C143" s="3">
        <v>1990</v>
      </c>
      <c r="D143" s="3">
        <v>1991</v>
      </c>
      <c r="E143" s="3">
        <v>1992</v>
      </c>
      <c r="F143" s="3">
        <v>1993</v>
      </c>
      <c r="G143" s="3">
        <v>1994</v>
      </c>
      <c r="H143" s="3">
        <v>1995</v>
      </c>
      <c r="I143" s="3">
        <v>1996</v>
      </c>
      <c r="J143" s="3">
        <v>1997</v>
      </c>
      <c r="K143" s="3">
        <v>1998</v>
      </c>
      <c r="L143" s="3">
        <v>1999</v>
      </c>
      <c r="M143" s="4">
        <v>2000</v>
      </c>
      <c r="N143" s="4">
        <v>2001</v>
      </c>
      <c r="O143" s="4">
        <v>2002</v>
      </c>
      <c r="P143" s="4">
        <v>2003</v>
      </c>
      <c r="Q143" s="4">
        <v>2004</v>
      </c>
      <c r="R143" s="4">
        <v>2005</v>
      </c>
      <c r="S143" s="4">
        <v>2006</v>
      </c>
      <c r="T143" s="4">
        <v>2007</v>
      </c>
      <c r="U143" s="4">
        <v>2008</v>
      </c>
      <c r="V143" s="4">
        <v>2009</v>
      </c>
      <c r="W143" s="4">
        <v>2010</v>
      </c>
      <c r="X143" s="4">
        <v>2011</v>
      </c>
      <c r="Y143" s="4">
        <v>2012</v>
      </c>
      <c r="Z143" s="4">
        <v>2013</v>
      </c>
      <c r="AA143" s="4">
        <v>2014</v>
      </c>
      <c r="AB143" s="4">
        <v>2015</v>
      </c>
      <c r="AC143" s="4">
        <v>2016</v>
      </c>
      <c r="AD143" s="4">
        <v>2017</v>
      </c>
      <c r="AE143" s="4">
        <v>2018</v>
      </c>
      <c r="AF143" s="4">
        <v>2019</v>
      </c>
      <c r="AG143" s="4">
        <v>2020</v>
      </c>
      <c r="AH143" s="4">
        <v>2021</v>
      </c>
      <c r="AI143" s="4">
        <v>2022</v>
      </c>
      <c r="AJ143" s="4">
        <v>2023</v>
      </c>
      <c r="AK143" s="4">
        <v>2024</v>
      </c>
      <c r="AL143" s="4">
        <v>2025</v>
      </c>
      <c r="AM143" s="4">
        <v>2026</v>
      </c>
      <c r="AN143" s="4">
        <v>2027</v>
      </c>
      <c r="AO143" s="4">
        <v>2028</v>
      </c>
      <c r="AP143" s="4">
        <v>2029</v>
      </c>
      <c r="AQ143" s="4">
        <v>2030</v>
      </c>
      <c r="AS143" s="4" t="s">
        <v>44</v>
      </c>
      <c r="AU143" s="165"/>
      <c r="AV143" s="166">
        <v>2008</v>
      </c>
      <c r="AW143" s="166">
        <v>2009</v>
      </c>
      <c r="AX143" s="166">
        <v>2010</v>
      </c>
      <c r="AY143" s="166">
        <v>2011</v>
      </c>
      <c r="AZ143" s="166">
        <v>2012</v>
      </c>
      <c r="BA143" s="166">
        <v>2013</v>
      </c>
      <c r="BB143" s="166">
        <v>2014</v>
      </c>
      <c r="BC143" s="166">
        <v>2015</v>
      </c>
      <c r="BD143" s="166">
        <v>2016</v>
      </c>
      <c r="BE143" s="166">
        <v>2017</v>
      </c>
      <c r="BF143" s="166">
        <v>2018</v>
      </c>
      <c r="BG143" s="166">
        <v>2019</v>
      </c>
      <c r="BH143" s="166">
        <v>2020</v>
      </c>
      <c r="BI143" s="166">
        <v>2021</v>
      </c>
      <c r="BJ143" s="166">
        <v>2022</v>
      </c>
    </row>
    <row r="144" spans="1:127" x14ac:dyDescent="0.35">
      <c r="B144" s="4" t="str">
        <f>Populations!$C$4</f>
        <v>Clients</v>
      </c>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6" t="s">
        <v>46</v>
      </c>
      <c r="AS144" s="36">
        <v>0</v>
      </c>
      <c r="AU144" s="165" t="s">
        <v>425</v>
      </c>
      <c r="AV144" s="167">
        <v>0</v>
      </c>
      <c r="AW144" s="167">
        <v>2801</v>
      </c>
      <c r="AX144" s="167">
        <v>11176</v>
      </c>
      <c r="AY144" s="167">
        <v>36603</v>
      </c>
      <c r="AZ144" s="167">
        <v>40755</v>
      </c>
      <c r="BA144" s="167">
        <v>112084</v>
      </c>
      <c r="BB144" s="167">
        <v>209125</v>
      </c>
      <c r="BC144" s="167">
        <v>188732</v>
      </c>
      <c r="BD144" s="167">
        <v>205784</v>
      </c>
      <c r="BE144" s="167">
        <v>301366</v>
      </c>
      <c r="BF144" s="167">
        <v>326012</v>
      </c>
      <c r="BG144" s="167">
        <v>354819</v>
      </c>
      <c r="BH144" s="167">
        <v>82060</v>
      </c>
      <c r="BI144" s="167">
        <v>151037</v>
      </c>
      <c r="BJ144" s="167"/>
    </row>
    <row r="145" spans="2:62" x14ac:dyDescent="0.35">
      <c r="B145" s="4" t="str">
        <f>Populations!$C$5</f>
        <v>MSM</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6" t="s">
        <v>46</v>
      </c>
      <c r="AS145" s="36">
        <v>0</v>
      </c>
      <c r="AU145" s="165" t="s">
        <v>426</v>
      </c>
      <c r="AV145" s="165"/>
      <c r="AW145" s="165"/>
      <c r="AX145" s="165"/>
      <c r="AY145" s="165"/>
      <c r="AZ145" s="165"/>
      <c r="BA145" s="165"/>
      <c r="BB145" s="165"/>
      <c r="BC145" s="165"/>
      <c r="BD145" s="167"/>
      <c r="BE145" s="167"/>
      <c r="BF145" s="167"/>
      <c r="BG145" s="167"/>
      <c r="BH145" s="165"/>
      <c r="BI145" s="165"/>
      <c r="BJ145" s="165"/>
    </row>
    <row r="146" spans="2:62" x14ac:dyDescent="0.35">
      <c r="B146" s="4" t="str">
        <f>Populations!$C$6</f>
        <v>Prisoners</v>
      </c>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6" t="s">
        <v>46</v>
      </c>
      <c r="AS146" s="36">
        <v>0</v>
      </c>
      <c r="AU146" s="165" t="s">
        <v>427</v>
      </c>
      <c r="AV146" s="165"/>
      <c r="AW146" s="165"/>
      <c r="AX146" s="165"/>
      <c r="AY146" s="165"/>
      <c r="AZ146" s="165"/>
      <c r="BA146" s="165"/>
      <c r="BB146" s="165"/>
      <c r="BC146" s="165"/>
      <c r="BD146" s="165"/>
      <c r="BE146" s="167">
        <v>103677</v>
      </c>
      <c r="BF146" s="167">
        <v>70494</v>
      </c>
      <c r="BG146" s="167">
        <v>129118</v>
      </c>
      <c r="BH146" s="167">
        <v>61932</v>
      </c>
      <c r="BI146" s="167">
        <v>48363</v>
      </c>
      <c r="BJ146" s="165"/>
    </row>
    <row r="147" spans="2:62" x14ac:dyDescent="0.35">
      <c r="B147" s="4" t="str">
        <f>Populations!$C$8</f>
        <v>M0-14</v>
      </c>
      <c r="C147" s="8"/>
      <c r="D147" s="8"/>
      <c r="E147" s="8"/>
      <c r="F147" s="8"/>
      <c r="G147" s="8"/>
      <c r="H147" s="8"/>
      <c r="I147" s="8"/>
      <c r="J147" s="8"/>
      <c r="K147" s="8"/>
      <c r="L147" s="8"/>
      <c r="M147" s="8"/>
      <c r="N147" s="8"/>
      <c r="O147" s="8"/>
      <c r="P147" s="8"/>
      <c r="Q147" s="8"/>
      <c r="R147" s="8"/>
      <c r="S147" s="8"/>
      <c r="T147" s="8"/>
      <c r="U147" s="11">
        <f>AV150</f>
        <v>0</v>
      </c>
      <c r="V147" s="11">
        <f t="shared" ref="V147:AH151" si="1">AW150</f>
        <v>1173.6189999999999</v>
      </c>
      <c r="W147" s="11">
        <f t="shared" si="1"/>
        <v>4682.7439999999997</v>
      </c>
      <c r="X147" s="11">
        <f t="shared" si="1"/>
        <v>15336.656999999999</v>
      </c>
      <c r="Y147" s="11">
        <f t="shared" si="1"/>
        <v>17076.344999999998</v>
      </c>
      <c r="Z147" s="11">
        <f t="shared" si="1"/>
        <v>46963.195999999996</v>
      </c>
      <c r="AA147" s="11">
        <f t="shared" si="1"/>
        <v>87623.375</v>
      </c>
      <c r="AB147" s="11">
        <f t="shared" si="1"/>
        <v>79078.707999999999</v>
      </c>
      <c r="AC147" s="11">
        <f t="shared" si="1"/>
        <v>86223.495999999999</v>
      </c>
      <c r="AD147" s="11">
        <f t="shared" si="1"/>
        <v>126272.35399999999</v>
      </c>
      <c r="AE147" s="11">
        <f t="shared" si="1"/>
        <v>111170.092</v>
      </c>
      <c r="AF147" s="11">
        <f t="shared" si="1"/>
        <v>118154.72699999998</v>
      </c>
      <c r="AG147" s="11">
        <f t="shared" si="1"/>
        <v>26587.440000000002</v>
      </c>
      <c r="AH147" s="11">
        <f t="shared" si="1"/>
        <v>0</v>
      </c>
      <c r="AI147" s="8"/>
      <c r="AJ147" s="8"/>
      <c r="AK147" s="8"/>
      <c r="AL147" s="8"/>
      <c r="AM147" s="8"/>
      <c r="AN147" s="8"/>
      <c r="AO147" s="8"/>
      <c r="AP147" s="8"/>
      <c r="AQ147" s="8"/>
      <c r="AR147" s="6" t="s">
        <v>46</v>
      </c>
      <c r="AS147" s="36">
        <v>0</v>
      </c>
      <c r="AU147" s="165"/>
      <c r="AV147" s="165"/>
      <c r="AW147" s="165"/>
      <c r="AX147" s="165"/>
      <c r="AY147" s="165"/>
      <c r="AZ147" s="165"/>
      <c r="BA147" s="165"/>
      <c r="BB147" s="165"/>
      <c r="BC147" s="165"/>
      <c r="BD147" s="168" t="s">
        <v>428</v>
      </c>
      <c r="BE147" s="168">
        <v>41.9</v>
      </c>
      <c r="BF147" s="168">
        <v>34.1</v>
      </c>
      <c r="BG147" s="168">
        <v>33.299999999999997</v>
      </c>
      <c r="BH147" s="168">
        <v>32.4</v>
      </c>
      <c r="BI147" s="168">
        <v>0</v>
      </c>
      <c r="BJ147" s="165"/>
    </row>
    <row r="148" spans="2:62" x14ac:dyDescent="0.35">
      <c r="B148" s="4" t="str">
        <f>Populations!$C$10</f>
        <v>M15-19</v>
      </c>
      <c r="C148" s="8"/>
      <c r="D148" s="8"/>
      <c r="E148" s="8"/>
      <c r="F148" s="8"/>
      <c r="G148" s="8"/>
      <c r="H148" s="8"/>
      <c r="I148" s="8"/>
      <c r="J148" s="8"/>
      <c r="K148" s="8"/>
      <c r="L148" s="8"/>
      <c r="M148" s="8"/>
      <c r="N148" s="8"/>
      <c r="O148" s="8"/>
      <c r="P148" s="8"/>
      <c r="Q148" s="8"/>
      <c r="R148" s="8"/>
      <c r="S148" s="8"/>
      <c r="T148" s="8"/>
      <c r="U148" s="11">
        <f t="shared" ref="U148:U151" si="2">AV151</f>
        <v>0</v>
      </c>
      <c r="V148" s="11">
        <f t="shared" si="1"/>
        <v>455.94675845670952</v>
      </c>
      <c r="W148" s="11">
        <f t="shared" si="1"/>
        <v>1819.2291940421942</v>
      </c>
      <c r="X148" s="11">
        <f t="shared" si="1"/>
        <v>5958.2360584758799</v>
      </c>
      <c r="Y148" s="11">
        <f t="shared" si="1"/>
        <v>6634.0985865416624</v>
      </c>
      <c r="Z148" s="11">
        <f t="shared" si="1"/>
        <v>18245.032657929965</v>
      </c>
      <c r="AA148" s="11">
        <f t="shared" si="1"/>
        <v>34041.365891559937</v>
      </c>
      <c r="AB148" s="11">
        <f t="shared" si="1"/>
        <v>30721.793508408322</v>
      </c>
      <c r="AC148" s="11">
        <f t="shared" si="1"/>
        <v>33497.517937256525</v>
      </c>
      <c r="AD148" s="11">
        <f t="shared" si="1"/>
        <v>49056.355162108084</v>
      </c>
      <c r="AE148" s="11">
        <f t="shared" si="1"/>
        <v>59929.577871868074</v>
      </c>
      <c r="AF148" s="11">
        <f t="shared" si="1"/>
        <v>65225.061933052639</v>
      </c>
      <c r="AG148" s="11">
        <f t="shared" si="1"/>
        <v>15543.535905574539</v>
      </c>
      <c r="AH148" s="11">
        <f t="shared" si="1"/>
        <v>40082.307011218953</v>
      </c>
      <c r="AI148" s="8"/>
      <c r="AJ148" s="8"/>
      <c r="AK148" s="8"/>
      <c r="AL148" s="8"/>
      <c r="AM148" s="8"/>
      <c r="AN148" s="8"/>
      <c r="AO148" s="8"/>
      <c r="AP148" s="8"/>
      <c r="AQ148" s="8"/>
      <c r="AR148" s="6" t="s">
        <v>46</v>
      </c>
      <c r="AS148" s="36">
        <v>0</v>
      </c>
      <c r="AU148" s="165"/>
      <c r="AV148" s="165"/>
      <c r="AW148" s="165"/>
      <c r="AX148" s="165"/>
      <c r="AY148" s="165"/>
      <c r="AZ148" s="165"/>
      <c r="BA148" s="165"/>
      <c r="BB148" s="165"/>
      <c r="BC148" s="165"/>
      <c r="BD148" s="168" t="s">
        <v>429</v>
      </c>
      <c r="BE148" s="168">
        <v>49.5</v>
      </c>
      <c r="BF148" s="168">
        <v>55.9</v>
      </c>
      <c r="BG148" s="168">
        <v>55.9</v>
      </c>
      <c r="BH148" s="168">
        <v>57.6</v>
      </c>
      <c r="BI148" s="168">
        <v>80.7</v>
      </c>
      <c r="BJ148" s="165"/>
    </row>
    <row r="149" spans="2:62" x14ac:dyDescent="0.35">
      <c r="B149" s="4" t="str">
        <f>Populations!$C$12</f>
        <v>M20-24</v>
      </c>
      <c r="C149" s="8"/>
      <c r="D149" s="8"/>
      <c r="E149" s="8"/>
      <c r="F149" s="8"/>
      <c r="G149" s="8"/>
      <c r="H149" s="8"/>
      <c r="I149" s="8"/>
      <c r="J149" s="8"/>
      <c r="K149" s="8"/>
      <c r="L149" s="8"/>
      <c r="M149" s="8"/>
      <c r="N149" s="8"/>
      <c r="O149" s="8"/>
      <c r="P149" s="8"/>
      <c r="Q149" s="8"/>
      <c r="R149" s="8"/>
      <c r="S149" s="8"/>
      <c r="T149" s="8"/>
      <c r="U149" s="11">
        <f t="shared" si="2"/>
        <v>0</v>
      </c>
      <c r="V149" s="11">
        <f t="shared" si="1"/>
        <v>377.04375356169811</v>
      </c>
      <c r="W149" s="11">
        <f t="shared" si="1"/>
        <v>1504.4059228152582</v>
      </c>
      <c r="X149" s="11">
        <f t="shared" si="1"/>
        <v>4927.1447738732013</v>
      </c>
      <c r="Y149" s="11">
        <f t="shared" si="1"/>
        <v>5486.0471890064291</v>
      </c>
      <c r="Z149" s="11">
        <f t="shared" si="1"/>
        <v>15087.673000431765</v>
      </c>
      <c r="AA149" s="11">
        <f t="shared" si="1"/>
        <v>28150.401629271732</v>
      </c>
      <c r="AB149" s="11">
        <f t="shared" si="1"/>
        <v>25405.291573440347</v>
      </c>
      <c r="AC149" s="11">
        <f t="shared" si="1"/>
        <v>27700.668255244731</v>
      </c>
      <c r="AD149" s="11">
        <f t="shared" si="1"/>
        <v>40567.000298420113</v>
      </c>
      <c r="AE149" s="11">
        <f t="shared" si="1"/>
        <v>49558.577994194995</v>
      </c>
      <c r="AF149" s="11">
        <f t="shared" si="1"/>
        <v>53937.662065575103</v>
      </c>
      <c r="AG149" s="11">
        <f t="shared" si="1"/>
        <v>12853.678664798084</v>
      </c>
      <c r="AH149" s="11">
        <f t="shared" si="1"/>
        <v>33145.939096214162</v>
      </c>
      <c r="AI149" s="8"/>
      <c r="AJ149" s="8"/>
      <c r="AK149" s="8"/>
      <c r="AL149" s="8"/>
      <c r="AM149" s="8"/>
      <c r="AN149" s="8"/>
      <c r="AO149" s="8"/>
      <c r="AP149" s="8"/>
      <c r="AQ149" s="8"/>
      <c r="AR149" s="6" t="s">
        <v>46</v>
      </c>
      <c r="AS149" s="36">
        <v>0</v>
      </c>
      <c r="AU149" s="165" t="s">
        <v>435</v>
      </c>
      <c r="BD149" s="168" t="s">
        <v>430</v>
      </c>
      <c r="BE149" s="168">
        <v>8.6</v>
      </c>
      <c r="BF149" s="168">
        <v>10</v>
      </c>
      <c r="BG149" s="168">
        <v>10.8</v>
      </c>
      <c r="BH149" s="168">
        <v>10</v>
      </c>
      <c r="BI149" s="168">
        <v>19.3</v>
      </c>
      <c r="BJ149" s="165"/>
    </row>
    <row r="150" spans="2:62" x14ac:dyDescent="0.35">
      <c r="B150" s="4" t="str">
        <f>Populations!$C$14</f>
        <v>M25-34</v>
      </c>
      <c r="C150" s="8"/>
      <c r="D150" s="8"/>
      <c r="E150" s="8"/>
      <c r="F150" s="8"/>
      <c r="G150" s="8"/>
      <c r="H150" s="8"/>
      <c r="I150" s="8"/>
      <c r="J150" s="8"/>
      <c r="K150" s="8"/>
      <c r="L150" s="8"/>
      <c r="M150" s="8"/>
      <c r="N150" s="8"/>
      <c r="O150" s="8"/>
      <c r="P150" s="8"/>
      <c r="Q150" s="8"/>
      <c r="R150" s="8"/>
      <c r="S150" s="8"/>
      <c r="T150" s="8"/>
      <c r="U150" s="11">
        <f t="shared" si="2"/>
        <v>0</v>
      </c>
      <c r="V150" s="11">
        <f t="shared" si="1"/>
        <v>553.50448798159221</v>
      </c>
      <c r="W150" s="11">
        <f t="shared" si="1"/>
        <v>2208.4848831425475</v>
      </c>
      <c r="X150" s="11">
        <f t="shared" si="1"/>
        <v>7233.1041676509185</v>
      </c>
      <c r="Y150" s="11">
        <f t="shared" si="1"/>
        <v>8053.5792244519071</v>
      </c>
      <c r="Z150" s="11">
        <f t="shared" si="1"/>
        <v>22148.874341638271</v>
      </c>
      <c r="AA150" s="11">
        <f t="shared" si="1"/>
        <v>41325.107479168328</v>
      </c>
      <c r="AB150" s="11">
        <f t="shared" si="1"/>
        <v>37295.254918151331</v>
      </c>
      <c r="AC150" s="11">
        <f t="shared" si="1"/>
        <v>40664.893807498745</v>
      </c>
      <c r="AD150" s="11">
        <f t="shared" si="1"/>
        <v>59552.814539471816</v>
      </c>
      <c r="AE150" s="11">
        <f t="shared" si="1"/>
        <v>72752.552133936915</v>
      </c>
      <c r="AF150" s="11">
        <f t="shared" si="1"/>
        <v>79181.097001372225</v>
      </c>
      <c r="AG150" s="11">
        <f t="shared" si="1"/>
        <v>18869.345429627381</v>
      </c>
      <c r="AH150" s="11">
        <f t="shared" si="1"/>
        <v>48658.612892566896</v>
      </c>
      <c r="AI150" s="8"/>
      <c r="AJ150" s="8"/>
      <c r="AK150" s="8"/>
      <c r="AL150" s="8"/>
      <c r="AM150" s="8"/>
      <c r="AN150" s="8"/>
      <c r="AO150" s="8"/>
      <c r="AP150" s="8"/>
      <c r="AQ150" s="8"/>
      <c r="AR150" s="6" t="s">
        <v>46</v>
      </c>
      <c r="AS150" s="36">
        <v>0</v>
      </c>
      <c r="AU150" s="166" t="s">
        <v>21</v>
      </c>
      <c r="AV150" s="167">
        <f>$BE$147%*AV$144</f>
        <v>0</v>
      </c>
      <c r="AW150" s="167">
        <f t="shared" ref="AW150:BC150" si="3">$BE$147%*AW$144</f>
        <v>1173.6189999999999</v>
      </c>
      <c r="AX150" s="167">
        <f t="shared" si="3"/>
        <v>4682.7439999999997</v>
      </c>
      <c r="AY150" s="167">
        <f t="shared" si="3"/>
        <v>15336.656999999999</v>
      </c>
      <c r="AZ150" s="167">
        <f t="shared" si="3"/>
        <v>17076.344999999998</v>
      </c>
      <c r="BA150" s="167">
        <f t="shared" si="3"/>
        <v>46963.195999999996</v>
      </c>
      <c r="BB150" s="167">
        <f t="shared" si="3"/>
        <v>87623.375</v>
      </c>
      <c r="BC150" s="167">
        <f t="shared" si="3"/>
        <v>79078.707999999999</v>
      </c>
      <c r="BD150" s="167">
        <f>$BE$147%*BD$144</f>
        <v>86223.495999999999</v>
      </c>
      <c r="BE150" s="167">
        <f>BE$147%*BE$144</f>
        <v>126272.35399999999</v>
      </c>
      <c r="BF150" s="167">
        <f t="shared" ref="BF150:BI150" si="4">BF$147%*BF$144</f>
        <v>111170.092</v>
      </c>
      <c r="BG150" s="167">
        <f t="shared" si="4"/>
        <v>118154.72699999998</v>
      </c>
      <c r="BH150" s="167">
        <f t="shared" si="4"/>
        <v>26587.440000000002</v>
      </c>
      <c r="BI150" s="167">
        <f t="shared" si="4"/>
        <v>0</v>
      </c>
      <c r="BJ150" s="165"/>
    </row>
    <row r="151" spans="2:62" x14ac:dyDescent="0.35">
      <c r="B151" s="4" t="str">
        <f>Populations!$C$16</f>
        <v>M35-49</v>
      </c>
      <c r="C151" s="8"/>
      <c r="D151" s="8"/>
      <c r="E151" s="8"/>
      <c r="F151" s="8"/>
      <c r="G151" s="8"/>
      <c r="H151" s="8"/>
      <c r="I151" s="8"/>
      <c r="J151" s="8"/>
      <c r="K151" s="8"/>
      <c r="L151" s="8"/>
      <c r="M151" s="8"/>
      <c r="N151" s="8"/>
      <c r="O151" s="8"/>
      <c r="P151" s="8"/>
      <c r="Q151" s="8"/>
      <c r="R151" s="8"/>
      <c r="S151" s="8"/>
      <c r="T151" s="8"/>
      <c r="U151" s="11">
        <f t="shared" si="2"/>
        <v>0</v>
      </c>
      <c r="V151" s="11">
        <f t="shared" si="1"/>
        <v>240.88599999999997</v>
      </c>
      <c r="W151" s="11">
        <f t="shared" si="1"/>
        <v>961.13599999999997</v>
      </c>
      <c r="X151" s="11">
        <f t="shared" si="1"/>
        <v>3147.8579999999997</v>
      </c>
      <c r="Y151" s="11">
        <f t="shared" si="1"/>
        <v>3504.93</v>
      </c>
      <c r="Z151" s="11">
        <f t="shared" si="1"/>
        <v>9639.2239999999983</v>
      </c>
      <c r="AA151" s="11">
        <f t="shared" si="1"/>
        <v>17984.75</v>
      </c>
      <c r="AB151" s="11">
        <f t="shared" si="1"/>
        <v>16230.951999999999</v>
      </c>
      <c r="AC151" s="11">
        <f t="shared" si="1"/>
        <v>17697.423999999999</v>
      </c>
      <c r="AD151" s="11">
        <f t="shared" si="1"/>
        <v>25917.475999999999</v>
      </c>
      <c r="AE151" s="11">
        <f t="shared" si="1"/>
        <v>32601.200000000001</v>
      </c>
      <c r="AF151" s="11">
        <f t="shared" si="1"/>
        <v>38320.452000000005</v>
      </c>
      <c r="AG151" s="11">
        <f t="shared" si="1"/>
        <v>8206</v>
      </c>
      <c r="AH151" s="11">
        <f t="shared" si="1"/>
        <v>29150.141</v>
      </c>
      <c r="AI151" s="8"/>
      <c r="AJ151" s="8"/>
      <c r="AK151" s="8"/>
      <c r="AL151" s="8"/>
      <c r="AM151" s="8"/>
      <c r="AN151" s="8"/>
      <c r="AO151" s="8"/>
      <c r="AP151" s="8"/>
      <c r="AQ151" s="8"/>
      <c r="AR151" s="6" t="s">
        <v>46</v>
      </c>
      <c r="AS151" s="36">
        <v>0</v>
      </c>
      <c r="AU151" s="166" t="s">
        <v>25</v>
      </c>
      <c r="AV151" s="167">
        <f>$BE$148%*AV$144*$BI$170</f>
        <v>0</v>
      </c>
      <c r="AW151" s="167">
        <f t="shared" ref="AW151:BC151" si="5">$BE$148%*AW$144*$BI$170</f>
        <v>455.94675845670952</v>
      </c>
      <c r="AX151" s="167">
        <f t="shared" si="5"/>
        <v>1819.2291940421942</v>
      </c>
      <c r="AY151" s="167">
        <f t="shared" si="5"/>
        <v>5958.2360584758799</v>
      </c>
      <c r="AZ151" s="167">
        <f t="shared" si="5"/>
        <v>6634.0985865416624</v>
      </c>
      <c r="BA151" s="167">
        <f t="shared" si="5"/>
        <v>18245.032657929965</v>
      </c>
      <c r="BB151" s="167">
        <f t="shared" si="5"/>
        <v>34041.365891559937</v>
      </c>
      <c r="BC151" s="167">
        <f t="shared" si="5"/>
        <v>30721.793508408322</v>
      </c>
      <c r="BD151" s="167">
        <f>$BE$148%*BD$144*$BI$170</f>
        <v>33497.517937256525</v>
      </c>
      <c r="BE151" s="167">
        <f>BE$148%*BE$144*$BI$170</f>
        <v>49056.355162108084</v>
      </c>
      <c r="BF151" s="167">
        <f t="shared" ref="BF151:BH151" si="6">BF$148%*BF$144*$BI$170</f>
        <v>59929.577871868074</v>
      </c>
      <c r="BG151" s="167">
        <f t="shared" si="6"/>
        <v>65225.061933052639</v>
      </c>
      <c r="BH151" s="167">
        <f t="shared" si="6"/>
        <v>15543.535905574539</v>
      </c>
      <c r="BI151" s="167">
        <f>BI$148%*BI$144*$BI$170</f>
        <v>40082.307011218953</v>
      </c>
      <c r="BJ151" s="165"/>
    </row>
    <row r="152" spans="2:62" x14ac:dyDescent="0.35">
      <c r="B152" s="4" t="str">
        <f>Populations!$C$18</f>
        <v>M50+</v>
      </c>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6" t="s">
        <v>46</v>
      </c>
      <c r="AS152" s="36">
        <v>0</v>
      </c>
      <c r="AU152" s="166" t="s">
        <v>29</v>
      </c>
      <c r="AV152" s="167">
        <f>$BE$148%*AV$144*$BI$171</f>
        <v>0</v>
      </c>
      <c r="AW152" s="167">
        <f t="shared" ref="AW152:BC152" si="7">$BE$148%*AW$144*$BI$171</f>
        <v>377.04375356169811</v>
      </c>
      <c r="AX152" s="167">
        <f t="shared" si="7"/>
        <v>1504.4059228152582</v>
      </c>
      <c r="AY152" s="167">
        <f t="shared" si="7"/>
        <v>4927.1447738732013</v>
      </c>
      <c r="AZ152" s="167">
        <f t="shared" si="7"/>
        <v>5486.0471890064291</v>
      </c>
      <c r="BA152" s="167">
        <f t="shared" si="7"/>
        <v>15087.673000431765</v>
      </c>
      <c r="BB152" s="167">
        <f t="shared" si="7"/>
        <v>28150.401629271732</v>
      </c>
      <c r="BC152" s="167">
        <f t="shared" si="7"/>
        <v>25405.291573440347</v>
      </c>
      <c r="BD152" s="167">
        <f>$BE$148%*BD$144*$BI$171</f>
        <v>27700.668255244731</v>
      </c>
      <c r="BE152" s="167">
        <f>BE$148%*BE$144*$BI$171</f>
        <v>40567.000298420113</v>
      </c>
      <c r="BF152" s="167">
        <f t="shared" ref="BF152:BI152" si="8">BF$148%*BF$144*$BI$171</f>
        <v>49558.577994194995</v>
      </c>
      <c r="BG152" s="167">
        <f t="shared" si="8"/>
        <v>53937.662065575103</v>
      </c>
      <c r="BH152" s="167">
        <f t="shared" si="8"/>
        <v>12853.678664798084</v>
      </c>
      <c r="BI152" s="167">
        <f t="shared" si="8"/>
        <v>33145.939096214162</v>
      </c>
      <c r="BJ152" s="165"/>
    </row>
    <row r="153" spans="2:62" x14ac:dyDescent="0.35">
      <c r="AU153" s="166" t="s">
        <v>33</v>
      </c>
      <c r="AV153">
        <f>$BE$148%*AV$144*$BI$172</f>
        <v>0</v>
      </c>
      <c r="AW153" s="167">
        <f t="shared" ref="AW153:BC153" si="9">$BE$148%*AW$144*$BI$172</f>
        <v>553.50448798159221</v>
      </c>
      <c r="AX153" s="167">
        <f t="shared" si="9"/>
        <v>2208.4848831425475</v>
      </c>
      <c r="AY153" s="167">
        <f t="shared" si="9"/>
        <v>7233.1041676509185</v>
      </c>
      <c r="AZ153" s="167">
        <f t="shared" si="9"/>
        <v>8053.5792244519071</v>
      </c>
      <c r="BA153" s="167">
        <f t="shared" si="9"/>
        <v>22148.874341638271</v>
      </c>
      <c r="BB153" s="167">
        <f t="shared" si="9"/>
        <v>41325.107479168328</v>
      </c>
      <c r="BC153" s="167">
        <f t="shared" si="9"/>
        <v>37295.254918151331</v>
      </c>
      <c r="BD153" s="167">
        <f>$BE$148%*BD$144*$BI$172</f>
        <v>40664.893807498745</v>
      </c>
      <c r="BE153" s="167">
        <f>BE$148%*BE$144*$BI$172</f>
        <v>59552.814539471816</v>
      </c>
      <c r="BF153" s="167">
        <f t="shared" ref="BF153:BI153" si="10">BF$148%*BF$144*$BI$172</f>
        <v>72752.552133936915</v>
      </c>
      <c r="BG153" s="167">
        <f t="shared" si="10"/>
        <v>79181.097001372225</v>
      </c>
      <c r="BH153" s="167">
        <f t="shared" si="10"/>
        <v>18869.345429627381</v>
      </c>
      <c r="BI153" s="167">
        <f t="shared" si="10"/>
        <v>48658.612892566896</v>
      </c>
      <c r="BJ153" s="165"/>
    </row>
    <row r="154" spans="2:62" x14ac:dyDescent="0.35">
      <c r="AU154" s="166" t="s">
        <v>37</v>
      </c>
      <c r="AV154" s="167">
        <f t="shared" ref="AV154:BC154" si="11">$BE$149%*AV$144</f>
        <v>0</v>
      </c>
      <c r="AW154" s="167">
        <f t="shared" si="11"/>
        <v>240.88599999999997</v>
      </c>
      <c r="AX154" s="167">
        <f t="shared" si="11"/>
        <v>961.13599999999997</v>
      </c>
      <c r="AY154" s="167">
        <f t="shared" si="11"/>
        <v>3147.8579999999997</v>
      </c>
      <c r="AZ154" s="167">
        <f t="shared" si="11"/>
        <v>3504.93</v>
      </c>
      <c r="BA154" s="167">
        <f t="shared" si="11"/>
        <v>9639.2239999999983</v>
      </c>
      <c r="BB154" s="167">
        <f t="shared" si="11"/>
        <v>17984.75</v>
      </c>
      <c r="BC154" s="167">
        <f t="shared" si="11"/>
        <v>16230.951999999999</v>
      </c>
      <c r="BD154" s="167">
        <f>$BE$149%*BD$144</f>
        <v>17697.423999999999</v>
      </c>
      <c r="BE154" s="167">
        <f>BE$149%*BE$144</f>
        <v>25917.475999999999</v>
      </c>
      <c r="BF154" s="167">
        <f t="shared" ref="BF154:BI154" si="12">BF$149%*BF$144</f>
        <v>32601.200000000001</v>
      </c>
      <c r="BG154" s="167">
        <f t="shared" si="12"/>
        <v>38320.452000000005</v>
      </c>
      <c r="BH154" s="167">
        <f t="shared" si="12"/>
        <v>8206</v>
      </c>
      <c r="BI154" s="167">
        <f t="shared" si="12"/>
        <v>29150.141</v>
      </c>
      <c r="BJ154" s="165"/>
    </row>
    <row r="155" spans="2:62" x14ac:dyDescent="0.35">
      <c r="AU155" s="4"/>
      <c r="AV155" s="167"/>
      <c r="AW155" s="167"/>
      <c r="AX155" s="167"/>
      <c r="AY155" s="167"/>
      <c r="AZ155" s="167"/>
      <c r="BA155" s="167"/>
      <c r="BB155" s="167"/>
      <c r="BC155" s="167"/>
      <c r="BD155" s="167"/>
      <c r="BE155" s="167"/>
      <c r="BF155" s="167"/>
      <c r="BG155" s="167"/>
      <c r="BH155" s="167"/>
      <c r="BI155" s="167"/>
      <c r="BJ155" s="165"/>
    </row>
    <row r="156" spans="2:62" x14ac:dyDescent="0.35">
      <c r="AU156" s="4"/>
      <c r="AV156" s="167"/>
      <c r="AW156" s="167"/>
      <c r="AX156" s="167"/>
      <c r="AY156" s="167"/>
      <c r="AZ156" s="167"/>
      <c r="BA156" s="167"/>
      <c r="BB156" s="167"/>
      <c r="BC156" s="167"/>
      <c r="BD156" s="167"/>
      <c r="BE156" s="167"/>
      <c r="BF156" s="167"/>
      <c r="BG156" s="167"/>
      <c r="BH156" s="167"/>
      <c r="BI156" s="167"/>
      <c r="BJ156" s="165"/>
    </row>
    <row r="157" spans="2:62" x14ac:dyDescent="0.35">
      <c r="AU157" s="4"/>
      <c r="AV157" s="167"/>
      <c r="AW157" s="167"/>
      <c r="AX157" s="167"/>
      <c r="AY157" s="167"/>
      <c r="AZ157" s="167"/>
      <c r="BA157" s="167"/>
      <c r="BB157" s="167"/>
      <c r="BC157" s="167"/>
      <c r="BD157" s="167"/>
      <c r="BE157" s="167"/>
      <c r="BF157" s="167"/>
      <c r="BG157" s="167"/>
      <c r="BH157" s="167"/>
      <c r="BI157" s="167"/>
      <c r="BJ157" s="165"/>
    </row>
    <row r="158" spans="2:62" x14ac:dyDescent="0.35">
      <c r="AU158" s="165"/>
      <c r="AV158" s="165"/>
      <c r="AW158" s="165"/>
      <c r="AX158" s="165"/>
      <c r="AY158" s="165"/>
      <c r="AZ158" s="165"/>
      <c r="BA158" s="165"/>
      <c r="BB158" s="165"/>
      <c r="BC158" s="165"/>
      <c r="BD158" s="165"/>
      <c r="BE158" s="165"/>
      <c r="BF158" s="165"/>
      <c r="BG158" s="165"/>
      <c r="BH158" s="165"/>
      <c r="BI158" s="165"/>
      <c r="BJ158" s="165"/>
    </row>
    <row r="159" spans="2:62" x14ac:dyDescent="0.35">
      <c r="AU159" s="165"/>
      <c r="AV159" s="165"/>
      <c r="AW159" s="165"/>
      <c r="AX159" s="165"/>
      <c r="AY159" s="165"/>
      <c r="AZ159" s="165"/>
      <c r="BA159" s="165"/>
      <c r="BB159" s="165"/>
      <c r="BC159" s="165"/>
      <c r="BD159" s="165"/>
      <c r="BE159" s="165"/>
      <c r="BF159" s="165"/>
      <c r="BG159" s="165"/>
      <c r="BH159" s="165"/>
      <c r="BI159" s="165"/>
      <c r="BJ159" s="165"/>
    </row>
    <row r="160" spans="2:62" x14ac:dyDescent="0.35">
      <c r="AU160" s="165"/>
      <c r="AV160" s="165"/>
      <c r="AW160" s="165"/>
      <c r="AX160" s="165"/>
      <c r="AY160" s="165"/>
      <c r="AZ160" s="165"/>
      <c r="BA160" s="165"/>
      <c r="BB160" s="165"/>
      <c r="BC160" s="165"/>
      <c r="BD160" s="165"/>
      <c r="BE160" s="165"/>
      <c r="BF160" s="165"/>
      <c r="BG160" s="165"/>
      <c r="BH160" s="165"/>
      <c r="BI160" s="165"/>
      <c r="BJ160" s="165"/>
    </row>
    <row r="161" spans="47:62" x14ac:dyDescent="0.35">
      <c r="AU161" s="165"/>
      <c r="AV161" s="165"/>
      <c r="AW161" s="165"/>
      <c r="AX161" s="165"/>
      <c r="AY161" s="165"/>
      <c r="AZ161" s="165"/>
      <c r="BA161" s="165"/>
      <c r="BB161" s="165"/>
      <c r="BC161" s="165"/>
      <c r="BD161" s="165"/>
      <c r="BE161" s="165"/>
      <c r="BF161" s="165"/>
      <c r="BG161" s="165"/>
      <c r="BH161" s="165"/>
      <c r="BI161" s="165"/>
      <c r="BJ161" s="165"/>
    </row>
    <row r="162" spans="47:62" x14ac:dyDescent="0.35">
      <c r="AU162" s="165"/>
      <c r="AV162" s="165"/>
      <c r="AW162" s="165"/>
      <c r="AX162" s="165"/>
      <c r="AY162" s="165"/>
      <c r="AZ162" s="165"/>
      <c r="BA162" s="165"/>
      <c r="BB162" s="165"/>
      <c r="BC162" s="165"/>
      <c r="BD162" s="165"/>
      <c r="BE162" s="165"/>
      <c r="BF162" s="165"/>
      <c r="BG162" s="165"/>
      <c r="BH162" s="165"/>
      <c r="BI162" s="165"/>
      <c r="BJ162" s="165"/>
    </row>
    <row r="163" spans="47:62" x14ac:dyDescent="0.35">
      <c r="AU163" s="165"/>
      <c r="AV163" s="165"/>
      <c r="AW163" s="165"/>
      <c r="AX163" s="165"/>
      <c r="AY163" s="165"/>
      <c r="AZ163" s="165"/>
      <c r="BA163" s="165"/>
      <c r="BB163" s="165"/>
      <c r="BC163" s="165"/>
      <c r="BD163" s="165"/>
      <c r="BE163" s="165"/>
      <c r="BF163" s="165"/>
      <c r="BG163" s="165"/>
      <c r="BH163" s="165"/>
      <c r="BI163" s="165"/>
      <c r="BJ163" s="165"/>
    </row>
    <row r="164" spans="47:62" x14ac:dyDescent="0.35">
      <c r="AW164" s="165"/>
      <c r="AX164" s="165"/>
      <c r="AY164" s="165"/>
      <c r="AZ164" s="165"/>
      <c r="BA164" s="165"/>
      <c r="BB164" s="165"/>
      <c r="BC164" s="165"/>
      <c r="BD164" s="165"/>
      <c r="BE164" s="165"/>
      <c r="BF164" s="165"/>
      <c r="BG164" s="165"/>
      <c r="BH164" s="165"/>
      <c r="BI164" s="165"/>
      <c r="BJ164" s="165"/>
    </row>
    <row r="165" spans="47:62" x14ac:dyDescent="0.35">
      <c r="AW165" s="165"/>
      <c r="AX165" s="165"/>
      <c r="AY165" s="165"/>
      <c r="AZ165" s="165"/>
      <c r="BA165" s="165"/>
      <c r="BB165" s="165"/>
      <c r="BC165" s="165" t="s">
        <v>431</v>
      </c>
      <c r="BD165" s="165"/>
      <c r="BE165" s="165"/>
      <c r="BF165" s="165"/>
      <c r="BG165" s="165"/>
      <c r="BH165" s="165"/>
      <c r="BI165" s="165"/>
      <c r="BJ165" s="165"/>
    </row>
    <row r="166" spans="47:62" x14ac:dyDescent="0.35">
      <c r="AW166" s="165"/>
      <c r="AX166" s="165"/>
      <c r="AY166" s="165"/>
      <c r="AZ166" s="165"/>
      <c r="BA166" s="165"/>
      <c r="BB166" s="4" t="s">
        <v>25</v>
      </c>
      <c r="BC166" s="11">
        <v>661868.47686594259</v>
      </c>
      <c r="BD166" s="11">
        <v>666252.18195230956</v>
      </c>
      <c r="BE166" s="11">
        <v>674440.12665512529</v>
      </c>
      <c r="BF166" s="11">
        <v>686837.848064363</v>
      </c>
      <c r="BG166" s="11">
        <v>703739.07216860342</v>
      </c>
      <c r="BH166" s="11">
        <v>724736.48709848558</v>
      </c>
      <c r="BI166" s="165"/>
      <c r="BJ166" s="165"/>
    </row>
    <row r="167" spans="47:62" x14ac:dyDescent="0.35">
      <c r="AW167" s="165"/>
      <c r="AX167" s="165"/>
      <c r="AY167" s="165"/>
      <c r="AZ167" s="165"/>
      <c r="BA167" s="165"/>
      <c r="BB167" s="4" t="s">
        <v>29</v>
      </c>
      <c r="BC167" s="11">
        <v>551624.50567166542</v>
      </c>
      <c r="BD167" s="11">
        <v>551865.87566832372</v>
      </c>
      <c r="BE167" s="11">
        <v>556966.5916271169</v>
      </c>
      <c r="BF167" s="11">
        <v>567234.5777717228</v>
      </c>
      <c r="BG167" s="11">
        <v>580920.78901606286</v>
      </c>
      <c r="BH167" s="11">
        <v>596451.88343339006</v>
      </c>
      <c r="BI167" s="165"/>
      <c r="BJ167" s="165"/>
    </row>
    <row r="168" spans="47:62" x14ac:dyDescent="0.35">
      <c r="AW168" s="165"/>
      <c r="AX168" s="165"/>
      <c r="AY168" s="165"/>
      <c r="AZ168" s="165"/>
      <c r="BA168" s="165"/>
      <c r="BB168" s="4" t="s">
        <v>33</v>
      </c>
      <c r="BC168" s="11">
        <v>830103.36453675583</v>
      </c>
      <c r="BD168" s="11">
        <v>833589.91864289681</v>
      </c>
      <c r="BE168" s="11">
        <v>835820.81633259868</v>
      </c>
      <c r="BF168" s="11">
        <v>835410.84229415702</v>
      </c>
      <c r="BG168" s="11">
        <v>832370.64520389517</v>
      </c>
      <c r="BH168" s="11">
        <v>828710.1627178092</v>
      </c>
      <c r="BI168" s="165"/>
      <c r="BJ168" s="165"/>
    </row>
    <row r="169" spans="47:62" x14ac:dyDescent="0.35">
      <c r="AW169" s="165"/>
      <c r="AX169" s="165"/>
      <c r="AY169" s="165"/>
      <c r="AZ169" s="165"/>
      <c r="BA169" s="165"/>
      <c r="BB169" s="165"/>
      <c r="BC169" s="165" t="s">
        <v>434</v>
      </c>
      <c r="BD169" s="165"/>
      <c r="BE169" s="165"/>
      <c r="BF169" s="165"/>
      <c r="BG169" s="165"/>
      <c r="BH169" s="165"/>
      <c r="BI169" s="165" t="s">
        <v>432</v>
      </c>
      <c r="BJ169" s="165"/>
    </row>
    <row r="170" spans="47:62" x14ac:dyDescent="0.35">
      <c r="AW170" s="165"/>
      <c r="AX170" s="165"/>
      <c r="AY170" s="165"/>
      <c r="AZ170" s="165"/>
      <c r="BA170" s="165"/>
      <c r="BB170" s="4" t="s">
        <v>25</v>
      </c>
      <c r="BC170" s="169">
        <f>BC166/SUM(BC$166:BC$168)</f>
        <v>0.32387436873895431</v>
      </c>
      <c r="BD170" s="169">
        <f t="shared" ref="BD170:BH170" si="13">BD166/SUM(BD$166:BD$168)</f>
        <v>0.32473051216852766</v>
      </c>
      <c r="BE170" s="169">
        <f t="shared" si="13"/>
        <v>0.32625345558817975</v>
      </c>
      <c r="BF170" s="169">
        <f t="shared" si="13"/>
        <v>0.32871182006591243</v>
      </c>
      <c r="BG170" s="169">
        <f t="shared" si="13"/>
        <v>0.3324180119487794</v>
      </c>
      <c r="BH170" s="169">
        <f t="shared" si="13"/>
        <v>0.33710264735285356</v>
      </c>
      <c r="BI170" s="170">
        <f>AVERAGE(BC170:BH170)</f>
        <v>0.32884846931053452</v>
      </c>
      <c r="BJ170" s="165"/>
    </row>
    <row r="171" spans="47:62" x14ac:dyDescent="0.35">
      <c r="AW171" s="165"/>
      <c r="AX171" s="165"/>
      <c r="AY171" s="165"/>
      <c r="AZ171" s="165"/>
      <c r="BA171" s="165"/>
      <c r="BB171" s="4" t="s">
        <v>29</v>
      </c>
      <c r="BC171" s="169">
        <f t="shared" ref="BC171:BH172" si="14">BC167/SUM(BC$166:BC$168)</f>
        <v>0.26992830871976131</v>
      </c>
      <c r="BD171" s="169">
        <f t="shared" si="14"/>
        <v>0.26897876406044624</v>
      </c>
      <c r="BE171" s="169">
        <f t="shared" si="14"/>
        <v>0.26942684455433641</v>
      </c>
      <c r="BF171" s="169">
        <f t="shared" si="14"/>
        <v>0.27147122277715491</v>
      </c>
      <c r="BG171" s="169">
        <f t="shared" si="14"/>
        <v>0.2744035984663511</v>
      </c>
      <c r="BH171" s="169">
        <f t="shared" si="14"/>
        <v>0.27743257377445701</v>
      </c>
      <c r="BI171" s="170">
        <f t="shared" ref="BI171:BI172" si="15">AVERAGE(BC171:BH171)</f>
        <v>0.27194021872541779</v>
      </c>
      <c r="BJ171" s="165"/>
    </row>
    <row r="172" spans="47:62" x14ac:dyDescent="0.35">
      <c r="AU172" s="165"/>
      <c r="AV172" s="165"/>
      <c r="AW172" s="165"/>
      <c r="AX172" s="165"/>
      <c r="AY172" s="165"/>
      <c r="AZ172" s="165"/>
      <c r="BA172" s="165"/>
      <c r="BB172" s="4" t="s">
        <v>33</v>
      </c>
      <c r="BC172" s="169">
        <f t="shared" si="14"/>
        <v>0.40619732254128432</v>
      </c>
      <c r="BD172" s="169">
        <f t="shared" si="14"/>
        <v>0.40629072377102604</v>
      </c>
      <c r="BE172" s="169">
        <f t="shared" si="14"/>
        <v>0.40431969985748378</v>
      </c>
      <c r="BF172" s="169">
        <f t="shared" si="14"/>
        <v>0.39981695715693272</v>
      </c>
      <c r="BG172" s="169">
        <f t="shared" si="14"/>
        <v>0.39317838958486934</v>
      </c>
      <c r="BH172" s="169">
        <f t="shared" si="14"/>
        <v>0.38546477887268954</v>
      </c>
      <c r="BI172" s="170">
        <f t="shared" si="15"/>
        <v>0.39921131196404769</v>
      </c>
      <c r="BJ172" s="165"/>
    </row>
    <row r="173" spans="47:62" x14ac:dyDescent="0.35">
      <c r="AU173" s="165"/>
      <c r="AV173" s="165"/>
      <c r="AW173" s="165"/>
      <c r="AX173" s="165"/>
      <c r="AY173" s="165"/>
      <c r="AZ173" s="165"/>
      <c r="BA173" s="165"/>
      <c r="BB173" s="165"/>
      <c r="BC173" s="165"/>
      <c r="BD173" s="165"/>
      <c r="BE173" s="165"/>
      <c r="BF173" s="165"/>
      <c r="BG173" s="165"/>
      <c r="BH173" s="165"/>
      <c r="BI173" s="165"/>
      <c r="BJ173" s="165"/>
    </row>
    <row r="174" spans="47:62" x14ac:dyDescent="0.35">
      <c r="AU174" s="165"/>
      <c r="AV174" s="165"/>
      <c r="AW174" s="165"/>
      <c r="AX174" s="165"/>
      <c r="AY174" s="165"/>
      <c r="AZ174" s="165"/>
      <c r="BA174" s="165"/>
      <c r="BB174" s="4" t="s">
        <v>37</v>
      </c>
      <c r="BC174" s="11">
        <v>742511.79005091859</v>
      </c>
      <c r="BD174" s="11">
        <v>766970.0247858275</v>
      </c>
      <c r="BE174" s="11">
        <v>791506.34981377283</v>
      </c>
      <c r="BF174" s="11">
        <v>815697.48025090911</v>
      </c>
      <c r="BG174" s="11">
        <v>838517.59361143853</v>
      </c>
      <c r="BH174" s="11">
        <v>858939.9800198701</v>
      </c>
      <c r="BI174" s="165"/>
      <c r="BJ174" s="165"/>
    </row>
    <row r="175" spans="47:62" x14ac:dyDescent="0.35">
      <c r="AU175" s="165"/>
      <c r="AV175" s="165"/>
      <c r="AW175" s="165"/>
      <c r="AX175" s="165"/>
      <c r="AY175" s="165"/>
      <c r="AZ175" s="165"/>
      <c r="BA175" s="165"/>
      <c r="BB175" s="165"/>
      <c r="BC175" s="165" t="s">
        <v>433</v>
      </c>
      <c r="BD175" s="165"/>
      <c r="BE175" s="165"/>
      <c r="BF175" s="165"/>
      <c r="BG175" s="165"/>
      <c r="BH175" s="165"/>
      <c r="BI175" s="165" t="s">
        <v>432</v>
      </c>
      <c r="BJ175" s="165"/>
    </row>
    <row r="176" spans="47:62" x14ac:dyDescent="0.35">
      <c r="AU176" s="165"/>
      <c r="AV176" s="165"/>
      <c r="AW176" s="165"/>
      <c r="AX176" s="165"/>
      <c r="AY176" s="165"/>
      <c r="AZ176" s="165"/>
      <c r="BA176" s="165"/>
      <c r="BB176" s="4" t="s">
        <v>33</v>
      </c>
      <c r="BC176" s="169">
        <f t="shared" ref="BC176:BH176" si="16">BC168/SUM(BC$168:BC$174)</f>
        <v>0.52784868202908763</v>
      </c>
      <c r="BD176" s="169">
        <f t="shared" si="16"/>
        <v>0.52081110817135079</v>
      </c>
      <c r="BE176" s="169">
        <f t="shared" si="16"/>
        <v>0.51361540574319542</v>
      </c>
      <c r="BF176" s="169">
        <f t="shared" si="16"/>
        <v>0.5059694296961702</v>
      </c>
      <c r="BG176" s="169">
        <f t="shared" si="16"/>
        <v>0.49816027649687233</v>
      </c>
      <c r="BH176" s="169">
        <f t="shared" si="16"/>
        <v>0.49104352299580678</v>
      </c>
      <c r="BI176" s="170">
        <f>AVERAGE(BC176:BH176)</f>
        <v>0.50957473752208049</v>
      </c>
      <c r="BJ176" s="165"/>
    </row>
    <row r="177" spans="47:62" x14ac:dyDescent="0.35">
      <c r="AU177" s="165"/>
      <c r="AV177" s="165"/>
      <c r="AW177" s="165"/>
      <c r="AX177" s="165"/>
      <c r="AY177" s="165"/>
      <c r="AZ177" s="165"/>
      <c r="BA177" s="165"/>
      <c r="BB177" s="4" t="s">
        <v>37</v>
      </c>
      <c r="BC177" s="169">
        <f t="shared" ref="BC177:BH177" si="17">BC174/SUM(BC$168:BC$174)</f>
        <v>0.47215068208783495</v>
      </c>
      <c r="BD177" s="169">
        <f t="shared" si="17"/>
        <v>0.47918826704769074</v>
      </c>
      <c r="BE177" s="169">
        <f t="shared" si="17"/>
        <v>0.48638397975260023</v>
      </c>
      <c r="BF177" s="169">
        <f t="shared" si="17"/>
        <v>0.49402996465041471</v>
      </c>
      <c r="BG177" s="169">
        <f t="shared" si="17"/>
        <v>0.50183912501941208</v>
      </c>
      <c r="BH177" s="169">
        <f t="shared" si="17"/>
        <v>0.5089558844646721</v>
      </c>
      <c r="BI177" s="170">
        <f t="shared" ref="BI177" si="18">AVERAGE(BC177:BH177)</f>
        <v>0.49042465050377076</v>
      </c>
      <c r="BJ177" s="165"/>
    </row>
    <row r="178" spans="47:62" x14ac:dyDescent="0.35">
      <c r="AU178" s="165"/>
      <c r="AV178" s="165"/>
      <c r="AW178" s="165"/>
      <c r="AX178" s="165"/>
      <c r="AY178" s="165"/>
      <c r="AZ178" s="165"/>
      <c r="BA178" s="165"/>
      <c r="BB178" s="4"/>
      <c r="BC178" s="169"/>
      <c r="BD178" s="169"/>
      <c r="BE178" s="169"/>
      <c r="BF178" s="169"/>
      <c r="BG178" s="169"/>
      <c r="BH178" s="169"/>
      <c r="BI178" s="170"/>
      <c r="BJ178" s="165"/>
    </row>
    <row r="179" spans="47:62" x14ac:dyDescent="0.35">
      <c r="AU179" s="165"/>
      <c r="AV179" s="165"/>
      <c r="AW179" s="165"/>
      <c r="AX179" s="165"/>
      <c r="AY179" s="165"/>
      <c r="AZ179" s="165"/>
      <c r="BA179" s="165"/>
      <c r="BB179" s="4"/>
      <c r="BC179" s="169"/>
      <c r="BD179" s="169"/>
      <c r="BE179" s="169"/>
      <c r="BF179" s="169"/>
      <c r="BG179" s="169"/>
      <c r="BH179" s="169"/>
      <c r="BI179" s="170"/>
      <c r="BJ179" s="165"/>
    </row>
    <row r="180" spans="47:62" x14ac:dyDescent="0.35">
      <c r="AU180" s="165"/>
      <c r="AV180" s="165"/>
      <c r="AW180" s="165"/>
      <c r="AX180" s="165"/>
      <c r="AY180" s="165"/>
      <c r="AZ180" s="165"/>
      <c r="BA180" s="165"/>
      <c r="BJ180" s="165"/>
    </row>
    <row r="181" spans="47:62" x14ac:dyDescent="0.35">
      <c r="AU181" s="165"/>
      <c r="AV181" s="165"/>
      <c r="AW181" s="165"/>
      <c r="AX181" s="165"/>
      <c r="AY181" s="165"/>
      <c r="AZ181" s="165"/>
      <c r="BA181" s="165"/>
      <c r="BJ181" s="165"/>
    </row>
    <row r="182" spans="47:62" x14ac:dyDescent="0.35">
      <c r="AU182" s="165"/>
      <c r="AV182" s="165"/>
      <c r="AW182" s="165"/>
      <c r="AX182" s="165"/>
      <c r="AY182" s="165"/>
      <c r="AZ182" s="165"/>
      <c r="BA182" s="165"/>
      <c r="BJ182" s="165"/>
    </row>
    <row r="183" spans="47:62" x14ac:dyDescent="0.35">
      <c r="AU183" s="165"/>
      <c r="AV183" s="165"/>
      <c r="AW183" s="165"/>
      <c r="AX183" s="165"/>
      <c r="AY183" s="165"/>
      <c r="AZ183" s="165"/>
      <c r="BA183" s="165"/>
    </row>
  </sheetData>
  <pageMargins left="0.7" right="0.7" top="0.75" bottom="0.75" header="0.3" footer="0.3"/>
  <pageSetup orientation="portrait" horizontalDpi="1200" verticalDpi="12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B6683-AA90-4E41-A4CE-4F0A74C65456}">
  <dimension ref="A1:BK81"/>
  <sheetViews>
    <sheetView topLeftCell="I1" zoomScale="80" zoomScaleNormal="80" workbookViewId="0">
      <selection activeCell="AB13" sqref="AB13:AQ13"/>
    </sheetView>
  </sheetViews>
  <sheetFormatPr defaultColWidth="8.81640625" defaultRowHeight="14.5" x14ac:dyDescent="0.35"/>
  <cols>
    <col min="8" max="8" width="10.81640625" bestFit="1" customWidth="1"/>
    <col min="11" max="14" width="9.54296875" bestFit="1" customWidth="1"/>
  </cols>
  <sheetData>
    <row r="1" spans="1:63" x14ac:dyDescent="0.35">
      <c r="A1" s="2" t="s">
        <v>421</v>
      </c>
    </row>
    <row r="2" spans="1:63" x14ac:dyDescent="0.3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c r="AV2" s="25"/>
      <c r="AW2" s="25"/>
      <c r="BE2" s="19"/>
      <c r="BF2" s="19"/>
      <c r="BG2" s="19"/>
      <c r="BH2" s="19"/>
      <c r="BI2" s="19"/>
      <c r="BJ2" s="19"/>
      <c r="BK2" s="19"/>
    </row>
    <row r="3" spans="1:63" x14ac:dyDescent="0.35">
      <c r="B3" s="4" t="str">
        <f>Populations!$C$3</f>
        <v>FSW</v>
      </c>
      <c r="C3" s="159"/>
      <c r="D3" s="159"/>
      <c r="E3" s="159"/>
      <c r="F3" s="159"/>
      <c r="G3" s="159"/>
      <c r="H3" s="159"/>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6" t="s">
        <v>46</v>
      </c>
      <c r="AS3" s="14">
        <v>0</v>
      </c>
      <c r="AV3" s="19"/>
      <c r="AW3" s="19"/>
      <c r="BE3" s="19"/>
      <c r="BF3" s="19"/>
      <c r="BG3" s="19"/>
      <c r="BH3" s="19"/>
      <c r="BI3" s="19"/>
      <c r="BJ3" s="19"/>
      <c r="BK3" s="19"/>
    </row>
    <row r="4" spans="1:63" x14ac:dyDescent="0.35">
      <c r="B4" s="4" t="str">
        <f>Populations!$C$4</f>
        <v>Clients</v>
      </c>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6" t="s">
        <v>46</v>
      </c>
      <c r="AS4" s="14">
        <v>0</v>
      </c>
      <c r="AV4" s="19"/>
      <c r="AW4" s="19"/>
      <c r="BE4" s="19"/>
      <c r="BF4" s="19"/>
      <c r="BG4" s="19"/>
      <c r="BH4" s="19"/>
      <c r="BI4" s="19"/>
      <c r="BJ4" s="19"/>
      <c r="BK4" s="19"/>
    </row>
    <row r="5" spans="1:63" x14ac:dyDescent="0.35">
      <c r="B5" s="4" t="str">
        <f>Populations!$C$5</f>
        <v>MSM</v>
      </c>
      <c r="C5" s="159"/>
      <c r="D5" s="159"/>
      <c r="E5" s="159"/>
      <c r="F5" s="159"/>
      <c r="G5" s="159"/>
      <c r="H5" s="159"/>
      <c r="I5" s="159"/>
      <c r="J5" s="159"/>
      <c r="K5" s="159"/>
      <c r="L5" s="159"/>
      <c r="M5" s="159"/>
      <c r="N5" s="159"/>
      <c r="O5" s="159"/>
      <c r="P5" s="159"/>
      <c r="Q5" s="159"/>
      <c r="R5" s="159"/>
      <c r="S5" s="159"/>
      <c r="T5" s="159"/>
      <c r="U5" s="159"/>
      <c r="V5" s="159"/>
      <c r="W5" s="159"/>
      <c r="X5" s="159"/>
      <c r="Y5" s="159"/>
      <c r="Z5" s="159"/>
      <c r="AA5" s="159"/>
      <c r="AB5" s="159"/>
      <c r="AC5" s="159"/>
      <c r="AD5" s="159"/>
      <c r="AE5" s="159"/>
      <c r="AF5" s="159"/>
      <c r="AG5" s="159"/>
      <c r="AH5" s="159"/>
      <c r="AI5" s="159"/>
      <c r="AJ5" s="159"/>
      <c r="AK5" s="159"/>
      <c r="AL5" s="159"/>
      <c r="AM5" s="159"/>
      <c r="AN5" s="159"/>
      <c r="AO5" s="159"/>
      <c r="AP5" s="159"/>
      <c r="AQ5" s="159"/>
      <c r="AR5" s="6" t="s">
        <v>46</v>
      </c>
      <c r="AS5" s="14">
        <v>0</v>
      </c>
      <c r="AV5" s="19"/>
      <c r="AW5" s="19"/>
      <c r="BE5" s="19"/>
      <c r="BF5" s="19"/>
      <c r="BG5" s="19"/>
      <c r="BH5" s="19"/>
      <c r="BI5" s="19"/>
      <c r="BJ5" s="19"/>
      <c r="BK5" s="19"/>
    </row>
    <row r="6" spans="1:63" x14ac:dyDescent="0.35">
      <c r="B6" s="4" t="str">
        <f>Populations!$C$6</f>
        <v>Prisoners</v>
      </c>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159"/>
      <c r="AC6" s="159"/>
      <c r="AD6" s="159"/>
      <c r="AE6" s="159"/>
      <c r="AF6" s="159"/>
      <c r="AG6" s="159"/>
      <c r="AH6" s="159"/>
      <c r="AI6" s="159"/>
      <c r="AJ6" s="159"/>
      <c r="AK6" s="159"/>
      <c r="AL6" s="159"/>
      <c r="AM6" s="159"/>
      <c r="AN6" s="159"/>
      <c r="AO6" s="159"/>
      <c r="AP6" s="159"/>
      <c r="AQ6" s="159"/>
      <c r="AR6" s="6" t="s">
        <v>46</v>
      </c>
      <c r="AS6" s="14">
        <v>0</v>
      </c>
      <c r="AV6" s="19"/>
      <c r="AW6" s="19"/>
      <c r="BE6" s="19"/>
      <c r="BF6" s="19"/>
      <c r="BG6" s="19"/>
      <c r="BH6" s="19"/>
      <c r="BI6" s="19"/>
      <c r="BJ6" s="19"/>
      <c r="BK6" s="19"/>
    </row>
    <row r="7" spans="1:63" x14ac:dyDescent="0.35">
      <c r="B7" s="4" t="str">
        <f>Populations!$C$7</f>
        <v>F0-14</v>
      </c>
      <c r="C7" s="159"/>
      <c r="D7" s="159"/>
      <c r="E7" s="159"/>
      <c r="F7" s="159"/>
      <c r="G7" s="159"/>
      <c r="H7" s="159"/>
      <c r="I7" s="159"/>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6" t="s">
        <v>46</v>
      </c>
      <c r="AS7" s="14">
        <v>0</v>
      </c>
      <c r="AV7" s="19"/>
      <c r="AW7" s="19"/>
      <c r="BE7" s="19"/>
      <c r="BF7" s="19"/>
      <c r="BG7" s="19"/>
      <c r="BH7" s="19"/>
      <c r="BI7" s="19"/>
      <c r="BJ7" s="19"/>
      <c r="BK7" s="19"/>
    </row>
    <row r="8" spans="1:63" x14ac:dyDescent="0.35">
      <c r="B8" s="4" t="str">
        <f>Populations!$C$8</f>
        <v>M0-14</v>
      </c>
      <c r="C8" s="159"/>
      <c r="D8" s="159"/>
      <c r="E8" s="159"/>
      <c r="F8" s="159"/>
      <c r="G8" s="159"/>
      <c r="H8" s="159"/>
      <c r="I8" s="159"/>
      <c r="J8" s="159"/>
      <c r="K8" s="159"/>
      <c r="L8" s="159"/>
      <c r="M8" s="159"/>
      <c r="N8" s="159"/>
      <c r="O8" s="159"/>
      <c r="P8" s="159"/>
      <c r="Q8" s="159"/>
      <c r="R8" s="159"/>
      <c r="S8" s="159"/>
      <c r="T8" s="159"/>
      <c r="U8" s="159"/>
      <c r="V8" s="159"/>
      <c r="W8" s="159"/>
      <c r="X8" s="159"/>
      <c r="Y8" s="159"/>
      <c r="Z8" s="159"/>
      <c r="AA8" s="159"/>
      <c r="AB8" s="159"/>
      <c r="AC8" s="159"/>
      <c r="AD8" s="159"/>
      <c r="AE8" s="159"/>
      <c r="AF8" s="159"/>
      <c r="AG8" s="159"/>
      <c r="AH8" s="159"/>
      <c r="AI8" s="159"/>
      <c r="AJ8" s="159"/>
      <c r="AK8" s="159"/>
      <c r="AL8" s="159"/>
      <c r="AM8" s="159"/>
      <c r="AN8" s="159"/>
      <c r="AO8" s="159"/>
      <c r="AP8" s="159"/>
      <c r="AQ8" s="159"/>
      <c r="AR8" s="6" t="s">
        <v>46</v>
      </c>
      <c r="AS8" s="14">
        <v>0</v>
      </c>
      <c r="AV8" s="19"/>
      <c r="AW8" s="19"/>
      <c r="BE8" s="19"/>
      <c r="BF8" s="19"/>
      <c r="BG8" s="19"/>
      <c r="BH8" s="19"/>
      <c r="BI8" s="19"/>
      <c r="BJ8" s="19"/>
      <c r="BK8" s="19"/>
    </row>
    <row r="9" spans="1:63" x14ac:dyDescent="0.35">
      <c r="B9" s="4" t="str">
        <f>Populations!$C$9</f>
        <v>F15-19</v>
      </c>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6" t="s">
        <v>46</v>
      </c>
      <c r="AS9" s="14">
        <v>0</v>
      </c>
      <c r="AV9" s="19"/>
      <c r="AW9" s="19"/>
      <c r="BE9" s="19"/>
      <c r="BF9" s="19"/>
      <c r="BG9" s="19"/>
      <c r="BH9" s="19"/>
      <c r="BI9" s="19"/>
      <c r="BJ9" s="19"/>
      <c r="BK9" s="19"/>
    </row>
    <row r="10" spans="1:63" x14ac:dyDescent="0.35">
      <c r="B10" s="4" t="str">
        <f>Populations!$C$10</f>
        <v>M15-19</v>
      </c>
      <c r="C10" s="159"/>
      <c r="D10" s="159"/>
      <c r="E10" s="159"/>
      <c r="F10" s="159"/>
      <c r="G10" s="159"/>
      <c r="H10" s="159">
        <v>0.03</v>
      </c>
      <c r="I10" s="159">
        <v>0.03</v>
      </c>
      <c r="J10" s="159">
        <v>0.03</v>
      </c>
      <c r="K10" s="159">
        <v>0.03</v>
      </c>
      <c r="L10" s="159">
        <v>0.03</v>
      </c>
      <c r="M10" s="159">
        <v>0.03</v>
      </c>
      <c r="N10" s="159">
        <v>0.03</v>
      </c>
      <c r="O10" s="159">
        <v>0.03</v>
      </c>
      <c r="P10" s="159">
        <v>0.03</v>
      </c>
      <c r="Q10" s="159">
        <v>0.03</v>
      </c>
      <c r="R10" s="159">
        <v>0.03</v>
      </c>
      <c r="S10" s="159">
        <v>0.03</v>
      </c>
      <c r="T10" s="159">
        <v>0.02</v>
      </c>
      <c r="U10" s="159">
        <v>0.02</v>
      </c>
      <c r="V10" s="159">
        <v>0.03</v>
      </c>
      <c r="W10" s="159">
        <v>0.03</v>
      </c>
      <c r="X10" s="159">
        <v>0.03</v>
      </c>
      <c r="Y10" s="159">
        <v>0.03</v>
      </c>
      <c r="Z10" s="159">
        <v>0.03</v>
      </c>
      <c r="AA10" s="159">
        <v>0.03</v>
      </c>
      <c r="AB10" s="159">
        <v>0.03</v>
      </c>
      <c r="AC10" s="159">
        <v>0.03</v>
      </c>
      <c r="AD10" s="159">
        <v>0.03</v>
      </c>
      <c r="AE10" s="159">
        <v>0.03</v>
      </c>
      <c r="AF10" s="159">
        <v>0.03</v>
      </c>
      <c r="AG10" s="159">
        <v>0.03</v>
      </c>
      <c r="AH10" s="159">
        <v>0.03</v>
      </c>
      <c r="AI10" s="159">
        <v>0.04</v>
      </c>
      <c r="AJ10" s="159">
        <v>0.04</v>
      </c>
      <c r="AK10" s="159">
        <v>0.04</v>
      </c>
      <c r="AL10" s="159">
        <v>0.04</v>
      </c>
      <c r="AM10" s="159">
        <v>0.04</v>
      </c>
      <c r="AN10" s="159">
        <v>0.04</v>
      </c>
      <c r="AO10" s="159">
        <v>0.04</v>
      </c>
      <c r="AP10" s="159">
        <v>0.04</v>
      </c>
      <c r="AQ10" s="159">
        <v>0.04</v>
      </c>
      <c r="AR10" s="6" t="s">
        <v>46</v>
      </c>
      <c r="AS10" s="14"/>
      <c r="AV10" s="19"/>
      <c r="AW10" s="19"/>
      <c r="BE10" s="19"/>
      <c r="BF10" s="19"/>
      <c r="BG10" s="19"/>
      <c r="BH10" s="19"/>
      <c r="BI10" s="19"/>
      <c r="BJ10" s="19"/>
      <c r="BK10" s="19"/>
    </row>
    <row r="11" spans="1:63" x14ac:dyDescent="0.35">
      <c r="B11" s="4" t="str">
        <f>Populations!$C$11</f>
        <v>F20-24</v>
      </c>
      <c r="C11" s="159"/>
      <c r="D11" s="159"/>
      <c r="E11" s="159"/>
      <c r="F11" s="159"/>
      <c r="G11" s="159"/>
      <c r="H11" s="159"/>
      <c r="I11" s="159"/>
      <c r="J11" s="159"/>
      <c r="K11" s="159"/>
      <c r="L11" s="159"/>
      <c r="M11" s="159"/>
      <c r="N11" s="159"/>
      <c r="O11" s="159"/>
      <c r="P11" s="159"/>
      <c r="Q11" s="159"/>
      <c r="R11" s="159"/>
      <c r="S11" s="159"/>
      <c r="T11" s="159"/>
      <c r="U11" s="159"/>
      <c r="V11" s="159"/>
      <c r="W11" s="159"/>
      <c r="X11" s="159"/>
      <c r="Y11" s="159"/>
      <c r="Z11" s="159"/>
      <c r="AA11" s="159"/>
      <c r="AB11" s="159">
        <v>0.02</v>
      </c>
      <c r="AC11" s="159">
        <v>0.02</v>
      </c>
      <c r="AD11" s="159">
        <v>0.02</v>
      </c>
      <c r="AE11" s="159">
        <v>0.02</v>
      </c>
      <c r="AF11" s="159">
        <v>0.02</v>
      </c>
      <c r="AG11" s="159">
        <v>0.02</v>
      </c>
      <c r="AH11" s="159"/>
      <c r="AI11" s="159"/>
      <c r="AJ11" s="159"/>
      <c r="AK11" s="159"/>
      <c r="AL11" s="159"/>
      <c r="AM11" s="159"/>
      <c r="AN11" s="159"/>
      <c r="AO11" s="159"/>
      <c r="AP11" s="159"/>
      <c r="AQ11" s="159"/>
      <c r="AR11" s="6" t="s">
        <v>46</v>
      </c>
      <c r="AS11" s="14">
        <v>0</v>
      </c>
      <c r="AV11" s="19"/>
      <c r="AW11" s="19"/>
      <c r="BE11" s="19"/>
      <c r="BF11" s="19"/>
      <c r="BG11" s="19"/>
      <c r="BH11" s="19"/>
      <c r="BI11" s="19"/>
      <c r="BJ11" s="19"/>
      <c r="BK11" s="19"/>
    </row>
    <row r="12" spans="1:63" x14ac:dyDescent="0.35">
      <c r="B12" s="4" t="str">
        <f>Populations!$C$12</f>
        <v>M20-24</v>
      </c>
      <c r="C12" s="159"/>
      <c r="D12" s="159"/>
      <c r="E12" s="159"/>
      <c r="F12" s="159"/>
      <c r="G12" s="159"/>
      <c r="H12" s="159">
        <v>0.03</v>
      </c>
      <c r="I12" s="159">
        <v>0.03</v>
      </c>
      <c r="J12" s="159">
        <v>0.03</v>
      </c>
      <c r="K12" s="159">
        <v>0.03</v>
      </c>
      <c r="L12" s="159">
        <v>0.03</v>
      </c>
      <c r="M12" s="159">
        <v>0.02</v>
      </c>
      <c r="N12" s="159">
        <v>0.02</v>
      </c>
      <c r="O12" s="159">
        <v>0.02</v>
      </c>
      <c r="P12" s="159">
        <v>0.02</v>
      </c>
      <c r="Q12" s="159">
        <v>0.02</v>
      </c>
      <c r="R12" s="159">
        <v>0.02</v>
      </c>
      <c r="S12" s="159">
        <v>0.02</v>
      </c>
      <c r="T12" s="159">
        <v>0.02</v>
      </c>
      <c r="U12" s="159">
        <v>0.02</v>
      </c>
      <c r="V12" s="159">
        <v>0.02</v>
      </c>
      <c r="W12" s="159">
        <v>0.02</v>
      </c>
      <c r="X12" s="159">
        <v>0.02</v>
      </c>
      <c r="Y12" s="159">
        <v>0.02</v>
      </c>
      <c r="Z12" s="159">
        <v>0.02</v>
      </c>
      <c r="AA12" s="159">
        <v>0.02</v>
      </c>
      <c r="AB12" s="159">
        <v>0.02</v>
      </c>
      <c r="AC12" s="159">
        <v>0.02</v>
      </c>
      <c r="AD12" s="159">
        <v>0.02</v>
      </c>
      <c r="AE12" s="159">
        <v>0.02</v>
      </c>
      <c r="AF12" s="159">
        <v>0.02</v>
      </c>
      <c r="AG12" s="159">
        <v>0.02</v>
      </c>
      <c r="AH12" s="159">
        <v>0.02</v>
      </c>
      <c r="AI12" s="159">
        <v>0.02</v>
      </c>
      <c r="AJ12" s="159">
        <v>0.02</v>
      </c>
      <c r="AK12" s="159">
        <v>0.02</v>
      </c>
      <c r="AL12" s="159">
        <v>0.02</v>
      </c>
      <c r="AM12" s="159">
        <v>0.02</v>
      </c>
      <c r="AN12" s="159">
        <v>0.02</v>
      </c>
      <c r="AO12" s="159">
        <v>0.02</v>
      </c>
      <c r="AP12" s="159">
        <v>0.02</v>
      </c>
      <c r="AQ12" s="159">
        <v>0.02</v>
      </c>
      <c r="AR12" s="6" t="s">
        <v>46</v>
      </c>
      <c r="AS12" s="14">
        <v>0</v>
      </c>
      <c r="AV12" s="19"/>
      <c r="AW12" s="19"/>
      <c r="BE12" s="19"/>
      <c r="BF12" s="19"/>
      <c r="BG12" s="19"/>
      <c r="BH12" s="19"/>
      <c r="BI12" s="19"/>
      <c r="BJ12" s="19"/>
      <c r="BK12" s="19"/>
    </row>
    <row r="13" spans="1:63" x14ac:dyDescent="0.35">
      <c r="B13" s="4" t="str">
        <f>Populations!$C$13</f>
        <v>F25-34</v>
      </c>
      <c r="C13" s="159"/>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v>5.0000000000000001E-3</v>
      </c>
      <c r="AC13" s="159">
        <v>5.0000000000000001E-3</v>
      </c>
      <c r="AD13" s="159">
        <v>5.0000000000000001E-3</v>
      </c>
      <c r="AE13" s="159">
        <v>5.0000000000000001E-3</v>
      </c>
      <c r="AF13" s="159">
        <v>5.0000000000000001E-3</v>
      </c>
      <c r="AG13" s="159">
        <v>5.0000000000000001E-3</v>
      </c>
      <c r="AH13" s="159">
        <v>5.0000000000000001E-3</v>
      </c>
      <c r="AI13" s="159">
        <v>5.0000000000000001E-3</v>
      </c>
      <c r="AJ13" s="159">
        <v>5.0000000000000001E-3</v>
      </c>
      <c r="AK13" s="159">
        <v>5.0000000000000001E-3</v>
      </c>
      <c r="AL13" s="159">
        <v>5.0000000000000001E-3</v>
      </c>
      <c r="AM13" s="159">
        <v>5.0000000000000001E-3</v>
      </c>
      <c r="AN13" s="159">
        <v>5.0000000000000001E-3</v>
      </c>
      <c r="AO13" s="159">
        <v>5.0000000000000001E-3</v>
      </c>
      <c r="AP13" s="159">
        <v>5.0000000000000001E-3</v>
      </c>
      <c r="AQ13" s="159">
        <v>5.0000000000000001E-3</v>
      </c>
      <c r="AR13" s="6" t="s">
        <v>46</v>
      </c>
      <c r="AS13" s="14"/>
      <c r="AV13" s="19"/>
      <c r="AW13" s="19"/>
      <c r="BE13" s="19"/>
      <c r="BF13" s="19"/>
      <c r="BG13" s="19"/>
      <c r="BH13" s="19"/>
      <c r="BI13" s="19"/>
      <c r="BJ13" s="19"/>
      <c r="BK13" s="19"/>
    </row>
    <row r="14" spans="1:63" x14ac:dyDescent="0.35">
      <c r="B14" s="4" t="str">
        <f>Populations!$C$14</f>
        <v>M25-34</v>
      </c>
      <c r="C14" s="159"/>
      <c r="D14" s="159"/>
      <c r="E14" s="159"/>
      <c r="F14" s="159"/>
      <c r="G14" s="159"/>
      <c r="H14" s="159"/>
      <c r="I14" s="159"/>
      <c r="J14" s="159"/>
      <c r="K14" s="159"/>
      <c r="L14" s="159"/>
      <c r="M14" s="159">
        <v>0.02</v>
      </c>
      <c r="N14" s="159">
        <v>0.02</v>
      </c>
      <c r="O14" s="159">
        <v>0.02</v>
      </c>
      <c r="P14" s="159">
        <v>0.02</v>
      </c>
      <c r="Q14" s="159">
        <v>0.02</v>
      </c>
      <c r="R14" s="159">
        <v>0.02</v>
      </c>
      <c r="S14" s="159">
        <v>0.02</v>
      </c>
      <c r="T14" s="159">
        <v>0.02</v>
      </c>
      <c r="U14" s="159">
        <v>0.02</v>
      </c>
      <c r="V14" s="159">
        <v>0.02</v>
      </c>
      <c r="W14" s="159">
        <v>0.03</v>
      </c>
      <c r="X14" s="159">
        <v>0.03</v>
      </c>
      <c r="Y14" s="159">
        <v>0.03</v>
      </c>
      <c r="Z14" s="159">
        <v>0.03</v>
      </c>
      <c r="AA14" s="159">
        <v>0.03</v>
      </c>
      <c r="AB14" s="159">
        <v>0.03</v>
      </c>
      <c r="AC14" s="159">
        <v>0.03</v>
      </c>
      <c r="AD14" s="159">
        <v>0.03</v>
      </c>
      <c r="AE14" s="159">
        <v>0.03</v>
      </c>
      <c r="AF14" s="159">
        <v>0.03</v>
      </c>
      <c r="AG14" s="159">
        <v>0.03</v>
      </c>
      <c r="AH14" s="159">
        <v>0.03</v>
      </c>
      <c r="AI14" s="159">
        <v>0.03</v>
      </c>
      <c r="AJ14" s="159">
        <v>0.03</v>
      </c>
      <c r="AK14" s="159">
        <v>0.03</v>
      </c>
      <c r="AL14" s="159">
        <v>0.03</v>
      </c>
      <c r="AM14" s="159">
        <v>0.03</v>
      </c>
      <c r="AN14" s="159">
        <v>0.03</v>
      </c>
      <c r="AO14" s="159">
        <v>0.03</v>
      </c>
      <c r="AP14" s="159">
        <v>0.03</v>
      </c>
      <c r="AQ14" s="159">
        <v>0.03</v>
      </c>
      <c r="AR14" s="6" t="s">
        <v>46</v>
      </c>
      <c r="AS14" s="14"/>
      <c r="AV14" s="19"/>
      <c r="AW14" s="19"/>
      <c r="BE14" s="19"/>
      <c r="BF14" s="19"/>
      <c r="BG14" s="19"/>
      <c r="BH14" s="19"/>
      <c r="BI14" s="19"/>
      <c r="BJ14" s="19"/>
      <c r="BK14" s="19"/>
    </row>
    <row r="15" spans="1:63" x14ac:dyDescent="0.35">
      <c r="B15" s="4" t="str">
        <f>Populations!$C$15</f>
        <v>F35-49</v>
      </c>
      <c r="C15" s="159"/>
      <c r="D15" s="159"/>
      <c r="E15" s="159"/>
      <c r="F15" s="159"/>
      <c r="G15" s="159"/>
      <c r="H15" s="159"/>
      <c r="I15" s="159"/>
      <c r="J15" s="159"/>
      <c r="K15" s="159"/>
      <c r="L15" s="159"/>
      <c r="M15" s="159"/>
      <c r="N15" s="159"/>
      <c r="O15" s="159"/>
      <c r="P15" s="159"/>
      <c r="Q15" s="159"/>
      <c r="R15" s="159"/>
      <c r="S15" s="159"/>
      <c r="T15" s="159"/>
      <c r="U15" s="159"/>
      <c r="V15" s="159"/>
      <c r="W15" s="159"/>
      <c r="X15" s="159"/>
      <c r="Y15" s="159"/>
      <c r="Z15" s="159"/>
      <c r="AA15" s="159"/>
      <c r="AB15" s="159"/>
      <c r="AC15" s="159"/>
      <c r="AD15" s="159"/>
      <c r="AE15" s="159"/>
      <c r="AF15" s="159"/>
      <c r="AG15" s="159"/>
      <c r="AH15" s="159"/>
      <c r="AI15" s="159"/>
      <c r="AJ15" s="159"/>
      <c r="AK15" s="159"/>
      <c r="AL15" s="159"/>
      <c r="AM15" s="159"/>
      <c r="AN15" s="159"/>
      <c r="AO15" s="159"/>
      <c r="AP15" s="159"/>
      <c r="AQ15" s="159"/>
      <c r="AR15" s="6" t="s">
        <v>46</v>
      </c>
      <c r="AS15" s="14">
        <v>0</v>
      </c>
      <c r="AV15" s="19"/>
      <c r="AW15" s="19"/>
      <c r="BE15" s="19"/>
      <c r="BF15" s="19"/>
      <c r="BG15" s="19"/>
      <c r="BH15" s="19"/>
      <c r="BI15" s="19"/>
      <c r="BJ15" s="19"/>
      <c r="BK15" s="19"/>
    </row>
    <row r="16" spans="1:63" x14ac:dyDescent="0.35">
      <c r="B16" s="4" t="str">
        <f>Populations!$C$16</f>
        <v>M35-49</v>
      </c>
      <c r="C16" s="159"/>
      <c r="D16" s="159"/>
      <c r="E16" s="159"/>
      <c r="F16" s="159"/>
      <c r="G16" s="159"/>
      <c r="H16" s="159"/>
      <c r="I16" s="159"/>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159"/>
      <c r="AJ16" s="159"/>
      <c r="AK16" s="159"/>
      <c r="AL16" s="159"/>
      <c r="AM16" s="159"/>
      <c r="AN16" s="159"/>
      <c r="AO16" s="159"/>
      <c r="AP16" s="159"/>
      <c r="AQ16" s="159"/>
      <c r="AR16" s="6" t="s">
        <v>46</v>
      </c>
      <c r="AS16" s="14">
        <v>0</v>
      </c>
      <c r="AV16" s="19"/>
      <c r="AW16" s="19"/>
      <c r="BE16" s="19"/>
      <c r="BF16" s="19"/>
      <c r="BG16" s="19"/>
      <c r="BH16" s="19"/>
      <c r="BI16" s="19"/>
      <c r="BJ16" s="19"/>
      <c r="BK16" s="19"/>
    </row>
    <row r="17" spans="1:63" x14ac:dyDescent="0.35">
      <c r="B17" s="4" t="str">
        <f>Populations!$C$17</f>
        <v>F50+</v>
      </c>
      <c r="C17" s="159"/>
      <c r="D17" s="159"/>
      <c r="E17" s="159"/>
      <c r="F17" s="159"/>
      <c r="G17" s="159"/>
      <c r="H17" s="159"/>
      <c r="I17" s="159"/>
      <c r="J17" s="159"/>
      <c r="K17" s="159"/>
      <c r="L17" s="159"/>
      <c r="M17" s="159"/>
      <c r="N17" s="159"/>
      <c r="O17" s="159"/>
      <c r="P17" s="159"/>
      <c r="Q17" s="159"/>
      <c r="R17" s="159"/>
      <c r="S17" s="159"/>
      <c r="T17" s="159"/>
      <c r="U17" s="159"/>
      <c r="V17" s="159"/>
      <c r="W17" s="159"/>
      <c r="X17" s="159"/>
      <c r="Y17" s="159"/>
      <c r="Z17" s="159"/>
      <c r="AA17" s="159"/>
      <c r="AB17" s="159"/>
      <c r="AC17" s="159"/>
      <c r="AD17" s="159"/>
      <c r="AE17" s="159"/>
      <c r="AF17" s="159"/>
      <c r="AG17" s="159"/>
      <c r="AH17" s="159"/>
      <c r="AI17" s="159"/>
      <c r="AJ17" s="159"/>
      <c r="AK17" s="159"/>
      <c r="AL17" s="159"/>
      <c r="AM17" s="159"/>
      <c r="AN17" s="159"/>
      <c r="AO17" s="159"/>
      <c r="AP17" s="159"/>
      <c r="AQ17" s="159"/>
      <c r="AR17" s="6" t="s">
        <v>46</v>
      </c>
      <c r="AS17" s="14">
        <v>0</v>
      </c>
      <c r="AV17" s="19"/>
      <c r="AW17" s="19"/>
      <c r="BE17" s="19"/>
      <c r="BF17" s="19"/>
      <c r="BG17" s="19"/>
      <c r="BH17" s="19"/>
      <c r="BI17" s="19"/>
      <c r="BJ17" s="19"/>
      <c r="BK17" s="19"/>
    </row>
    <row r="18" spans="1:63" x14ac:dyDescent="0.35">
      <c r="B18" s="4" t="str">
        <f>Populations!$C$18</f>
        <v>M50+</v>
      </c>
      <c r="C18" s="159"/>
      <c r="D18" s="159"/>
      <c r="E18" s="159"/>
      <c r="F18" s="159"/>
      <c r="G18" s="159"/>
      <c r="H18" s="159"/>
      <c r="I18" s="159"/>
      <c r="J18" s="159"/>
      <c r="K18" s="159"/>
      <c r="L18" s="159"/>
      <c r="M18" s="159"/>
      <c r="N18" s="159"/>
      <c r="O18" s="159"/>
      <c r="P18" s="159"/>
      <c r="Q18" s="159"/>
      <c r="R18" s="159"/>
      <c r="S18" s="159"/>
      <c r="T18" s="159"/>
      <c r="U18" s="159"/>
      <c r="V18" s="159"/>
      <c r="W18" s="159"/>
      <c r="X18" s="159"/>
      <c r="Y18" s="159"/>
      <c r="Z18" s="159"/>
      <c r="AA18" s="159"/>
      <c r="AB18" s="159"/>
      <c r="AC18" s="159"/>
      <c r="AD18" s="159"/>
      <c r="AE18" s="159"/>
      <c r="AF18" s="159"/>
      <c r="AG18" s="159"/>
      <c r="AH18" s="159"/>
      <c r="AI18" s="159"/>
      <c r="AJ18" s="159"/>
      <c r="AK18" s="159"/>
      <c r="AL18" s="159"/>
      <c r="AM18" s="159"/>
      <c r="AN18" s="159"/>
      <c r="AO18" s="159"/>
      <c r="AP18" s="159"/>
      <c r="AQ18" s="159"/>
      <c r="AR18" s="6" t="s">
        <v>46</v>
      </c>
      <c r="AS18" s="14">
        <v>0</v>
      </c>
      <c r="BE18" s="19"/>
      <c r="BF18" s="19"/>
      <c r="BG18" s="19"/>
      <c r="BH18" s="19"/>
      <c r="BI18" s="19"/>
      <c r="BJ18" s="19"/>
      <c r="BK18" s="19"/>
    </row>
    <row r="22" spans="1:63" x14ac:dyDescent="0.35">
      <c r="A22" s="2" t="s">
        <v>422</v>
      </c>
    </row>
    <row r="23" spans="1:63" x14ac:dyDescent="0.35">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4" t="s">
        <v>44</v>
      </c>
      <c r="AV23" s="25"/>
      <c r="AW23" s="25"/>
      <c r="BE23" s="19"/>
      <c r="BF23" s="19"/>
      <c r="BG23" s="19"/>
      <c r="BH23" s="19"/>
      <c r="BI23" s="19"/>
      <c r="BJ23" s="19"/>
      <c r="BK23" s="19"/>
    </row>
    <row r="24" spans="1:63" x14ac:dyDescent="0.35">
      <c r="B24" s="4" t="str">
        <f>Populations!$C$3</f>
        <v>FSW</v>
      </c>
      <c r="C24" s="159"/>
      <c r="D24" s="159"/>
      <c r="E24" s="159"/>
      <c r="F24" s="159"/>
      <c r="G24" s="159"/>
      <c r="H24" s="159"/>
      <c r="I24" s="159"/>
      <c r="J24" s="159"/>
      <c r="K24" s="159"/>
      <c r="L24" s="159"/>
      <c r="M24" s="159"/>
      <c r="N24" s="159"/>
      <c r="O24" s="159"/>
      <c r="P24" s="159"/>
      <c r="Q24" s="159"/>
      <c r="R24" s="159"/>
      <c r="S24" s="159"/>
      <c r="T24" s="159"/>
      <c r="U24" s="159"/>
      <c r="V24" s="159"/>
      <c r="W24" s="159"/>
      <c r="X24" s="159"/>
      <c r="Y24" s="159"/>
      <c r="Z24" s="159"/>
      <c r="AA24" s="159"/>
      <c r="AB24" s="159"/>
      <c r="AC24" s="159"/>
      <c r="AD24" s="159"/>
      <c r="AE24" s="159"/>
      <c r="AF24" s="159"/>
      <c r="AG24" s="159"/>
      <c r="AH24" s="159"/>
      <c r="AI24" s="159"/>
      <c r="AJ24" s="159"/>
      <c r="AK24" s="159"/>
      <c r="AL24" s="159"/>
      <c r="AM24" s="159"/>
      <c r="AN24" s="159"/>
      <c r="AO24" s="159"/>
      <c r="AP24" s="159"/>
      <c r="AQ24" s="159"/>
      <c r="AR24" s="6" t="s">
        <v>46</v>
      </c>
      <c r="AS24" s="36">
        <v>0</v>
      </c>
      <c r="AV24" s="19"/>
      <c r="AW24" s="19"/>
      <c r="BE24" s="19"/>
      <c r="BF24" s="19"/>
      <c r="BG24" s="19"/>
      <c r="BH24" s="19"/>
      <c r="BI24" s="19"/>
      <c r="BJ24" s="19"/>
      <c r="BK24" s="19"/>
    </row>
    <row r="25" spans="1:63" x14ac:dyDescent="0.35">
      <c r="B25" s="4" t="str">
        <f>Populations!$C$4</f>
        <v>Clients</v>
      </c>
      <c r="C25" s="159"/>
      <c r="D25" s="159"/>
      <c r="E25" s="159"/>
      <c r="F25" s="159"/>
      <c r="G25" s="159"/>
      <c r="H25" s="159"/>
      <c r="I25" s="159"/>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59"/>
      <c r="AN25" s="159"/>
      <c r="AO25" s="159"/>
      <c r="AP25" s="159"/>
      <c r="AQ25" s="159"/>
      <c r="AR25" s="6" t="s">
        <v>46</v>
      </c>
      <c r="AS25" s="36">
        <v>0</v>
      </c>
      <c r="AV25" s="19"/>
      <c r="AW25" s="19"/>
      <c r="BE25" s="19"/>
      <c r="BF25" s="19"/>
      <c r="BG25" s="19"/>
      <c r="BH25" s="19"/>
      <c r="BI25" s="19"/>
      <c r="BJ25" s="19"/>
      <c r="BK25" s="19"/>
    </row>
    <row r="26" spans="1:63" x14ac:dyDescent="0.35">
      <c r="B26" s="4" t="str">
        <f>Populations!$C$5</f>
        <v>MSM</v>
      </c>
      <c r="C26" s="159"/>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59"/>
      <c r="AR26" s="6" t="s">
        <v>46</v>
      </c>
      <c r="AS26" s="36">
        <v>0</v>
      </c>
      <c r="AV26" s="19"/>
      <c r="AW26" s="19"/>
      <c r="BE26" s="19"/>
      <c r="BF26" s="19"/>
      <c r="BG26" s="19"/>
      <c r="BH26" s="19"/>
      <c r="BI26" s="19"/>
      <c r="BJ26" s="19"/>
      <c r="BK26" s="19"/>
    </row>
    <row r="27" spans="1:63" x14ac:dyDescent="0.35">
      <c r="B27" s="4" t="str">
        <f>Populations!$C$6</f>
        <v>Prisoners</v>
      </c>
      <c r="C27" s="159"/>
      <c r="D27" s="159"/>
      <c r="E27" s="159"/>
      <c r="F27" s="159"/>
      <c r="G27" s="159"/>
      <c r="H27" s="159"/>
      <c r="I27" s="159"/>
      <c r="J27" s="159"/>
      <c r="K27" s="159"/>
      <c r="L27" s="159"/>
      <c r="M27" s="159"/>
      <c r="N27" s="159"/>
      <c r="O27" s="159"/>
      <c r="P27" s="159"/>
      <c r="Q27" s="159"/>
      <c r="R27" s="159"/>
      <c r="S27" s="159"/>
      <c r="T27" s="159"/>
      <c r="U27" s="159"/>
      <c r="V27" s="159"/>
      <c r="W27" s="159"/>
      <c r="X27" s="159"/>
      <c r="Y27" s="159"/>
      <c r="Z27" s="159"/>
      <c r="AA27" s="159"/>
      <c r="AB27" s="159"/>
      <c r="AC27" s="159"/>
      <c r="AD27" s="159"/>
      <c r="AE27" s="159"/>
      <c r="AF27" s="159"/>
      <c r="AG27" s="159"/>
      <c r="AH27" s="159"/>
      <c r="AI27" s="159"/>
      <c r="AJ27" s="159"/>
      <c r="AK27" s="159"/>
      <c r="AL27" s="159"/>
      <c r="AM27" s="159"/>
      <c r="AN27" s="159"/>
      <c r="AO27" s="159"/>
      <c r="AP27" s="159"/>
      <c r="AQ27" s="159"/>
      <c r="AR27" s="6" t="s">
        <v>46</v>
      </c>
      <c r="AS27" s="36">
        <v>0</v>
      </c>
      <c r="AV27" s="19"/>
      <c r="AW27" s="19"/>
      <c r="BE27" s="19"/>
      <c r="BF27" s="19"/>
      <c r="BG27" s="19"/>
      <c r="BH27" s="19"/>
      <c r="BI27" s="19"/>
      <c r="BJ27" s="19"/>
      <c r="BK27" s="19"/>
    </row>
    <row r="28" spans="1:63" x14ac:dyDescent="0.35">
      <c r="B28" s="4" t="str">
        <f>Populations!$C$7</f>
        <v>F0-14</v>
      </c>
      <c r="C28" s="159"/>
      <c r="D28" s="159"/>
      <c r="E28" s="159"/>
      <c r="F28" s="159"/>
      <c r="G28" s="159"/>
      <c r="H28" s="159"/>
      <c r="I28" s="159"/>
      <c r="J28" s="159"/>
      <c r="K28" s="159"/>
      <c r="L28" s="159"/>
      <c r="M28" s="159"/>
      <c r="N28" s="159"/>
      <c r="O28" s="159"/>
      <c r="P28" s="159"/>
      <c r="Q28" s="159"/>
      <c r="R28" s="159"/>
      <c r="S28" s="159"/>
      <c r="T28" s="159"/>
      <c r="U28" s="159"/>
      <c r="V28" s="159"/>
      <c r="W28" s="159"/>
      <c r="X28" s="159"/>
      <c r="Y28" s="159"/>
      <c r="Z28" s="159"/>
      <c r="AA28" s="159"/>
      <c r="AB28" s="159"/>
      <c r="AC28" s="159"/>
      <c r="AD28" s="159"/>
      <c r="AE28" s="159"/>
      <c r="AF28" s="159"/>
      <c r="AG28" s="159"/>
      <c r="AH28" s="159"/>
      <c r="AI28" s="159"/>
      <c r="AJ28" s="159"/>
      <c r="AK28" s="159"/>
      <c r="AL28" s="159"/>
      <c r="AM28" s="159"/>
      <c r="AN28" s="159"/>
      <c r="AO28" s="159"/>
      <c r="AP28" s="159"/>
      <c r="AQ28" s="159"/>
      <c r="AR28" s="6" t="s">
        <v>46</v>
      </c>
      <c r="AS28" s="36">
        <v>0</v>
      </c>
      <c r="AV28" s="19"/>
      <c r="AW28" s="19"/>
      <c r="BE28" s="19"/>
      <c r="BF28" s="19"/>
      <c r="BG28" s="19"/>
      <c r="BH28" s="19"/>
      <c r="BI28" s="19"/>
      <c r="BJ28" s="19"/>
      <c r="BK28" s="19"/>
    </row>
    <row r="29" spans="1:63" x14ac:dyDescent="0.35">
      <c r="B29" s="4" t="str">
        <f>Populations!$C$8</f>
        <v>M0-14</v>
      </c>
      <c r="C29" s="159"/>
      <c r="D29" s="159"/>
      <c r="E29" s="159"/>
      <c r="F29" s="159"/>
      <c r="G29" s="159"/>
      <c r="H29" s="159"/>
      <c r="I29" s="159"/>
      <c r="J29" s="159"/>
      <c r="K29" s="159"/>
      <c r="L29" s="159"/>
      <c r="M29" s="159"/>
      <c r="N29" s="159"/>
      <c r="O29" s="159"/>
      <c r="P29" s="159"/>
      <c r="Q29" s="159"/>
      <c r="R29" s="159"/>
      <c r="S29" s="159"/>
      <c r="T29" s="159"/>
      <c r="U29" s="159"/>
      <c r="V29" s="159"/>
      <c r="W29" s="159"/>
      <c r="X29" s="159"/>
      <c r="Y29" s="159"/>
      <c r="Z29" s="159"/>
      <c r="AA29" s="159"/>
      <c r="AB29" s="159"/>
      <c r="AC29" s="159"/>
      <c r="AD29" s="159"/>
      <c r="AE29" s="159"/>
      <c r="AF29" s="159"/>
      <c r="AG29" s="159"/>
      <c r="AH29" s="159"/>
      <c r="AI29" s="159"/>
      <c r="AJ29" s="159"/>
      <c r="AK29" s="159"/>
      <c r="AL29" s="159"/>
      <c r="AM29" s="159"/>
      <c r="AN29" s="159"/>
      <c r="AO29" s="159"/>
      <c r="AP29" s="159"/>
      <c r="AQ29" s="159"/>
      <c r="AR29" s="6" t="s">
        <v>46</v>
      </c>
      <c r="AS29" s="36">
        <v>0</v>
      </c>
      <c r="AV29" s="19"/>
      <c r="AW29" s="19"/>
      <c r="BE29" s="19"/>
      <c r="BF29" s="19"/>
      <c r="BG29" s="19"/>
      <c r="BH29" s="19"/>
      <c r="BI29" s="19"/>
      <c r="BJ29" s="19"/>
      <c r="BK29" s="19"/>
    </row>
    <row r="30" spans="1:63" x14ac:dyDescent="0.35">
      <c r="B30" s="4" t="str">
        <f>Populations!$C$9</f>
        <v>F15-19</v>
      </c>
      <c r="C30" s="159"/>
      <c r="D30" s="159"/>
      <c r="E30" s="159"/>
      <c r="F30" s="159"/>
      <c r="G30" s="159"/>
      <c r="H30" s="159"/>
      <c r="I30" s="159"/>
      <c r="J30" s="159"/>
      <c r="K30" s="159"/>
      <c r="L30" s="159"/>
      <c r="M30" s="159"/>
      <c r="N30" s="159"/>
      <c r="O30" s="159"/>
      <c r="P30" s="159"/>
      <c r="Q30" s="159"/>
      <c r="R30" s="159"/>
      <c r="S30" s="159"/>
      <c r="T30" s="159"/>
      <c r="U30" s="159"/>
      <c r="V30" s="159"/>
      <c r="W30" s="159"/>
      <c r="X30" s="159"/>
      <c r="Y30" s="159"/>
      <c r="Z30" s="159"/>
      <c r="AA30" s="159"/>
      <c r="AB30" s="159"/>
      <c r="AC30" s="159"/>
      <c r="AD30" s="159"/>
      <c r="AE30" s="159"/>
      <c r="AF30" s="159"/>
      <c r="AG30" s="159"/>
      <c r="AH30" s="159"/>
      <c r="AI30" s="159"/>
      <c r="AJ30" s="159"/>
      <c r="AK30" s="159"/>
      <c r="AL30" s="159"/>
      <c r="AM30" s="159"/>
      <c r="AN30" s="159"/>
      <c r="AO30" s="159"/>
      <c r="AP30" s="159"/>
      <c r="AQ30" s="159"/>
      <c r="AR30" s="6" t="s">
        <v>46</v>
      </c>
      <c r="AS30" s="36">
        <v>0</v>
      </c>
      <c r="AV30" s="19"/>
      <c r="AW30" s="19"/>
      <c r="BE30" s="19"/>
      <c r="BF30" s="19"/>
      <c r="BG30" s="19"/>
      <c r="BH30" s="19"/>
      <c r="BI30" s="19"/>
      <c r="BJ30" s="19"/>
      <c r="BK30" s="19"/>
    </row>
    <row r="31" spans="1:63" x14ac:dyDescent="0.35">
      <c r="B31" s="4" t="str">
        <f>Populations!$C$10</f>
        <v>M15-19</v>
      </c>
      <c r="C31" s="159"/>
      <c r="D31" s="159"/>
      <c r="E31" s="159"/>
      <c r="F31" s="159"/>
      <c r="G31" s="159"/>
      <c r="H31" s="159"/>
      <c r="I31" s="159"/>
      <c r="J31" s="159"/>
      <c r="K31" s="159"/>
      <c r="L31" s="159"/>
      <c r="M31" s="159"/>
      <c r="N31" s="159"/>
      <c r="O31" s="159"/>
      <c r="P31" s="159"/>
      <c r="Q31" s="159"/>
      <c r="R31" s="159"/>
      <c r="S31" s="159"/>
      <c r="T31" s="159"/>
      <c r="U31" s="159"/>
      <c r="V31" s="159"/>
      <c r="W31" s="159"/>
      <c r="X31" s="159"/>
      <c r="Y31" s="159"/>
      <c r="Z31" s="159"/>
      <c r="AA31" s="159"/>
      <c r="AB31" s="159"/>
      <c r="AC31" s="159"/>
      <c r="AD31" s="159"/>
      <c r="AE31" s="159"/>
      <c r="AF31" s="159"/>
      <c r="AG31" s="159"/>
      <c r="AH31" s="159"/>
      <c r="AI31" s="159"/>
      <c r="AJ31" s="159"/>
      <c r="AK31" s="159"/>
      <c r="AL31" s="159"/>
      <c r="AM31" s="159"/>
      <c r="AN31" s="159"/>
      <c r="AO31" s="159"/>
      <c r="AP31" s="159"/>
      <c r="AQ31" s="159"/>
      <c r="AR31" s="6" t="s">
        <v>46</v>
      </c>
      <c r="AS31" s="36">
        <v>0</v>
      </c>
      <c r="AV31" s="19"/>
      <c r="AW31" s="19"/>
      <c r="BE31" s="19"/>
      <c r="BF31" s="19"/>
      <c r="BG31" s="19"/>
      <c r="BH31" s="19"/>
      <c r="BI31" s="19"/>
      <c r="BJ31" s="19"/>
      <c r="BK31" s="19"/>
    </row>
    <row r="32" spans="1:63" x14ac:dyDescent="0.35">
      <c r="B32" s="4" t="str">
        <f>Populations!$C$11</f>
        <v>F20-24</v>
      </c>
      <c r="C32" s="159"/>
      <c r="D32" s="159"/>
      <c r="E32" s="159"/>
      <c r="F32" s="159"/>
      <c r="G32" s="159"/>
      <c r="H32" s="159"/>
      <c r="I32" s="159"/>
      <c r="J32" s="159"/>
      <c r="K32" s="159"/>
      <c r="L32" s="159"/>
      <c r="M32" s="159"/>
      <c r="N32" s="159"/>
      <c r="O32" s="159"/>
      <c r="P32" s="159"/>
      <c r="Q32" s="159"/>
      <c r="R32" s="159"/>
      <c r="S32" s="159"/>
      <c r="T32" s="159"/>
      <c r="U32" s="159"/>
      <c r="V32" s="159"/>
      <c r="W32" s="159"/>
      <c r="X32" s="159"/>
      <c r="Y32" s="159"/>
      <c r="Z32" s="159"/>
      <c r="AA32" s="159"/>
      <c r="AB32" s="159"/>
      <c r="AC32" s="159"/>
      <c r="AD32" s="159"/>
      <c r="AE32" s="159"/>
      <c r="AF32" s="159"/>
      <c r="AG32" s="159"/>
      <c r="AH32" s="159"/>
      <c r="AI32" s="159"/>
      <c r="AJ32" s="159"/>
      <c r="AK32" s="159"/>
      <c r="AL32" s="159"/>
      <c r="AM32" s="159"/>
      <c r="AN32" s="159"/>
      <c r="AO32" s="159"/>
      <c r="AP32" s="159"/>
      <c r="AQ32" s="159"/>
      <c r="AR32" s="6" t="s">
        <v>46</v>
      </c>
      <c r="AS32" s="36">
        <v>0</v>
      </c>
      <c r="AV32" s="19"/>
      <c r="AW32" s="19"/>
      <c r="BE32" s="19"/>
      <c r="BF32" s="19"/>
      <c r="BG32" s="19"/>
      <c r="BH32" s="19"/>
      <c r="BI32" s="19"/>
      <c r="BJ32" s="19"/>
      <c r="BK32" s="19"/>
    </row>
    <row r="33" spans="1:63" x14ac:dyDescent="0.35">
      <c r="B33" s="4" t="str">
        <f>Populations!$C$12</f>
        <v>M20-24</v>
      </c>
      <c r="C33" s="159"/>
      <c r="D33" s="159"/>
      <c r="E33" s="159"/>
      <c r="F33" s="159"/>
      <c r="G33" s="159"/>
      <c r="H33" s="159"/>
      <c r="I33" s="159"/>
      <c r="J33" s="159"/>
      <c r="K33" s="159"/>
      <c r="L33" s="159"/>
      <c r="M33" s="159"/>
      <c r="N33" s="159"/>
      <c r="O33" s="159"/>
      <c r="P33" s="159"/>
      <c r="Q33" s="159"/>
      <c r="R33" s="159"/>
      <c r="S33" s="159"/>
      <c r="T33" s="159"/>
      <c r="U33" s="159"/>
      <c r="V33" s="159"/>
      <c r="W33" s="159"/>
      <c r="X33" s="159"/>
      <c r="Y33" s="159"/>
      <c r="Z33" s="159"/>
      <c r="AA33" s="159"/>
      <c r="AB33" s="159"/>
      <c r="AC33" s="159"/>
      <c r="AD33" s="159"/>
      <c r="AE33" s="159"/>
      <c r="AF33" s="159"/>
      <c r="AG33" s="159"/>
      <c r="AH33" s="159"/>
      <c r="AI33" s="159"/>
      <c r="AJ33" s="159"/>
      <c r="AK33" s="159"/>
      <c r="AL33" s="159"/>
      <c r="AM33" s="159"/>
      <c r="AN33" s="159"/>
      <c r="AO33" s="159"/>
      <c r="AP33" s="159"/>
      <c r="AQ33" s="159"/>
      <c r="AR33" s="6" t="s">
        <v>46</v>
      </c>
      <c r="AS33" s="36">
        <v>0</v>
      </c>
      <c r="AV33" s="19"/>
      <c r="AW33" s="19"/>
      <c r="BE33" s="19"/>
      <c r="BF33" s="19"/>
      <c r="BG33" s="19"/>
      <c r="BH33" s="19"/>
      <c r="BI33" s="19"/>
      <c r="BJ33" s="19"/>
      <c r="BK33" s="19"/>
    </row>
    <row r="34" spans="1:63" x14ac:dyDescent="0.35">
      <c r="B34" s="4" t="str">
        <f>Populations!$C$13</f>
        <v>F25-34</v>
      </c>
      <c r="C34" s="159"/>
      <c r="D34" s="159"/>
      <c r="E34" s="159"/>
      <c r="F34" s="159"/>
      <c r="G34" s="159"/>
      <c r="H34" s="159"/>
      <c r="I34" s="159"/>
      <c r="J34" s="159"/>
      <c r="K34" s="159"/>
      <c r="L34" s="159"/>
      <c r="M34" s="159"/>
      <c r="N34" s="159"/>
      <c r="O34" s="159"/>
      <c r="P34" s="159"/>
      <c r="Q34" s="159"/>
      <c r="R34" s="159"/>
      <c r="S34" s="159"/>
      <c r="T34" s="159"/>
      <c r="U34" s="159"/>
      <c r="V34" s="159"/>
      <c r="W34" s="159"/>
      <c r="X34" s="159"/>
      <c r="Y34" s="159"/>
      <c r="Z34" s="159"/>
      <c r="AA34" s="159"/>
      <c r="AB34" s="159"/>
      <c r="AC34" s="159"/>
      <c r="AD34" s="159"/>
      <c r="AE34" s="159"/>
      <c r="AF34" s="159"/>
      <c r="AG34" s="159"/>
      <c r="AH34" s="159"/>
      <c r="AI34" s="159"/>
      <c r="AJ34" s="159"/>
      <c r="AK34" s="159"/>
      <c r="AL34" s="159"/>
      <c r="AM34" s="159"/>
      <c r="AN34" s="159"/>
      <c r="AO34" s="159"/>
      <c r="AP34" s="159"/>
      <c r="AQ34" s="159"/>
      <c r="AR34" s="6" t="s">
        <v>46</v>
      </c>
      <c r="AS34" s="36">
        <v>0</v>
      </c>
      <c r="AV34" s="19"/>
      <c r="AW34" s="19"/>
      <c r="BE34" s="19"/>
      <c r="BF34" s="19"/>
      <c r="BG34" s="19"/>
      <c r="BH34" s="19"/>
      <c r="BI34" s="19"/>
      <c r="BJ34" s="19"/>
      <c r="BK34" s="19"/>
    </row>
    <row r="35" spans="1:63" x14ac:dyDescent="0.35">
      <c r="B35" s="4" t="str">
        <f>Populations!$C$14</f>
        <v>M25-34</v>
      </c>
      <c r="C35" s="159"/>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c r="AC35" s="159"/>
      <c r="AD35" s="159"/>
      <c r="AE35" s="159"/>
      <c r="AF35" s="159"/>
      <c r="AG35" s="159"/>
      <c r="AH35" s="159"/>
      <c r="AI35" s="159"/>
      <c r="AJ35" s="159"/>
      <c r="AK35" s="159"/>
      <c r="AL35" s="159"/>
      <c r="AM35" s="159"/>
      <c r="AN35" s="159"/>
      <c r="AO35" s="159"/>
      <c r="AP35" s="159"/>
      <c r="AQ35" s="159"/>
      <c r="AR35" s="6" t="s">
        <v>46</v>
      </c>
      <c r="AS35" s="36">
        <v>0</v>
      </c>
      <c r="AV35" s="19"/>
      <c r="AW35" s="19"/>
      <c r="BE35" s="19"/>
      <c r="BF35" s="19"/>
      <c r="BG35" s="19"/>
      <c r="BH35" s="19"/>
      <c r="BI35" s="19"/>
      <c r="BJ35" s="19"/>
      <c r="BK35" s="19"/>
    </row>
    <row r="36" spans="1:63" x14ac:dyDescent="0.35">
      <c r="B36" s="4" t="str">
        <f>Populations!$C$15</f>
        <v>F35-49</v>
      </c>
      <c r="C36" s="159"/>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c r="AE36" s="159"/>
      <c r="AF36" s="159"/>
      <c r="AG36" s="159"/>
      <c r="AH36" s="8"/>
      <c r="AI36" s="8"/>
      <c r="AJ36" s="8"/>
      <c r="AK36" s="159"/>
      <c r="AL36" s="159"/>
      <c r="AM36" s="159"/>
      <c r="AN36" s="159"/>
      <c r="AO36" s="159"/>
      <c r="AP36" s="159"/>
      <c r="AQ36" s="159"/>
      <c r="AR36" s="6" t="s">
        <v>46</v>
      </c>
      <c r="AS36" s="36">
        <v>0</v>
      </c>
      <c r="AV36" s="19"/>
      <c r="AW36" s="19"/>
      <c r="BE36" s="19"/>
      <c r="BF36" s="19"/>
      <c r="BG36" s="19"/>
      <c r="BH36" s="19"/>
      <c r="BI36" s="19"/>
      <c r="BJ36" s="19"/>
      <c r="BK36" s="19"/>
    </row>
    <row r="37" spans="1:63" x14ac:dyDescent="0.35">
      <c r="B37" s="4" t="str">
        <f>Populations!$C$16</f>
        <v>M35-49</v>
      </c>
      <c r="C37" s="159"/>
      <c r="D37" s="159"/>
      <c r="E37" s="159"/>
      <c r="F37" s="159"/>
      <c r="G37" s="159"/>
      <c r="H37" s="163">
        <f>H38</f>
        <v>1000</v>
      </c>
      <c r="I37" s="163">
        <f t="shared" ref="I37:AI37" si="0">I38</f>
        <v>2000</v>
      </c>
      <c r="J37" s="163">
        <f t="shared" si="0"/>
        <v>3000</v>
      </c>
      <c r="K37" s="163">
        <f t="shared" si="0"/>
        <v>4000</v>
      </c>
      <c r="L37" s="163">
        <f t="shared" si="0"/>
        <v>5000</v>
      </c>
      <c r="M37" s="163">
        <f>M38+1000</f>
        <v>7000</v>
      </c>
      <c r="N37" s="163">
        <f t="shared" ref="N37:W37" si="1">N38+1000</f>
        <v>7000</v>
      </c>
      <c r="O37" s="163">
        <f t="shared" si="1"/>
        <v>7000</v>
      </c>
      <c r="P37" s="163">
        <f t="shared" si="1"/>
        <v>7000</v>
      </c>
      <c r="Q37" s="163">
        <f t="shared" si="1"/>
        <v>7000</v>
      </c>
      <c r="R37" s="163">
        <f t="shared" si="1"/>
        <v>7000</v>
      </c>
      <c r="S37" s="163">
        <f t="shared" si="1"/>
        <v>7000</v>
      </c>
      <c r="T37" s="163">
        <f t="shared" si="1"/>
        <v>7000</v>
      </c>
      <c r="U37" s="163">
        <f t="shared" si="1"/>
        <v>7000</v>
      </c>
      <c r="V37" s="163">
        <f t="shared" si="1"/>
        <v>7000</v>
      </c>
      <c r="W37" s="163">
        <f t="shared" si="1"/>
        <v>7000</v>
      </c>
      <c r="X37" s="163">
        <f>X38+1000</f>
        <v>8000</v>
      </c>
      <c r="Y37" s="163">
        <f t="shared" ref="Y37:AB37" si="2">Y38+1000</f>
        <v>8000</v>
      </c>
      <c r="Z37" s="163">
        <f t="shared" si="2"/>
        <v>8000</v>
      </c>
      <c r="AA37" s="163">
        <f t="shared" si="2"/>
        <v>8000</v>
      </c>
      <c r="AB37" s="163">
        <f t="shared" si="2"/>
        <v>8000</v>
      </c>
      <c r="AC37" s="163">
        <f t="shared" si="0"/>
        <v>7000</v>
      </c>
      <c r="AD37" s="163">
        <f t="shared" si="0"/>
        <v>7000</v>
      </c>
      <c r="AE37" s="163">
        <f t="shared" si="0"/>
        <v>7000</v>
      </c>
      <c r="AF37" s="163">
        <f t="shared" si="0"/>
        <v>7000</v>
      </c>
      <c r="AG37" s="163">
        <f t="shared" si="0"/>
        <v>7000</v>
      </c>
      <c r="AH37" s="163">
        <f t="shared" si="0"/>
        <v>7000</v>
      </c>
      <c r="AI37" s="163">
        <f t="shared" si="0"/>
        <v>7000</v>
      </c>
      <c r="AJ37" s="163"/>
      <c r="AK37" s="163"/>
      <c r="AL37" s="163"/>
      <c r="AM37" s="163"/>
      <c r="AN37" s="163"/>
      <c r="AO37" s="163"/>
      <c r="AP37" s="163"/>
      <c r="AQ37" s="163"/>
      <c r="AR37" s="6" t="s">
        <v>46</v>
      </c>
      <c r="AS37" s="36"/>
      <c r="AV37" s="19"/>
      <c r="AW37" s="19"/>
      <c r="BE37" s="19"/>
      <c r="BF37" s="19"/>
      <c r="BG37" s="19"/>
      <c r="BH37" s="19"/>
      <c r="BI37" s="19"/>
      <c r="BJ37" s="19"/>
      <c r="BK37" s="19"/>
    </row>
    <row r="38" spans="1:63" x14ac:dyDescent="0.35">
      <c r="B38" s="4" t="str">
        <f>Populations!$C$17</f>
        <v>F50+</v>
      </c>
      <c r="C38" s="159"/>
      <c r="D38" s="159"/>
      <c r="E38" s="159"/>
      <c r="F38" s="159"/>
      <c r="G38" s="159"/>
      <c r="H38" s="163">
        <v>1000</v>
      </c>
      <c r="I38" s="163">
        <f t="shared" ref="I38:W38" si="3">I39</f>
        <v>2000</v>
      </c>
      <c r="J38" s="163">
        <f t="shared" si="3"/>
        <v>3000</v>
      </c>
      <c r="K38" s="163">
        <f t="shared" si="3"/>
        <v>4000</v>
      </c>
      <c r="L38" s="163">
        <f t="shared" si="3"/>
        <v>5000</v>
      </c>
      <c r="M38" s="163">
        <f t="shared" si="3"/>
        <v>6000</v>
      </c>
      <c r="N38" s="163">
        <f t="shared" si="3"/>
        <v>6000</v>
      </c>
      <c r="O38" s="163">
        <f t="shared" si="3"/>
        <v>6000</v>
      </c>
      <c r="P38" s="163">
        <f t="shared" si="3"/>
        <v>6000</v>
      </c>
      <c r="Q38" s="163">
        <f t="shared" si="3"/>
        <v>6000</v>
      </c>
      <c r="R38" s="163">
        <f t="shared" si="3"/>
        <v>6000</v>
      </c>
      <c r="S38" s="163">
        <f t="shared" si="3"/>
        <v>6000</v>
      </c>
      <c r="T38" s="163">
        <f t="shared" si="3"/>
        <v>6000</v>
      </c>
      <c r="U38" s="163">
        <f t="shared" si="3"/>
        <v>6000</v>
      </c>
      <c r="V38" s="163">
        <f t="shared" si="3"/>
        <v>6000</v>
      </c>
      <c r="W38" s="163">
        <f t="shared" si="3"/>
        <v>6000</v>
      </c>
      <c r="X38" s="163">
        <v>7000</v>
      </c>
      <c r="Y38" s="163">
        <v>7000</v>
      </c>
      <c r="Z38" s="163">
        <v>7000</v>
      </c>
      <c r="AA38" s="163">
        <v>7000</v>
      </c>
      <c r="AB38" s="163">
        <v>7000</v>
      </c>
      <c r="AC38" s="163">
        <v>7000</v>
      </c>
      <c r="AD38" s="163">
        <v>7000</v>
      </c>
      <c r="AE38" s="163">
        <v>7000</v>
      </c>
      <c r="AF38" s="163">
        <v>7000</v>
      </c>
      <c r="AG38" s="163">
        <v>7000</v>
      </c>
      <c r="AH38" s="163">
        <v>7000</v>
      </c>
      <c r="AI38" s="163">
        <v>7000</v>
      </c>
      <c r="AJ38" s="163"/>
      <c r="AK38" s="163"/>
      <c r="AL38" s="163"/>
      <c r="AM38" s="163"/>
      <c r="AN38" s="163"/>
      <c r="AO38" s="163"/>
      <c r="AP38" s="163"/>
      <c r="AQ38" s="163"/>
      <c r="AR38" s="6" t="s">
        <v>46</v>
      </c>
      <c r="AS38" s="36"/>
      <c r="AV38" s="19"/>
      <c r="AW38" s="19"/>
      <c r="BE38" s="19"/>
      <c r="BF38" s="19"/>
      <c r="BG38" s="19"/>
      <c r="BH38" s="19"/>
      <c r="BI38" s="19"/>
      <c r="BJ38" s="19"/>
      <c r="BK38" s="19"/>
    </row>
    <row r="39" spans="1:63" x14ac:dyDescent="0.35">
      <c r="B39" s="4" t="str">
        <f>Populations!$C$18</f>
        <v>M50+</v>
      </c>
      <c r="C39" s="159"/>
      <c r="D39" s="159"/>
      <c r="E39" s="159"/>
      <c r="F39" s="159"/>
      <c r="G39" s="159"/>
      <c r="H39" s="158">
        <v>1000</v>
      </c>
      <c r="I39" s="163">
        <f>H39+1000</f>
        <v>2000</v>
      </c>
      <c r="J39" s="163">
        <f t="shared" ref="J39:M39" si="4">I39+1000</f>
        <v>3000</v>
      </c>
      <c r="K39" s="163">
        <f t="shared" si="4"/>
        <v>4000</v>
      </c>
      <c r="L39" s="163">
        <f t="shared" si="4"/>
        <v>5000</v>
      </c>
      <c r="M39" s="163">
        <f t="shared" si="4"/>
        <v>6000</v>
      </c>
      <c r="N39" s="163">
        <f>M39</f>
        <v>6000</v>
      </c>
      <c r="O39" s="163">
        <f t="shared" ref="O39:AI39" si="5">N39</f>
        <v>6000</v>
      </c>
      <c r="P39" s="163">
        <f t="shared" si="5"/>
        <v>6000</v>
      </c>
      <c r="Q39" s="163">
        <f t="shared" si="5"/>
        <v>6000</v>
      </c>
      <c r="R39" s="163">
        <f t="shared" si="5"/>
        <v>6000</v>
      </c>
      <c r="S39" s="163">
        <f t="shared" si="5"/>
        <v>6000</v>
      </c>
      <c r="T39" s="163">
        <f t="shared" si="5"/>
        <v>6000</v>
      </c>
      <c r="U39" s="163">
        <f t="shared" si="5"/>
        <v>6000</v>
      </c>
      <c r="V39" s="163">
        <f t="shared" si="5"/>
        <v>6000</v>
      </c>
      <c r="W39" s="163">
        <f t="shared" si="5"/>
        <v>6000</v>
      </c>
      <c r="X39" s="163">
        <f>W39+2000</f>
        <v>8000</v>
      </c>
      <c r="Y39" s="163">
        <f t="shared" si="5"/>
        <v>8000</v>
      </c>
      <c r="Z39" s="163">
        <f t="shared" si="5"/>
        <v>8000</v>
      </c>
      <c r="AA39" s="163">
        <f t="shared" si="5"/>
        <v>8000</v>
      </c>
      <c r="AB39" s="163">
        <f t="shared" si="5"/>
        <v>8000</v>
      </c>
      <c r="AC39" s="163">
        <f t="shared" si="5"/>
        <v>8000</v>
      </c>
      <c r="AD39" s="163">
        <f t="shared" si="5"/>
        <v>8000</v>
      </c>
      <c r="AE39" s="163">
        <f t="shared" si="5"/>
        <v>8000</v>
      </c>
      <c r="AF39" s="163">
        <f t="shared" si="5"/>
        <v>8000</v>
      </c>
      <c r="AG39" s="163">
        <f t="shared" si="5"/>
        <v>8000</v>
      </c>
      <c r="AH39" s="163">
        <f t="shared" si="5"/>
        <v>8000</v>
      </c>
      <c r="AI39" s="163">
        <f t="shared" si="5"/>
        <v>8000</v>
      </c>
      <c r="AJ39" s="163"/>
      <c r="AK39" s="163"/>
      <c r="AL39" s="163"/>
      <c r="AM39" s="163"/>
      <c r="AN39" s="163"/>
      <c r="AO39" s="163"/>
      <c r="AP39" s="163"/>
      <c r="AQ39" s="163"/>
      <c r="AR39" s="6" t="s">
        <v>46</v>
      </c>
      <c r="AS39" s="36"/>
      <c r="BE39" s="19"/>
      <c r="BF39" s="19"/>
      <c r="BG39" s="19"/>
      <c r="BH39" s="19"/>
      <c r="BI39" s="19"/>
      <c r="BJ39" s="19"/>
      <c r="BK39" s="19"/>
    </row>
    <row r="43" spans="1:63" x14ac:dyDescent="0.35">
      <c r="A43" s="2" t="s">
        <v>423</v>
      </c>
    </row>
    <row r="44" spans="1:63" x14ac:dyDescent="0.35">
      <c r="C44" s="4">
        <v>1990</v>
      </c>
      <c r="D44" s="4">
        <v>1991</v>
      </c>
      <c r="E44" s="4">
        <v>1992</v>
      </c>
      <c r="F44" s="4">
        <v>1993</v>
      </c>
      <c r="G44" s="4">
        <v>1994</v>
      </c>
      <c r="H44" s="4">
        <v>1995</v>
      </c>
      <c r="I44" s="4">
        <v>1996</v>
      </c>
      <c r="J44" s="4">
        <v>1997</v>
      </c>
      <c r="K44" s="4">
        <v>1998</v>
      </c>
      <c r="L44" s="4">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H44" s="4">
        <v>2021</v>
      </c>
      <c r="AI44" s="4">
        <v>2022</v>
      </c>
      <c r="AJ44" s="4">
        <v>2023</v>
      </c>
      <c r="AK44" s="4">
        <v>2024</v>
      </c>
      <c r="AL44" s="4">
        <v>2025</v>
      </c>
      <c r="AM44" s="4">
        <v>2026</v>
      </c>
      <c r="AN44" s="4">
        <v>2027</v>
      </c>
      <c r="AO44" s="4">
        <v>2028</v>
      </c>
      <c r="AP44" s="4">
        <v>2029</v>
      </c>
      <c r="AQ44" s="4">
        <v>2030</v>
      </c>
      <c r="AS44" s="4" t="s">
        <v>44</v>
      </c>
      <c r="AV44" s="25"/>
      <c r="AW44" s="25"/>
      <c r="BE44" s="19"/>
      <c r="BF44" s="19"/>
      <c r="BG44" s="19"/>
      <c r="BH44" s="19"/>
      <c r="BI44" s="19"/>
      <c r="BJ44" s="19"/>
      <c r="BK44" s="19"/>
    </row>
    <row r="45" spans="1:63" x14ac:dyDescent="0.35">
      <c r="B45" s="4" t="str">
        <f>Populations!$C$3</f>
        <v>FSW</v>
      </c>
      <c r="C45" s="159"/>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59"/>
      <c r="AE45" s="159"/>
      <c r="AF45" s="159"/>
      <c r="AG45" s="159"/>
      <c r="AH45" s="159"/>
      <c r="AI45" s="159"/>
      <c r="AJ45" s="159"/>
      <c r="AK45" s="159"/>
      <c r="AL45" s="159"/>
      <c r="AM45" s="159"/>
      <c r="AN45" s="159"/>
      <c r="AO45" s="159"/>
      <c r="AP45" s="159"/>
      <c r="AQ45" s="159"/>
      <c r="AR45" s="6" t="s">
        <v>46</v>
      </c>
      <c r="AS45" s="14">
        <v>0</v>
      </c>
      <c r="AV45" s="19"/>
      <c r="AW45" s="19"/>
      <c r="BE45" s="19"/>
      <c r="BF45" s="19"/>
      <c r="BG45" s="19"/>
      <c r="BH45" s="19"/>
      <c r="BI45" s="19"/>
      <c r="BJ45" s="19"/>
      <c r="BK45" s="19"/>
    </row>
    <row r="46" spans="1:63" x14ac:dyDescent="0.35">
      <c r="B46" s="4" t="str">
        <f>Populations!$C$4</f>
        <v>Clients</v>
      </c>
      <c r="C46" s="159"/>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c r="AE46" s="159"/>
      <c r="AF46" s="159"/>
      <c r="AG46" s="159"/>
      <c r="AH46" s="159"/>
      <c r="AI46" s="159"/>
      <c r="AJ46" s="159"/>
      <c r="AK46" s="159"/>
      <c r="AL46" s="159"/>
      <c r="AM46" s="159"/>
      <c r="AN46" s="159"/>
      <c r="AO46" s="159"/>
      <c r="AP46" s="159"/>
      <c r="AQ46" s="159"/>
      <c r="AR46" s="6" t="s">
        <v>46</v>
      </c>
      <c r="AS46" s="14">
        <v>0</v>
      </c>
      <c r="AV46" s="19"/>
      <c r="AW46" s="19"/>
      <c r="BE46" s="19"/>
      <c r="BF46" s="19"/>
      <c r="BG46" s="19"/>
      <c r="BH46" s="19"/>
      <c r="BI46" s="19"/>
      <c r="BJ46" s="19"/>
      <c r="BK46" s="19"/>
    </row>
    <row r="47" spans="1:63" x14ac:dyDescent="0.35">
      <c r="B47" s="4" t="str">
        <f>Populations!$C$5</f>
        <v>MSM</v>
      </c>
      <c r="C47" s="159"/>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c r="AE47" s="159"/>
      <c r="AF47" s="159"/>
      <c r="AG47" s="159"/>
      <c r="AH47" s="159"/>
      <c r="AI47" s="159"/>
      <c r="AJ47" s="159"/>
      <c r="AK47" s="159"/>
      <c r="AL47" s="159"/>
      <c r="AM47" s="159"/>
      <c r="AN47" s="159"/>
      <c r="AO47" s="159"/>
      <c r="AP47" s="159"/>
      <c r="AQ47" s="159"/>
      <c r="AR47" s="6" t="s">
        <v>46</v>
      </c>
      <c r="AS47" s="14">
        <v>0</v>
      </c>
      <c r="AV47" s="19"/>
      <c r="AW47" s="19"/>
      <c r="BE47" s="19"/>
      <c r="BF47" s="19"/>
      <c r="BG47" s="19"/>
      <c r="BH47" s="19"/>
      <c r="BI47" s="19"/>
      <c r="BJ47" s="19"/>
      <c r="BK47" s="19"/>
    </row>
    <row r="48" spans="1:63" x14ac:dyDescent="0.35">
      <c r="B48" s="4" t="str">
        <f>Populations!$C$6</f>
        <v>Prisoners</v>
      </c>
      <c r="C48" s="159"/>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c r="AE48" s="159"/>
      <c r="AF48" s="159"/>
      <c r="AG48" s="159"/>
      <c r="AH48" s="159"/>
      <c r="AI48" s="159"/>
      <c r="AJ48" s="159"/>
      <c r="AK48" s="159"/>
      <c r="AL48" s="159"/>
      <c r="AM48" s="159"/>
      <c r="AN48" s="159"/>
      <c r="AO48" s="159"/>
      <c r="AP48" s="159"/>
      <c r="AQ48" s="159"/>
      <c r="AR48" s="6" t="s">
        <v>46</v>
      </c>
      <c r="AS48" s="14">
        <v>0</v>
      </c>
      <c r="AV48" s="19"/>
      <c r="AW48" s="19"/>
      <c r="BE48" s="19"/>
      <c r="BF48" s="19"/>
      <c r="BG48" s="19"/>
      <c r="BH48" s="19"/>
      <c r="BI48" s="19"/>
      <c r="BJ48" s="19"/>
      <c r="BK48" s="19"/>
    </row>
    <row r="49" spans="1:63" x14ac:dyDescent="0.35">
      <c r="B49" s="4" t="str">
        <f>Populations!$C$7</f>
        <v>F0-14</v>
      </c>
      <c r="C49" s="159"/>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c r="AE49" s="159"/>
      <c r="AF49" s="159"/>
      <c r="AG49" s="159"/>
      <c r="AH49" s="159"/>
      <c r="AI49" s="159"/>
      <c r="AJ49" s="159"/>
      <c r="AK49" s="159"/>
      <c r="AL49" s="159"/>
      <c r="AM49" s="159"/>
      <c r="AN49" s="159"/>
      <c r="AO49" s="159"/>
      <c r="AP49" s="159"/>
      <c r="AQ49" s="159"/>
      <c r="AR49" s="6" t="s">
        <v>46</v>
      </c>
      <c r="AS49" s="14">
        <v>0</v>
      </c>
      <c r="AV49" s="19"/>
      <c r="AW49" s="19"/>
      <c r="BE49" s="19"/>
      <c r="BF49" s="19"/>
      <c r="BG49" s="19"/>
      <c r="BH49" s="19"/>
      <c r="BI49" s="19"/>
      <c r="BJ49" s="19"/>
      <c r="BK49" s="19"/>
    </row>
    <row r="50" spans="1:63" x14ac:dyDescent="0.35">
      <c r="B50" s="4" t="str">
        <f>Populations!$C$8</f>
        <v>M0-14</v>
      </c>
      <c r="C50" s="159"/>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c r="AE50" s="159"/>
      <c r="AF50" s="159"/>
      <c r="AG50" s="159"/>
      <c r="AH50" s="159"/>
      <c r="AI50" s="159"/>
      <c r="AJ50" s="159"/>
      <c r="AK50" s="159"/>
      <c r="AL50" s="159"/>
      <c r="AM50" s="159"/>
      <c r="AN50" s="159"/>
      <c r="AO50" s="159"/>
      <c r="AP50" s="159"/>
      <c r="AQ50" s="159"/>
      <c r="AR50" s="6" t="s">
        <v>46</v>
      </c>
      <c r="AS50" s="14">
        <v>0</v>
      </c>
      <c r="AV50" s="19"/>
      <c r="AW50" s="19"/>
      <c r="BE50" s="19"/>
      <c r="BF50" s="19"/>
      <c r="BG50" s="19"/>
      <c r="BH50" s="19"/>
      <c r="BI50" s="19"/>
      <c r="BJ50" s="19"/>
      <c r="BK50" s="19"/>
    </row>
    <row r="51" spans="1:63" x14ac:dyDescent="0.35">
      <c r="B51" s="4" t="str">
        <f>Populations!$C$9</f>
        <v>F15-19</v>
      </c>
      <c r="C51" s="159"/>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c r="AE51" s="159"/>
      <c r="AF51" s="159"/>
      <c r="AG51" s="159"/>
      <c r="AH51" s="159"/>
      <c r="AI51" s="159"/>
      <c r="AJ51" s="159"/>
      <c r="AK51" s="159"/>
      <c r="AL51" s="159"/>
      <c r="AM51" s="159"/>
      <c r="AN51" s="159"/>
      <c r="AO51" s="159"/>
      <c r="AP51" s="159"/>
      <c r="AQ51" s="159"/>
      <c r="AR51" s="6" t="s">
        <v>46</v>
      </c>
      <c r="AS51" s="14">
        <v>0</v>
      </c>
      <c r="AV51" s="19"/>
      <c r="AW51" s="19"/>
      <c r="BE51" s="19"/>
      <c r="BF51" s="19"/>
      <c r="BG51" s="19"/>
      <c r="BH51" s="19"/>
      <c r="BI51" s="19"/>
      <c r="BJ51" s="19"/>
      <c r="BK51" s="19"/>
    </row>
    <row r="52" spans="1:63" x14ac:dyDescent="0.35">
      <c r="B52" s="4" t="str">
        <f>Populations!$C$10</f>
        <v>M15-19</v>
      </c>
      <c r="C52" s="159"/>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c r="AE52" s="159"/>
      <c r="AF52" s="159"/>
      <c r="AG52" s="159"/>
      <c r="AH52" s="159"/>
      <c r="AI52" s="159"/>
      <c r="AJ52" s="159"/>
      <c r="AK52" s="159"/>
      <c r="AL52" s="159"/>
      <c r="AM52" s="159"/>
      <c r="AN52" s="159"/>
      <c r="AO52" s="159"/>
      <c r="AP52" s="159"/>
      <c r="AQ52" s="159"/>
      <c r="AR52" s="6" t="s">
        <v>46</v>
      </c>
      <c r="AS52" s="14">
        <v>0</v>
      </c>
      <c r="AV52" s="19"/>
      <c r="AW52" s="19"/>
      <c r="BE52" s="19"/>
      <c r="BF52" s="19"/>
      <c r="BG52" s="19"/>
      <c r="BH52" s="19"/>
      <c r="BI52" s="19"/>
      <c r="BJ52" s="19"/>
      <c r="BK52" s="19"/>
    </row>
    <row r="53" spans="1:63" x14ac:dyDescent="0.35">
      <c r="B53" s="4" t="str">
        <f>Populations!$C$11</f>
        <v>F20-24</v>
      </c>
      <c r="C53" s="159"/>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c r="AB53" s="159"/>
      <c r="AC53" s="159"/>
      <c r="AD53" s="159"/>
      <c r="AE53" s="159"/>
      <c r="AF53" s="159"/>
      <c r="AG53" s="159"/>
      <c r="AH53" s="159"/>
      <c r="AI53" s="159"/>
      <c r="AJ53" s="159"/>
      <c r="AK53" s="159"/>
      <c r="AL53" s="159"/>
      <c r="AM53" s="159"/>
      <c r="AN53" s="159"/>
      <c r="AO53" s="159"/>
      <c r="AP53" s="159"/>
      <c r="AQ53" s="159"/>
      <c r="AR53" s="6" t="s">
        <v>46</v>
      </c>
      <c r="AS53" s="14">
        <v>0</v>
      </c>
      <c r="AV53" s="19"/>
      <c r="AW53" s="19"/>
      <c r="BE53" s="19"/>
      <c r="BF53" s="19"/>
      <c r="BG53" s="19"/>
      <c r="BH53" s="19"/>
      <c r="BI53" s="19"/>
      <c r="BJ53" s="19"/>
      <c r="BK53" s="19"/>
    </row>
    <row r="54" spans="1:63" x14ac:dyDescent="0.35">
      <c r="B54" s="4" t="str">
        <f>Populations!$C$12</f>
        <v>M20-24</v>
      </c>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6" t="s">
        <v>46</v>
      </c>
      <c r="AS54" s="14">
        <v>0</v>
      </c>
      <c r="AV54" s="19"/>
      <c r="AW54" s="19"/>
      <c r="BE54" s="19"/>
      <c r="BF54" s="19"/>
      <c r="BG54" s="19"/>
      <c r="BH54" s="19"/>
      <c r="BI54" s="19"/>
      <c r="BJ54" s="19"/>
      <c r="BK54" s="19"/>
    </row>
    <row r="55" spans="1:63" x14ac:dyDescent="0.35">
      <c r="B55" s="4" t="str">
        <f>Populations!$C$13</f>
        <v>F25-34</v>
      </c>
      <c r="C55" s="159"/>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c r="AE55" s="159"/>
      <c r="AF55" s="159"/>
      <c r="AG55" s="159"/>
      <c r="AH55" s="159"/>
      <c r="AI55" s="159"/>
      <c r="AJ55" s="159"/>
      <c r="AK55" s="159"/>
      <c r="AL55" s="159"/>
      <c r="AM55" s="159"/>
      <c r="AN55" s="159"/>
      <c r="AO55" s="159"/>
      <c r="AP55" s="159"/>
      <c r="AQ55" s="159"/>
      <c r="AR55" s="6" t="s">
        <v>46</v>
      </c>
      <c r="AS55" s="14">
        <v>0</v>
      </c>
      <c r="AV55" s="19"/>
      <c r="AW55" s="19"/>
      <c r="BE55" s="19"/>
      <c r="BF55" s="19"/>
      <c r="BG55" s="19"/>
      <c r="BH55" s="19"/>
      <c r="BI55" s="19"/>
      <c r="BJ55" s="19"/>
      <c r="BK55" s="19"/>
    </row>
    <row r="56" spans="1:63" x14ac:dyDescent="0.35">
      <c r="B56" s="4" t="str">
        <f>Populations!$C$14</f>
        <v>M25-34</v>
      </c>
      <c r="C56" s="159"/>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c r="AE56" s="159"/>
      <c r="AF56" s="159"/>
      <c r="AG56" s="159"/>
      <c r="AH56" s="159"/>
      <c r="AI56" s="159"/>
      <c r="AJ56" s="159"/>
      <c r="AK56" s="159"/>
      <c r="AL56" s="159"/>
      <c r="AM56" s="159"/>
      <c r="AN56" s="159"/>
      <c r="AO56" s="159"/>
      <c r="AP56" s="159"/>
      <c r="AQ56" s="159"/>
      <c r="AR56" s="6" t="s">
        <v>46</v>
      </c>
      <c r="AS56" s="14">
        <v>0</v>
      </c>
      <c r="AV56" s="19"/>
      <c r="AW56" s="19"/>
      <c r="BE56" s="19"/>
      <c r="BF56" s="19"/>
      <c r="BG56" s="19"/>
      <c r="BH56" s="19"/>
      <c r="BI56" s="19"/>
      <c r="BJ56" s="19"/>
      <c r="BK56" s="19"/>
    </row>
    <row r="57" spans="1:63" x14ac:dyDescent="0.35">
      <c r="B57" s="4" t="str">
        <f>Populations!$C$15</f>
        <v>F35-49</v>
      </c>
      <c r="C57" s="159"/>
      <c r="D57" s="159"/>
      <c r="E57" s="159"/>
      <c r="F57" s="159"/>
      <c r="G57" s="159"/>
      <c r="H57" s="159"/>
      <c r="I57" s="159"/>
      <c r="J57" s="159"/>
      <c r="K57" s="159"/>
      <c r="L57" s="159"/>
      <c r="M57" s="159"/>
      <c r="N57" s="159"/>
      <c r="O57" s="159"/>
      <c r="P57" s="159"/>
      <c r="Q57" s="159"/>
      <c r="R57" s="159"/>
      <c r="S57" s="159"/>
      <c r="T57" s="159"/>
      <c r="U57" s="159"/>
      <c r="V57" s="159"/>
      <c r="W57" s="159"/>
      <c r="X57" s="159"/>
      <c r="Y57" s="159"/>
      <c r="Z57" s="159"/>
      <c r="AA57" s="159"/>
      <c r="AB57" s="159"/>
      <c r="AC57" s="159"/>
      <c r="AD57" s="159"/>
      <c r="AE57" s="159"/>
      <c r="AF57" s="159"/>
      <c r="AG57" s="159"/>
      <c r="AH57" s="8"/>
      <c r="AI57" s="8"/>
      <c r="AJ57" s="8"/>
      <c r="AK57" s="159"/>
      <c r="AL57" s="159"/>
      <c r="AM57" s="159"/>
      <c r="AN57" s="159"/>
      <c r="AO57" s="159"/>
      <c r="AP57" s="159"/>
      <c r="AQ57" s="159"/>
      <c r="AR57" s="6" t="s">
        <v>46</v>
      </c>
      <c r="AS57" s="14">
        <v>0</v>
      </c>
      <c r="AV57" s="19"/>
      <c r="AW57" s="19"/>
      <c r="BE57" s="19"/>
      <c r="BF57" s="19"/>
      <c r="BG57" s="19"/>
      <c r="BH57" s="19"/>
      <c r="BI57" s="19"/>
      <c r="BJ57" s="19"/>
      <c r="BK57" s="19"/>
    </row>
    <row r="58" spans="1:63" x14ac:dyDescent="0.35">
      <c r="B58" s="4" t="str">
        <f>Populations!$C$16</f>
        <v>M35-49</v>
      </c>
      <c r="C58" s="159"/>
      <c r="D58" s="159"/>
      <c r="E58" s="159"/>
      <c r="F58" s="159"/>
      <c r="G58" s="159"/>
      <c r="H58" s="159"/>
      <c r="I58" s="159"/>
      <c r="J58" s="159"/>
      <c r="K58" s="159"/>
      <c r="L58" s="159"/>
      <c r="M58" s="159"/>
      <c r="N58" s="159"/>
      <c r="O58" s="159"/>
      <c r="P58" s="159"/>
      <c r="Q58" s="159"/>
      <c r="R58" s="159"/>
      <c r="S58" s="159"/>
      <c r="T58" s="159"/>
      <c r="U58" s="159"/>
      <c r="V58" s="159"/>
      <c r="W58" s="159"/>
      <c r="X58" s="159"/>
      <c r="Y58" s="159"/>
      <c r="Z58" s="159"/>
      <c r="AA58" s="159"/>
      <c r="AB58" s="159"/>
      <c r="AC58" s="159"/>
      <c r="AD58" s="159"/>
      <c r="AE58" s="159"/>
      <c r="AF58" s="159"/>
      <c r="AG58" s="159"/>
      <c r="AH58" s="8"/>
      <c r="AI58" s="8"/>
      <c r="AJ58" s="8"/>
      <c r="AK58" s="159"/>
      <c r="AL58" s="159"/>
      <c r="AM58" s="159"/>
      <c r="AN58" s="159"/>
      <c r="AO58" s="159"/>
      <c r="AP58" s="159"/>
      <c r="AQ58" s="159"/>
      <c r="AR58" s="6" t="s">
        <v>46</v>
      </c>
      <c r="AS58" s="14">
        <v>0</v>
      </c>
      <c r="AV58" s="19"/>
      <c r="AW58" s="19"/>
      <c r="BE58" s="19"/>
      <c r="BF58" s="19"/>
      <c r="BG58" s="19"/>
      <c r="BH58" s="19"/>
      <c r="BI58" s="19"/>
      <c r="BJ58" s="19"/>
      <c r="BK58" s="19"/>
    </row>
    <row r="59" spans="1:63" x14ac:dyDescent="0.35">
      <c r="B59" s="4" t="str">
        <f>Populations!$C$17</f>
        <v>F50+</v>
      </c>
      <c r="C59" s="159"/>
      <c r="D59" s="159"/>
      <c r="E59" s="159"/>
      <c r="F59" s="159"/>
      <c r="G59" s="159"/>
      <c r="H59" s="159"/>
      <c r="I59" s="159"/>
      <c r="J59" s="159"/>
      <c r="K59" s="159"/>
      <c r="L59" s="159"/>
      <c r="M59" s="159"/>
      <c r="N59" s="159"/>
      <c r="O59" s="159"/>
      <c r="P59" s="159"/>
      <c r="Q59" s="159"/>
      <c r="R59" s="159"/>
      <c r="S59" s="159"/>
      <c r="T59" s="159"/>
      <c r="U59" s="159"/>
      <c r="V59" s="159"/>
      <c r="W59" s="159"/>
      <c r="X59" s="159"/>
      <c r="Y59" s="159"/>
      <c r="Z59" s="159"/>
      <c r="AA59" s="159"/>
      <c r="AB59" s="159"/>
      <c r="AC59" s="159"/>
      <c r="AD59" s="159"/>
      <c r="AE59" s="159"/>
      <c r="AF59" s="159"/>
      <c r="AG59" s="159"/>
      <c r="AH59" s="8"/>
      <c r="AI59" s="8"/>
      <c r="AJ59" s="8"/>
      <c r="AK59" s="159"/>
      <c r="AL59" s="159"/>
      <c r="AM59" s="159"/>
      <c r="AN59" s="159"/>
      <c r="AO59" s="159"/>
      <c r="AP59" s="159"/>
      <c r="AQ59" s="159"/>
      <c r="AR59" s="6" t="s">
        <v>46</v>
      </c>
      <c r="AS59" s="14">
        <v>0</v>
      </c>
      <c r="AV59" s="19"/>
      <c r="AW59" s="19"/>
      <c r="BE59" s="19"/>
      <c r="BF59" s="19"/>
      <c r="BG59" s="19"/>
      <c r="BH59" s="19"/>
      <c r="BI59" s="19"/>
      <c r="BJ59" s="19"/>
      <c r="BK59" s="19"/>
    </row>
    <row r="60" spans="1:63" x14ac:dyDescent="0.35">
      <c r="B60" s="4" t="str">
        <f>Populations!$C$18</f>
        <v>M50+</v>
      </c>
      <c r="C60" s="159"/>
      <c r="D60" s="159"/>
      <c r="E60" s="159"/>
      <c r="F60" s="159"/>
      <c r="G60" s="159"/>
      <c r="H60" s="159"/>
      <c r="I60" s="159"/>
      <c r="J60" s="159"/>
      <c r="K60" s="159"/>
      <c r="L60" s="159"/>
      <c r="M60" s="159"/>
      <c r="N60" s="159"/>
      <c r="O60" s="159"/>
      <c r="P60" s="159"/>
      <c r="Q60" s="159"/>
      <c r="R60" s="159"/>
      <c r="S60" s="159"/>
      <c r="T60" s="159"/>
      <c r="U60" s="159"/>
      <c r="V60" s="159"/>
      <c r="W60" s="159"/>
      <c r="X60" s="159"/>
      <c r="Y60" s="159"/>
      <c r="Z60" s="159"/>
      <c r="AA60" s="159"/>
      <c r="AB60" s="159"/>
      <c r="AC60" s="159"/>
      <c r="AD60" s="159"/>
      <c r="AE60" s="159"/>
      <c r="AF60" s="159"/>
      <c r="AG60" s="159"/>
      <c r="AH60" s="159"/>
      <c r="AI60" s="159"/>
      <c r="AJ60" s="159"/>
      <c r="AK60" s="159"/>
      <c r="AL60" s="159"/>
      <c r="AM60" s="159"/>
      <c r="AN60" s="159"/>
      <c r="AO60" s="159"/>
      <c r="AP60" s="159"/>
      <c r="AQ60" s="159"/>
      <c r="AR60" s="6" t="s">
        <v>46</v>
      </c>
      <c r="AS60" s="14">
        <v>0</v>
      </c>
      <c r="BE60" s="19"/>
      <c r="BF60" s="19"/>
      <c r="BG60" s="19"/>
      <c r="BH60" s="19"/>
      <c r="BI60" s="19"/>
      <c r="BJ60" s="19"/>
      <c r="BK60" s="19"/>
    </row>
    <row r="64" spans="1:63" x14ac:dyDescent="0.35">
      <c r="A64" s="2" t="s">
        <v>424</v>
      </c>
    </row>
    <row r="65" spans="2:63" x14ac:dyDescent="0.35">
      <c r="C65" s="4">
        <v>1990</v>
      </c>
      <c r="D65" s="4">
        <v>1991</v>
      </c>
      <c r="E65" s="4">
        <v>1992</v>
      </c>
      <c r="F65" s="4">
        <v>1993</v>
      </c>
      <c r="G65" s="4">
        <v>1994</v>
      </c>
      <c r="H65" s="4">
        <v>1995</v>
      </c>
      <c r="I65" s="4">
        <v>1996</v>
      </c>
      <c r="J65" s="4">
        <v>1997</v>
      </c>
      <c r="K65" s="4">
        <v>1998</v>
      </c>
      <c r="L65" s="4">
        <v>1999</v>
      </c>
      <c r="M65" s="4">
        <v>2000</v>
      </c>
      <c r="N65" s="4">
        <v>2001</v>
      </c>
      <c r="O65" s="4">
        <v>2002</v>
      </c>
      <c r="P65" s="4">
        <v>2003</v>
      </c>
      <c r="Q65" s="4">
        <v>2004</v>
      </c>
      <c r="R65" s="4">
        <v>2005</v>
      </c>
      <c r="S65" s="4">
        <v>2006</v>
      </c>
      <c r="T65" s="4">
        <v>2007</v>
      </c>
      <c r="U65" s="4">
        <v>2008</v>
      </c>
      <c r="V65" s="4">
        <v>2009</v>
      </c>
      <c r="W65" s="4">
        <v>2010</v>
      </c>
      <c r="X65" s="4">
        <v>2011</v>
      </c>
      <c r="Y65" s="4">
        <v>2012</v>
      </c>
      <c r="Z65" s="4">
        <v>2013</v>
      </c>
      <c r="AA65" s="4">
        <v>2014</v>
      </c>
      <c r="AB65" s="4">
        <v>2015</v>
      </c>
      <c r="AC65" s="4">
        <v>2016</v>
      </c>
      <c r="AD65" s="4">
        <v>2017</v>
      </c>
      <c r="AE65" s="4">
        <v>2018</v>
      </c>
      <c r="AF65" s="4">
        <v>2019</v>
      </c>
      <c r="AG65" s="4">
        <v>2020</v>
      </c>
      <c r="AH65" s="4">
        <v>2021</v>
      </c>
      <c r="AI65" s="4">
        <v>2022</v>
      </c>
      <c r="AJ65" s="4">
        <v>2023</v>
      </c>
      <c r="AK65" s="4">
        <v>2024</v>
      </c>
      <c r="AL65" s="4">
        <v>2025</v>
      </c>
      <c r="AM65" s="4">
        <v>2026</v>
      </c>
      <c r="AN65" s="4">
        <v>2027</v>
      </c>
      <c r="AO65" s="4">
        <v>2028</v>
      </c>
      <c r="AP65" s="4">
        <v>2029</v>
      </c>
      <c r="AQ65" s="4">
        <v>2030</v>
      </c>
      <c r="AS65" s="4" t="s">
        <v>44</v>
      </c>
      <c r="AV65" s="25"/>
      <c r="AW65" s="25"/>
      <c r="BE65" s="19"/>
      <c r="BF65" s="19"/>
      <c r="BG65" s="19"/>
      <c r="BH65" s="19"/>
      <c r="BI65" s="19"/>
      <c r="BJ65" s="19"/>
      <c r="BK65" s="19"/>
    </row>
    <row r="66" spans="2:63" x14ac:dyDescent="0.35">
      <c r="B66" s="4" t="str">
        <f>Populations!$C$3</f>
        <v>FSW</v>
      </c>
      <c r="C66" s="159"/>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c r="AE66" s="159"/>
      <c r="AF66" s="159"/>
      <c r="AG66" s="159"/>
      <c r="AH66" s="159"/>
      <c r="AI66" s="159"/>
      <c r="AJ66" s="159"/>
      <c r="AK66" s="159"/>
      <c r="AL66" s="159"/>
      <c r="AM66" s="159"/>
      <c r="AN66" s="159"/>
      <c r="AO66" s="159"/>
      <c r="AP66" s="159"/>
      <c r="AQ66" s="159"/>
      <c r="AR66" s="6" t="s">
        <v>46</v>
      </c>
      <c r="AS66" s="14">
        <v>0</v>
      </c>
      <c r="AV66" s="19"/>
      <c r="AW66" s="19"/>
      <c r="BE66" s="19"/>
      <c r="BF66" s="19"/>
      <c r="BG66" s="19"/>
      <c r="BH66" s="19"/>
      <c r="BI66" s="19"/>
      <c r="BJ66" s="19"/>
      <c r="BK66" s="19"/>
    </row>
    <row r="67" spans="2:63" x14ac:dyDescent="0.35">
      <c r="B67" s="4" t="str">
        <f>Populations!$C$4</f>
        <v>Clients</v>
      </c>
      <c r="C67" s="159"/>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c r="AE67" s="159"/>
      <c r="AF67" s="159"/>
      <c r="AG67" s="159"/>
      <c r="AH67" s="159"/>
      <c r="AI67" s="159"/>
      <c r="AJ67" s="159"/>
      <c r="AK67" s="159"/>
      <c r="AL67" s="159"/>
      <c r="AM67" s="159"/>
      <c r="AN67" s="159"/>
      <c r="AO67" s="159"/>
      <c r="AP67" s="159"/>
      <c r="AQ67" s="159"/>
      <c r="AR67" s="6" t="s">
        <v>46</v>
      </c>
      <c r="AS67" s="14">
        <v>0</v>
      </c>
      <c r="AV67" s="19"/>
      <c r="AW67" s="19"/>
      <c r="BE67" s="19"/>
      <c r="BF67" s="19"/>
      <c r="BG67" s="19"/>
      <c r="BH67" s="19"/>
      <c r="BI67" s="19"/>
      <c r="BJ67" s="19"/>
      <c r="BK67" s="19"/>
    </row>
    <row r="68" spans="2:63" x14ac:dyDescent="0.35">
      <c r="B68" s="4" t="str">
        <f>Populations!$C$5</f>
        <v>MSM</v>
      </c>
      <c r="C68" s="159"/>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c r="AE68" s="159"/>
      <c r="AF68" s="159"/>
      <c r="AG68" s="159"/>
      <c r="AH68" s="159"/>
      <c r="AI68" s="159"/>
      <c r="AJ68" s="159"/>
      <c r="AK68" s="159"/>
      <c r="AL68" s="159"/>
      <c r="AM68" s="159"/>
      <c r="AN68" s="159"/>
      <c r="AO68" s="159"/>
      <c r="AP68" s="159"/>
      <c r="AQ68" s="159"/>
      <c r="AR68" s="6" t="s">
        <v>46</v>
      </c>
      <c r="AS68" s="14">
        <v>0</v>
      </c>
      <c r="AV68" s="19"/>
      <c r="AW68" s="19"/>
      <c r="BE68" s="19"/>
      <c r="BF68" s="19"/>
      <c r="BG68" s="19"/>
      <c r="BH68" s="19"/>
      <c r="BI68" s="19"/>
      <c r="BJ68" s="19"/>
      <c r="BK68" s="19"/>
    </row>
    <row r="69" spans="2:63" x14ac:dyDescent="0.35">
      <c r="B69" s="4" t="str">
        <f>Populations!$C$6</f>
        <v>Prisoners</v>
      </c>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6" t="s">
        <v>46</v>
      </c>
      <c r="AS69" s="14">
        <v>0</v>
      </c>
      <c r="AV69" s="19"/>
      <c r="AW69" s="19"/>
      <c r="BE69" s="19"/>
      <c r="BF69" s="19"/>
      <c r="BG69" s="19"/>
      <c r="BH69" s="19"/>
      <c r="BI69" s="19"/>
      <c r="BJ69" s="19"/>
      <c r="BK69" s="19"/>
    </row>
    <row r="70" spans="2:63" x14ac:dyDescent="0.35">
      <c r="B70" s="4" t="str">
        <f>Populations!$C$7</f>
        <v>F0-14</v>
      </c>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c r="AE70" s="159"/>
      <c r="AF70" s="159"/>
      <c r="AG70" s="159"/>
      <c r="AH70" s="159"/>
      <c r="AI70" s="159"/>
      <c r="AJ70" s="159"/>
      <c r="AK70" s="159"/>
      <c r="AL70" s="159"/>
      <c r="AM70" s="159"/>
      <c r="AN70" s="159"/>
      <c r="AO70" s="159"/>
      <c r="AP70" s="159"/>
      <c r="AQ70" s="159"/>
      <c r="AR70" s="6" t="s">
        <v>46</v>
      </c>
      <c r="AS70" s="14">
        <v>0</v>
      </c>
      <c r="AV70" s="19"/>
      <c r="AW70" s="19"/>
      <c r="BE70" s="19"/>
      <c r="BF70" s="19"/>
      <c r="BG70" s="19"/>
      <c r="BH70" s="19"/>
      <c r="BI70" s="19"/>
      <c r="BJ70" s="19"/>
      <c r="BK70" s="19"/>
    </row>
    <row r="71" spans="2:63" x14ac:dyDescent="0.35">
      <c r="B71" s="4" t="str">
        <f>Populations!$C$8</f>
        <v>M0-14</v>
      </c>
      <c r="C71" s="159"/>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c r="AE71" s="159"/>
      <c r="AF71" s="159"/>
      <c r="AG71" s="159"/>
      <c r="AH71" s="159"/>
      <c r="AI71" s="159"/>
      <c r="AJ71" s="159"/>
      <c r="AK71" s="159"/>
      <c r="AL71" s="159"/>
      <c r="AM71" s="159"/>
      <c r="AN71" s="159"/>
      <c r="AO71" s="159"/>
      <c r="AP71" s="159"/>
      <c r="AQ71" s="159"/>
      <c r="AR71" s="6" t="s">
        <v>46</v>
      </c>
      <c r="AS71" s="14">
        <v>0</v>
      </c>
      <c r="AV71" s="19"/>
      <c r="AW71" s="19"/>
      <c r="BE71" s="19"/>
      <c r="BF71" s="19"/>
      <c r="BG71" s="19"/>
      <c r="BH71" s="19"/>
      <c r="BI71" s="19"/>
      <c r="BJ71" s="19"/>
      <c r="BK71" s="19"/>
    </row>
    <row r="72" spans="2:63" x14ac:dyDescent="0.35">
      <c r="B72" s="4" t="str">
        <f>Populations!$C$9</f>
        <v>F15-19</v>
      </c>
      <c r="C72" s="159"/>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c r="AE72" s="159"/>
      <c r="AF72" s="159"/>
      <c r="AG72" s="159"/>
      <c r="AH72" s="159"/>
      <c r="AI72" s="159"/>
      <c r="AJ72" s="159"/>
      <c r="AK72" s="159"/>
      <c r="AL72" s="159"/>
      <c r="AM72" s="159"/>
      <c r="AN72" s="159"/>
      <c r="AO72" s="159"/>
      <c r="AP72" s="159"/>
      <c r="AQ72" s="159"/>
      <c r="AR72" s="6" t="s">
        <v>46</v>
      </c>
      <c r="AS72" s="14">
        <v>0</v>
      </c>
      <c r="AV72" s="19"/>
      <c r="AW72" s="19"/>
      <c r="BE72" s="19"/>
      <c r="BF72" s="19"/>
      <c r="BG72" s="19"/>
      <c r="BH72" s="19"/>
      <c r="BI72" s="19"/>
      <c r="BJ72" s="19"/>
      <c r="BK72" s="19"/>
    </row>
    <row r="73" spans="2:63" x14ac:dyDescent="0.35">
      <c r="B73" s="4" t="str">
        <f>Populations!$C$10</f>
        <v>M15-19</v>
      </c>
      <c r="C73" s="159"/>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c r="AE73" s="159"/>
      <c r="AF73" s="159"/>
      <c r="AG73" s="159"/>
      <c r="AH73" s="159"/>
      <c r="AI73" s="159"/>
      <c r="AJ73" s="159"/>
      <c r="AK73" s="159"/>
      <c r="AL73" s="159"/>
      <c r="AM73" s="159"/>
      <c r="AN73" s="159"/>
      <c r="AO73" s="159"/>
      <c r="AP73" s="159"/>
      <c r="AQ73" s="159"/>
      <c r="AR73" s="6" t="s">
        <v>46</v>
      </c>
      <c r="AS73" s="14">
        <v>0</v>
      </c>
      <c r="AV73" s="19"/>
      <c r="AW73" s="19"/>
      <c r="BE73" s="19"/>
      <c r="BF73" s="19"/>
      <c r="BG73" s="19"/>
      <c r="BH73" s="19"/>
      <c r="BI73" s="19"/>
      <c r="BJ73" s="19"/>
      <c r="BK73" s="19"/>
    </row>
    <row r="74" spans="2:63" x14ac:dyDescent="0.35">
      <c r="B74" s="4" t="str">
        <f>Populations!$C$11</f>
        <v>F20-24</v>
      </c>
      <c r="C74" s="159"/>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c r="AD74" s="159"/>
      <c r="AE74" s="159"/>
      <c r="AF74" s="159"/>
      <c r="AG74" s="159"/>
      <c r="AH74" s="159"/>
      <c r="AI74" s="159"/>
      <c r="AJ74" s="159"/>
      <c r="AK74" s="159"/>
      <c r="AL74" s="159"/>
      <c r="AM74" s="159"/>
      <c r="AN74" s="159"/>
      <c r="AO74" s="159"/>
      <c r="AP74" s="159"/>
      <c r="AQ74" s="159"/>
      <c r="AR74" s="6" t="s">
        <v>46</v>
      </c>
      <c r="AS74" s="14">
        <v>0</v>
      </c>
      <c r="AV74" s="19"/>
      <c r="AW74" s="19"/>
      <c r="BE74" s="19"/>
      <c r="BF74" s="19"/>
      <c r="BG74" s="19"/>
      <c r="BH74" s="19"/>
      <c r="BI74" s="19"/>
      <c r="BJ74" s="19"/>
      <c r="BK74" s="19"/>
    </row>
    <row r="75" spans="2:63" x14ac:dyDescent="0.35">
      <c r="B75" s="4" t="str">
        <f>Populations!$C$12</f>
        <v>M20-24</v>
      </c>
      <c r="C75" s="159"/>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c r="AD75" s="159"/>
      <c r="AE75" s="159"/>
      <c r="AF75" s="159"/>
      <c r="AG75" s="159"/>
      <c r="AH75" s="159"/>
      <c r="AI75" s="159"/>
      <c r="AJ75" s="159"/>
      <c r="AK75" s="159"/>
      <c r="AL75" s="159"/>
      <c r="AM75" s="159"/>
      <c r="AN75" s="159"/>
      <c r="AO75" s="159"/>
      <c r="AP75" s="159"/>
      <c r="AQ75" s="159"/>
      <c r="AR75" s="6" t="s">
        <v>46</v>
      </c>
      <c r="AS75" s="14">
        <v>0</v>
      </c>
      <c r="AV75" s="19"/>
      <c r="AW75" s="19"/>
      <c r="BE75" s="19"/>
      <c r="BF75" s="19"/>
      <c r="BG75" s="19"/>
      <c r="BH75" s="19"/>
      <c r="BI75" s="19"/>
      <c r="BJ75" s="19"/>
      <c r="BK75" s="19"/>
    </row>
    <row r="76" spans="2:63" x14ac:dyDescent="0.35">
      <c r="B76" s="4" t="str">
        <f>Populations!$C$13</f>
        <v>F25-34</v>
      </c>
      <c r="C76" s="159"/>
      <c r="D76" s="159"/>
      <c r="E76" s="159"/>
      <c r="F76" s="159"/>
      <c r="G76" s="159"/>
      <c r="H76" s="159"/>
      <c r="I76" s="159"/>
      <c r="J76" s="159"/>
      <c r="K76" s="159"/>
      <c r="L76" s="159"/>
      <c r="M76" s="159"/>
      <c r="N76" s="159"/>
      <c r="O76" s="159"/>
      <c r="P76" s="159"/>
      <c r="Q76" s="159"/>
      <c r="R76" s="159"/>
      <c r="S76" s="159"/>
      <c r="T76" s="159"/>
      <c r="U76" s="159"/>
      <c r="V76" s="159"/>
      <c r="W76" s="159"/>
      <c r="X76" s="159"/>
      <c r="Y76" s="159"/>
      <c r="Z76" s="159"/>
      <c r="AA76" s="159"/>
      <c r="AB76" s="159"/>
      <c r="AC76" s="159"/>
      <c r="AD76" s="159"/>
      <c r="AE76" s="159"/>
      <c r="AF76" s="159"/>
      <c r="AG76" s="159"/>
      <c r="AH76" s="159"/>
      <c r="AI76" s="159"/>
      <c r="AJ76" s="159"/>
      <c r="AK76" s="159"/>
      <c r="AL76" s="159"/>
      <c r="AM76" s="159"/>
      <c r="AN76" s="159"/>
      <c r="AO76" s="159"/>
      <c r="AP76" s="159"/>
      <c r="AQ76" s="159"/>
      <c r="AR76" s="6" t="s">
        <v>46</v>
      </c>
      <c r="AS76" s="14">
        <v>0</v>
      </c>
      <c r="AV76" s="19"/>
      <c r="AW76" s="19"/>
      <c r="BE76" s="19"/>
      <c r="BF76" s="19"/>
      <c r="BG76" s="19"/>
      <c r="BH76" s="19"/>
      <c r="BI76" s="19"/>
      <c r="BJ76" s="19"/>
      <c r="BK76" s="19"/>
    </row>
    <row r="77" spans="2:63" x14ac:dyDescent="0.35">
      <c r="B77" s="4" t="str">
        <f>Populations!$C$14</f>
        <v>M25-34</v>
      </c>
      <c r="C77" s="159"/>
      <c r="D77" s="159"/>
      <c r="E77" s="159"/>
      <c r="F77" s="159"/>
      <c r="G77" s="159"/>
      <c r="H77" s="159"/>
      <c r="I77" s="159"/>
      <c r="J77" s="159"/>
      <c r="K77" s="159"/>
      <c r="L77" s="159"/>
      <c r="M77" s="159"/>
      <c r="N77" s="159"/>
      <c r="O77" s="159"/>
      <c r="P77" s="159"/>
      <c r="Q77" s="159"/>
      <c r="R77" s="159"/>
      <c r="S77" s="159"/>
      <c r="T77" s="159"/>
      <c r="U77" s="159"/>
      <c r="V77" s="159"/>
      <c r="W77" s="159"/>
      <c r="X77" s="159"/>
      <c r="Y77" s="159"/>
      <c r="Z77" s="159"/>
      <c r="AA77" s="159"/>
      <c r="AB77" s="159"/>
      <c r="AC77" s="159"/>
      <c r="AD77" s="159"/>
      <c r="AE77" s="159"/>
      <c r="AF77" s="159"/>
      <c r="AG77" s="159"/>
      <c r="AH77" s="159"/>
      <c r="AI77" s="159"/>
      <c r="AJ77" s="159"/>
      <c r="AK77" s="159"/>
      <c r="AL77" s="159"/>
      <c r="AM77" s="159"/>
      <c r="AN77" s="159"/>
      <c r="AO77" s="159"/>
      <c r="AP77" s="159"/>
      <c r="AQ77" s="159"/>
      <c r="AR77" s="6" t="s">
        <v>46</v>
      </c>
      <c r="AS77" s="14">
        <v>0</v>
      </c>
      <c r="AV77" s="19"/>
      <c r="AW77" s="19"/>
      <c r="BE77" s="19"/>
      <c r="BF77" s="19"/>
      <c r="BG77" s="19"/>
      <c r="BH77" s="19"/>
      <c r="BI77" s="19"/>
      <c r="BJ77" s="19"/>
      <c r="BK77" s="19"/>
    </row>
    <row r="78" spans="2:63" x14ac:dyDescent="0.35">
      <c r="B78" s="4" t="str">
        <f>Populations!$C$15</f>
        <v>F35-49</v>
      </c>
      <c r="C78" s="159"/>
      <c r="D78" s="159"/>
      <c r="E78" s="159"/>
      <c r="F78" s="159"/>
      <c r="G78" s="159"/>
      <c r="H78" s="159"/>
      <c r="I78" s="159"/>
      <c r="J78" s="159"/>
      <c r="K78" s="159"/>
      <c r="L78" s="159"/>
      <c r="M78" s="159"/>
      <c r="N78" s="159"/>
      <c r="O78" s="159"/>
      <c r="P78" s="159"/>
      <c r="Q78" s="159"/>
      <c r="R78" s="159"/>
      <c r="S78" s="159"/>
      <c r="T78" s="159"/>
      <c r="U78" s="159"/>
      <c r="V78" s="159"/>
      <c r="W78" s="159"/>
      <c r="X78" s="159"/>
      <c r="Y78" s="159"/>
      <c r="Z78" s="159"/>
      <c r="AA78" s="159"/>
      <c r="AB78" s="159"/>
      <c r="AC78" s="159"/>
      <c r="AD78" s="159"/>
      <c r="AE78" s="159"/>
      <c r="AF78" s="159"/>
      <c r="AG78" s="159"/>
      <c r="AH78" s="8"/>
      <c r="AI78" s="8"/>
      <c r="AJ78" s="8"/>
      <c r="AK78" s="159"/>
      <c r="AL78" s="159"/>
      <c r="AM78" s="159"/>
      <c r="AN78" s="159"/>
      <c r="AO78" s="159"/>
      <c r="AP78" s="159"/>
      <c r="AQ78" s="159"/>
      <c r="AR78" s="6" t="s">
        <v>46</v>
      </c>
      <c r="AS78" s="14">
        <v>0</v>
      </c>
      <c r="AV78" s="19"/>
      <c r="AW78" s="19"/>
      <c r="BE78" s="19"/>
      <c r="BF78" s="19"/>
      <c r="BG78" s="19"/>
      <c r="BH78" s="19"/>
      <c r="BI78" s="19"/>
      <c r="BJ78" s="19"/>
      <c r="BK78" s="19"/>
    </row>
    <row r="79" spans="2:63" x14ac:dyDescent="0.35">
      <c r="B79" s="4" t="str">
        <f>Populations!$C$16</f>
        <v>M35-49</v>
      </c>
      <c r="C79" s="159"/>
      <c r="D79" s="159"/>
      <c r="E79" s="159"/>
      <c r="F79" s="159"/>
      <c r="G79" s="159"/>
      <c r="H79" s="159"/>
      <c r="I79" s="159"/>
      <c r="J79" s="159"/>
      <c r="K79" s="159"/>
      <c r="L79" s="159"/>
      <c r="M79" s="159"/>
      <c r="N79" s="159"/>
      <c r="O79" s="159"/>
      <c r="P79" s="159"/>
      <c r="Q79" s="159"/>
      <c r="R79" s="159"/>
      <c r="S79" s="159"/>
      <c r="T79" s="159"/>
      <c r="U79" s="159"/>
      <c r="V79" s="159"/>
      <c r="W79" s="159"/>
      <c r="X79" s="159"/>
      <c r="Y79" s="159"/>
      <c r="Z79" s="159"/>
      <c r="AA79" s="159"/>
      <c r="AB79" s="159"/>
      <c r="AC79" s="159"/>
      <c r="AD79" s="159"/>
      <c r="AE79" s="159"/>
      <c r="AF79" s="159"/>
      <c r="AG79" s="159"/>
      <c r="AH79" s="8"/>
      <c r="AI79" s="8"/>
      <c r="AJ79" s="8"/>
      <c r="AK79" s="159"/>
      <c r="AL79" s="159"/>
      <c r="AM79" s="159"/>
      <c r="AN79" s="159"/>
      <c r="AO79" s="159"/>
      <c r="AP79" s="159"/>
      <c r="AQ79" s="159"/>
      <c r="AR79" s="6" t="s">
        <v>46</v>
      </c>
      <c r="AS79" s="14">
        <v>0</v>
      </c>
      <c r="AV79" s="19"/>
      <c r="AW79" s="19"/>
      <c r="BE79" s="19"/>
      <c r="BF79" s="19"/>
      <c r="BG79" s="19"/>
      <c r="BH79" s="19"/>
      <c r="BI79" s="19"/>
      <c r="BJ79" s="19"/>
      <c r="BK79" s="19"/>
    </row>
    <row r="80" spans="2:63" x14ac:dyDescent="0.35">
      <c r="B80" s="4" t="str">
        <f>Populations!$C$17</f>
        <v>F50+</v>
      </c>
      <c r="C80" s="159"/>
      <c r="D80" s="159"/>
      <c r="E80" s="159"/>
      <c r="F80" s="159"/>
      <c r="G80" s="159"/>
      <c r="H80" s="159"/>
      <c r="I80" s="159"/>
      <c r="J80" s="159"/>
      <c r="K80" s="159"/>
      <c r="L80" s="159"/>
      <c r="M80" s="159"/>
      <c r="N80" s="159"/>
      <c r="O80" s="159"/>
      <c r="P80" s="159"/>
      <c r="Q80" s="159"/>
      <c r="R80" s="159"/>
      <c r="S80" s="159"/>
      <c r="T80" s="159"/>
      <c r="U80" s="159"/>
      <c r="V80" s="159"/>
      <c r="W80" s="159"/>
      <c r="X80" s="159"/>
      <c r="Y80" s="159"/>
      <c r="Z80" s="159"/>
      <c r="AA80" s="159"/>
      <c r="AB80" s="159"/>
      <c r="AC80" s="159"/>
      <c r="AD80" s="159"/>
      <c r="AE80" s="159"/>
      <c r="AF80" s="159"/>
      <c r="AG80" s="159"/>
      <c r="AH80" s="8"/>
      <c r="AI80" s="8"/>
      <c r="AJ80" s="8"/>
      <c r="AK80" s="159"/>
      <c r="AL80" s="159"/>
      <c r="AM80" s="159"/>
      <c r="AN80" s="159"/>
      <c r="AO80" s="159"/>
      <c r="AP80" s="159"/>
      <c r="AQ80" s="159"/>
      <c r="AR80" s="6" t="s">
        <v>46</v>
      </c>
      <c r="AS80" s="14">
        <v>0</v>
      </c>
      <c r="AV80" s="19"/>
      <c r="AW80" s="19"/>
      <c r="BE80" s="19"/>
      <c r="BF80" s="19"/>
      <c r="BG80" s="19"/>
      <c r="BH80" s="19"/>
      <c r="BI80" s="19"/>
      <c r="BJ80" s="19"/>
      <c r="BK80" s="19"/>
    </row>
    <row r="81" spans="2:63" x14ac:dyDescent="0.35">
      <c r="B81" s="4" t="str">
        <f>Populations!$C$18</f>
        <v>M50+</v>
      </c>
      <c r="C81" s="159"/>
      <c r="D81" s="159"/>
      <c r="E81" s="159"/>
      <c r="F81" s="159"/>
      <c r="G81" s="159"/>
      <c r="H81" s="159"/>
      <c r="I81" s="159"/>
      <c r="J81" s="159"/>
      <c r="K81" s="159"/>
      <c r="L81" s="159"/>
      <c r="M81" s="159"/>
      <c r="N81" s="159"/>
      <c r="O81" s="159"/>
      <c r="P81" s="159"/>
      <c r="Q81" s="159"/>
      <c r="R81" s="159"/>
      <c r="S81" s="159"/>
      <c r="T81" s="159"/>
      <c r="U81" s="159"/>
      <c r="V81" s="159"/>
      <c r="W81" s="159"/>
      <c r="X81" s="159"/>
      <c r="Y81" s="159"/>
      <c r="Z81" s="159"/>
      <c r="AA81" s="159"/>
      <c r="AB81" s="159"/>
      <c r="AC81" s="159"/>
      <c r="AD81" s="159"/>
      <c r="AE81" s="159"/>
      <c r="AF81" s="159"/>
      <c r="AG81" s="159"/>
      <c r="AH81" s="8"/>
      <c r="AI81" s="8"/>
      <c r="AJ81" s="8"/>
      <c r="AK81" s="159"/>
      <c r="AL81" s="159"/>
      <c r="AM81" s="159"/>
      <c r="AN81" s="159"/>
      <c r="AO81" s="159"/>
      <c r="AP81" s="159"/>
      <c r="AQ81" s="159"/>
      <c r="AR81" s="6" t="s">
        <v>46</v>
      </c>
      <c r="AS81" s="14">
        <v>0</v>
      </c>
      <c r="BE81" s="19"/>
      <c r="BF81" s="19"/>
      <c r="BG81" s="19"/>
      <c r="BH81" s="19"/>
      <c r="BI81" s="19"/>
      <c r="BJ81" s="19"/>
      <c r="BK81" s="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S45"/>
  <sheetViews>
    <sheetView zoomScale="80" zoomScaleNormal="80" workbookViewId="0">
      <selection activeCell="W36" sqref="W36"/>
    </sheetView>
  </sheetViews>
  <sheetFormatPr defaultColWidth="8.81640625" defaultRowHeight="14.5" x14ac:dyDescent="0.35"/>
  <cols>
    <col min="1" max="1" width="4.81640625" customWidth="1"/>
    <col min="2" max="2" width="8.81640625" bestFit="1" customWidth="1"/>
    <col min="3" max="12" width="8.81640625" customWidth="1"/>
    <col min="13" max="43" width="5.1796875" bestFit="1" customWidth="1"/>
    <col min="44" max="44" width="3.453125" bestFit="1" customWidth="1"/>
    <col min="45" max="45" width="11.1796875" bestFit="1" customWidth="1"/>
  </cols>
  <sheetData>
    <row r="1" spans="1:45" x14ac:dyDescent="0.35">
      <c r="A1" s="2" t="s">
        <v>80</v>
      </c>
    </row>
    <row r="2" spans="1:45" x14ac:dyDescent="0.3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row>
    <row r="3" spans="1:45" x14ac:dyDescent="0.35">
      <c r="B3" s="4" t="str">
        <f>Populations!$C$3</f>
        <v>FSW</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6" t="s">
        <v>46</v>
      </c>
      <c r="AS3" s="5">
        <v>0</v>
      </c>
    </row>
    <row r="4" spans="1:45" x14ac:dyDescent="0.35">
      <c r="B4" s="4" t="str">
        <f>Populations!$C$4</f>
        <v>Clients</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6" t="s">
        <v>46</v>
      </c>
      <c r="AS4" s="5">
        <v>0</v>
      </c>
    </row>
    <row r="5" spans="1:45" x14ac:dyDescent="0.35">
      <c r="B5" s="4" t="str">
        <f>Populations!$C$5</f>
        <v>MSM</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6" t="s">
        <v>46</v>
      </c>
      <c r="AS5" s="5">
        <v>0</v>
      </c>
    </row>
    <row r="6" spans="1:45" x14ac:dyDescent="0.35">
      <c r="B6" s="4" t="str">
        <f>Populations!$C$6</f>
        <v>Prisoners</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6" t="s">
        <v>46</v>
      </c>
      <c r="AS6" s="5">
        <v>0</v>
      </c>
    </row>
    <row r="7" spans="1:45" x14ac:dyDescent="0.35">
      <c r="B7" s="4" t="str">
        <f>Populations!$C$7</f>
        <v>F0-14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6" t="s">
        <v>46</v>
      </c>
      <c r="AS7" s="5">
        <v>0</v>
      </c>
    </row>
    <row r="8" spans="1:45" x14ac:dyDescent="0.35">
      <c r="B8" s="4" t="str">
        <f>Populations!$C$8</f>
        <v>M0-14</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6" t="s">
        <v>46</v>
      </c>
      <c r="AS8" s="5">
        <v>0</v>
      </c>
    </row>
    <row r="9" spans="1:45" x14ac:dyDescent="0.35">
      <c r="B9" s="4" t="str">
        <f>Populations!$C$9</f>
        <v>F15-19</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6" t="s">
        <v>46</v>
      </c>
      <c r="AS9" s="5">
        <v>0</v>
      </c>
    </row>
    <row r="10" spans="1:45" x14ac:dyDescent="0.35">
      <c r="B10" s="4" t="str">
        <f>Populations!$C$10</f>
        <v>M15-19</v>
      </c>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6" t="s">
        <v>46</v>
      </c>
      <c r="AS10" s="5">
        <v>0</v>
      </c>
    </row>
    <row r="11" spans="1:45" x14ac:dyDescent="0.35">
      <c r="B11" s="4" t="str">
        <f>Populations!$C$11</f>
        <v>F20-24</v>
      </c>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6" t="s">
        <v>46</v>
      </c>
      <c r="AS11" s="5">
        <v>0</v>
      </c>
    </row>
    <row r="12" spans="1:45" x14ac:dyDescent="0.35">
      <c r="B12" s="4" t="str">
        <f>Populations!$C$12</f>
        <v>M20-24</v>
      </c>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6" t="s">
        <v>46</v>
      </c>
      <c r="AS12" s="5">
        <v>0</v>
      </c>
    </row>
    <row r="13" spans="1:45" x14ac:dyDescent="0.35">
      <c r="B13" s="4" t="str">
        <f>Populations!$C$13</f>
        <v>F25-34</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6" t="s">
        <v>46</v>
      </c>
      <c r="AS13" s="5">
        <v>0</v>
      </c>
    </row>
    <row r="14" spans="1:45" x14ac:dyDescent="0.35">
      <c r="B14" s="4" t="str">
        <f>Populations!$C$14</f>
        <v>M25-34</v>
      </c>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6" t="s">
        <v>46</v>
      </c>
      <c r="AS14" s="5">
        <v>0</v>
      </c>
    </row>
    <row r="15" spans="1:45" x14ac:dyDescent="0.35">
      <c r="B15" s="4" t="str">
        <f>Populations!$C$15</f>
        <v>F35-49</v>
      </c>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6" t="s">
        <v>46</v>
      </c>
      <c r="AS15" s="5">
        <v>0</v>
      </c>
    </row>
    <row r="16" spans="1:45" x14ac:dyDescent="0.35">
      <c r="B16" s="4" t="str">
        <f>Populations!$C$16</f>
        <v>M35-49</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6" t="s">
        <v>46</v>
      </c>
      <c r="AS16" s="5">
        <v>0</v>
      </c>
    </row>
    <row r="17" spans="1:45" x14ac:dyDescent="0.35">
      <c r="B17" s="4" t="str">
        <f>Populations!$C$17</f>
        <v>F50+</v>
      </c>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6" t="s">
        <v>46</v>
      </c>
      <c r="AS17" s="5">
        <v>0</v>
      </c>
    </row>
    <row r="18" spans="1:45" x14ac:dyDescent="0.35">
      <c r="B18" s="4" t="str">
        <f>Populations!$C$18</f>
        <v>M50+</v>
      </c>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6" t="s">
        <v>46</v>
      </c>
      <c r="AS18" s="5">
        <v>0</v>
      </c>
    </row>
    <row r="22" spans="1:45" x14ac:dyDescent="0.35">
      <c r="A22" s="2" t="s">
        <v>81</v>
      </c>
    </row>
    <row r="23" spans="1:45" x14ac:dyDescent="0.35">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4" t="s">
        <v>44</v>
      </c>
    </row>
    <row r="24" spans="1:45" x14ac:dyDescent="0.35">
      <c r="B24" s="4" t="str">
        <f>Populations!$C$3</f>
        <v>FSW</v>
      </c>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6" t="s">
        <v>46</v>
      </c>
      <c r="AS24" s="8">
        <v>0</v>
      </c>
    </row>
    <row r="25" spans="1:45" x14ac:dyDescent="0.35">
      <c r="B25" s="4" t="str">
        <f>Populations!$C$4</f>
        <v>Clients</v>
      </c>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6" t="s">
        <v>46</v>
      </c>
      <c r="AS25" s="8">
        <v>0</v>
      </c>
    </row>
    <row r="26" spans="1:45" x14ac:dyDescent="0.35">
      <c r="B26" s="4" t="str">
        <f>Populations!$C$5</f>
        <v>MSM</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6" t="s">
        <v>46</v>
      </c>
      <c r="AS26" s="8">
        <v>0</v>
      </c>
    </row>
    <row r="27" spans="1:45" x14ac:dyDescent="0.35">
      <c r="B27" s="4" t="str">
        <f>Populations!$C$6</f>
        <v>Prisoners</v>
      </c>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6" t="s">
        <v>46</v>
      </c>
      <c r="AS27" s="8">
        <v>0</v>
      </c>
    </row>
    <row r="28" spans="1:45" x14ac:dyDescent="0.35">
      <c r="B28" s="4" t="str">
        <f>Populations!$C$7</f>
        <v>F0-14</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6" t="s">
        <v>46</v>
      </c>
      <c r="AS28" s="8">
        <v>0</v>
      </c>
    </row>
    <row r="29" spans="1:45" x14ac:dyDescent="0.35">
      <c r="B29" s="4" t="str">
        <f>Populations!$C$8</f>
        <v>M0-14</v>
      </c>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6" t="s">
        <v>46</v>
      </c>
      <c r="AS29" s="8">
        <v>0</v>
      </c>
    </row>
    <row r="30" spans="1:45" x14ac:dyDescent="0.35">
      <c r="B30" s="4" t="str">
        <f>Populations!$C$9</f>
        <v>F15-19</v>
      </c>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6" t="s">
        <v>46</v>
      </c>
      <c r="AS30" s="8">
        <v>0</v>
      </c>
    </row>
    <row r="31" spans="1:45" x14ac:dyDescent="0.35">
      <c r="B31" s="4" t="str">
        <f>Populations!$C$10</f>
        <v>M15-19</v>
      </c>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6" t="s">
        <v>46</v>
      </c>
      <c r="AS31" s="8">
        <v>0</v>
      </c>
    </row>
    <row r="32" spans="1:45" x14ac:dyDescent="0.35">
      <c r="B32" s="4" t="str">
        <f>Populations!$C$11</f>
        <v>F20-24</v>
      </c>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6" t="s">
        <v>46</v>
      </c>
      <c r="AS32" s="8">
        <v>0</v>
      </c>
    </row>
    <row r="33" spans="1:45" x14ac:dyDescent="0.35">
      <c r="B33" s="4" t="str">
        <f>Populations!$C$12</f>
        <v>M20-24</v>
      </c>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6" t="s">
        <v>46</v>
      </c>
      <c r="AS33" s="8">
        <v>0</v>
      </c>
    </row>
    <row r="34" spans="1:45" x14ac:dyDescent="0.35">
      <c r="B34" s="4" t="str">
        <f>Populations!$C$13</f>
        <v>F25-34</v>
      </c>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6" t="s">
        <v>46</v>
      </c>
      <c r="AS34" s="8">
        <v>0</v>
      </c>
    </row>
    <row r="35" spans="1:45" x14ac:dyDescent="0.35">
      <c r="B35" s="4" t="str">
        <f>Populations!$C$14</f>
        <v>M25-34</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6" t="s">
        <v>46</v>
      </c>
      <c r="AS35" s="8">
        <v>0</v>
      </c>
    </row>
    <row r="36" spans="1:45" x14ac:dyDescent="0.35">
      <c r="B36" s="4" t="str">
        <f>Populations!$C$15</f>
        <v>F35-49</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6" t="s">
        <v>46</v>
      </c>
      <c r="AS36" s="8">
        <v>0</v>
      </c>
    </row>
    <row r="37" spans="1:45" x14ac:dyDescent="0.35">
      <c r="B37" s="4" t="str">
        <f>Populations!$C$16</f>
        <v>M35-49</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6" t="s">
        <v>46</v>
      </c>
      <c r="AS37" s="8">
        <v>0</v>
      </c>
    </row>
    <row r="38" spans="1:45" x14ac:dyDescent="0.35">
      <c r="B38" s="4" t="str">
        <f>Populations!$C$17</f>
        <v>F50+</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6" t="s">
        <v>46</v>
      </c>
      <c r="AS38" s="8">
        <v>0</v>
      </c>
    </row>
    <row r="39" spans="1:45" x14ac:dyDescent="0.35">
      <c r="B39" s="4" t="str">
        <f>Populations!$C$18</f>
        <v>M50+</v>
      </c>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6" t="s">
        <v>46</v>
      </c>
      <c r="AS39" s="8">
        <v>0</v>
      </c>
    </row>
    <row r="43" spans="1:45" x14ac:dyDescent="0.35">
      <c r="A43" s="2" t="s">
        <v>82</v>
      </c>
    </row>
    <row r="44" spans="1:45" x14ac:dyDescent="0.35">
      <c r="C44" s="4">
        <v>1990</v>
      </c>
      <c r="D44" s="4">
        <v>1991</v>
      </c>
      <c r="E44" s="4">
        <v>1992</v>
      </c>
      <c r="F44" s="4">
        <v>1993</v>
      </c>
      <c r="G44" s="4">
        <v>1994</v>
      </c>
      <c r="H44" s="4">
        <v>1995</v>
      </c>
      <c r="I44" s="4">
        <v>1996</v>
      </c>
      <c r="J44" s="4">
        <v>1997</v>
      </c>
      <c r="K44" s="4">
        <v>1998</v>
      </c>
      <c r="L44" s="4">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H44" s="4">
        <v>2021</v>
      </c>
      <c r="AI44" s="4">
        <v>2022</v>
      </c>
      <c r="AJ44" s="4">
        <v>2023</v>
      </c>
      <c r="AK44" s="4">
        <v>2024</v>
      </c>
      <c r="AL44" s="4">
        <v>2025</v>
      </c>
      <c r="AM44" s="4">
        <v>2026</v>
      </c>
      <c r="AN44" s="4">
        <v>2027</v>
      </c>
      <c r="AO44" s="4">
        <v>2028</v>
      </c>
      <c r="AP44" s="4">
        <v>2029</v>
      </c>
      <c r="AQ44" s="4">
        <v>2030</v>
      </c>
      <c r="AS44" s="4" t="s">
        <v>44</v>
      </c>
    </row>
    <row r="45" spans="1:45" x14ac:dyDescent="0.35">
      <c r="B45" s="4" t="s">
        <v>57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6" t="s">
        <v>46</v>
      </c>
      <c r="AS45" s="5">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K137"/>
  <sheetViews>
    <sheetView topLeftCell="A94" zoomScale="80" zoomScaleNormal="80" workbookViewId="0">
      <selection activeCell="U119" sqref="U119"/>
    </sheetView>
  </sheetViews>
  <sheetFormatPr defaultColWidth="8.81640625" defaultRowHeight="14.5" x14ac:dyDescent="0.35"/>
  <cols>
    <col min="1" max="1" width="6.1796875" customWidth="1"/>
    <col min="2" max="2" width="8.1796875" bestFit="1" customWidth="1"/>
    <col min="3" max="3" width="4.453125" bestFit="1" customWidth="1"/>
    <col min="4" max="4" width="6.1796875" bestFit="1" customWidth="1"/>
    <col min="5" max="5" width="5.1796875" bestFit="1" customWidth="1"/>
    <col min="6" max="6" width="9" bestFit="1" customWidth="1"/>
    <col min="7" max="7" width="5.1796875" bestFit="1" customWidth="1"/>
    <col min="8" max="8" width="6" bestFit="1" customWidth="1"/>
    <col min="9" max="9" width="6.1796875" bestFit="1" customWidth="1"/>
    <col min="10" max="10" width="7" bestFit="1" customWidth="1"/>
    <col min="11" max="11" width="6.1796875" bestFit="1" customWidth="1"/>
    <col min="12" max="12" width="7" customWidth="1"/>
    <col min="13" max="13" width="6.1796875" customWidth="1"/>
    <col min="14" max="14" width="7" bestFit="1" customWidth="1"/>
    <col min="15" max="15" width="6.1796875" bestFit="1" customWidth="1"/>
    <col min="16" max="16" width="7" bestFit="1" customWidth="1"/>
    <col min="17" max="17" width="4.453125" bestFit="1" customWidth="1"/>
    <col min="18" max="18" width="5.453125" bestFit="1" customWidth="1"/>
    <col min="19" max="19" width="5.453125" customWidth="1"/>
  </cols>
  <sheetData>
    <row r="1" spans="1:18" x14ac:dyDescent="0.35">
      <c r="A1" s="2" t="s">
        <v>83</v>
      </c>
    </row>
    <row r="2" spans="1:18" x14ac:dyDescent="0.35">
      <c r="C2" s="4" t="str">
        <f>Populations!$C$3</f>
        <v>FSW</v>
      </c>
      <c r="D2" s="4" t="str">
        <f>Populations!$C$4</f>
        <v>Clients</v>
      </c>
      <c r="E2" s="4" t="str">
        <f>Populations!$C$5</f>
        <v>MSM</v>
      </c>
      <c r="F2" s="4" t="str">
        <f>Populations!$C$6</f>
        <v>Prisoners</v>
      </c>
      <c r="G2" s="4" t="str">
        <f>Populations!$C$7</f>
        <v>F0-14</v>
      </c>
      <c r="H2" s="4" t="str">
        <f>Populations!$C$8</f>
        <v>M0-14</v>
      </c>
      <c r="I2" s="4" t="str">
        <f>Populations!$C$9</f>
        <v>F15-19</v>
      </c>
      <c r="J2" s="4" t="str">
        <f>Populations!$C$10</f>
        <v>M15-19</v>
      </c>
      <c r="K2" s="4" t="str">
        <f>Populations!$C$11</f>
        <v>F20-24</v>
      </c>
      <c r="L2" s="4" t="str">
        <f>Populations!$C$12</f>
        <v>M20-24</v>
      </c>
      <c r="M2" s="4" t="str">
        <f>Populations!$C$13</f>
        <v>F25-34</v>
      </c>
      <c r="N2" s="4" t="str">
        <f>Populations!$C$14</f>
        <v>M25-34</v>
      </c>
      <c r="O2" s="4" t="str">
        <f>Populations!$C$15</f>
        <v>F35-49</v>
      </c>
      <c r="P2" s="4" t="str">
        <f>Populations!$C$16</f>
        <v>M35-49</v>
      </c>
      <c r="Q2" s="4" t="str">
        <f>Populations!$C$17</f>
        <v>F50+</v>
      </c>
      <c r="R2" s="4" t="str">
        <f>Populations!$C$18</f>
        <v>M50+</v>
      </c>
    </row>
    <row r="3" spans="1:18" hidden="1" x14ac:dyDescent="0.35">
      <c r="B3" s="4" t="str">
        <f>Populations!$C$3</f>
        <v>FSW</v>
      </c>
      <c r="C3" s="5"/>
      <c r="D3" s="5"/>
      <c r="E3" s="5"/>
      <c r="F3" s="5"/>
      <c r="G3" s="5"/>
      <c r="H3" s="5"/>
      <c r="I3" s="5"/>
      <c r="J3" s="5"/>
      <c r="K3" s="5"/>
      <c r="L3" s="5"/>
      <c r="M3" s="5"/>
      <c r="N3" s="5"/>
      <c r="O3" s="5"/>
      <c r="P3" s="5"/>
      <c r="Q3" s="5"/>
      <c r="R3" s="5"/>
    </row>
    <row r="4" spans="1:18" x14ac:dyDescent="0.35">
      <c r="B4" s="4" t="str">
        <f>Populations!$C$4</f>
        <v>Clients</v>
      </c>
      <c r="C4" s="116">
        <v>10</v>
      </c>
      <c r="D4" s="5"/>
      <c r="E4" s="5"/>
      <c r="F4" s="5"/>
      <c r="G4" s="5"/>
      <c r="H4" s="5"/>
      <c r="I4" s="5">
        <v>3</v>
      </c>
      <c r="J4" s="5"/>
      <c r="K4" s="5">
        <v>5</v>
      </c>
      <c r="L4" s="5"/>
      <c r="M4" s="5">
        <v>5</v>
      </c>
      <c r="N4" s="5"/>
      <c r="O4" s="5">
        <v>5</v>
      </c>
      <c r="P4" s="5"/>
      <c r="Q4" s="5">
        <v>1</v>
      </c>
      <c r="R4" s="5"/>
    </row>
    <row r="5" spans="1:18" x14ac:dyDescent="0.35">
      <c r="B5" s="4" t="str">
        <f>Populations!$C$5</f>
        <v>MSM</v>
      </c>
      <c r="C5" s="5"/>
      <c r="D5" s="5"/>
      <c r="E5" s="5">
        <v>2</v>
      </c>
      <c r="F5" s="5"/>
      <c r="G5" s="5"/>
      <c r="H5" s="5"/>
      <c r="I5" s="5"/>
      <c r="J5" s="5"/>
      <c r="K5" s="5">
        <v>1</v>
      </c>
      <c r="L5" s="5"/>
      <c r="M5" s="5">
        <v>1</v>
      </c>
      <c r="N5" s="5"/>
      <c r="O5" s="5">
        <v>1</v>
      </c>
      <c r="P5" s="5"/>
      <c r="Q5" s="5"/>
      <c r="R5" s="5"/>
    </row>
    <row r="6" spans="1:18" x14ac:dyDescent="0.35">
      <c r="B6" s="4" t="str">
        <f>Populations!$C$6</f>
        <v>Prisoners</v>
      </c>
      <c r="C6" s="5"/>
      <c r="D6" s="5"/>
      <c r="E6" s="5"/>
      <c r="F6" s="5">
        <v>1</v>
      </c>
      <c r="G6" s="5"/>
      <c r="H6" s="5"/>
      <c r="I6" s="5"/>
      <c r="J6" s="5"/>
      <c r="K6" s="5"/>
      <c r="L6" s="5"/>
      <c r="M6" s="5"/>
      <c r="N6" s="5"/>
      <c r="O6" s="5"/>
      <c r="P6" s="5"/>
      <c r="Q6" s="5"/>
      <c r="R6" s="5"/>
    </row>
    <row r="7" spans="1:18" hidden="1" x14ac:dyDescent="0.35">
      <c r="B7" s="4" t="str">
        <f>Populations!$C$7</f>
        <v>F0-14</v>
      </c>
      <c r="C7" s="5"/>
      <c r="D7" s="5"/>
      <c r="E7" s="5"/>
      <c r="F7" s="5"/>
      <c r="G7" s="5"/>
      <c r="H7" s="5"/>
      <c r="I7" s="5"/>
      <c r="J7" s="5"/>
      <c r="K7" s="5"/>
      <c r="L7" s="5"/>
      <c r="M7" s="5"/>
      <c r="N7" s="5"/>
      <c r="O7" s="5"/>
      <c r="P7" s="5"/>
      <c r="Q7" s="5"/>
      <c r="R7" s="5"/>
    </row>
    <row r="8" spans="1:18" x14ac:dyDescent="0.35">
      <c r="B8" s="4" t="str">
        <f>Populations!$C$8</f>
        <v>M0-14</v>
      </c>
      <c r="C8" s="5"/>
      <c r="D8" s="5"/>
      <c r="E8" s="5"/>
      <c r="F8" s="5"/>
      <c r="G8" s="5"/>
      <c r="H8" s="5"/>
      <c r="I8" s="5"/>
      <c r="J8" s="5"/>
      <c r="K8" s="5"/>
      <c r="L8" s="5"/>
      <c r="M8" s="5"/>
      <c r="N8" s="5"/>
      <c r="O8" s="5"/>
      <c r="P8" s="5"/>
      <c r="Q8" s="5"/>
      <c r="R8" s="5"/>
    </row>
    <row r="9" spans="1:18" hidden="1" x14ac:dyDescent="0.35">
      <c r="B9" s="4" t="str">
        <f>Populations!$C$9</f>
        <v>F15-19</v>
      </c>
      <c r="C9" s="5"/>
      <c r="D9" s="5"/>
      <c r="E9" s="5"/>
      <c r="F9" s="5"/>
      <c r="G9" s="5"/>
      <c r="H9" s="5"/>
      <c r="I9" s="5"/>
      <c r="J9" s="5"/>
      <c r="K9" s="5"/>
      <c r="L9" s="5"/>
      <c r="M9" s="5"/>
      <c r="N9" s="5"/>
      <c r="O9" s="5"/>
      <c r="P9" s="5"/>
      <c r="Q9" s="5"/>
      <c r="R9" s="5"/>
    </row>
    <row r="10" spans="1:18" x14ac:dyDescent="0.35">
      <c r="B10" s="4" t="str">
        <f>Populations!$C$10</f>
        <v>M15-19</v>
      </c>
      <c r="C10" s="5"/>
      <c r="D10" s="5"/>
      <c r="E10" s="5"/>
      <c r="F10" s="5"/>
      <c r="G10" s="5"/>
      <c r="H10" s="5"/>
      <c r="I10" s="5">
        <v>5</v>
      </c>
      <c r="J10" s="5"/>
      <c r="K10" s="5">
        <v>1</v>
      </c>
      <c r="L10" s="5"/>
      <c r="M10" s="5"/>
      <c r="N10" s="5"/>
      <c r="O10" s="5"/>
      <c r="P10" s="5"/>
      <c r="Q10" s="5"/>
      <c r="R10" s="5"/>
    </row>
    <row r="11" spans="1:18" hidden="1" x14ac:dyDescent="0.35">
      <c r="B11" s="4" t="str">
        <f>Populations!$C$11</f>
        <v>F20-24</v>
      </c>
      <c r="C11" s="5"/>
      <c r="D11" s="5"/>
      <c r="E11" s="5"/>
      <c r="F11" s="5"/>
      <c r="G11" s="5"/>
      <c r="H11" s="5"/>
      <c r="I11" s="5"/>
      <c r="J11" s="5"/>
      <c r="K11" s="5"/>
      <c r="L11" s="5"/>
      <c r="M11" s="5"/>
      <c r="N11" s="5"/>
      <c r="O11" s="5"/>
      <c r="P11" s="5"/>
      <c r="Q11" s="5"/>
      <c r="R11" s="5"/>
    </row>
    <row r="12" spans="1:18" x14ac:dyDescent="0.35">
      <c r="B12" s="4" t="str">
        <f>Populations!$C$12</f>
        <v>M20-24</v>
      </c>
      <c r="C12" s="5">
        <v>1</v>
      </c>
      <c r="D12" s="5"/>
      <c r="E12" s="5"/>
      <c r="F12" s="5"/>
      <c r="G12" s="5"/>
      <c r="H12" s="5"/>
      <c r="I12" s="5">
        <v>5</v>
      </c>
      <c r="J12" s="5"/>
      <c r="K12" s="5">
        <v>3</v>
      </c>
      <c r="L12" s="5"/>
      <c r="M12" s="5">
        <v>1</v>
      </c>
      <c r="N12" s="5"/>
      <c r="O12" s="5"/>
      <c r="P12" s="5"/>
      <c r="Q12" s="5"/>
      <c r="R12" s="5"/>
    </row>
    <row r="13" spans="1:18" hidden="1" x14ac:dyDescent="0.35">
      <c r="B13" s="4" t="str">
        <f>Populations!$C$13</f>
        <v>F25-34</v>
      </c>
      <c r="C13" s="5"/>
      <c r="D13" s="5"/>
      <c r="E13" s="5"/>
      <c r="F13" s="5"/>
      <c r="G13" s="5"/>
      <c r="H13" s="5"/>
      <c r="I13" s="5"/>
      <c r="J13" s="5"/>
      <c r="K13" s="5"/>
      <c r="L13" s="5"/>
      <c r="M13" s="5"/>
      <c r="N13" s="5"/>
      <c r="O13" s="5"/>
      <c r="P13" s="5"/>
      <c r="Q13" s="5"/>
      <c r="R13" s="5"/>
    </row>
    <row r="14" spans="1:18" x14ac:dyDescent="0.35">
      <c r="B14" s="4" t="str">
        <f>Populations!$C$14</f>
        <v>M25-34</v>
      </c>
      <c r="C14" s="5">
        <v>1</v>
      </c>
      <c r="D14" s="5"/>
      <c r="E14" s="5"/>
      <c r="F14" s="5"/>
      <c r="G14" s="5"/>
      <c r="H14" s="5"/>
      <c r="I14" s="5">
        <v>3</v>
      </c>
      <c r="J14" s="5"/>
      <c r="K14" s="5">
        <v>5</v>
      </c>
      <c r="L14" s="5"/>
      <c r="M14" s="5">
        <v>3</v>
      </c>
      <c r="N14" s="5"/>
      <c r="O14" s="5">
        <v>1</v>
      </c>
      <c r="P14" s="5"/>
      <c r="Q14" s="5"/>
      <c r="R14" s="5"/>
    </row>
    <row r="15" spans="1:18" hidden="1" x14ac:dyDescent="0.35">
      <c r="B15" s="4" t="str">
        <f>Populations!$C$15</f>
        <v>F35-49</v>
      </c>
      <c r="C15" s="5"/>
      <c r="D15" s="5"/>
      <c r="E15" s="5"/>
      <c r="F15" s="5"/>
      <c r="G15" s="5"/>
      <c r="H15" s="5"/>
      <c r="I15" s="5"/>
      <c r="J15" s="5"/>
      <c r="K15" s="5"/>
      <c r="L15" s="5"/>
      <c r="M15" s="5"/>
      <c r="N15" s="5"/>
      <c r="O15" s="5"/>
      <c r="P15" s="5"/>
      <c r="Q15" s="5"/>
      <c r="R15" s="5"/>
    </row>
    <row r="16" spans="1:18" x14ac:dyDescent="0.35">
      <c r="B16" s="4" t="str">
        <f>Populations!$C$16</f>
        <v>M35-49</v>
      </c>
      <c r="C16" s="5">
        <v>1</v>
      </c>
      <c r="D16" s="5"/>
      <c r="E16" s="5"/>
      <c r="F16" s="5"/>
      <c r="G16" s="5"/>
      <c r="H16" s="5"/>
      <c r="I16" s="5">
        <v>1</v>
      </c>
      <c r="J16" s="5"/>
      <c r="K16" s="5">
        <v>3</v>
      </c>
      <c r="L16" s="5"/>
      <c r="M16" s="5">
        <v>5</v>
      </c>
      <c r="N16" s="5"/>
      <c r="O16" s="5">
        <v>3</v>
      </c>
      <c r="P16" s="5"/>
      <c r="Q16" s="5">
        <v>1</v>
      </c>
      <c r="R16" s="5"/>
    </row>
    <row r="17" spans="1:18" hidden="1" x14ac:dyDescent="0.35">
      <c r="B17" s="4" t="str">
        <f>Populations!$C$17</f>
        <v>F50+</v>
      </c>
      <c r="C17" s="5"/>
      <c r="D17" s="5"/>
      <c r="E17" s="5"/>
      <c r="F17" s="5"/>
      <c r="G17" s="5"/>
      <c r="H17" s="5"/>
      <c r="I17" s="5"/>
      <c r="J17" s="5"/>
      <c r="K17" s="5"/>
      <c r="L17" s="5"/>
      <c r="M17" s="5"/>
      <c r="N17" s="5"/>
      <c r="O17" s="5"/>
      <c r="P17" s="5"/>
      <c r="Q17" s="5"/>
      <c r="R17" s="5"/>
    </row>
    <row r="18" spans="1:18" x14ac:dyDescent="0.35">
      <c r="B18" s="4" t="str">
        <f>Populations!$C$18</f>
        <v>M50+</v>
      </c>
      <c r="C18" s="5">
        <v>1</v>
      </c>
      <c r="D18" s="5"/>
      <c r="E18" s="5"/>
      <c r="F18" s="5"/>
      <c r="G18" s="5"/>
      <c r="H18" s="5"/>
      <c r="I18" s="5"/>
      <c r="J18" s="5"/>
      <c r="K18" s="5">
        <v>1</v>
      </c>
      <c r="L18" s="5"/>
      <c r="M18" s="5">
        <v>3</v>
      </c>
      <c r="N18" s="5"/>
      <c r="O18" s="5">
        <v>5</v>
      </c>
      <c r="P18" s="5"/>
      <c r="Q18" s="5">
        <v>5</v>
      </c>
      <c r="R18" s="5"/>
    </row>
    <row r="22" spans="1:18" x14ac:dyDescent="0.35">
      <c r="A22" s="2" t="s">
        <v>84</v>
      </c>
    </row>
    <row r="23" spans="1:18" x14ac:dyDescent="0.35">
      <c r="C23" s="4" t="str">
        <f>Populations!$C$3</f>
        <v>FSW</v>
      </c>
      <c r="D23" s="4" t="str">
        <f>Populations!$C$4</f>
        <v>Clients</v>
      </c>
      <c r="E23" s="4" t="str">
        <f>Populations!$C$5</f>
        <v>MSM</v>
      </c>
      <c r="F23" s="4" t="str">
        <f>Populations!$C$6</f>
        <v>Prisoners</v>
      </c>
      <c r="G23" s="4" t="str">
        <f>Populations!$C$7</f>
        <v>F0-14</v>
      </c>
      <c r="H23" s="4" t="str">
        <f>Populations!$C$8</f>
        <v>M0-14</v>
      </c>
      <c r="I23" s="4" t="str">
        <f>Populations!$C$9</f>
        <v>F15-19</v>
      </c>
      <c r="J23" s="4" t="str">
        <f>Populations!$C$10</f>
        <v>M15-19</v>
      </c>
      <c r="K23" s="4" t="str">
        <f>Populations!$C$11</f>
        <v>F20-24</v>
      </c>
      <c r="L23" s="4" t="str">
        <f>Populations!$C$12</f>
        <v>M20-24</v>
      </c>
      <c r="M23" s="4" t="str">
        <f>Populations!$C$13</f>
        <v>F25-34</v>
      </c>
      <c r="N23" s="4" t="str">
        <f>Populations!$C$14</f>
        <v>M25-34</v>
      </c>
      <c r="O23" s="4" t="str">
        <f>Populations!$C$15</f>
        <v>F35-49</v>
      </c>
      <c r="P23" s="4" t="str">
        <f>Populations!$C$16</f>
        <v>M35-49</v>
      </c>
      <c r="Q23" s="4" t="str">
        <f>Populations!$C$17</f>
        <v>F50+</v>
      </c>
      <c r="R23" s="4" t="str">
        <f>Populations!$C$18</f>
        <v>M50+</v>
      </c>
    </row>
    <row r="24" spans="1:18" hidden="1" x14ac:dyDescent="0.35">
      <c r="B24" s="4" t="str">
        <f>Populations!$C$3</f>
        <v>FSW</v>
      </c>
      <c r="C24" s="5"/>
      <c r="D24" s="5"/>
      <c r="E24" s="5"/>
      <c r="F24" s="5"/>
      <c r="G24" s="5"/>
      <c r="H24" s="5"/>
      <c r="I24" s="5"/>
      <c r="J24" s="5"/>
      <c r="K24" s="5"/>
      <c r="L24" s="5"/>
      <c r="M24" s="5"/>
      <c r="N24" s="5"/>
      <c r="O24" s="5"/>
      <c r="P24" s="5"/>
      <c r="Q24" s="5"/>
      <c r="R24" s="5"/>
    </row>
    <row r="25" spans="1:18" x14ac:dyDescent="0.35">
      <c r="B25" s="4" t="str">
        <f>Populations!$C$4</f>
        <v>Clients</v>
      </c>
      <c r="C25" s="116">
        <v>10</v>
      </c>
      <c r="D25" s="5"/>
      <c r="E25" s="5"/>
      <c r="F25" s="5"/>
      <c r="G25" s="5"/>
      <c r="H25" s="5"/>
      <c r="I25" s="5">
        <v>3</v>
      </c>
      <c r="J25" s="5"/>
      <c r="K25" s="5">
        <v>5</v>
      </c>
      <c r="L25" s="5"/>
      <c r="M25" s="5">
        <v>5</v>
      </c>
      <c r="N25" s="5"/>
      <c r="O25" s="5">
        <v>5</v>
      </c>
      <c r="P25" s="5"/>
      <c r="Q25" s="5">
        <v>1</v>
      </c>
      <c r="R25" s="5"/>
    </row>
    <row r="26" spans="1:18" x14ac:dyDescent="0.35">
      <c r="B26" s="4" t="str">
        <f>Populations!$C$5</f>
        <v>MSM</v>
      </c>
      <c r="C26" s="5"/>
      <c r="D26" s="5"/>
      <c r="E26" s="5">
        <v>5</v>
      </c>
      <c r="F26" s="5"/>
      <c r="G26" s="5"/>
      <c r="H26" s="5"/>
      <c r="I26" s="5"/>
      <c r="J26" s="5"/>
      <c r="K26" s="5">
        <v>1</v>
      </c>
      <c r="L26" s="5"/>
      <c r="M26" s="5">
        <v>1</v>
      </c>
      <c r="N26" s="5"/>
      <c r="O26" s="5">
        <v>1</v>
      </c>
      <c r="P26" s="5"/>
      <c r="Q26" s="5"/>
      <c r="R26" s="5"/>
    </row>
    <row r="27" spans="1:18" x14ac:dyDescent="0.35">
      <c r="B27" s="4" t="str">
        <f>Populations!$C$6</f>
        <v>Prisoners</v>
      </c>
      <c r="C27" s="5"/>
      <c r="D27" s="5"/>
      <c r="E27" s="5"/>
      <c r="F27" s="5">
        <v>1</v>
      </c>
      <c r="G27" s="5"/>
      <c r="H27" s="5"/>
      <c r="I27" s="5"/>
      <c r="J27" s="5"/>
      <c r="K27" s="5"/>
      <c r="L27" s="5"/>
      <c r="M27" s="5"/>
      <c r="N27" s="5"/>
      <c r="O27" s="5"/>
      <c r="P27" s="5"/>
      <c r="Q27" s="5"/>
      <c r="R27" s="5"/>
    </row>
    <row r="28" spans="1:18" hidden="1" x14ac:dyDescent="0.35">
      <c r="B28" s="4" t="str">
        <f>Populations!$C$7</f>
        <v>F0-14</v>
      </c>
      <c r="C28" s="5"/>
      <c r="D28" s="5"/>
      <c r="E28" s="5"/>
      <c r="F28" s="5"/>
      <c r="G28" s="5"/>
      <c r="H28" s="5"/>
      <c r="I28" s="5"/>
      <c r="J28" s="5"/>
      <c r="K28" s="5"/>
      <c r="L28" s="5"/>
      <c r="M28" s="5"/>
      <c r="N28" s="5"/>
      <c r="O28" s="5"/>
      <c r="P28" s="5"/>
      <c r="Q28" s="5"/>
      <c r="R28" s="5"/>
    </row>
    <row r="29" spans="1:18" x14ac:dyDescent="0.35">
      <c r="B29" s="4" t="str">
        <f>Populations!$C$8</f>
        <v>M0-14</v>
      </c>
      <c r="C29" s="5"/>
      <c r="D29" s="5"/>
      <c r="E29" s="5"/>
      <c r="F29" s="5"/>
      <c r="G29" s="5"/>
      <c r="H29" s="5"/>
      <c r="I29" s="5"/>
      <c r="J29" s="5"/>
      <c r="K29" s="5"/>
      <c r="L29" s="5"/>
      <c r="M29" s="5"/>
      <c r="N29" s="5"/>
      <c r="O29" s="5"/>
      <c r="P29" s="5"/>
      <c r="Q29" s="5"/>
      <c r="R29" s="5"/>
    </row>
    <row r="30" spans="1:18" hidden="1" x14ac:dyDescent="0.35">
      <c r="B30" s="4" t="str">
        <f>Populations!$C$9</f>
        <v>F15-19</v>
      </c>
      <c r="C30" s="5"/>
      <c r="D30" s="5"/>
      <c r="E30" s="5"/>
      <c r="F30" s="5"/>
      <c r="G30" s="5"/>
      <c r="H30" s="5"/>
      <c r="I30" s="5"/>
      <c r="J30" s="5"/>
      <c r="K30" s="5"/>
      <c r="L30" s="5"/>
      <c r="M30" s="5"/>
      <c r="N30" s="5"/>
      <c r="O30" s="5"/>
      <c r="P30" s="5"/>
      <c r="Q30" s="5"/>
      <c r="R30" s="5"/>
    </row>
    <row r="31" spans="1:18" x14ac:dyDescent="0.35">
      <c r="B31" s="4" t="str">
        <f>Populations!$C$10</f>
        <v>M15-19</v>
      </c>
      <c r="C31" s="5"/>
      <c r="D31" s="5"/>
      <c r="E31" s="5"/>
      <c r="F31" s="5"/>
      <c r="G31" s="5"/>
      <c r="H31" s="5"/>
      <c r="I31" s="5">
        <v>5</v>
      </c>
      <c r="J31" s="5"/>
      <c r="K31" s="5">
        <v>1</v>
      </c>
      <c r="L31" s="5"/>
      <c r="M31" s="5"/>
      <c r="N31" s="5"/>
      <c r="O31" s="5"/>
      <c r="P31" s="5"/>
      <c r="Q31" s="5"/>
      <c r="R31" s="5"/>
    </row>
    <row r="32" spans="1:18" hidden="1" x14ac:dyDescent="0.35">
      <c r="B32" s="4" t="str">
        <f>Populations!$C$11</f>
        <v>F20-24</v>
      </c>
      <c r="C32" s="5"/>
      <c r="D32" s="5"/>
      <c r="E32" s="5"/>
      <c r="F32" s="5"/>
      <c r="G32" s="5"/>
      <c r="H32" s="5"/>
      <c r="I32" s="5"/>
      <c r="J32" s="5"/>
      <c r="K32" s="5"/>
      <c r="L32" s="5"/>
      <c r="M32" s="5"/>
      <c r="N32" s="5"/>
      <c r="O32" s="5"/>
      <c r="P32" s="5"/>
      <c r="Q32" s="5"/>
      <c r="R32" s="5"/>
    </row>
    <row r="33" spans="1:18" x14ac:dyDescent="0.35">
      <c r="B33" s="4" t="str">
        <f>Populations!$C$12</f>
        <v>M20-24</v>
      </c>
      <c r="C33" s="5">
        <v>1</v>
      </c>
      <c r="D33" s="5"/>
      <c r="E33" s="5"/>
      <c r="F33" s="5"/>
      <c r="G33" s="5"/>
      <c r="H33" s="5"/>
      <c r="I33" s="5">
        <v>5</v>
      </c>
      <c r="J33" s="5"/>
      <c r="K33" s="5">
        <v>3</v>
      </c>
      <c r="L33" s="5"/>
      <c r="M33" s="5">
        <v>1</v>
      </c>
      <c r="N33" s="5"/>
      <c r="O33" s="5"/>
      <c r="P33" s="5"/>
      <c r="Q33" s="5"/>
      <c r="R33" s="5"/>
    </row>
    <row r="34" spans="1:18" hidden="1" x14ac:dyDescent="0.35">
      <c r="B34" s="4" t="str">
        <f>Populations!$C$13</f>
        <v>F25-34</v>
      </c>
      <c r="C34" s="5"/>
      <c r="D34" s="5"/>
      <c r="E34" s="5"/>
      <c r="F34" s="5"/>
      <c r="G34" s="5"/>
      <c r="H34" s="5"/>
      <c r="I34" s="5"/>
      <c r="J34" s="5"/>
      <c r="K34" s="5"/>
      <c r="L34" s="5"/>
      <c r="M34" s="5"/>
      <c r="N34" s="5"/>
      <c r="O34" s="5"/>
      <c r="P34" s="5"/>
      <c r="Q34" s="5"/>
      <c r="R34" s="5"/>
    </row>
    <row r="35" spans="1:18" x14ac:dyDescent="0.35">
      <c r="B35" s="4" t="str">
        <f>Populations!$C$14</f>
        <v>M25-34</v>
      </c>
      <c r="C35" s="5">
        <v>1</v>
      </c>
      <c r="D35" s="5"/>
      <c r="E35" s="5"/>
      <c r="F35" s="5"/>
      <c r="G35" s="5"/>
      <c r="H35" s="5"/>
      <c r="I35" s="5">
        <v>3</v>
      </c>
      <c r="J35" s="5"/>
      <c r="K35" s="5">
        <v>5</v>
      </c>
      <c r="L35" s="5"/>
      <c r="M35" s="5">
        <v>3</v>
      </c>
      <c r="N35" s="5"/>
      <c r="O35" s="5">
        <v>1</v>
      </c>
      <c r="P35" s="5"/>
      <c r="Q35" s="5"/>
      <c r="R35" s="5"/>
    </row>
    <row r="36" spans="1:18" hidden="1" x14ac:dyDescent="0.35">
      <c r="B36" s="4" t="str">
        <f>Populations!$C$15</f>
        <v>F35-49</v>
      </c>
      <c r="C36" s="5"/>
      <c r="D36" s="5"/>
      <c r="E36" s="5"/>
      <c r="F36" s="5"/>
      <c r="G36" s="5"/>
      <c r="H36" s="5"/>
      <c r="I36" s="5"/>
      <c r="J36" s="5"/>
      <c r="K36" s="5"/>
      <c r="L36" s="5"/>
      <c r="M36" s="5"/>
      <c r="N36" s="5"/>
      <c r="O36" s="5"/>
      <c r="P36" s="5"/>
      <c r="Q36" s="5"/>
      <c r="R36" s="5"/>
    </row>
    <row r="37" spans="1:18" x14ac:dyDescent="0.35">
      <c r="B37" s="4" t="str">
        <f>Populations!$C$16</f>
        <v>M35-49</v>
      </c>
      <c r="C37" s="5">
        <v>1</v>
      </c>
      <c r="D37" s="5"/>
      <c r="E37" s="5"/>
      <c r="F37" s="5"/>
      <c r="G37" s="5"/>
      <c r="H37" s="5"/>
      <c r="I37" s="5">
        <v>1</v>
      </c>
      <c r="J37" s="5"/>
      <c r="K37" s="5">
        <v>3</v>
      </c>
      <c r="L37" s="5"/>
      <c r="M37" s="5">
        <v>5</v>
      </c>
      <c r="N37" s="5"/>
      <c r="O37" s="5">
        <v>3</v>
      </c>
      <c r="P37" s="5"/>
      <c r="Q37" s="5">
        <v>1</v>
      </c>
      <c r="R37" s="5"/>
    </row>
    <row r="38" spans="1:18" hidden="1" x14ac:dyDescent="0.35">
      <c r="B38" s="4" t="str">
        <f>Populations!$C$17</f>
        <v>F50+</v>
      </c>
      <c r="C38" s="5"/>
      <c r="D38" s="5"/>
      <c r="E38" s="5"/>
      <c r="F38" s="5"/>
      <c r="G38" s="5"/>
      <c r="H38" s="5"/>
      <c r="I38" s="5"/>
      <c r="J38" s="5"/>
      <c r="K38" s="5"/>
      <c r="L38" s="5"/>
      <c r="M38" s="5"/>
      <c r="N38" s="5"/>
      <c r="O38" s="5"/>
      <c r="P38" s="5"/>
      <c r="Q38" s="5"/>
      <c r="R38" s="5"/>
    </row>
    <row r="39" spans="1:18" x14ac:dyDescent="0.35">
      <c r="B39" s="4" t="str">
        <f>Populations!$C$18</f>
        <v>M50+</v>
      </c>
      <c r="C39" s="5">
        <v>1</v>
      </c>
      <c r="D39" s="5"/>
      <c r="E39" s="5"/>
      <c r="F39" s="5"/>
      <c r="G39" s="5"/>
      <c r="H39" s="5"/>
      <c r="I39" s="5"/>
      <c r="J39" s="5"/>
      <c r="K39" s="5">
        <v>1</v>
      </c>
      <c r="L39" s="5"/>
      <c r="M39" s="5">
        <v>3</v>
      </c>
      <c r="N39" s="5"/>
      <c r="O39" s="5">
        <v>5</v>
      </c>
      <c r="P39" s="5"/>
      <c r="Q39" s="5">
        <v>3</v>
      </c>
      <c r="R39" s="5"/>
    </row>
    <row r="43" spans="1:18" x14ac:dyDescent="0.35">
      <c r="A43" s="2" t="s">
        <v>85</v>
      </c>
    </row>
    <row r="44" spans="1:18" x14ac:dyDescent="0.35">
      <c r="C44" s="4" t="str">
        <f>Populations!$C$3</f>
        <v>FSW</v>
      </c>
      <c r="D44" s="4" t="str">
        <f>Populations!$C$4</f>
        <v>Clients</v>
      </c>
      <c r="E44" s="4" t="str">
        <f>Populations!$C$5</f>
        <v>MSM</v>
      </c>
      <c r="F44" s="4" t="str">
        <f>Populations!$C$6</f>
        <v>Prisoners</v>
      </c>
      <c r="G44" s="4" t="str">
        <f>Populations!$C$7</f>
        <v>F0-14</v>
      </c>
      <c r="H44" s="4" t="str">
        <f>Populations!$C$8</f>
        <v>M0-14</v>
      </c>
      <c r="I44" s="4" t="str">
        <f>Populations!$C$9</f>
        <v>F15-19</v>
      </c>
      <c r="J44" s="4" t="str">
        <f>Populations!$C$10</f>
        <v>M15-19</v>
      </c>
      <c r="K44" s="4" t="str">
        <f>Populations!$C$11</f>
        <v>F20-24</v>
      </c>
      <c r="L44" s="4" t="str">
        <f>Populations!$C$12</f>
        <v>M20-24</v>
      </c>
      <c r="M44" s="4" t="str">
        <f>Populations!$C$13</f>
        <v>F25-34</v>
      </c>
      <c r="N44" s="4" t="str">
        <f>Populations!$C$14</f>
        <v>M25-34</v>
      </c>
      <c r="O44" s="4" t="str">
        <f>Populations!$C$15</f>
        <v>F35-49</v>
      </c>
      <c r="P44" s="4" t="str">
        <f>Populations!$C$16</f>
        <v>M35-49</v>
      </c>
      <c r="Q44" s="4" t="str">
        <f>Populations!$C$17</f>
        <v>F50+</v>
      </c>
      <c r="R44" s="4" t="str">
        <f>Populations!$C$18</f>
        <v>M50+</v>
      </c>
    </row>
    <row r="45" spans="1:18" hidden="1" x14ac:dyDescent="0.35">
      <c r="B45" s="4" t="str">
        <f>Populations!$C$3</f>
        <v>FSW</v>
      </c>
      <c r="C45" s="5"/>
      <c r="D45" s="5"/>
      <c r="E45" s="5"/>
      <c r="F45" s="5"/>
      <c r="G45" s="5"/>
      <c r="H45" s="5"/>
      <c r="I45" s="5"/>
      <c r="J45" s="5"/>
      <c r="K45" s="5"/>
      <c r="L45" s="5"/>
      <c r="M45" s="5"/>
      <c r="N45" s="5"/>
      <c r="O45" s="5"/>
      <c r="P45" s="5"/>
      <c r="Q45" s="5"/>
      <c r="R45" s="5"/>
    </row>
    <row r="46" spans="1:18" x14ac:dyDescent="0.35">
      <c r="B46" s="4" t="str">
        <f>Populations!$C$4</f>
        <v>Clients</v>
      </c>
      <c r="C46" s="5">
        <v>1</v>
      </c>
      <c r="D46" s="5"/>
      <c r="E46" s="5"/>
      <c r="F46" s="5"/>
      <c r="G46" s="5"/>
      <c r="H46" s="5"/>
      <c r="I46" s="5"/>
      <c r="J46" s="5"/>
      <c r="K46" s="5"/>
      <c r="L46" s="5"/>
      <c r="M46" s="5"/>
      <c r="N46" s="5"/>
      <c r="O46" s="5"/>
      <c r="P46" s="5"/>
      <c r="Q46" s="5"/>
      <c r="R46" s="5"/>
    </row>
    <row r="47" spans="1:18" x14ac:dyDescent="0.35">
      <c r="B47" s="4" t="str">
        <f>Populations!$C$5</f>
        <v>MSM</v>
      </c>
      <c r="C47" s="5"/>
      <c r="D47" s="5"/>
      <c r="E47" s="5"/>
      <c r="F47" s="5"/>
      <c r="G47" s="5"/>
      <c r="H47" s="5"/>
      <c r="I47" s="5"/>
      <c r="J47" s="5"/>
      <c r="K47" s="5"/>
      <c r="L47" s="5"/>
      <c r="M47" s="5"/>
      <c r="N47" s="5"/>
      <c r="O47" s="5"/>
      <c r="P47" s="5"/>
      <c r="Q47" s="5"/>
      <c r="R47" s="5"/>
    </row>
    <row r="48" spans="1:18" x14ac:dyDescent="0.35">
      <c r="B48" s="4" t="str">
        <f>Populations!$C$6</f>
        <v>Prisoners</v>
      </c>
      <c r="C48" s="5"/>
      <c r="D48" s="5"/>
      <c r="E48" s="5"/>
      <c r="F48" s="5"/>
      <c r="G48" s="5"/>
      <c r="H48" s="5"/>
      <c r="I48" s="5"/>
      <c r="J48" s="5"/>
      <c r="K48" s="5"/>
      <c r="L48" s="5"/>
      <c r="M48" s="5"/>
      <c r="N48" s="5"/>
      <c r="O48" s="5"/>
      <c r="P48" s="5"/>
      <c r="Q48" s="5"/>
      <c r="R48" s="5"/>
    </row>
    <row r="49" spans="1:18" hidden="1" x14ac:dyDescent="0.35">
      <c r="B49" s="4" t="str">
        <f>Populations!$C$7</f>
        <v>F0-14</v>
      </c>
      <c r="C49" s="5"/>
      <c r="D49" s="5"/>
      <c r="E49" s="5"/>
      <c r="F49" s="5"/>
      <c r="G49" s="5"/>
      <c r="H49" s="5"/>
      <c r="I49" s="5"/>
      <c r="J49" s="5"/>
      <c r="K49" s="5"/>
      <c r="L49" s="5"/>
      <c r="M49" s="5"/>
      <c r="N49" s="5"/>
      <c r="O49" s="5"/>
      <c r="P49" s="5"/>
      <c r="Q49" s="5"/>
      <c r="R49" s="5"/>
    </row>
    <row r="50" spans="1:18" x14ac:dyDescent="0.35">
      <c r="B50" s="4" t="str">
        <f>Populations!$C$8</f>
        <v>M0-14</v>
      </c>
      <c r="C50" s="5"/>
      <c r="D50" s="5"/>
      <c r="E50" s="5"/>
      <c r="F50" s="5"/>
      <c r="G50" s="5"/>
      <c r="H50" s="5"/>
      <c r="I50" s="5"/>
      <c r="J50" s="5"/>
      <c r="K50" s="5"/>
      <c r="L50" s="5"/>
      <c r="M50" s="5"/>
      <c r="N50" s="5"/>
      <c r="O50" s="5"/>
      <c r="P50" s="5"/>
      <c r="Q50" s="5"/>
      <c r="R50" s="5"/>
    </row>
    <row r="51" spans="1:18" hidden="1" x14ac:dyDescent="0.35">
      <c r="B51" s="4" t="str">
        <f>Populations!$C$9</f>
        <v>F15-19</v>
      </c>
      <c r="C51" s="5"/>
      <c r="D51" s="5"/>
      <c r="E51" s="5"/>
      <c r="F51" s="5"/>
      <c r="G51" s="5"/>
      <c r="H51" s="5"/>
      <c r="I51" s="5"/>
      <c r="J51" s="5"/>
      <c r="K51" s="5"/>
      <c r="L51" s="5"/>
      <c r="M51" s="5"/>
      <c r="N51" s="5"/>
      <c r="O51" s="5"/>
      <c r="P51" s="5"/>
      <c r="Q51" s="5"/>
      <c r="R51" s="5"/>
    </row>
    <row r="52" spans="1:18" x14ac:dyDescent="0.35">
      <c r="B52" s="4" t="str">
        <f>Populations!$C$10</f>
        <v>M15-19</v>
      </c>
      <c r="C52" s="5"/>
      <c r="D52" s="5"/>
      <c r="E52" s="5"/>
      <c r="F52" s="5"/>
      <c r="G52" s="5"/>
      <c r="H52" s="5"/>
      <c r="I52" s="5"/>
      <c r="J52" s="5"/>
      <c r="K52" s="5"/>
      <c r="L52" s="5"/>
      <c r="M52" s="5"/>
      <c r="N52" s="5"/>
      <c r="O52" s="5"/>
      <c r="P52" s="5"/>
      <c r="Q52" s="5"/>
      <c r="R52" s="5"/>
    </row>
    <row r="53" spans="1:18" hidden="1" x14ac:dyDescent="0.35">
      <c r="B53" s="4" t="str">
        <f>Populations!$C$11</f>
        <v>F20-24</v>
      </c>
      <c r="C53" s="5"/>
      <c r="D53" s="5"/>
      <c r="E53" s="5"/>
      <c r="F53" s="5"/>
      <c r="G53" s="5"/>
      <c r="H53" s="5"/>
      <c r="I53" s="5"/>
      <c r="J53" s="5"/>
      <c r="K53" s="5"/>
      <c r="L53" s="5"/>
      <c r="M53" s="5"/>
      <c r="N53" s="5"/>
      <c r="O53" s="5"/>
      <c r="P53" s="5"/>
      <c r="Q53" s="5"/>
      <c r="R53" s="5"/>
    </row>
    <row r="54" spans="1:18" x14ac:dyDescent="0.35">
      <c r="B54" s="4" t="str">
        <f>Populations!$C$12</f>
        <v>M20-24</v>
      </c>
      <c r="C54" s="5"/>
      <c r="D54" s="5"/>
      <c r="E54" s="5"/>
      <c r="F54" s="5"/>
      <c r="G54" s="5"/>
      <c r="H54" s="5"/>
      <c r="I54" s="5"/>
      <c r="J54" s="5"/>
      <c r="K54" s="5"/>
      <c r="L54" s="5"/>
      <c r="M54" s="5"/>
      <c r="N54" s="5"/>
      <c r="O54" s="5"/>
      <c r="P54" s="5"/>
      <c r="Q54" s="5"/>
      <c r="R54" s="5"/>
    </row>
    <row r="55" spans="1:18" hidden="1" x14ac:dyDescent="0.35">
      <c r="B55" s="4" t="str">
        <f>Populations!$C$13</f>
        <v>F25-34</v>
      </c>
      <c r="C55" s="5"/>
      <c r="D55" s="5"/>
      <c r="E55" s="5"/>
      <c r="F55" s="5"/>
      <c r="G55" s="5"/>
      <c r="H55" s="5"/>
      <c r="I55" s="5"/>
      <c r="J55" s="5"/>
      <c r="K55" s="5"/>
      <c r="L55" s="5"/>
      <c r="M55" s="5"/>
      <c r="N55" s="5"/>
      <c r="O55" s="5"/>
      <c r="P55" s="5"/>
      <c r="Q55" s="5"/>
      <c r="R55" s="5"/>
    </row>
    <row r="56" spans="1:18" x14ac:dyDescent="0.35">
      <c r="B56" s="4" t="str">
        <f>Populations!$C$14</f>
        <v>M25-34</v>
      </c>
      <c r="C56" s="5"/>
      <c r="D56" s="5"/>
      <c r="E56" s="5"/>
      <c r="F56" s="5"/>
      <c r="G56" s="5"/>
      <c r="H56" s="5"/>
      <c r="I56" s="5"/>
      <c r="J56" s="5"/>
      <c r="K56" s="5"/>
      <c r="L56" s="5"/>
      <c r="M56" s="5"/>
      <c r="N56" s="5"/>
      <c r="O56" s="5"/>
      <c r="P56" s="5"/>
      <c r="Q56" s="5"/>
      <c r="R56" s="5"/>
    </row>
    <row r="57" spans="1:18" hidden="1" x14ac:dyDescent="0.35">
      <c r="B57" s="4" t="str">
        <f>Populations!$C$15</f>
        <v>F35-49</v>
      </c>
      <c r="C57" s="5"/>
      <c r="D57" s="5"/>
      <c r="E57" s="5"/>
      <c r="F57" s="5"/>
      <c r="G57" s="5"/>
      <c r="H57" s="5"/>
      <c r="I57" s="5"/>
      <c r="J57" s="5"/>
      <c r="K57" s="5"/>
      <c r="L57" s="5"/>
      <c r="M57" s="5"/>
      <c r="N57" s="5"/>
      <c r="O57" s="5"/>
      <c r="P57" s="5"/>
      <c r="Q57" s="5"/>
      <c r="R57" s="5"/>
    </row>
    <row r="58" spans="1:18" x14ac:dyDescent="0.35">
      <c r="B58" s="4" t="str">
        <f>Populations!$C$16</f>
        <v>M35-49</v>
      </c>
      <c r="C58" s="5"/>
      <c r="D58" s="5"/>
      <c r="E58" s="5"/>
      <c r="F58" s="5"/>
      <c r="G58" s="5"/>
      <c r="H58" s="5"/>
      <c r="I58" s="5"/>
      <c r="J58" s="5"/>
      <c r="K58" s="5"/>
      <c r="L58" s="5"/>
      <c r="M58" s="5"/>
      <c r="N58" s="5"/>
      <c r="O58" s="5"/>
      <c r="P58" s="5"/>
      <c r="Q58" s="5"/>
      <c r="R58" s="5"/>
    </row>
    <row r="59" spans="1:18" hidden="1" x14ac:dyDescent="0.35">
      <c r="B59" s="4" t="str">
        <f>Populations!$C$17</f>
        <v>F50+</v>
      </c>
      <c r="C59" s="5"/>
      <c r="D59" s="5"/>
      <c r="E59" s="5"/>
      <c r="F59" s="5"/>
      <c r="G59" s="5"/>
      <c r="H59" s="5"/>
      <c r="I59" s="5"/>
      <c r="J59" s="5"/>
      <c r="K59" s="5"/>
      <c r="L59" s="5"/>
      <c r="M59" s="5"/>
      <c r="N59" s="5"/>
      <c r="O59" s="5"/>
      <c r="P59" s="5"/>
      <c r="Q59" s="5"/>
      <c r="R59" s="5"/>
    </row>
    <row r="60" spans="1:18" x14ac:dyDescent="0.35">
      <c r="B60" s="4" t="str">
        <f>Populations!$C$18</f>
        <v>M50+</v>
      </c>
      <c r="C60" s="5"/>
      <c r="D60" s="5"/>
      <c r="E60" s="5"/>
      <c r="F60" s="5"/>
      <c r="G60" s="5"/>
      <c r="H60" s="5"/>
      <c r="I60" s="5"/>
      <c r="J60" s="5"/>
      <c r="K60" s="5"/>
      <c r="L60" s="5"/>
      <c r="M60" s="5"/>
      <c r="N60" s="5"/>
      <c r="O60" s="5"/>
      <c r="P60" s="5"/>
      <c r="Q60" s="5"/>
      <c r="R60" s="5"/>
    </row>
    <row r="64" spans="1:18" x14ac:dyDescent="0.35">
      <c r="A64" s="2" t="s">
        <v>86</v>
      </c>
    </row>
    <row r="65" spans="2:18" x14ac:dyDescent="0.35">
      <c r="C65" s="4" t="str">
        <f>Populations!$C$3</f>
        <v>FSW</v>
      </c>
      <c r="D65" s="4" t="str">
        <f>Populations!$C$4</f>
        <v>Clients</v>
      </c>
      <c r="E65" s="4" t="str">
        <f>Populations!$C$5</f>
        <v>MSM</v>
      </c>
      <c r="F65" s="4" t="str">
        <f>Populations!$C$6</f>
        <v>Prisoners</v>
      </c>
      <c r="G65" s="4" t="str">
        <f>Populations!$C$7</f>
        <v>F0-14</v>
      </c>
      <c r="H65" s="4" t="str">
        <f>Populations!$C$8</f>
        <v>M0-14</v>
      </c>
      <c r="I65" s="4" t="str">
        <f>Populations!$C$9</f>
        <v>F15-19</v>
      </c>
      <c r="J65" s="4" t="str">
        <f>Populations!$C$10</f>
        <v>M15-19</v>
      </c>
      <c r="K65" s="4" t="str">
        <f>Populations!$C$11</f>
        <v>F20-24</v>
      </c>
      <c r="L65" s="4" t="str">
        <f>Populations!$C$12</f>
        <v>M20-24</v>
      </c>
      <c r="M65" s="4" t="str">
        <f>Populations!$C$13</f>
        <v>F25-34</v>
      </c>
      <c r="N65" s="4" t="str">
        <f>Populations!$C$14</f>
        <v>M25-34</v>
      </c>
      <c r="O65" s="4" t="str">
        <f>Populations!$C$15</f>
        <v>F35-49</v>
      </c>
      <c r="P65" s="4" t="str">
        <f>Populations!$C$16</f>
        <v>M35-49</v>
      </c>
      <c r="Q65" s="4" t="str">
        <f>Populations!$C$17</f>
        <v>F50+</v>
      </c>
      <c r="R65" s="4" t="str">
        <f>Populations!$C$18</f>
        <v>M50+</v>
      </c>
    </row>
    <row r="66" spans="2:18" x14ac:dyDescent="0.35">
      <c r="B66" s="4" t="str">
        <f>Populations!$C$3</f>
        <v>FSW</v>
      </c>
      <c r="C66" s="5"/>
      <c r="D66" s="5"/>
      <c r="E66" s="5"/>
      <c r="F66" s="5"/>
      <c r="G66" s="5"/>
      <c r="H66" s="5"/>
      <c r="I66" s="5"/>
      <c r="J66" s="5"/>
      <c r="K66" s="5"/>
      <c r="L66" s="5"/>
      <c r="M66" s="5"/>
      <c r="N66" s="5"/>
      <c r="O66" s="5"/>
      <c r="P66" s="5"/>
      <c r="Q66" s="5"/>
      <c r="R66" s="5"/>
    </row>
    <row r="67" spans="2:18" x14ac:dyDescent="0.35">
      <c r="B67" s="4" t="str">
        <f>Populations!$C$4</f>
        <v>Clients</v>
      </c>
      <c r="C67" s="5"/>
      <c r="D67" s="5"/>
      <c r="E67" s="5"/>
      <c r="F67" s="5"/>
      <c r="G67" s="5"/>
      <c r="H67" s="5"/>
      <c r="I67" s="5"/>
      <c r="J67" s="5"/>
      <c r="K67" s="5"/>
      <c r="L67" s="5"/>
      <c r="M67" s="5"/>
      <c r="N67" s="5"/>
      <c r="O67" s="5"/>
      <c r="P67" s="5"/>
      <c r="Q67" s="5"/>
      <c r="R67" s="5"/>
    </row>
    <row r="68" spans="2:18" x14ac:dyDescent="0.35">
      <c r="B68" s="4" t="str">
        <f>Populations!$C$5</f>
        <v>MSM</v>
      </c>
      <c r="C68" s="5"/>
      <c r="D68" s="5"/>
      <c r="E68" s="5"/>
      <c r="F68" s="5"/>
      <c r="G68" s="5"/>
      <c r="H68" s="5"/>
      <c r="I68" s="5"/>
      <c r="J68" s="5"/>
      <c r="K68" s="5"/>
      <c r="L68" s="5"/>
      <c r="M68" s="5"/>
      <c r="N68" s="5"/>
      <c r="O68" s="5"/>
      <c r="P68" s="5"/>
      <c r="Q68" s="5"/>
      <c r="R68" s="5"/>
    </row>
    <row r="69" spans="2:18" x14ac:dyDescent="0.35">
      <c r="B69" s="4" t="str">
        <f>Populations!$C$6</f>
        <v>Prisoners</v>
      </c>
      <c r="C69" s="5"/>
      <c r="D69" s="5"/>
      <c r="E69" s="5"/>
      <c r="F69" s="5"/>
      <c r="G69" s="5"/>
      <c r="H69" s="5"/>
      <c r="I69" s="5"/>
      <c r="J69" s="5"/>
      <c r="K69" s="5"/>
      <c r="L69" s="5"/>
      <c r="M69" s="5"/>
      <c r="N69" s="5"/>
      <c r="O69" s="5"/>
      <c r="P69" s="5"/>
      <c r="Q69" s="5"/>
      <c r="R69" s="5"/>
    </row>
    <row r="70" spans="2:18" x14ac:dyDescent="0.35">
      <c r="B70" s="4" t="str">
        <f>Populations!$C$7</f>
        <v>F0-14</v>
      </c>
      <c r="C70" s="5"/>
      <c r="D70" s="5"/>
      <c r="E70" s="5"/>
      <c r="F70" s="5"/>
      <c r="G70" s="5"/>
      <c r="H70" s="5"/>
      <c r="I70" s="5"/>
      <c r="J70" s="5"/>
      <c r="K70" s="5"/>
      <c r="L70" s="5"/>
      <c r="M70" s="5"/>
      <c r="N70" s="5"/>
      <c r="O70" s="5"/>
      <c r="P70" s="5"/>
      <c r="Q70" s="5"/>
      <c r="R70" s="5"/>
    </row>
    <row r="71" spans="2:18" x14ac:dyDescent="0.35">
      <c r="B71" s="4" t="str">
        <f>Populations!$C$8</f>
        <v>M0-14</v>
      </c>
      <c r="C71" s="5"/>
      <c r="D71" s="5"/>
      <c r="E71" s="5"/>
      <c r="F71" s="5"/>
      <c r="G71" s="5"/>
      <c r="H71" s="5"/>
      <c r="I71" s="5"/>
      <c r="J71" s="5"/>
      <c r="K71" s="5"/>
      <c r="L71" s="5"/>
      <c r="M71" s="5"/>
      <c r="N71" s="5"/>
      <c r="O71" s="5"/>
      <c r="P71" s="5"/>
      <c r="Q71" s="5"/>
      <c r="R71" s="5"/>
    </row>
    <row r="72" spans="2:18" x14ac:dyDescent="0.35">
      <c r="B72" s="4" t="str">
        <f>Populations!$C$9</f>
        <v>F15-19</v>
      </c>
      <c r="C72" s="5"/>
      <c r="D72" s="5"/>
      <c r="E72" s="5"/>
      <c r="F72" s="5"/>
      <c r="G72" s="5"/>
      <c r="H72" s="5"/>
      <c r="I72" s="5"/>
      <c r="J72" s="5"/>
      <c r="K72" s="5"/>
      <c r="L72" s="5"/>
      <c r="M72" s="5"/>
      <c r="N72" s="5"/>
      <c r="O72" s="5"/>
      <c r="P72" s="5"/>
      <c r="Q72" s="5"/>
      <c r="R72" s="5"/>
    </row>
    <row r="73" spans="2:18" x14ac:dyDescent="0.35">
      <c r="B73" s="4" t="str">
        <f>Populations!$C$10</f>
        <v>M15-19</v>
      </c>
      <c r="C73" s="5"/>
      <c r="D73" s="5"/>
      <c r="E73" s="5"/>
      <c r="F73" s="5"/>
      <c r="G73" s="5"/>
      <c r="H73" s="5"/>
      <c r="I73" s="5"/>
      <c r="J73" s="5"/>
      <c r="K73" s="5"/>
      <c r="L73" s="5"/>
      <c r="M73" s="5"/>
      <c r="N73" s="5"/>
      <c r="O73" s="5"/>
      <c r="P73" s="5"/>
      <c r="Q73" s="5"/>
      <c r="R73" s="5"/>
    </row>
    <row r="74" spans="2:18" x14ac:dyDescent="0.35">
      <c r="B74" s="4" t="str">
        <f>Populations!$C$11</f>
        <v>F20-24</v>
      </c>
      <c r="C74" s="5"/>
      <c r="D74" s="5"/>
      <c r="E74" s="5"/>
      <c r="F74" s="5"/>
      <c r="G74" s="5"/>
      <c r="H74" s="5"/>
      <c r="I74" s="5"/>
      <c r="J74" s="5"/>
      <c r="K74" s="5"/>
      <c r="L74" s="5"/>
      <c r="M74" s="5"/>
      <c r="N74" s="5"/>
      <c r="O74" s="5"/>
      <c r="P74" s="5"/>
      <c r="Q74" s="5"/>
      <c r="R74" s="5"/>
    </row>
    <row r="75" spans="2:18" x14ac:dyDescent="0.35">
      <c r="B75" s="4" t="str">
        <f>Populations!$C$12</f>
        <v>M20-24</v>
      </c>
      <c r="C75" s="5"/>
      <c r="D75" s="5"/>
      <c r="E75" s="5"/>
      <c r="F75" s="5"/>
      <c r="G75" s="5"/>
      <c r="H75" s="5"/>
      <c r="I75" s="5"/>
      <c r="J75" s="5"/>
      <c r="K75" s="5"/>
      <c r="L75" s="5"/>
      <c r="M75" s="5"/>
      <c r="N75" s="5"/>
      <c r="O75" s="5"/>
      <c r="P75" s="5"/>
      <c r="Q75" s="5"/>
      <c r="R75" s="5"/>
    </row>
    <row r="76" spans="2:18" x14ac:dyDescent="0.35">
      <c r="B76" s="4" t="str">
        <f>Populations!$C$13</f>
        <v>F25-34</v>
      </c>
      <c r="C76" s="5"/>
      <c r="D76" s="5"/>
      <c r="E76" s="5"/>
      <c r="F76" s="5"/>
      <c r="G76" s="5"/>
      <c r="H76" s="5"/>
      <c r="I76" s="5"/>
      <c r="J76" s="5"/>
      <c r="K76" s="5"/>
      <c r="L76" s="5"/>
      <c r="M76" s="5"/>
      <c r="N76" s="5"/>
      <c r="O76" s="5"/>
      <c r="P76" s="5"/>
      <c r="Q76" s="5"/>
      <c r="R76" s="5"/>
    </row>
    <row r="77" spans="2:18" x14ac:dyDescent="0.35">
      <c r="B77" s="4" t="str">
        <f>Populations!$C$14</f>
        <v>M25-34</v>
      </c>
      <c r="C77" s="5"/>
      <c r="D77" s="5"/>
      <c r="E77" s="5"/>
      <c r="F77" s="5"/>
      <c r="G77" s="5"/>
      <c r="H77" s="5"/>
      <c r="I77" s="5"/>
      <c r="J77" s="5"/>
      <c r="K77" s="5"/>
      <c r="L77" s="5"/>
      <c r="M77" s="5"/>
      <c r="N77" s="5"/>
      <c r="O77" s="5"/>
      <c r="P77" s="5"/>
      <c r="Q77" s="5"/>
      <c r="R77" s="5"/>
    </row>
    <row r="78" spans="2:18" x14ac:dyDescent="0.35">
      <c r="B78" s="4" t="str">
        <f>Populations!$C$15</f>
        <v>F35-49</v>
      </c>
      <c r="C78" s="5"/>
      <c r="D78" s="5"/>
      <c r="E78" s="5"/>
      <c r="F78" s="5"/>
      <c r="G78" s="5"/>
      <c r="H78" s="5"/>
      <c r="I78" s="5"/>
      <c r="J78" s="5"/>
      <c r="K78" s="5"/>
      <c r="L78" s="5"/>
      <c r="M78" s="5"/>
      <c r="N78" s="5"/>
      <c r="O78" s="5"/>
      <c r="P78" s="5"/>
      <c r="Q78" s="5"/>
      <c r="R78" s="5"/>
    </row>
    <row r="79" spans="2:18" x14ac:dyDescent="0.35">
      <c r="B79" s="4" t="str">
        <f>Populations!$C$16</f>
        <v>M35-49</v>
      </c>
      <c r="C79" s="5"/>
      <c r="D79" s="5"/>
      <c r="E79" s="5"/>
      <c r="F79" s="5"/>
      <c r="G79" s="5"/>
      <c r="H79" s="5"/>
      <c r="I79" s="5"/>
      <c r="J79" s="5"/>
      <c r="K79" s="5"/>
      <c r="L79" s="5"/>
      <c r="M79" s="5"/>
      <c r="N79" s="5"/>
      <c r="O79" s="5"/>
      <c r="P79" s="5"/>
      <c r="Q79" s="5"/>
      <c r="R79" s="5"/>
    </row>
    <row r="80" spans="2:18" x14ac:dyDescent="0.35">
      <c r="B80" s="4" t="str">
        <f>Populations!$C$17</f>
        <v>F50+</v>
      </c>
      <c r="C80" s="5"/>
      <c r="D80" s="5"/>
      <c r="E80" s="5"/>
      <c r="F80" s="5"/>
      <c r="G80" s="5"/>
      <c r="H80" s="5"/>
      <c r="I80" s="5"/>
      <c r="J80" s="5"/>
      <c r="K80" s="5"/>
      <c r="L80" s="5"/>
      <c r="M80" s="5"/>
      <c r="N80" s="5"/>
      <c r="O80" s="5"/>
      <c r="P80" s="5"/>
      <c r="Q80" s="5"/>
      <c r="R80" s="5"/>
    </row>
    <row r="81" spans="1:18" x14ac:dyDescent="0.35">
      <c r="B81" s="4" t="str">
        <f>Populations!$C$18</f>
        <v>M50+</v>
      </c>
      <c r="C81" s="5"/>
      <c r="D81" s="5"/>
      <c r="E81" s="5"/>
      <c r="F81" s="5"/>
      <c r="G81" s="5"/>
      <c r="H81" s="5"/>
      <c r="I81" s="5"/>
      <c r="J81" s="5"/>
      <c r="K81" s="5"/>
      <c r="L81" s="5"/>
      <c r="M81" s="5"/>
      <c r="N81" s="5"/>
      <c r="O81" s="5"/>
      <c r="P81" s="5"/>
      <c r="Q81" s="5"/>
      <c r="R81" s="5"/>
    </row>
    <row r="85" spans="1:18" x14ac:dyDescent="0.35">
      <c r="A85" s="2" t="s">
        <v>87</v>
      </c>
    </row>
    <row r="86" spans="1:18" x14ac:dyDescent="0.35">
      <c r="C86" s="4" t="str">
        <f>Populations!$C$3</f>
        <v>FSW</v>
      </c>
      <c r="D86" s="4" t="str">
        <f>Populations!$C$4</f>
        <v>Clients</v>
      </c>
      <c r="E86" s="4" t="str">
        <f>Populations!$C$5</f>
        <v>MSM</v>
      </c>
      <c r="F86" s="4" t="str">
        <f>Populations!$C$6</f>
        <v>Prisoners</v>
      </c>
      <c r="G86" s="4" t="str">
        <f>Populations!$C$7</f>
        <v>F0-14</v>
      </c>
      <c r="H86" s="4" t="str">
        <f>Populations!$C$8</f>
        <v>M0-14</v>
      </c>
      <c r="I86" s="4" t="str">
        <f>Populations!$C$9</f>
        <v>F15-19</v>
      </c>
      <c r="J86" s="4" t="str">
        <f>Populations!$C$10</f>
        <v>M15-19</v>
      </c>
      <c r="K86" s="4" t="str">
        <f>Populations!$C$11</f>
        <v>F20-24</v>
      </c>
      <c r="L86" s="4" t="str">
        <f>Populations!$C$12</f>
        <v>M20-24</v>
      </c>
      <c r="M86" s="4" t="str">
        <f>Populations!$C$13</f>
        <v>F25-34</v>
      </c>
      <c r="N86" s="4" t="str">
        <f>Populations!$C$14</f>
        <v>M25-34</v>
      </c>
      <c r="O86" s="4" t="str">
        <f>Populations!$C$15</f>
        <v>F35-49</v>
      </c>
      <c r="P86" s="4" t="str">
        <f>Populations!$C$16</f>
        <v>M35-49</v>
      </c>
      <c r="Q86" s="4" t="str">
        <f>Populations!$C$17</f>
        <v>F50+</v>
      </c>
      <c r="R86" s="4" t="str">
        <f>Populations!$C$18</f>
        <v>M50+</v>
      </c>
    </row>
    <row r="87" spans="1:18" x14ac:dyDescent="0.35">
      <c r="B87" s="4" t="str">
        <f>Populations!$C$3</f>
        <v>FSW</v>
      </c>
      <c r="C87" s="5"/>
      <c r="D87" s="5"/>
      <c r="E87" s="5"/>
      <c r="F87" s="5"/>
      <c r="G87" s="5">
        <v>1</v>
      </c>
      <c r="H87" s="5">
        <v>1</v>
      </c>
      <c r="I87" s="5"/>
      <c r="J87" s="5"/>
      <c r="K87" s="5"/>
      <c r="L87" s="5"/>
      <c r="M87" s="5"/>
      <c r="N87" s="5"/>
      <c r="O87" s="5"/>
      <c r="P87" s="5"/>
      <c r="Q87" s="5"/>
      <c r="R87" s="5"/>
    </row>
    <row r="88" spans="1:18" x14ac:dyDescent="0.35">
      <c r="B88" s="4" t="str">
        <f>Populations!$C$7</f>
        <v>F0-14</v>
      </c>
      <c r="C88" s="5"/>
      <c r="D88" s="5"/>
      <c r="E88" s="5"/>
      <c r="F88" s="5"/>
      <c r="G88" s="5"/>
      <c r="H88" s="5"/>
      <c r="I88" s="5"/>
      <c r="J88" s="5"/>
      <c r="K88" s="5"/>
      <c r="L88" s="5"/>
      <c r="M88" s="5"/>
      <c r="N88" s="5"/>
      <c r="O88" s="5"/>
      <c r="P88" s="5"/>
      <c r="Q88" s="5"/>
      <c r="R88" s="5"/>
    </row>
    <row r="89" spans="1:18" x14ac:dyDescent="0.35">
      <c r="B89" s="4" t="str">
        <f>Populations!$C$9</f>
        <v>F15-19</v>
      </c>
      <c r="C89" s="5"/>
      <c r="D89" s="5"/>
      <c r="E89" s="5"/>
      <c r="F89" s="5"/>
      <c r="G89" s="5">
        <v>1</v>
      </c>
      <c r="H89" s="5">
        <v>1</v>
      </c>
      <c r="I89" s="5"/>
      <c r="J89" s="5"/>
      <c r="K89" s="5"/>
      <c r="L89" s="5"/>
      <c r="M89" s="5"/>
      <c r="N89" s="5"/>
      <c r="O89" s="5"/>
      <c r="P89" s="5"/>
      <c r="Q89" s="5"/>
      <c r="R89" s="5"/>
    </row>
    <row r="90" spans="1:18" x14ac:dyDescent="0.35">
      <c r="B90" s="4" t="str">
        <f>Populations!$C$11</f>
        <v>F20-24</v>
      </c>
      <c r="C90" s="5"/>
      <c r="D90" s="5"/>
      <c r="E90" s="5"/>
      <c r="F90" s="5"/>
      <c r="G90" s="5">
        <v>1</v>
      </c>
      <c r="H90" s="5">
        <v>1</v>
      </c>
      <c r="I90" s="5"/>
      <c r="J90" s="5"/>
      <c r="K90" s="5"/>
      <c r="L90" s="5"/>
      <c r="M90" s="5"/>
      <c r="N90" s="5"/>
      <c r="O90" s="5"/>
      <c r="P90" s="5"/>
      <c r="Q90" s="5"/>
      <c r="R90" s="5"/>
    </row>
    <row r="91" spans="1:18" x14ac:dyDescent="0.35">
      <c r="B91" s="4" t="str">
        <f>Populations!$C$13</f>
        <v>F25-34</v>
      </c>
      <c r="C91" s="5"/>
      <c r="D91" s="5"/>
      <c r="E91" s="5"/>
      <c r="F91" s="5"/>
      <c r="G91" s="5">
        <v>1</v>
      </c>
      <c r="H91" s="5">
        <v>1</v>
      </c>
      <c r="I91" s="5"/>
      <c r="J91" s="5"/>
      <c r="K91" s="5"/>
      <c r="L91" s="5"/>
      <c r="M91" s="5"/>
      <c r="N91" s="5"/>
      <c r="O91" s="5"/>
      <c r="P91" s="5"/>
      <c r="Q91" s="5"/>
      <c r="R91" s="5"/>
    </row>
    <row r="92" spans="1:18" x14ac:dyDescent="0.35">
      <c r="B92" s="4" t="str">
        <f>Populations!$C$15</f>
        <v>F35-49</v>
      </c>
      <c r="C92" s="5"/>
      <c r="D92" s="5"/>
      <c r="E92" s="5"/>
      <c r="F92" s="5"/>
      <c r="G92" s="5">
        <v>1</v>
      </c>
      <c r="H92" s="5">
        <v>1</v>
      </c>
      <c r="I92" s="5"/>
      <c r="J92" s="5"/>
      <c r="K92" s="5"/>
      <c r="L92" s="5"/>
      <c r="M92" s="5"/>
      <c r="N92" s="5"/>
      <c r="O92" s="5"/>
      <c r="P92" s="5"/>
      <c r="Q92" s="5"/>
      <c r="R92" s="5"/>
    </row>
    <row r="93" spans="1:18" x14ac:dyDescent="0.35">
      <c r="B93" s="4" t="str">
        <f>Populations!$C$17</f>
        <v>F50+</v>
      </c>
      <c r="C93" s="5"/>
      <c r="D93" s="5"/>
      <c r="E93" s="5"/>
      <c r="F93" s="5"/>
      <c r="G93" s="5"/>
      <c r="H93" s="5"/>
      <c r="I93" s="5"/>
      <c r="J93" s="5"/>
      <c r="K93" s="5"/>
      <c r="L93" s="5"/>
      <c r="M93" s="5"/>
      <c r="N93" s="5"/>
      <c r="O93" s="5"/>
      <c r="P93" s="5"/>
      <c r="Q93" s="5"/>
      <c r="R93" s="5"/>
    </row>
    <row r="97" spans="1:18" x14ac:dyDescent="0.35">
      <c r="A97" s="2" t="s">
        <v>88</v>
      </c>
    </row>
    <row r="98" spans="1:18" x14ac:dyDescent="0.35">
      <c r="C98" s="4" t="str">
        <f>Populations!$C$3</f>
        <v>FSW</v>
      </c>
      <c r="D98" s="4" t="str">
        <f>Populations!$C$4</f>
        <v>Clients</v>
      </c>
      <c r="E98" s="4" t="str">
        <f>Populations!$C$5</f>
        <v>MSM</v>
      </c>
      <c r="F98" s="4" t="str">
        <f>Populations!$C$6</f>
        <v>Prisoners</v>
      </c>
      <c r="G98" s="4" t="str">
        <f>Populations!$C$7</f>
        <v>F0-14</v>
      </c>
      <c r="H98" s="4" t="str">
        <f>Populations!$C$8</f>
        <v>M0-14</v>
      </c>
      <c r="I98" s="4" t="str">
        <f>Populations!$C$9</f>
        <v>F15-19</v>
      </c>
      <c r="J98" s="4" t="str">
        <f>Populations!$C$10</f>
        <v>M15-19</v>
      </c>
      <c r="K98" s="4" t="str">
        <f>Populations!$C$11</f>
        <v>F20-24</v>
      </c>
      <c r="L98" s="4" t="str">
        <f>Populations!$C$12</f>
        <v>M20-24</v>
      </c>
      <c r="M98" s="4" t="str">
        <f>Populations!$C$13</f>
        <v>F25-34</v>
      </c>
      <c r="N98" s="4" t="str">
        <f>Populations!$C$14</f>
        <v>M25-34</v>
      </c>
      <c r="O98" s="4" t="str">
        <f>Populations!$C$15</f>
        <v>F35-49</v>
      </c>
      <c r="P98" s="4" t="str">
        <f>Populations!$C$16</f>
        <v>M35-49</v>
      </c>
      <c r="Q98" s="4" t="str">
        <f>Populations!$C$17</f>
        <v>F50+</v>
      </c>
      <c r="R98" s="4" t="str">
        <f>Populations!$C$18</f>
        <v>M50+</v>
      </c>
    </row>
    <row r="99" spans="1:18" x14ac:dyDescent="0.35">
      <c r="B99" s="4" t="str">
        <f>Populations!$C$3</f>
        <v>FSW</v>
      </c>
      <c r="C99" s="5"/>
      <c r="D99" s="5"/>
      <c r="E99" s="5"/>
      <c r="F99" s="5"/>
      <c r="G99" s="5"/>
      <c r="H99" s="5"/>
      <c r="I99" s="5"/>
      <c r="J99" s="5"/>
      <c r="K99" s="5"/>
      <c r="L99" s="5"/>
      <c r="M99" s="5"/>
      <c r="N99" s="5"/>
      <c r="O99" s="5"/>
      <c r="P99" s="5"/>
      <c r="Q99" s="5"/>
      <c r="R99" s="5"/>
    </row>
    <row r="100" spans="1:18" x14ac:dyDescent="0.35">
      <c r="B100" s="4" t="str">
        <f>Populations!$C$4</f>
        <v>Clients</v>
      </c>
      <c r="C100" s="5"/>
      <c r="D100" s="5"/>
      <c r="E100" s="5"/>
      <c r="F100" s="5"/>
      <c r="G100" s="5"/>
      <c r="H100" s="5"/>
      <c r="I100" s="5"/>
      <c r="J100" s="5"/>
      <c r="K100" s="5"/>
      <c r="L100" s="5"/>
      <c r="M100" s="5"/>
      <c r="N100" s="5"/>
      <c r="O100" s="5"/>
      <c r="P100" s="5"/>
      <c r="Q100" s="5"/>
      <c r="R100" s="5"/>
    </row>
    <row r="101" spans="1:18" x14ac:dyDescent="0.35">
      <c r="B101" s="4" t="str">
        <f>Populations!$C$5</f>
        <v>MSM</v>
      </c>
      <c r="C101" s="5"/>
      <c r="D101" s="5"/>
      <c r="E101" s="5"/>
      <c r="F101" s="5"/>
      <c r="G101" s="5"/>
      <c r="H101" s="5"/>
      <c r="I101" s="5"/>
      <c r="J101" s="5"/>
      <c r="K101" s="5"/>
      <c r="L101" s="5"/>
      <c r="M101" s="5"/>
      <c r="N101" s="5"/>
      <c r="O101" s="5"/>
      <c r="P101" s="5"/>
      <c r="Q101" s="5"/>
      <c r="R101" s="5"/>
    </row>
    <row r="102" spans="1:18" x14ac:dyDescent="0.35">
      <c r="B102" s="4" t="str">
        <f>Populations!$C$6</f>
        <v>Prisoners</v>
      </c>
      <c r="C102" s="5"/>
      <c r="D102" s="5"/>
      <c r="E102" s="5"/>
      <c r="F102" s="5"/>
      <c r="G102" s="5"/>
      <c r="H102" s="5"/>
      <c r="I102" s="5"/>
      <c r="J102" s="5"/>
      <c r="K102" s="5"/>
      <c r="L102" s="5"/>
      <c r="M102" s="5"/>
      <c r="N102" s="5"/>
      <c r="O102" s="5"/>
      <c r="P102" s="5"/>
      <c r="Q102" s="5"/>
      <c r="R102" s="5"/>
    </row>
    <row r="103" spans="1:18" x14ac:dyDescent="0.35">
      <c r="B103" s="4" t="str">
        <f>Populations!$C$7</f>
        <v>F0-14</v>
      </c>
      <c r="C103" s="5"/>
      <c r="D103" s="5"/>
      <c r="E103" s="5"/>
      <c r="F103" s="5"/>
      <c r="G103" s="5"/>
      <c r="H103" s="5"/>
      <c r="I103" s="5">
        <v>15</v>
      </c>
      <c r="J103" s="5"/>
      <c r="K103" s="5"/>
      <c r="L103" s="5"/>
      <c r="M103" s="5"/>
      <c r="N103" s="5"/>
      <c r="O103" s="5"/>
      <c r="P103" s="5"/>
      <c r="Q103" s="5"/>
      <c r="R103" s="5"/>
    </row>
    <row r="104" spans="1:18" x14ac:dyDescent="0.35">
      <c r="B104" s="4" t="str">
        <f>Populations!$C$8</f>
        <v>M0-14</v>
      </c>
      <c r="C104" s="5"/>
      <c r="D104" s="5"/>
      <c r="E104" s="5"/>
      <c r="F104" s="5"/>
      <c r="G104" s="5"/>
      <c r="H104" s="5"/>
      <c r="I104" s="5"/>
      <c r="J104" s="5">
        <v>15</v>
      </c>
      <c r="K104" s="5"/>
      <c r="L104" s="5"/>
      <c r="M104" s="5"/>
      <c r="N104" s="5"/>
      <c r="O104" s="5"/>
      <c r="P104" s="5"/>
      <c r="Q104" s="5"/>
      <c r="R104" s="5"/>
    </row>
    <row r="105" spans="1:18" x14ac:dyDescent="0.35">
      <c r="B105" s="4" t="str">
        <f>Populations!$C$9</f>
        <v>F15-19</v>
      </c>
      <c r="C105" s="5"/>
      <c r="D105" s="5"/>
      <c r="E105" s="5"/>
      <c r="F105" s="5"/>
      <c r="G105" s="5"/>
      <c r="H105" s="5"/>
      <c r="I105" s="5"/>
      <c r="J105" s="5"/>
      <c r="K105" s="5">
        <v>5</v>
      </c>
      <c r="L105" s="5"/>
      <c r="M105" s="5"/>
      <c r="N105" s="5"/>
      <c r="O105" s="5"/>
      <c r="P105" s="5"/>
      <c r="Q105" s="5"/>
      <c r="R105" s="5"/>
    </row>
    <row r="106" spans="1:18" x14ac:dyDescent="0.35">
      <c r="B106" s="4" t="str">
        <f>Populations!$C$10</f>
        <v>M15-19</v>
      </c>
      <c r="C106" s="5"/>
      <c r="D106" s="5"/>
      <c r="E106" s="5"/>
      <c r="F106" s="5"/>
      <c r="G106" s="5"/>
      <c r="H106" s="5"/>
      <c r="I106" s="5"/>
      <c r="J106" s="5"/>
      <c r="K106" s="5"/>
      <c r="L106" s="5">
        <v>5</v>
      </c>
      <c r="M106" s="5"/>
      <c r="N106" s="5"/>
      <c r="O106" s="5"/>
      <c r="P106" s="5"/>
      <c r="Q106" s="5"/>
      <c r="R106" s="5"/>
    </row>
    <row r="107" spans="1:18" x14ac:dyDescent="0.35">
      <c r="B107" s="4" t="str">
        <f>Populations!$C$11</f>
        <v>F20-24</v>
      </c>
      <c r="C107" s="5"/>
      <c r="D107" s="5"/>
      <c r="E107" s="5"/>
      <c r="F107" s="5"/>
      <c r="G107" s="5"/>
      <c r="H107" s="5"/>
      <c r="I107" s="5"/>
      <c r="J107" s="5"/>
      <c r="K107" s="5"/>
      <c r="L107" s="5"/>
      <c r="M107" s="5">
        <v>5</v>
      </c>
      <c r="N107" s="5"/>
      <c r="O107" s="5"/>
      <c r="P107" s="5"/>
      <c r="Q107" s="5"/>
      <c r="R107" s="5"/>
    </row>
    <row r="108" spans="1:18" x14ac:dyDescent="0.35">
      <c r="B108" s="4" t="str">
        <f>Populations!$C$12</f>
        <v>M20-24</v>
      </c>
      <c r="C108" s="5"/>
      <c r="D108" s="5"/>
      <c r="E108" s="5"/>
      <c r="F108" s="5"/>
      <c r="G108" s="5"/>
      <c r="H108" s="5"/>
      <c r="I108" s="5"/>
      <c r="J108" s="5"/>
      <c r="K108" s="5"/>
      <c r="L108" s="5"/>
      <c r="M108" s="5"/>
      <c r="N108" s="5">
        <v>5</v>
      </c>
      <c r="O108" s="5"/>
      <c r="P108" s="5"/>
      <c r="Q108" s="5"/>
      <c r="R108" s="5"/>
    </row>
    <row r="109" spans="1:18" x14ac:dyDescent="0.35">
      <c r="B109" s="4" t="str">
        <f>Populations!$C$13</f>
        <v>F25-34</v>
      </c>
      <c r="C109" s="5"/>
      <c r="D109" s="5"/>
      <c r="E109" s="5"/>
      <c r="F109" s="5"/>
      <c r="G109" s="5"/>
      <c r="H109" s="5"/>
      <c r="I109" s="5"/>
      <c r="J109" s="5"/>
      <c r="K109" s="5"/>
      <c r="L109" s="5"/>
      <c r="M109" s="5"/>
      <c r="N109" s="5"/>
      <c r="O109" s="5">
        <v>10</v>
      </c>
      <c r="P109" s="5"/>
      <c r="Q109" s="5"/>
      <c r="R109" s="5"/>
    </row>
    <row r="110" spans="1:18" x14ac:dyDescent="0.35">
      <c r="B110" s="4" t="str">
        <f>Populations!$C$14</f>
        <v>M25-34</v>
      </c>
      <c r="C110" s="5"/>
      <c r="D110" s="5"/>
      <c r="E110" s="5"/>
      <c r="F110" s="5"/>
      <c r="G110" s="5"/>
      <c r="H110" s="5"/>
      <c r="I110" s="5"/>
      <c r="J110" s="5"/>
      <c r="K110" s="5"/>
      <c r="L110" s="5"/>
      <c r="M110" s="5"/>
      <c r="N110" s="5"/>
      <c r="O110" s="5"/>
      <c r="P110" s="5">
        <v>10</v>
      </c>
      <c r="Q110" s="5"/>
      <c r="R110" s="5"/>
    </row>
    <row r="111" spans="1:18" x14ac:dyDescent="0.35">
      <c r="B111" s="4" t="str">
        <f>Populations!$C$15</f>
        <v>F35-49</v>
      </c>
      <c r="C111" s="5"/>
      <c r="D111" s="5"/>
      <c r="E111" s="5"/>
      <c r="F111" s="5"/>
      <c r="G111" s="5"/>
      <c r="H111" s="5"/>
      <c r="I111" s="5"/>
      <c r="J111" s="5"/>
      <c r="K111" s="5"/>
      <c r="L111" s="5"/>
      <c r="M111" s="5"/>
      <c r="N111" s="5"/>
      <c r="O111" s="5"/>
      <c r="P111" s="5"/>
      <c r="Q111" s="5">
        <v>15</v>
      </c>
      <c r="R111" s="5"/>
    </row>
    <row r="112" spans="1:18" x14ac:dyDescent="0.35">
      <c r="B112" s="4" t="str">
        <f>Populations!$C$16</f>
        <v>M35-49</v>
      </c>
      <c r="C112" s="5"/>
      <c r="D112" s="5"/>
      <c r="E112" s="5"/>
      <c r="F112" s="5"/>
      <c r="G112" s="5"/>
      <c r="H112" s="5"/>
      <c r="I112" s="5"/>
      <c r="J112" s="5"/>
      <c r="K112" s="5"/>
      <c r="L112" s="5"/>
      <c r="M112" s="5"/>
      <c r="N112" s="5"/>
      <c r="O112" s="5"/>
      <c r="P112" s="5"/>
      <c r="Q112" s="5"/>
      <c r="R112" s="5">
        <v>15</v>
      </c>
    </row>
    <row r="113" spans="1:37" x14ac:dyDescent="0.35">
      <c r="B113" s="4" t="str">
        <f>Populations!$C$17</f>
        <v>F50+</v>
      </c>
      <c r="C113" s="5"/>
      <c r="D113" s="5"/>
      <c r="E113" s="5"/>
      <c r="F113" s="5"/>
      <c r="G113" s="5"/>
      <c r="H113" s="5"/>
      <c r="I113" s="5"/>
      <c r="J113" s="5"/>
      <c r="K113" s="5"/>
      <c r="L113" s="5"/>
      <c r="M113" s="5"/>
      <c r="N113" s="5"/>
      <c r="O113" s="5"/>
      <c r="P113" s="5"/>
      <c r="Q113" s="5"/>
      <c r="R113" s="5"/>
    </row>
    <row r="114" spans="1:37" x14ac:dyDescent="0.35">
      <c r="B114" s="4" t="str">
        <f>Populations!$C$18</f>
        <v>M50+</v>
      </c>
      <c r="C114" s="5"/>
      <c r="D114" s="5"/>
      <c r="E114" s="5"/>
      <c r="F114" s="5"/>
      <c r="G114" s="5"/>
      <c r="H114" s="5"/>
      <c r="I114" s="5"/>
      <c r="J114" s="5"/>
      <c r="K114" s="5"/>
      <c r="L114" s="5"/>
      <c r="M114" s="5"/>
      <c r="N114" s="5"/>
      <c r="O114" s="5"/>
      <c r="P114" s="5"/>
      <c r="Q114" s="5"/>
      <c r="R114" s="5"/>
    </row>
    <row r="118" spans="1:37" x14ac:dyDescent="0.35">
      <c r="A118" s="2" t="s">
        <v>89</v>
      </c>
      <c r="S118" s="13"/>
      <c r="AB118" s="12"/>
      <c r="AC118" s="12"/>
      <c r="AD118" s="12"/>
      <c r="AE118" s="12"/>
      <c r="AF118" s="12"/>
      <c r="AG118" s="12"/>
      <c r="AH118" s="12"/>
      <c r="AI118" s="12"/>
      <c r="AJ118" s="12"/>
      <c r="AK118" s="12"/>
    </row>
    <row r="119" spans="1:37" x14ac:dyDescent="0.35">
      <c r="C119" s="4" t="str">
        <f>Populations!$C$3</f>
        <v>FSW</v>
      </c>
      <c r="D119" s="4" t="str">
        <f>Populations!$C$4</f>
        <v>Clients</v>
      </c>
      <c r="E119" s="4" t="str">
        <f>Populations!$C$5</f>
        <v>MSM</v>
      </c>
      <c r="F119" s="4" t="str">
        <f>Populations!$C$6</f>
        <v>Prisoners</v>
      </c>
      <c r="G119" s="4" t="str">
        <f>Populations!$C$7</f>
        <v>F0-14</v>
      </c>
      <c r="H119" s="4" t="str">
        <f>Populations!$C$8</f>
        <v>M0-14</v>
      </c>
      <c r="I119" s="4" t="str">
        <f>Populations!$C$9</f>
        <v>F15-19</v>
      </c>
      <c r="J119" s="4" t="str">
        <f>Populations!$C$10</f>
        <v>M15-19</v>
      </c>
      <c r="K119" s="4" t="str">
        <f>Populations!$C$11</f>
        <v>F20-24</v>
      </c>
      <c r="L119" s="4" t="str">
        <f>Populations!$C$12</f>
        <v>M20-24</v>
      </c>
      <c r="M119" s="4" t="str">
        <f>Populations!$C$13</f>
        <v>F25-34</v>
      </c>
      <c r="N119" s="4" t="str">
        <f>Populations!$C$14</f>
        <v>M25-34</v>
      </c>
      <c r="O119" s="4" t="str">
        <f>Populations!$C$15</f>
        <v>F35-49</v>
      </c>
      <c r="P119" s="4" t="str">
        <f>Populations!$C$16</f>
        <v>M35-49</v>
      </c>
      <c r="Q119" s="4" t="str">
        <f>Populations!$C$17</f>
        <v>F50+</v>
      </c>
      <c r="R119" s="4" t="str">
        <f>Populations!$C$18</f>
        <v>M50+</v>
      </c>
      <c r="AB119" s="12"/>
      <c r="AC119" s="12"/>
      <c r="AD119" s="12"/>
      <c r="AE119" s="12"/>
      <c r="AF119" s="12"/>
      <c r="AG119" s="12"/>
      <c r="AH119" s="12"/>
      <c r="AI119" s="12"/>
      <c r="AJ119" s="12"/>
      <c r="AK119" s="12"/>
    </row>
    <row r="120" spans="1:37" x14ac:dyDescent="0.35">
      <c r="B120" s="4" t="str">
        <f>Populations!$C$3</f>
        <v>FSW</v>
      </c>
      <c r="C120" s="11"/>
      <c r="D120" s="11"/>
      <c r="E120" s="11"/>
      <c r="F120" s="11"/>
      <c r="G120" s="11"/>
      <c r="H120" s="11"/>
      <c r="I120" s="11">
        <v>35</v>
      </c>
      <c r="J120" s="11"/>
      <c r="K120" s="11">
        <v>25</v>
      </c>
      <c r="L120" s="11"/>
      <c r="M120" s="11">
        <v>25</v>
      </c>
      <c r="N120" s="11"/>
      <c r="O120" s="11">
        <v>20</v>
      </c>
      <c r="P120" s="11"/>
      <c r="Q120" s="11"/>
      <c r="R120" s="11"/>
      <c r="S120" s="39"/>
      <c r="AA120" s="12"/>
      <c r="AB120" s="12"/>
      <c r="AC120" s="12"/>
      <c r="AD120" s="12"/>
      <c r="AE120" s="12"/>
      <c r="AF120" s="12"/>
      <c r="AG120" s="12"/>
      <c r="AH120" s="12"/>
      <c r="AI120" s="12"/>
      <c r="AJ120" s="12"/>
      <c r="AK120" s="12"/>
    </row>
    <row r="121" spans="1:37" x14ac:dyDescent="0.35">
      <c r="B121" s="4" t="str">
        <f>Populations!$C$4</f>
        <v>Clients</v>
      </c>
      <c r="C121" s="11"/>
      <c r="D121" s="11"/>
      <c r="E121" s="11"/>
      <c r="F121" s="11"/>
      <c r="G121" s="11"/>
      <c r="H121" s="11"/>
      <c r="I121" s="11"/>
      <c r="J121" s="11">
        <v>50</v>
      </c>
      <c r="K121" s="11"/>
      <c r="L121" s="11">
        <v>28</v>
      </c>
      <c r="M121" s="11"/>
      <c r="N121" s="11">
        <v>22</v>
      </c>
      <c r="O121" s="11"/>
      <c r="P121" s="11">
        <v>23</v>
      </c>
      <c r="Q121" s="11"/>
      <c r="R121" s="11">
        <v>26</v>
      </c>
      <c r="S121" s="39"/>
      <c r="AA121" s="12"/>
      <c r="AB121" s="12"/>
      <c r="AC121" s="12"/>
      <c r="AD121" s="12"/>
    </row>
    <row r="122" spans="1:37" x14ac:dyDescent="0.35">
      <c r="B122" s="4" t="str">
        <f>Populations!$C$5</f>
        <v>MSM</v>
      </c>
      <c r="C122" s="11"/>
      <c r="D122" s="11"/>
      <c r="E122" s="11"/>
      <c r="F122" s="11"/>
      <c r="G122" s="11"/>
      <c r="H122" s="11"/>
      <c r="I122" s="11"/>
      <c r="J122" s="11"/>
      <c r="K122" s="11"/>
      <c r="L122" s="11"/>
      <c r="M122" s="11"/>
      <c r="N122" s="11"/>
      <c r="O122" s="11"/>
      <c r="P122" s="11"/>
      <c r="Q122" s="11"/>
      <c r="R122" s="11"/>
    </row>
    <row r="123" spans="1:37" x14ac:dyDescent="0.35">
      <c r="B123" s="4" t="str">
        <f>Populations!$C$6</f>
        <v>Prisoners</v>
      </c>
      <c r="C123" s="11"/>
      <c r="D123" s="11"/>
      <c r="E123" s="11"/>
      <c r="F123" s="11"/>
      <c r="G123" s="11"/>
      <c r="H123" s="11"/>
      <c r="I123" s="11"/>
      <c r="J123" s="11"/>
      <c r="K123" s="11"/>
      <c r="L123" s="5">
        <v>48</v>
      </c>
      <c r="M123" s="5"/>
      <c r="N123" s="5">
        <v>24</v>
      </c>
      <c r="O123" s="5"/>
      <c r="P123" s="5">
        <v>12</v>
      </c>
      <c r="Q123" s="5"/>
      <c r="R123" s="5">
        <v>12</v>
      </c>
    </row>
    <row r="124" spans="1:37" x14ac:dyDescent="0.35">
      <c r="B124" s="4" t="str">
        <f>Populations!$C$7</f>
        <v>F0-14</v>
      </c>
      <c r="C124" s="5"/>
      <c r="D124" s="5"/>
      <c r="E124" s="5"/>
      <c r="F124" s="5"/>
      <c r="G124" s="5"/>
      <c r="H124" s="5"/>
      <c r="I124" s="5"/>
      <c r="J124" s="5"/>
      <c r="K124" s="5"/>
      <c r="L124" s="5"/>
      <c r="M124" s="5"/>
      <c r="N124" s="5"/>
      <c r="O124" s="5"/>
      <c r="P124" s="5"/>
      <c r="Q124" s="5"/>
      <c r="R124" s="5"/>
    </row>
    <row r="125" spans="1:37" x14ac:dyDescent="0.35">
      <c r="B125" s="4" t="str">
        <f>Populations!$C$8</f>
        <v>M0-14</v>
      </c>
      <c r="C125" s="5"/>
      <c r="D125" s="5"/>
      <c r="E125" s="5"/>
      <c r="F125" s="5"/>
      <c r="G125" s="5"/>
      <c r="H125" s="5"/>
      <c r="I125" s="5"/>
      <c r="J125" s="5"/>
      <c r="K125" s="5"/>
      <c r="L125" s="5"/>
      <c r="M125" s="5"/>
      <c r="N125" s="5"/>
      <c r="O125" s="5"/>
      <c r="P125" s="5"/>
      <c r="Q125" s="5"/>
      <c r="R125" s="5"/>
    </row>
    <row r="126" spans="1:37" x14ac:dyDescent="0.35">
      <c r="B126" s="4" t="str">
        <f>Populations!$C$9</f>
        <v>F15-19</v>
      </c>
      <c r="C126" s="5"/>
      <c r="D126" s="5"/>
      <c r="E126" s="5"/>
      <c r="F126" s="5"/>
      <c r="G126" s="5"/>
      <c r="H126" s="5"/>
      <c r="I126" s="5"/>
      <c r="J126" s="5"/>
      <c r="K126" s="5"/>
      <c r="L126" s="5"/>
      <c r="M126" s="5"/>
      <c r="N126" s="5"/>
      <c r="O126" s="5"/>
      <c r="P126" s="5"/>
      <c r="Q126" s="5"/>
      <c r="R126" s="5"/>
    </row>
    <row r="127" spans="1:37" x14ac:dyDescent="0.35">
      <c r="B127" s="4" t="str">
        <f>Populations!$C$10</f>
        <v>M15-19</v>
      </c>
      <c r="C127" s="5"/>
      <c r="D127" s="5"/>
      <c r="E127" s="5"/>
      <c r="F127" s="5"/>
      <c r="G127" s="5"/>
      <c r="H127" s="5"/>
      <c r="I127" s="5"/>
      <c r="J127" s="5"/>
      <c r="K127" s="5"/>
      <c r="L127" s="5"/>
      <c r="M127" s="5"/>
      <c r="N127" s="5"/>
      <c r="O127" s="5"/>
      <c r="P127" s="5"/>
      <c r="Q127" s="5"/>
      <c r="R127" s="5"/>
    </row>
    <row r="128" spans="1:37" x14ac:dyDescent="0.35">
      <c r="B128" s="4" t="str">
        <f>Populations!$C$11</f>
        <v>F20-24</v>
      </c>
      <c r="C128" s="5"/>
      <c r="D128" s="5"/>
      <c r="E128" s="5"/>
      <c r="F128" s="5"/>
      <c r="G128" s="5"/>
      <c r="H128" s="5"/>
      <c r="I128" s="5"/>
      <c r="J128" s="5"/>
      <c r="K128" s="5"/>
      <c r="L128" s="5"/>
      <c r="M128" s="5"/>
      <c r="N128" s="5"/>
      <c r="O128" s="5"/>
      <c r="P128" s="5"/>
      <c r="Q128" s="5"/>
      <c r="R128" s="5"/>
    </row>
    <row r="129" spans="2:18" x14ac:dyDescent="0.35">
      <c r="B129" s="4" t="str">
        <f>Populations!$C$12</f>
        <v>M20-24</v>
      </c>
      <c r="C129" s="5"/>
      <c r="D129" s="5"/>
      <c r="E129" s="5"/>
      <c r="F129" s="5"/>
      <c r="G129" s="5"/>
      <c r="H129" s="5"/>
      <c r="I129" s="5"/>
      <c r="J129" s="5"/>
      <c r="K129" s="5"/>
      <c r="L129" s="5"/>
      <c r="M129" s="5"/>
      <c r="N129" s="5"/>
      <c r="O129" s="5"/>
      <c r="P129" s="5"/>
      <c r="Q129" s="5"/>
      <c r="R129" s="5"/>
    </row>
    <row r="130" spans="2:18" x14ac:dyDescent="0.35">
      <c r="B130" s="4" t="str">
        <f>Populations!$C$13</f>
        <v>F25-34</v>
      </c>
      <c r="C130" s="5"/>
      <c r="D130" s="5"/>
      <c r="E130" s="5"/>
      <c r="F130" s="5"/>
      <c r="G130" s="5"/>
      <c r="H130" s="5"/>
      <c r="I130" s="5"/>
      <c r="J130" s="5"/>
      <c r="K130" s="5"/>
      <c r="L130" s="5"/>
      <c r="M130" s="5"/>
      <c r="N130" s="5"/>
      <c r="O130" s="5"/>
      <c r="P130" s="5"/>
      <c r="Q130" s="5"/>
      <c r="R130" s="5"/>
    </row>
    <row r="131" spans="2:18" x14ac:dyDescent="0.35">
      <c r="B131" s="4" t="str">
        <f>Populations!$C$14</f>
        <v>M25-34</v>
      </c>
      <c r="C131" s="5"/>
      <c r="D131" s="5"/>
      <c r="E131" s="5"/>
      <c r="F131" s="5"/>
      <c r="G131" s="5"/>
      <c r="H131" s="5"/>
      <c r="I131" s="5"/>
      <c r="J131" s="5"/>
      <c r="K131" s="5"/>
      <c r="L131" s="5"/>
      <c r="M131" s="5"/>
      <c r="N131" s="5"/>
      <c r="O131" s="5"/>
      <c r="P131" s="5"/>
      <c r="Q131" s="5"/>
      <c r="R131" s="5"/>
    </row>
    <row r="132" spans="2:18" x14ac:dyDescent="0.35">
      <c r="B132" s="4" t="str">
        <f>Populations!$C$15</f>
        <v>F35-49</v>
      </c>
      <c r="C132" s="5"/>
      <c r="D132" s="5"/>
      <c r="E132" s="5"/>
      <c r="F132" s="5"/>
      <c r="G132" s="5"/>
      <c r="H132" s="5"/>
      <c r="I132" s="5"/>
      <c r="J132" s="5"/>
      <c r="K132" s="5"/>
      <c r="L132" s="5"/>
      <c r="M132" s="5"/>
      <c r="N132" s="5"/>
      <c r="O132" s="5"/>
      <c r="P132" s="5"/>
      <c r="Q132" s="5"/>
      <c r="R132" s="5"/>
    </row>
    <row r="133" spans="2:18" x14ac:dyDescent="0.35">
      <c r="B133" s="4" t="str">
        <f>Populations!$C$16</f>
        <v>M35-49</v>
      </c>
      <c r="C133" s="5"/>
      <c r="D133" s="5"/>
      <c r="E133" s="5"/>
      <c r="F133" s="5"/>
      <c r="G133" s="5"/>
      <c r="H133" s="5"/>
      <c r="I133" s="5"/>
      <c r="J133" s="5"/>
      <c r="K133" s="5"/>
      <c r="L133" s="5"/>
      <c r="M133" s="5"/>
      <c r="N133" s="5"/>
      <c r="O133" s="5"/>
      <c r="P133" s="5"/>
      <c r="Q133" s="5"/>
      <c r="R133" s="5"/>
    </row>
    <row r="134" spans="2:18" x14ac:dyDescent="0.35">
      <c r="B134" s="4" t="str">
        <f>Populations!$C$17</f>
        <v>F50+</v>
      </c>
      <c r="C134" s="5"/>
      <c r="D134" s="5"/>
      <c r="E134" s="5"/>
      <c r="F134" s="5"/>
      <c r="G134" s="5"/>
      <c r="H134" s="5"/>
      <c r="I134" s="5"/>
      <c r="J134" s="5"/>
      <c r="K134" s="5"/>
      <c r="L134" s="5"/>
      <c r="M134" s="5"/>
      <c r="N134" s="5"/>
      <c r="O134" s="5"/>
      <c r="P134" s="5"/>
      <c r="Q134" s="5"/>
      <c r="R134" s="5"/>
    </row>
    <row r="135" spans="2:18" x14ac:dyDescent="0.35">
      <c r="B135" s="4" t="str">
        <f>Populations!$C$18</f>
        <v>M50+</v>
      </c>
      <c r="C135" s="5"/>
      <c r="D135" s="5"/>
      <c r="E135" s="5"/>
      <c r="F135" s="5"/>
      <c r="G135" s="5"/>
      <c r="H135" s="5"/>
      <c r="I135" s="5"/>
      <c r="J135" s="5"/>
      <c r="K135" s="5"/>
      <c r="L135" s="5"/>
      <c r="M135" s="5"/>
      <c r="N135" s="5"/>
      <c r="O135" s="5"/>
      <c r="P135" s="5"/>
      <c r="Q135" s="5"/>
      <c r="R135" s="5"/>
    </row>
    <row r="137" spans="2:18" x14ac:dyDescent="0.35">
      <c r="K137" s="12"/>
      <c r="L137" s="12"/>
      <c r="M137" s="12"/>
      <c r="N137" s="12"/>
      <c r="O137" s="12"/>
      <c r="P137" s="12"/>
      <c r="Q137" s="12"/>
    </row>
  </sheetData>
  <pageMargins left="0.7" right="0.7" top="0.75" bottom="0.75" header="0.3" footer="0.3"/>
  <pageSetup orientation="portrait" horizontalDpi="1200" verticalDpi="120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94"/>
  <sheetViews>
    <sheetView topLeftCell="A55" zoomScale="110" zoomScaleNormal="110" workbookViewId="0">
      <selection activeCell="N70" sqref="N70"/>
    </sheetView>
  </sheetViews>
  <sheetFormatPr defaultColWidth="8.81640625" defaultRowHeight="14.5" x14ac:dyDescent="0.35"/>
  <cols>
    <col min="2" max="2" width="40.453125" customWidth="1"/>
    <col min="6" max="8" width="13.1796875" customWidth="1"/>
  </cols>
  <sheetData>
    <row r="1" spans="1:8" x14ac:dyDescent="0.35">
      <c r="A1" s="2" t="s">
        <v>90</v>
      </c>
    </row>
    <row r="2" spans="1:8" x14ac:dyDescent="0.35">
      <c r="C2" s="4" t="s">
        <v>47</v>
      </c>
      <c r="D2" s="4" t="s">
        <v>48</v>
      </c>
      <c r="E2" s="4" t="s">
        <v>45</v>
      </c>
      <c r="F2" s="3" t="s">
        <v>316</v>
      </c>
      <c r="G2" s="3" t="s">
        <v>317</v>
      </c>
      <c r="H2" s="3" t="s">
        <v>318</v>
      </c>
    </row>
    <row r="3" spans="1:8" x14ac:dyDescent="0.35">
      <c r="B3" s="3" t="s">
        <v>91</v>
      </c>
      <c r="C3" s="7">
        <v>4.0000000000000002E-4</v>
      </c>
      <c r="D3" s="7">
        <v>1E-4</v>
      </c>
      <c r="E3" s="7">
        <v>1.4E-3</v>
      </c>
    </row>
    <row r="4" spans="1:8" x14ac:dyDescent="0.35">
      <c r="B4" s="3" t="s">
        <v>92</v>
      </c>
      <c r="C4" s="7">
        <v>8.0000000000000004E-4</v>
      </c>
      <c r="D4" s="7">
        <v>5.9999999999999995E-4</v>
      </c>
      <c r="E4" s="7">
        <v>1.1000000000000001E-3</v>
      </c>
    </row>
    <row r="5" spans="1:8" x14ac:dyDescent="0.35">
      <c r="B5" s="3" t="s">
        <v>93</v>
      </c>
      <c r="C5" s="7">
        <v>1.1000000000000001E-3</v>
      </c>
      <c r="D5" s="7">
        <v>4.0000000000000002E-4</v>
      </c>
      <c r="E5" s="7">
        <v>2.8E-3</v>
      </c>
    </row>
    <row r="6" spans="1:8" x14ac:dyDescent="0.35">
      <c r="B6" s="3" t="s">
        <v>94</v>
      </c>
      <c r="C6" s="7">
        <v>1.38E-2</v>
      </c>
      <c r="D6" s="7">
        <v>1.0200000000000001E-2</v>
      </c>
      <c r="E6" s="7">
        <v>1.8599999999999998E-2</v>
      </c>
    </row>
    <row r="7" spans="1:8" x14ac:dyDescent="0.35">
      <c r="B7" s="3" t="s">
        <v>95</v>
      </c>
      <c r="C7" s="7">
        <v>8.0000000000000002E-3</v>
      </c>
      <c r="D7" s="7">
        <v>6.3E-3</v>
      </c>
      <c r="E7" s="7">
        <v>2.4E-2</v>
      </c>
    </row>
    <row r="8" spans="1:8" x14ac:dyDescent="0.35">
      <c r="B8" s="3" t="s">
        <v>96</v>
      </c>
      <c r="C8" s="15">
        <v>0.29399999999999998</v>
      </c>
      <c r="D8" s="7">
        <v>0.29399999999999998</v>
      </c>
      <c r="E8" s="7">
        <v>0.44</v>
      </c>
      <c r="F8" s="23">
        <v>0.36699999999999999</v>
      </c>
    </row>
    <row r="9" spans="1:8" x14ac:dyDescent="0.35">
      <c r="B9" s="3" t="s">
        <v>97</v>
      </c>
      <c r="C9" s="15">
        <v>0.17</v>
      </c>
      <c r="D9" s="7">
        <v>0.14000000000000001</v>
      </c>
      <c r="E9" s="7">
        <v>0.27</v>
      </c>
      <c r="F9" s="23">
        <v>0.20499999999999999</v>
      </c>
    </row>
    <row r="13" spans="1:8" x14ac:dyDescent="0.35">
      <c r="A13" s="2" t="s">
        <v>98</v>
      </c>
    </row>
    <row r="14" spans="1:8" x14ac:dyDescent="0.35">
      <c r="C14" s="4" t="s">
        <v>47</v>
      </c>
      <c r="D14" s="4" t="s">
        <v>48</v>
      </c>
      <c r="E14" s="4" t="s">
        <v>45</v>
      </c>
    </row>
    <row r="15" spans="1:8" x14ac:dyDescent="0.35">
      <c r="B15" s="3" t="s">
        <v>99</v>
      </c>
      <c r="C15" s="9">
        <v>5.6</v>
      </c>
      <c r="D15" s="9">
        <v>3.3</v>
      </c>
      <c r="E15" s="9">
        <v>9.1</v>
      </c>
    </row>
    <row r="16" spans="1:8" x14ac:dyDescent="0.35">
      <c r="B16" s="3" t="s">
        <v>100</v>
      </c>
      <c r="C16" s="9">
        <v>1</v>
      </c>
      <c r="D16" s="9">
        <v>1</v>
      </c>
      <c r="E16" s="9">
        <v>1</v>
      </c>
    </row>
    <row r="17" spans="1:5" x14ac:dyDescent="0.35">
      <c r="B17" s="3" t="s">
        <v>101</v>
      </c>
      <c r="C17" s="9">
        <v>1</v>
      </c>
      <c r="D17" s="9">
        <v>1</v>
      </c>
      <c r="E17" s="9">
        <v>1</v>
      </c>
    </row>
    <row r="18" spans="1:5" x14ac:dyDescent="0.35">
      <c r="B18" s="3" t="s">
        <v>102</v>
      </c>
      <c r="C18" s="9">
        <v>1</v>
      </c>
      <c r="D18" s="9">
        <v>1</v>
      </c>
      <c r="E18" s="9">
        <v>1</v>
      </c>
    </row>
    <row r="19" spans="1:5" x14ac:dyDescent="0.35">
      <c r="B19" s="3" t="s">
        <v>103</v>
      </c>
      <c r="C19" s="9">
        <v>3.49</v>
      </c>
      <c r="D19" s="9">
        <v>1.76</v>
      </c>
      <c r="E19" s="9">
        <v>6.92</v>
      </c>
    </row>
    <row r="20" spans="1:5" x14ac:dyDescent="0.35">
      <c r="B20" s="3" t="s">
        <v>104</v>
      </c>
      <c r="C20" s="9">
        <v>7.17</v>
      </c>
      <c r="D20" s="9">
        <v>3.9</v>
      </c>
      <c r="E20" s="9">
        <v>12.08</v>
      </c>
    </row>
    <row r="24" spans="1:5" x14ac:dyDescent="0.35">
      <c r="A24" s="2" t="s">
        <v>105</v>
      </c>
    </row>
    <row r="25" spans="1:5" x14ac:dyDescent="0.35">
      <c r="C25" s="4" t="s">
        <v>47</v>
      </c>
      <c r="D25" s="4" t="s">
        <v>48</v>
      </c>
      <c r="E25" s="4" t="s">
        <v>45</v>
      </c>
    </row>
    <row r="26" spans="1:5" x14ac:dyDescent="0.35">
      <c r="B26" s="3" t="s">
        <v>106</v>
      </c>
      <c r="C26" s="9">
        <v>0.24</v>
      </c>
      <c r="D26" s="9">
        <v>0.1</v>
      </c>
      <c r="E26" s="9">
        <v>0.5</v>
      </c>
    </row>
    <row r="27" spans="1:5" x14ac:dyDescent="0.35">
      <c r="B27" s="3" t="s">
        <v>101</v>
      </c>
      <c r="C27" s="9">
        <v>0.95</v>
      </c>
      <c r="D27" s="9">
        <v>0.62</v>
      </c>
      <c r="E27" s="9">
        <v>1.1599999999999999</v>
      </c>
    </row>
    <row r="28" spans="1:5" x14ac:dyDescent="0.35">
      <c r="B28" s="3" t="s">
        <v>107</v>
      </c>
      <c r="C28" s="9">
        <v>3</v>
      </c>
      <c r="D28" s="9">
        <v>2.83</v>
      </c>
      <c r="E28" s="9">
        <v>3.16</v>
      </c>
    </row>
    <row r="29" spans="1:5" x14ac:dyDescent="0.35">
      <c r="B29" s="3" t="s">
        <v>108</v>
      </c>
      <c r="C29" s="9">
        <v>3.74</v>
      </c>
      <c r="D29" s="9">
        <v>3.48</v>
      </c>
      <c r="E29" s="9">
        <v>4</v>
      </c>
    </row>
    <row r="30" spans="1:5" x14ac:dyDescent="0.35">
      <c r="B30" s="3" t="s">
        <v>109</v>
      </c>
      <c r="C30" s="9">
        <v>1.5</v>
      </c>
      <c r="D30" s="9">
        <v>1.1299999999999999</v>
      </c>
      <c r="E30" s="9">
        <v>2.25</v>
      </c>
    </row>
    <row r="34" spans="1:8" x14ac:dyDescent="0.35">
      <c r="A34" s="2" t="s">
        <v>110</v>
      </c>
      <c r="F34" s="3" t="s">
        <v>316</v>
      </c>
      <c r="G34" s="3" t="s">
        <v>317</v>
      </c>
      <c r="H34" s="3" t="s">
        <v>318</v>
      </c>
    </row>
    <row r="35" spans="1:8" x14ac:dyDescent="0.35">
      <c r="C35" s="4" t="s">
        <v>47</v>
      </c>
      <c r="D35" s="4" t="s">
        <v>48</v>
      </c>
      <c r="E35" s="4" t="s">
        <v>45</v>
      </c>
    </row>
    <row r="36" spans="1:8" x14ac:dyDescent="0.35">
      <c r="B36" s="3" t="s">
        <v>111</v>
      </c>
      <c r="C36" s="9">
        <v>2.2000000000000002</v>
      </c>
      <c r="D36" s="9">
        <v>1.07</v>
      </c>
      <c r="E36" s="9">
        <v>7.28</v>
      </c>
    </row>
    <row r="37" spans="1:8" x14ac:dyDescent="0.35">
      <c r="B37" s="3" t="s">
        <v>112</v>
      </c>
      <c r="C37" s="9">
        <v>1.42</v>
      </c>
      <c r="D37" s="9">
        <v>0.9</v>
      </c>
      <c r="E37" s="9">
        <v>3.42</v>
      </c>
    </row>
    <row r="38" spans="1:8" x14ac:dyDescent="0.35">
      <c r="B38" s="3" t="s">
        <v>113</v>
      </c>
      <c r="C38" s="9">
        <v>2.14</v>
      </c>
      <c r="D38" s="9">
        <v>1.39</v>
      </c>
      <c r="E38" s="9">
        <v>3.58</v>
      </c>
    </row>
    <row r="39" spans="1:8" x14ac:dyDescent="0.35">
      <c r="B39" s="3" t="s">
        <v>114</v>
      </c>
      <c r="C39" s="9">
        <v>0.66</v>
      </c>
      <c r="D39" s="9">
        <v>0.51</v>
      </c>
      <c r="E39" s="9">
        <v>0.94</v>
      </c>
    </row>
    <row r="40" spans="1:8" x14ac:dyDescent="0.35">
      <c r="B40" s="3" t="s">
        <v>115</v>
      </c>
      <c r="C40" s="9">
        <v>0.2</v>
      </c>
      <c r="D40" s="9">
        <v>0.1</v>
      </c>
      <c r="E40" s="9">
        <v>0.3</v>
      </c>
    </row>
    <row r="44" spans="1:8" x14ac:dyDescent="0.35">
      <c r="A44" s="2" t="s">
        <v>116</v>
      </c>
    </row>
    <row r="45" spans="1:8" x14ac:dyDescent="0.35">
      <c r="C45" s="4" t="s">
        <v>47</v>
      </c>
      <c r="D45" s="4" t="s">
        <v>48</v>
      </c>
      <c r="E45" s="4" t="s">
        <v>45</v>
      </c>
      <c r="F45" s="3"/>
    </row>
    <row r="46" spans="1:8" x14ac:dyDescent="0.35">
      <c r="B46" s="3" t="s">
        <v>101</v>
      </c>
      <c r="C46" s="14">
        <v>2.5999999999999999E-2</v>
      </c>
      <c r="D46" s="14">
        <v>5.0000000000000001E-3</v>
      </c>
      <c r="E46" s="14">
        <v>0.27500000000000002</v>
      </c>
      <c r="F46" s="3" t="s">
        <v>316</v>
      </c>
      <c r="G46" s="3" t="s">
        <v>317</v>
      </c>
      <c r="H46" s="3" t="s">
        <v>318</v>
      </c>
    </row>
    <row r="47" spans="1:8" x14ac:dyDescent="0.35">
      <c r="B47" s="3" t="s">
        <v>111</v>
      </c>
      <c r="C47" s="14">
        <v>0.15</v>
      </c>
      <c r="D47" s="14">
        <v>3.7999999999999999E-2</v>
      </c>
      <c r="E47" s="14">
        <v>0.88500000000000001</v>
      </c>
    </row>
    <row r="48" spans="1:8" x14ac:dyDescent="0.35">
      <c r="B48" s="3" t="s">
        <v>107</v>
      </c>
      <c r="C48" s="14">
        <v>0.1</v>
      </c>
      <c r="D48" s="14">
        <v>2.1999999999999999E-2</v>
      </c>
      <c r="E48" s="14">
        <v>0.87</v>
      </c>
    </row>
    <row r="49" spans="1:9" x14ac:dyDescent="0.35">
      <c r="B49" s="3" t="s">
        <v>112</v>
      </c>
      <c r="C49" s="14">
        <v>5.2999999999999999E-2</v>
      </c>
      <c r="D49" s="14">
        <v>8.0000000000000002E-3</v>
      </c>
      <c r="E49" s="14">
        <v>0.82699999999999996</v>
      </c>
    </row>
    <row r="50" spans="1:9" x14ac:dyDescent="0.35">
      <c r="B50" s="3" t="s">
        <v>108</v>
      </c>
      <c r="C50" s="14">
        <v>0.16200000000000001</v>
      </c>
      <c r="D50" s="14">
        <v>0.05</v>
      </c>
      <c r="E50" s="14">
        <v>0.86899999999999999</v>
      </c>
    </row>
    <row r="51" spans="1:9" x14ac:dyDescent="0.35">
      <c r="B51" s="3" t="s">
        <v>113</v>
      </c>
      <c r="C51" s="14">
        <v>0.11700000000000001</v>
      </c>
      <c r="D51" s="14">
        <v>3.2000000000000001E-2</v>
      </c>
      <c r="E51" s="14">
        <v>0.68600000000000005</v>
      </c>
    </row>
    <row r="52" spans="1:9" x14ac:dyDescent="0.35">
      <c r="B52" s="3" t="s">
        <v>109</v>
      </c>
      <c r="C52" s="14">
        <v>0.09</v>
      </c>
      <c r="D52" s="14">
        <v>1.9E-2</v>
      </c>
      <c r="E52" s="14">
        <v>0.72299999999999998</v>
      </c>
    </row>
    <row r="53" spans="1:9" x14ac:dyDescent="0.35">
      <c r="B53" s="3" t="s">
        <v>114</v>
      </c>
      <c r="C53" s="14">
        <v>0.111</v>
      </c>
      <c r="D53" s="14">
        <v>4.7E-2</v>
      </c>
      <c r="E53" s="14">
        <v>0.56299999999999994</v>
      </c>
    </row>
    <row r="57" spans="1:9" x14ac:dyDescent="0.35">
      <c r="A57" s="2" t="s">
        <v>117</v>
      </c>
    </row>
    <row r="58" spans="1:9" x14ac:dyDescent="0.35">
      <c r="C58" s="4" t="s">
        <v>47</v>
      </c>
      <c r="D58" s="4" t="s">
        <v>48</v>
      </c>
      <c r="E58" s="4" t="s">
        <v>45</v>
      </c>
      <c r="F58" s="3" t="s">
        <v>316</v>
      </c>
      <c r="G58" s="3" t="s">
        <v>317</v>
      </c>
      <c r="H58" s="3" t="s">
        <v>318</v>
      </c>
    </row>
    <row r="59" spans="1:9" x14ac:dyDescent="0.35">
      <c r="B59" s="3" t="s">
        <v>99</v>
      </c>
      <c r="C59" s="7">
        <v>3.5999999999999999E-3</v>
      </c>
      <c r="D59" s="7">
        <v>2.8999999999999998E-3</v>
      </c>
      <c r="E59" s="7">
        <v>4.4000000000000003E-3</v>
      </c>
      <c r="F59" s="23">
        <v>3.5999999999999999E-3</v>
      </c>
      <c r="G59" s="23"/>
      <c r="H59" s="23"/>
      <c r="I59" s="23"/>
    </row>
    <row r="60" spans="1:9" x14ac:dyDescent="0.35">
      <c r="B60" s="3" t="s">
        <v>100</v>
      </c>
      <c r="C60" s="7">
        <v>3.5999999999999999E-3</v>
      </c>
      <c r="D60" s="7">
        <v>2.8999999999999998E-3</v>
      </c>
      <c r="E60" s="7">
        <v>4.4000000000000003E-3</v>
      </c>
      <c r="F60" s="23">
        <v>3.5999999999999999E-3</v>
      </c>
      <c r="G60" s="23"/>
      <c r="H60" s="23"/>
      <c r="I60" s="23"/>
    </row>
    <row r="61" spans="1:9" x14ac:dyDescent="0.35">
      <c r="B61" s="3" t="s">
        <v>118</v>
      </c>
      <c r="C61" s="7">
        <v>5.7999999999999996E-3</v>
      </c>
      <c r="D61" s="7">
        <v>4.7999999999999996E-3</v>
      </c>
      <c r="E61" s="7">
        <v>7.1000000000000004E-3</v>
      </c>
      <c r="F61" s="23">
        <v>5.7999999999999996E-3</v>
      </c>
      <c r="G61" s="23"/>
      <c r="H61" s="23"/>
      <c r="I61" s="23"/>
    </row>
    <row r="62" spans="1:9" x14ac:dyDescent="0.35">
      <c r="B62" s="3" t="s">
        <v>102</v>
      </c>
      <c r="C62" s="7">
        <v>8.8000000000000005E-3</v>
      </c>
      <c r="D62" s="7">
        <v>7.4999999999999997E-3</v>
      </c>
      <c r="E62" s="7">
        <v>1.01E-2</v>
      </c>
      <c r="F62" s="23">
        <v>8.8000000000000005E-3</v>
      </c>
      <c r="G62" s="23"/>
      <c r="H62" s="23"/>
      <c r="I62" s="23"/>
    </row>
    <row r="63" spans="1:9" x14ac:dyDescent="0.35">
      <c r="B63" s="3" t="s">
        <v>103</v>
      </c>
      <c r="C63" s="7">
        <v>5.8999999999999997E-2</v>
      </c>
      <c r="D63" s="7">
        <v>5.3999999999999999E-2</v>
      </c>
      <c r="E63" s="7">
        <v>7.9000000000000001E-2</v>
      </c>
      <c r="F63" s="23">
        <v>5.8999999999999997E-2</v>
      </c>
      <c r="G63" s="23"/>
      <c r="H63" s="23"/>
      <c r="I63" s="23"/>
    </row>
    <row r="64" spans="1:9" x14ac:dyDescent="0.35">
      <c r="B64" s="3" t="s">
        <v>104</v>
      </c>
      <c r="C64" s="15">
        <v>0.28999999999999998</v>
      </c>
      <c r="D64" s="7">
        <v>0.29599999999999999</v>
      </c>
      <c r="E64" s="7">
        <v>0.432</v>
      </c>
      <c r="F64" s="23">
        <v>0.32300000000000001</v>
      </c>
      <c r="G64" s="23"/>
      <c r="H64" s="23"/>
      <c r="I64" s="23"/>
    </row>
    <row r="65" spans="1:9" x14ac:dyDescent="0.35">
      <c r="B65" s="3" t="s">
        <v>119</v>
      </c>
      <c r="C65" s="7">
        <v>0.23</v>
      </c>
      <c r="D65" s="7">
        <v>0.15</v>
      </c>
      <c r="E65" s="7">
        <v>0.3</v>
      </c>
      <c r="F65" s="23">
        <v>0.23</v>
      </c>
      <c r="G65" s="23"/>
      <c r="H65" s="23"/>
      <c r="I65" s="23"/>
    </row>
    <row r="66" spans="1:9" x14ac:dyDescent="0.35">
      <c r="B66" s="3" t="s">
        <v>120</v>
      </c>
      <c r="C66" s="15">
        <v>0.8417</v>
      </c>
      <c r="D66" s="7">
        <v>0.28349999999999997</v>
      </c>
      <c r="E66" s="7">
        <v>0.8417</v>
      </c>
      <c r="F66" s="23">
        <v>0.48780000000000001</v>
      </c>
      <c r="G66" s="23"/>
      <c r="H66" s="23"/>
      <c r="I66" s="23"/>
    </row>
    <row r="67" spans="1:9" x14ac:dyDescent="0.35">
      <c r="B67" s="3" t="s">
        <v>121</v>
      </c>
      <c r="C67" s="8">
        <v>2.17</v>
      </c>
      <c r="D67" s="8">
        <v>1.27</v>
      </c>
      <c r="E67" s="8">
        <v>3.71</v>
      </c>
      <c r="F67" s="23">
        <v>2.17</v>
      </c>
      <c r="G67" s="23"/>
      <c r="H67" s="23"/>
      <c r="I67" s="23"/>
    </row>
    <row r="71" spans="1:9" x14ac:dyDescent="0.35">
      <c r="A71" s="2" t="s">
        <v>122</v>
      </c>
    </row>
    <row r="72" spans="1:9" x14ac:dyDescent="0.35">
      <c r="C72" s="4" t="s">
        <v>47</v>
      </c>
      <c r="D72" s="4" t="s">
        <v>48</v>
      </c>
      <c r="E72" s="4" t="s">
        <v>45</v>
      </c>
      <c r="F72" s="3" t="s">
        <v>316</v>
      </c>
      <c r="G72" s="3" t="s">
        <v>317</v>
      </c>
      <c r="H72" s="3" t="s">
        <v>318</v>
      </c>
    </row>
    <row r="73" spans="1:9" x14ac:dyDescent="0.35">
      <c r="B73" s="3" t="s">
        <v>123</v>
      </c>
      <c r="C73" s="8">
        <v>0.85</v>
      </c>
      <c r="D73" s="8">
        <v>0.8</v>
      </c>
      <c r="E73" s="8">
        <v>0.98</v>
      </c>
      <c r="F73" s="34">
        <v>0.95</v>
      </c>
    </row>
    <row r="74" spans="1:9" x14ac:dyDescent="0.35">
      <c r="B74" s="3" t="s">
        <v>124</v>
      </c>
      <c r="C74" s="8">
        <v>0.57999999999999996</v>
      </c>
      <c r="D74" s="8">
        <v>0.47</v>
      </c>
      <c r="E74" s="8">
        <v>0.67</v>
      </c>
      <c r="F74" s="34"/>
    </row>
    <row r="75" spans="1:9" x14ac:dyDescent="0.35">
      <c r="B75" s="3" t="s">
        <v>125</v>
      </c>
      <c r="C75" s="8">
        <v>0</v>
      </c>
      <c r="D75" s="8">
        <v>0</v>
      </c>
      <c r="E75" s="8">
        <v>0.68</v>
      </c>
      <c r="F75" s="34"/>
    </row>
    <row r="76" spans="1:9" x14ac:dyDescent="0.35">
      <c r="B76" s="3" t="s">
        <v>126</v>
      </c>
      <c r="C76" s="8">
        <v>2.65</v>
      </c>
      <c r="D76" s="8">
        <v>1.35</v>
      </c>
      <c r="E76" s="8">
        <v>5.19</v>
      </c>
      <c r="F76" s="34"/>
    </row>
    <row r="77" spans="1:9" x14ac:dyDescent="0.35">
      <c r="B77" s="3" t="s">
        <v>127</v>
      </c>
      <c r="C77" s="8">
        <v>0.54</v>
      </c>
      <c r="D77" s="8">
        <v>0.33</v>
      </c>
      <c r="E77" s="8">
        <v>0.68</v>
      </c>
      <c r="F77" s="34"/>
    </row>
    <row r="78" spans="1:9" x14ac:dyDescent="0.35">
      <c r="B78" s="3" t="s">
        <v>128</v>
      </c>
      <c r="C78" s="8">
        <v>0.93</v>
      </c>
      <c r="D78" s="8">
        <v>0.82</v>
      </c>
      <c r="E78" s="8">
        <v>0.93</v>
      </c>
      <c r="F78" s="34">
        <v>0.9</v>
      </c>
    </row>
    <row r="79" spans="1:9" x14ac:dyDescent="0.35">
      <c r="B79" s="3" t="s">
        <v>419</v>
      </c>
      <c r="C79" s="8">
        <v>0.95</v>
      </c>
      <c r="D79" s="8">
        <v>0.92</v>
      </c>
      <c r="E79" s="8">
        <v>0.97</v>
      </c>
      <c r="F79" s="34"/>
    </row>
    <row r="80" spans="1:9" x14ac:dyDescent="0.35">
      <c r="B80" s="3" t="s">
        <v>420</v>
      </c>
      <c r="C80" s="164">
        <v>0.73</v>
      </c>
      <c r="D80" s="8">
        <v>0.65</v>
      </c>
      <c r="E80" s="8">
        <v>0.8</v>
      </c>
      <c r="F80" s="34"/>
    </row>
    <row r="81" spans="1:6" x14ac:dyDescent="0.35">
      <c r="B81" s="3" t="s">
        <v>129</v>
      </c>
      <c r="C81" s="164">
        <v>0.2</v>
      </c>
      <c r="D81" s="8">
        <v>0.3</v>
      </c>
      <c r="E81" s="8">
        <v>0.8</v>
      </c>
      <c r="F81" s="34">
        <v>0.5</v>
      </c>
    </row>
    <row r="82" spans="1:6" x14ac:dyDescent="0.35">
      <c r="B82" s="3" t="s">
        <v>130</v>
      </c>
      <c r="C82" s="8">
        <v>1</v>
      </c>
      <c r="D82" s="8">
        <v>0.92</v>
      </c>
      <c r="E82" s="8">
        <v>1</v>
      </c>
      <c r="F82" s="34">
        <v>0.92</v>
      </c>
    </row>
    <row r="86" spans="1:6" x14ac:dyDescent="0.35">
      <c r="A86" s="2" t="s">
        <v>131</v>
      </c>
    </row>
    <row r="87" spans="1:6" x14ac:dyDescent="0.35">
      <c r="C87" s="4" t="s">
        <v>47</v>
      </c>
      <c r="D87" s="4" t="s">
        <v>48</v>
      </c>
      <c r="E87" s="4" t="s">
        <v>45</v>
      </c>
    </row>
    <row r="88" spans="1:6" x14ac:dyDescent="0.35">
      <c r="B88" s="3" t="s">
        <v>132</v>
      </c>
      <c r="C88" s="9">
        <v>7.8E-2</v>
      </c>
      <c r="D88" s="9">
        <v>5.1999999999999998E-2</v>
      </c>
      <c r="E88" s="9">
        <v>0.111</v>
      </c>
    </row>
    <row r="89" spans="1:6" x14ac:dyDescent="0.35">
      <c r="B89" s="3" t="s">
        <v>133</v>
      </c>
      <c r="C89" s="9">
        <v>8.0000000000000002E-3</v>
      </c>
      <c r="D89" s="9">
        <v>5.0000000000000001E-3</v>
      </c>
      <c r="E89" s="9">
        <v>1.0999999999999999E-2</v>
      </c>
    </row>
    <row r="90" spans="1:6" x14ac:dyDescent="0.35">
      <c r="B90" s="3" t="s">
        <v>134</v>
      </c>
      <c r="C90" s="9">
        <v>0.02</v>
      </c>
      <c r="D90" s="9">
        <v>1.2999999999999999E-2</v>
      </c>
      <c r="E90" s="9">
        <v>2.9000000000000001E-2</v>
      </c>
    </row>
    <row r="91" spans="1:6" x14ac:dyDescent="0.35">
      <c r="B91" s="3" t="s">
        <v>135</v>
      </c>
      <c r="C91" s="9">
        <v>7.0000000000000007E-2</v>
      </c>
      <c r="D91" s="9">
        <v>4.8000000000000001E-2</v>
      </c>
      <c r="E91" s="9">
        <v>9.4E-2</v>
      </c>
    </row>
    <row r="92" spans="1:6" x14ac:dyDescent="0.35">
      <c r="B92" s="3" t="s">
        <v>136</v>
      </c>
      <c r="C92" s="9">
        <v>0.26500000000000001</v>
      </c>
      <c r="D92" s="9">
        <v>0.114</v>
      </c>
      <c r="E92" s="9">
        <v>0.47399999999999998</v>
      </c>
    </row>
    <row r="93" spans="1:6" x14ac:dyDescent="0.35">
      <c r="B93" s="3" t="s">
        <v>137</v>
      </c>
      <c r="C93" s="9">
        <v>0.54700000000000004</v>
      </c>
      <c r="D93" s="9">
        <v>0.38200000000000001</v>
      </c>
      <c r="E93" s="9">
        <v>0.71499999999999997</v>
      </c>
    </row>
    <row r="94" spans="1:6" x14ac:dyDescent="0.35">
      <c r="B94" s="3" t="s">
        <v>138</v>
      </c>
      <c r="C94" s="9">
        <v>5.2999999999999999E-2</v>
      </c>
      <c r="D94" s="9">
        <v>3.4000000000000002E-2</v>
      </c>
      <c r="E94" s="9">
        <v>7.9000000000000001E-2</v>
      </c>
    </row>
  </sheetData>
  <pageMargins left="0.7" right="0.7" top="0.75" bottom="0.75" header="0.3" footer="0.3"/>
  <pageSetup orientation="portrait" horizontalDpi="1200" verticalDpi="120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1"/>
  </sheetPr>
  <dimension ref="A1:T46"/>
  <sheetViews>
    <sheetView showGridLines="0" zoomScale="90" zoomScaleNormal="90" workbookViewId="0">
      <selection activeCell="T65" sqref="T65"/>
    </sheetView>
  </sheetViews>
  <sheetFormatPr defaultColWidth="35" defaultRowHeight="14.5" x14ac:dyDescent="0.35"/>
  <cols>
    <col min="1" max="1" width="5.81640625" customWidth="1"/>
    <col min="2" max="2" width="11.453125" customWidth="1"/>
    <col min="3" max="3" width="10.1796875" hidden="1" customWidth="1"/>
    <col min="4" max="4" width="0.453125" hidden="1" customWidth="1"/>
    <col min="5" max="5" width="12.453125" customWidth="1"/>
    <col min="6" max="6" width="20.1796875" hidden="1" customWidth="1"/>
    <col min="7" max="7" width="13.453125" customWidth="1"/>
    <col min="8" max="8" width="13.81640625" hidden="1" customWidth="1"/>
    <col min="9" max="10" width="9.1796875" hidden="1" customWidth="1"/>
    <col min="11" max="11" width="13" hidden="1" customWidth="1"/>
    <col min="12" max="12" width="18" hidden="1" customWidth="1"/>
    <col min="13" max="13" width="11.1796875" hidden="1" customWidth="1"/>
    <col min="14" max="14" width="11.453125" hidden="1" customWidth="1"/>
    <col min="15" max="15" width="8.453125" hidden="1" customWidth="1"/>
    <col min="16" max="16" width="26.1796875" customWidth="1"/>
    <col min="17" max="17" width="7.1796875" customWidth="1"/>
    <col min="18" max="18" width="26.453125" customWidth="1"/>
    <col min="19" max="19" width="3.453125" hidden="1" customWidth="1"/>
    <col min="20" max="20" width="73" bestFit="1" customWidth="1"/>
  </cols>
  <sheetData>
    <row r="1" spans="2:20" ht="8.25" customHeight="1" x14ac:dyDescent="0.35"/>
    <row r="2" spans="2:20" x14ac:dyDescent="0.35">
      <c r="B2" s="179" t="s">
        <v>229</v>
      </c>
      <c r="C2" s="180"/>
      <c r="D2" s="180"/>
      <c r="E2" s="180"/>
      <c r="F2" s="180"/>
      <c r="G2" s="180"/>
      <c r="H2" s="180"/>
      <c r="I2" s="180"/>
      <c r="J2" s="180"/>
      <c r="K2" s="180"/>
      <c r="L2" s="180"/>
      <c r="M2" s="180"/>
      <c r="N2" s="180"/>
      <c r="O2" s="180"/>
      <c r="P2" s="180"/>
      <c r="Q2" s="180"/>
      <c r="R2" s="181"/>
      <c r="S2" s="47"/>
      <c r="T2" s="47"/>
    </row>
    <row r="3" spans="2:20" s="38" customFormat="1" ht="12.75" customHeight="1" x14ac:dyDescent="0.35">
      <c r="B3" s="47" t="s">
        <v>155</v>
      </c>
      <c r="C3" s="178" t="s">
        <v>159</v>
      </c>
      <c r="D3" s="47" t="s">
        <v>160</v>
      </c>
      <c r="E3" s="48" t="s">
        <v>218</v>
      </c>
      <c r="F3" s="48" t="s">
        <v>198</v>
      </c>
      <c r="G3" s="48" t="s">
        <v>216</v>
      </c>
      <c r="H3" s="48" t="s">
        <v>216</v>
      </c>
      <c r="I3" s="178" t="s">
        <v>178</v>
      </c>
      <c r="J3" s="178"/>
      <c r="K3" s="48" t="s">
        <v>156</v>
      </c>
      <c r="L3" s="49" t="s">
        <v>224</v>
      </c>
      <c r="M3" s="49" t="s">
        <v>221</v>
      </c>
      <c r="N3" s="49" t="s">
        <v>223</v>
      </c>
      <c r="O3" s="49" t="s">
        <v>222</v>
      </c>
      <c r="P3" s="48" t="s">
        <v>154</v>
      </c>
      <c r="Q3" s="48" t="s">
        <v>243</v>
      </c>
      <c r="R3" s="48" t="s">
        <v>231</v>
      </c>
      <c r="S3" s="48" t="s">
        <v>185</v>
      </c>
      <c r="T3" s="47" t="s">
        <v>164</v>
      </c>
    </row>
    <row r="4" spans="2:20" ht="29" x14ac:dyDescent="0.35">
      <c r="B4" s="50" t="s">
        <v>146</v>
      </c>
      <c r="C4" s="178"/>
      <c r="D4" s="50">
        <v>2016</v>
      </c>
      <c r="E4" s="51">
        <v>2016</v>
      </c>
      <c r="F4" s="51">
        <v>2016</v>
      </c>
      <c r="G4" s="51">
        <v>2016</v>
      </c>
      <c r="H4" s="51">
        <v>2017</v>
      </c>
      <c r="I4" s="47" t="s">
        <v>179</v>
      </c>
      <c r="J4" s="47" t="s">
        <v>180</v>
      </c>
      <c r="K4" s="51">
        <v>2017</v>
      </c>
      <c r="L4" s="52">
        <v>2016</v>
      </c>
      <c r="M4" s="52">
        <v>2015</v>
      </c>
      <c r="N4" s="52">
        <v>2015</v>
      </c>
      <c r="O4" s="52">
        <v>2015</v>
      </c>
      <c r="P4" s="51">
        <v>2017</v>
      </c>
      <c r="Q4" s="51">
        <v>2017</v>
      </c>
      <c r="R4" s="51">
        <v>2016</v>
      </c>
      <c r="S4" s="51">
        <v>2014</v>
      </c>
      <c r="T4" s="53"/>
    </row>
    <row r="5" spans="2:20" x14ac:dyDescent="0.35">
      <c r="B5" s="54" t="s">
        <v>150</v>
      </c>
      <c r="C5" s="55" t="s">
        <v>196</v>
      </c>
      <c r="D5" s="56">
        <v>0.5</v>
      </c>
      <c r="E5" s="57" t="s">
        <v>200</v>
      </c>
      <c r="F5" s="58" t="s">
        <v>172</v>
      </c>
      <c r="G5" s="59" t="s">
        <v>220</v>
      </c>
      <c r="H5" s="59" t="s">
        <v>217</v>
      </c>
      <c r="I5" s="55" t="s">
        <v>204</v>
      </c>
      <c r="J5" s="55">
        <v>9.6</v>
      </c>
      <c r="K5" s="60">
        <v>200000</v>
      </c>
      <c r="L5" s="60"/>
      <c r="M5" s="54"/>
      <c r="N5" s="54"/>
      <c r="O5" s="60"/>
      <c r="P5" s="58" t="s">
        <v>186</v>
      </c>
      <c r="Q5" s="74">
        <v>0.85</v>
      </c>
      <c r="R5" s="61" t="s">
        <v>188</v>
      </c>
      <c r="S5" s="59">
        <v>9.6000000000000002E-2</v>
      </c>
      <c r="T5" s="54"/>
    </row>
    <row r="6" spans="2:20" x14ac:dyDescent="0.35">
      <c r="B6" s="54" t="s">
        <v>151</v>
      </c>
      <c r="C6" s="55" t="s">
        <v>197</v>
      </c>
      <c r="D6" s="62" t="s">
        <v>152</v>
      </c>
      <c r="E6" s="55" t="s">
        <v>152</v>
      </c>
      <c r="F6" s="55" t="s">
        <v>157</v>
      </c>
      <c r="G6" s="55" t="s">
        <v>225</v>
      </c>
      <c r="H6" s="59"/>
      <c r="I6" s="54"/>
      <c r="J6" s="54"/>
      <c r="K6" s="55" t="s">
        <v>153</v>
      </c>
      <c r="L6" s="55" t="s">
        <v>226</v>
      </c>
      <c r="M6" s="55" t="s">
        <v>226</v>
      </c>
      <c r="N6" s="55" t="s">
        <v>226</v>
      </c>
      <c r="O6" s="55" t="s">
        <v>226</v>
      </c>
      <c r="P6" s="55" t="s">
        <v>157</v>
      </c>
      <c r="Q6" s="55" t="s">
        <v>245</v>
      </c>
      <c r="R6" s="55" t="s">
        <v>247</v>
      </c>
      <c r="S6" s="59"/>
      <c r="T6" s="54"/>
    </row>
    <row r="7" spans="2:20" hidden="1" x14ac:dyDescent="0.35">
      <c r="B7" s="63" t="s">
        <v>158</v>
      </c>
      <c r="C7" s="62" t="s">
        <v>57</v>
      </c>
      <c r="D7" s="54">
        <v>0.26</v>
      </c>
      <c r="E7" s="54"/>
      <c r="F7" s="55"/>
      <c r="G7" s="59"/>
      <c r="H7" s="59"/>
      <c r="I7" s="54"/>
      <c r="J7" s="54"/>
      <c r="K7" s="60">
        <v>40368</v>
      </c>
      <c r="L7" s="60"/>
      <c r="M7" s="60"/>
      <c r="N7" s="60"/>
      <c r="O7" s="60"/>
      <c r="P7" s="60">
        <v>1343864</v>
      </c>
      <c r="Q7" s="60"/>
      <c r="R7" s="64">
        <v>0.71399999999999997</v>
      </c>
      <c r="S7" s="59"/>
      <c r="T7" s="54"/>
    </row>
    <row r="8" spans="2:20" hidden="1" x14ac:dyDescent="0.35">
      <c r="B8" s="63" t="s">
        <v>161</v>
      </c>
      <c r="C8" s="62" t="s">
        <v>57</v>
      </c>
      <c r="D8" s="54">
        <v>0.26</v>
      </c>
      <c r="E8" s="54"/>
      <c r="F8" s="60">
        <v>33148</v>
      </c>
      <c r="G8" s="59"/>
      <c r="H8" s="59"/>
      <c r="I8" s="54"/>
      <c r="J8" s="54"/>
      <c r="K8" s="60">
        <v>42026</v>
      </c>
      <c r="L8" s="60"/>
      <c r="M8" s="60"/>
      <c r="N8" s="60"/>
      <c r="O8" s="60"/>
      <c r="P8" s="60">
        <v>1370321</v>
      </c>
      <c r="Q8" s="60"/>
      <c r="R8" s="81">
        <v>0.71399999999999997</v>
      </c>
      <c r="S8" s="59"/>
      <c r="T8" s="63" t="s">
        <v>165</v>
      </c>
    </row>
    <row r="9" spans="2:20" hidden="1" x14ac:dyDescent="0.35">
      <c r="B9" s="63" t="s">
        <v>167</v>
      </c>
      <c r="C9" s="54"/>
      <c r="D9" s="54">
        <v>0.28000000000000003</v>
      </c>
      <c r="E9" s="54"/>
      <c r="F9" s="60">
        <v>33977</v>
      </c>
      <c r="G9" s="59"/>
      <c r="H9" s="59"/>
      <c r="I9" s="54"/>
      <c r="J9" s="54"/>
      <c r="K9" s="60">
        <v>42857</v>
      </c>
      <c r="L9" s="60"/>
      <c r="M9" s="60"/>
      <c r="N9" s="60"/>
      <c r="O9" s="60"/>
      <c r="P9" s="60">
        <v>1374573</v>
      </c>
      <c r="Q9" s="60"/>
      <c r="R9" s="61">
        <v>0.69699999999999995</v>
      </c>
      <c r="S9" s="59"/>
      <c r="T9" s="54" t="s">
        <v>166</v>
      </c>
    </row>
    <row r="10" spans="2:20" s="17" customFormat="1" hidden="1" x14ac:dyDescent="0.35">
      <c r="B10" s="63" t="s">
        <v>168</v>
      </c>
      <c r="C10" s="65"/>
      <c r="D10" s="56">
        <v>0.25800000000000001</v>
      </c>
      <c r="E10" s="56"/>
      <c r="F10" s="60">
        <v>31417</v>
      </c>
      <c r="G10" s="66"/>
      <c r="H10" s="66"/>
      <c r="I10" s="65"/>
      <c r="J10" s="65"/>
      <c r="K10" s="60">
        <v>40480</v>
      </c>
      <c r="L10" s="60"/>
      <c r="M10" s="60"/>
      <c r="N10" s="60"/>
      <c r="O10" s="60"/>
      <c r="P10" s="60">
        <v>1374340</v>
      </c>
      <c r="Q10" s="60"/>
      <c r="R10" s="81">
        <v>0.78500000000000003</v>
      </c>
      <c r="S10" s="66"/>
      <c r="T10" s="63" t="s">
        <v>169</v>
      </c>
    </row>
    <row r="11" spans="2:20" hidden="1" x14ac:dyDescent="0.35">
      <c r="B11" s="63" t="s">
        <v>171</v>
      </c>
      <c r="C11" s="54"/>
      <c r="D11" s="56">
        <f>0.00253*100</f>
        <v>0.253</v>
      </c>
      <c r="E11" s="56"/>
      <c r="F11" s="60">
        <v>30809</v>
      </c>
      <c r="G11" s="66"/>
      <c r="H11" s="66"/>
      <c r="I11" s="54"/>
      <c r="J11" s="54"/>
      <c r="K11" s="60">
        <v>39772</v>
      </c>
      <c r="L11" s="60"/>
      <c r="M11" s="60"/>
      <c r="N11" s="60"/>
      <c r="O11" s="60"/>
      <c r="P11" s="60">
        <v>1366871</v>
      </c>
      <c r="Q11" s="60"/>
      <c r="R11" s="67">
        <v>0.78500000000000003</v>
      </c>
      <c r="S11" s="66"/>
      <c r="T11" s="54" t="s">
        <v>170</v>
      </c>
    </row>
    <row r="12" spans="2:20" hidden="1" x14ac:dyDescent="0.35">
      <c r="B12" s="63" t="s">
        <v>174</v>
      </c>
      <c r="C12" s="54"/>
      <c r="D12" s="54">
        <v>0.28000000000000003</v>
      </c>
      <c r="E12" s="54"/>
      <c r="F12" s="68">
        <v>34318</v>
      </c>
      <c r="G12" s="59"/>
      <c r="H12" s="59"/>
      <c r="I12" s="54"/>
      <c r="J12" s="54"/>
      <c r="K12" s="60">
        <v>41996</v>
      </c>
      <c r="L12" s="60"/>
      <c r="M12" s="60"/>
      <c r="N12" s="60"/>
      <c r="O12" s="60"/>
      <c r="P12" s="60">
        <v>1361673</v>
      </c>
      <c r="Q12" s="60"/>
      <c r="R12" s="61">
        <v>0.69799999999999995</v>
      </c>
      <c r="S12" s="59"/>
      <c r="T12" s="54" t="s">
        <v>173</v>
      </c>
    </row>
    <row r="13" spans="2:20" hidden="1" x14ac:dyDescent="0.35">
      <c r="B13" s="63" t="s">
        <v>175</v>
      </c>
      <c r="C13" s="54"/>
      <c r="D13" s="54"/>
      <c r="E13" s="54"/>
      <c r="F13" s="60">
        <v>34196</v>
      </c>
      <c r="G13" s="59"/>
      <c r="H13" s="59"/>
      <c r="I13" s="54"/>
      <c r="J13" s="54"/>
      <c r="K13" s="55"/>
      <c r="L13" s="55"/>
      <c r="M13" s="55"/>
      <c r="N13" s="55"/>
      <c r="O13" s="55"/>
      <c r="P13" s="60">
        <v>1335844</v>
      </c>
      <c r="Q13" s="60"/>
      <c r="R13" s="61">
        <v>0.71</v>
      </c>
      <c r="S13" s="59"/>
      <c r="T13" s="54" t="s">
        <v>173</v>
      </c>
    </row>
    <row r="14" spans="2:20" hidden="1" x14ac:dyDescent="0.35">
      <c r="B14" s="63" t="s">
        <v>175</v>
      </c>
      <c r="C14" s="54"/>
      <c r="D14" s="54"/>
      <c r="E14" s="54"/>
      <c r="F14" s="60">
        <v>33761</v>
      </c>
      <c r="G14" s="59"/>
      <c r="H14" s="59"/>
      <c r="I14" s="54"/>
      <c r="J14" s="54"/>
      <c r="K14" s="55"/>
      <c r="L14" s="55"/>
      <c r="M14" s="55"/>
      <c r="N14" s="55"/>
      <c r="O14" s="55"/>
      <c r="P14" s="60">
        <v>1329054</v>
      </c>
      <c r="Q14" s="60"/>
      <c r="R14" s="61">
        <v>0.71099999999999997</v>
      </c>
      <c r="S14" s="59"/>
      <c r="T14" s="54" t="s">
        <v>176</v>
      </c>
    </row>
    <row r="15" spans="2:20" hidden="1" x14ac:dyDescent="0.35">
      <c r="B15" s="63" t="s">
        <v>177</v>
      </c>
      <c r="C15" s="54"/>
      <c r="D15" s="54"/>
      <c r="E15" s="54"/>
      <c r="F15" s="60">
        <v>36743</v>
      </c>
      <c r="G15" s="59"/>
      <c r="H15" s="59"/>
      <c r="I15" s="54"/>
      <c r="J15" s="54"/>
      <c r="K15" s="55"/>
      <c r="L15" s="55"/>
      <c r="M15" s="55"/>
      <c r="N15" s="55"/>
      <c r="O15" s="55"/>
      <c r="P15" s="60">
        <v>1368281</v>
      </c>
      <c r="Q15" s="60"/>
      <c r="R15" s="61">
        <v>0.71099999999999997</v>
      </c>
      <c r="S15" s="59"/>
      <c r="T15" s="54" t="s">
        <v>183</v>
      </c>
    </row>
    <row r="16" spans="2:20" hidden="1" x14ac:dyDescent="0.35">
      <c r="B16" s="63" t="s">
        <v>182</v>
      </c>
      <c r="C16" s="54"/>
      <c r="D16" s="54"/>
      <c r="E16" s="54"/>
      <c r="F16" s="60">
        <v>33679</v>
      </c>
      <c r="G16" s="59"/>
      <c r="H16" s="59"/>
      <c r="I16" s="54"/>
      <c r="J16" s="54"/>
      <c r="K16" s="55"/>
      <c r="L16" s="55"/>
      <c r="M16" s="55"/>
      <c r="N16" s="55"/>
      <c r="O16" s="55"/>
      <c r="P16" s="60">
        <v>1315381</v>
      </c>
      <c r="Q16" s="60"/>
      <c r="R16" s="61">
        <v>0.71199999999999997</v>
      </c>
      <c r="S16" s="59"/>
      <c r="T16" s="54" t="s">
        <v>181</v>
      </c>
    </row>
    <row r="17" spans="2:20" hidden="1" x14ac:dyDescent="0.35">
      <c r="B17" s="63" t="s">
        <v>184</v>
      </c>
      <c r="C17" s="54"/>
      <c r="D17" s="54"/>
      <c r="E17" s="54"/>
      <c r="F17" s="60">
        <v>38226</v>
      </c>
      <c r="G17" s="59"/>
      <c r="H17" s="59"/>
      <c r="I17" s="54"/>
      <c r="J17" s="54"/>
      <c r="K17" s="60"/>
      <c r="L17" s="60"/>
      <c r="M17" s="60"/>
      <c r="N17" s="60"/>
      <c r="O17" s="60"/>
      <c r="P17" s="60">
        <v>1399662</v>
      </c>
      <c r="Q17" s="60"/>
      <c r="R17" s="61">
        <v>0.79200000000000004</v>
      </c>
      <c r="S17" s="59">
        <v>0.11</v>
      </c>
      <c r="T17" s="54" t="s">
        <v>187</v>
      </c>
    </row>
    <row r="18" spans="2:20" hidden="1" x14ac:dyDescent="0.35">
      <c r="B18" s="63" t="s">
        <v>189</v>
      </c>
      <c r="C18" s="54"/>
      <c r="D18" s="54"/>
      <c r="E18" s="54"/>
      <c r="F18" s="60">
        <v>34195</v>
      </c>
      <c r="G18" s="54"/>
      <c r="H18" s="54"/>
      <c r="I18" s="54"/>
      <c r="J18" s="54"/>
      <c r="K18" s="60"/>
      <c r="L18" s="60"/>
      <c r="M18" s="60"/>
      <c r="N18" s="60"/>
      <c r="O18" s="60"/>
      <c r="P18" s="60">
        <v>1399918</v>
      </c>
      <c r="Q18" s="60"/>
      <c r="R18" s="61">
        <v>0.88900000000000001</v>
      </c>
      <c r="S18" s="54"/>
      <c r="T18" s="54" t="s">
        <v>190</v>
      </c>
    </row>
    <row r="19" spans="2:20" hidden="1" x14ac:dyDescent="0.35">
      <c r="B19" s="63" t="s">
        <v>193</v>
      </c>
      <c r="C19" s="54"/>
      <c r="D19" s="54"/>
      <c r="E19" s="54"/>
      <c r="F19" s="60">
        <v>36150</v>
      </c>
      <c r="G19" s="55"/>
      <c r="H19" s="55"/>
      <c r="I19" s="54"/>
      <c r="J19" s="54"/>
      <c r="K19" s="60"/>
      <c r="L19" s="60"/>
      <c r="M19" s="60"/>
      <c r="N19" s="60"/>
      <c r="O19" s="60"/>
      <c r="P19" s="60">
        <v>1399813</v>
      </c>
      <c r="Q19" s="60"/>
      <c r="R19" s="61">
        <v>0.84199999999999997</v>
      </c>
      <c r="S19" s="55">
        <v>0.108</v>
      </c>
      <c r="T19" s="54" t="s">
        <v>191</v>
      </c>
    </row>
    <row r="20" spans="2:20" hidden="1" x14ac:dyDescent="0.35">
      <c r="B20" s="63" t="s">
        <v>192</v>
      </c>
      <c r="C20" s="54"/>
      <c r="D20" s="54"/>
      <c r="E20" s="54"/>
      <c r="F20" s="60">
        <v>38911</v>
      </c>
      <c r="G20" s="59"/>
      <c r="H20" s="59"/>
      <c r="I20" s="54"/>
      <c r="J20" s="54"/>
      <c r="K20" s="60"/>
      <c r="L20" s="60"/>
      <c r="M20" s="60"/>
      <c r="N20" s="60"/>
      <c r="O20" s="60"/>
      <c r="P20" s="60">
        <v>1416652</v>
      </c>
      <c r="Q20" s="60"/>
      <c r="R20" s="61">
        <v>0.82299999999999995</v>
      </c>
      <c r="S20" s="59">
        <v>0.13</v>
      </c>
      <c r="T20" s="54" t="s">
        <v>194</v>
      </c>
    </row>
    <row r="21" spans="2:20" hidden="1" x14ac:dyDescent="0.35">
      <c r="B21" s="63" t="s">
        <v>195</v>
      </c>
      <c r="C21" s="54" t="s">
        <v>199</v>
      </c>
      <c r="D21" s="54"/>
      <c r="E21" s="60">
        <v>35577</v>
      </c>
      <c r="F21" s="54"/>
      <c r="G21" s="54"/>
      <c r="H21" s="54"/>
      <c r="I21" s="54"/>
      <c r="J21" s="54"/>
      <c r="K21" s="60"/>
      <c r="L21" s="60"/>
      <c r="M21" s="60"/>
      <c r="N21" s="60"/>
      <c r="O21" s="60"/>
      <c r="P21" s="60">
        <v>1363056</v>
      </c>
      <c r="Q21" s="60"/>
      <c r="R21" s="55">
        <v>84.2</v>
      </c>
      <c r="S21" s="54"/>
      <c r="T21" s="54"/>
    </row>
    <row r="22" spans="2:20" hidden="1" x14ac:dyDescent="0.35">
      <c r="B22" s="63" t="s">
        <v>201</v>
      </c>
      <c r="C22" s="54"/>
      <c r="D22" s="54"/>
      <c r="E22" s="60">
        <v>33266</v>
      </c>
      <c r="F22" s="54"/>
      <c r="G22" s="54"/>
      <c r="H22" s="54"/>
      <c r="I22" s="54"/>
      <c r="J22" s="54"/>
      <c r="K22" s="60"/>
      <c r="L22" s="60"/>
      <c r="M22" s="60"/>
      <c r="N22" s="60"/>
      <c r="O22" s="60"/>
      <c r="P22" s="60">
        <v>1335260</v>
      </c>
      <c r="Q22" s="60"/>
      <c r="R22" s="55">
        <v>84.2</v>
      </c>
      <c r="S22" s="54"/>
      <c r="T22" s="54"/>
    </row>
    <row r="23" spans="2:20" hidden="1" x14ac:dyDescent="0.35">
      <c r="B23" s="63" t="s">
        <v>202</v>
      </c>
      <c r="C23" s="54"/>
      <c r="D23" s="54"/>
      <c r="E23" s="60">
        <v>34137</v>
      </c>
      <c r="F23" s="54"/>
      <c r="G23" s="54"/>
      <c r="H23" s="54"/>
      <c r="I23" s="54"/>
      <c r="J23" s="54"/>
      <c r="K23" s="60"/>
      <c r="L23" s="60"/>
      <c r="M23" s="60"/>
      <c r="N23" s="60"/>
      <c r="O23" s="60"/>
      <c r="P23" s="60">
        <v>1345122</v>
      </c>
      <c r="Q23" s="60"/>
      <c r="R23" s="61">
        <v>0.84199999999999997</v>
      </c>
      <c r="S23" s="54"/>
      <c r="T23" s="54" t="s">
        <v>203</v>
      </c>
    </row>
    <row r="24" spans="2:20" hidden="1" x14ac:dyDescent="0.35">
      <c r="B24" s="63" t="s">
        <v>205</v>
      </c>
      <c r="C24" s="54"/>
      <c r="D24" s="54"/>
      <c r="E24" s="60">
        <v>34917</v>
      </c>
      <c r="F24" s="54"/>
      <c r="G24" s="54"/>
      <c r="H24" s="54"/>
      <c r="I24" s="54"/>
      <c r="J24" s="54"/>
      <c r="K24" s="60"/>
      <c r="L24" s="60"/>
      <c r="M24" s="60"/>
      <c r="N24" s="60"/>
      <c r="O24" s="60"/>
      <c r="P24" s="60">
        <v>1368529</v>
      </c>
      <c r="Q24" s="60"/>
      <c r="R24" s="61">
        <v>0.84199999999999997</v>
      </c>
      <c r="S24" s="54"/>
      <c r="T24" s="54"/>
    </row>
    <row r="25" spans="2:20" hidden="1" x14ac:dyDescent="0.35">
      <c r="B25" s="63" t="s">
        <v>206</v>
      </c>
      <c r="C25" s="54"/>
      <c r="D25" s="54"/>
      <c r="E25" s="60">
        <v>35160</v>
      </c>
      <c r="F25" s="54"/>
      <c r="G25" s="54"/>
      <c r="H25" s="54"/>
      <c r="I25" s="54">
        <v>25</v>
      </c>
      <c r="J25" s="69">
        <v>43295</v>
      </c>
      <c r="K25" s="60"/>
      <c r="L25" s="60"/>
      <c r="M25" s="60"/>
      <c r="N25" s="60"/>
      <c r="O25" s="60"/>
      <c r="P25" s="60">
        <v>1359058</v>
      </c>
      <c r="Q25" s="60"/>
      <c r="R25" s="61">
        <v>0.84199999999999997</v>
      </c>
      <c r="S25" s="54"/>
      <c r="T25" s="54" t="s">
        <v>207</v>
      </c>
    </row>
    <row r="26" spans="2:20" hidden="1" x14ac:dyDescent="0.35">
      <c r="B26" s="63" t="s">
        <v>208</v>
      </c>
      <c r="C26" s="54"/>
      <c r="D26" s="54"/>
      <c r="E26" s="60">
        <v>44429</v>
      </c>
      <c r="F26" s="60"/>
      <c r="G26" s="54"/>
      <c r="H26" s="54"/>
      <c r="I26" s="54"/>
      <c r="J26" s="54"/>
      <c r="K26" s="60"/>
      <c r="L26" s="60"/>
      <c r="M26" s="60"/>
      <c r="N26" s="60"/>
      <c r="O26" s="60"/>
      <c r="P26" s="60">
        <v>1322518</v>
      </c>
      <c r="Q26" s="60"/>
      <c r="R26" s="61">
        <v>0.54</v>
      </c>
      <c r="S26" s="54"/>
      <c r="T26" s="54" t="s">
        <v>209</v>
      </c>
    </row>
    <row r="27" spans="2:20" hidden="1" x14ac:dyDescent="0.35">
      <c r="B27" s="70" t="s">
        <v>212</v>
      </c>
      <c r="C27" s="54"/>
      <c r="D27" s="54"/>
      <c r="E27" s="60">
        <v>34249</v>
      </c>
      <c r="F27" s="54"/>
      <c r="G27" s="54"/>
      <c r="H27" s="54"/>
      <c r="I27" s="54"/>
      <c r="J27" s="54"/>
      <c r="K27" s="54"/>
      <c r="L27" s="54"/>
      <c r="M27" s="54"/>
      <c r="N27" s="54"/>
      <c r="O27" s="54"/>
      <c r="P27" s="60">
        <v>1406908</v>
      </c>
      <c r="Q27" s="60"/>
      <c r="R27" s="61">
        <v>0.86299999999999999</v>
      </c>
      <c r="S27" s="54"/>
      <c r="T27" s="54"/>
    </row>
    <row r="28" spans="2:20" hidden="1" x14ac:dyDescent="0.35">
      <c r="B28" s="70" t="s">
        <v>213</v>
      </c>
      <c r="C28" s="54"/>
      <c r="D28" s="54"/>
      <c r="E28" s="60">
        <v>35951</v>
      </c>
      <c r="F28" s="54"/>
      <c r="G28" s="54"/>
      <c r="H28" s="54"/>
      <c r="I28" s="54"/>
      <c r="J28" s="54"/>
      <c r="K28" s="54"/>
      <c r="L28" s="54"/>
      <c r="M28" s="54"/>
      <c r="N28" s="54"/>
      <c r="O28" s="54"/>
      <c r="P28" s="60">
        <v>1409638</v>
      </c>
      <c r="Q28" s="60"/>
      <c r="R28" s="61">
        <v>0.86199999999999999</v>
      </c>
      <c r="S28" s="54"/>
      <c r="T28" s="54"/>
    </row>
    <row r="29" spans="2:20" hidden="1" x14ac:dyDescent="0.35">
      <c r="B29" s="70" t="s">
        <v>214</v>
      </c>
      <c r="C29" s="54"/>
      <c r="D29" s="54"/>
      <c r="E29" s="60">
        <v>35350</v>
      </c>
      <c r="F29" s="54"/>
      <c r="G29" s="54"/>
      <c r="H29" s="54"/>
      <c r="I29" s="54"/>
      <c r="J29" s="54"/>
      <c r="K29" s="54"/>
      <c r="L29" s="54"/>
      <c r="M29" s="54"/>
      <c r="N29" s="54"/>
      <c r="O29" s="54"/>
      <c r="P29" s="60">
        <v>1380901</v>
      </c>
      <c r="Q29" s="60"/>
      <c r="R29" s="61">
        <v>0.86199999999999999</v>
      </c>
      <c r="S29" s="54"/>
      <c r="T29" s="54"/>
    </row>
    <row r="30" spans="2:20" hidden="1" x14ac:dyDescent="0.35">
      <c r="B30" s="70" t="s">
        <v>215</v>
      </c>
      <c r="C30" s="54"/>
      <c r="D30" s="54"/>
      <c r="E30" s="60">
        <v>35445</v>
      </c>
      <c r="F30" s="54"/>
      <c r="G30" s="54"/>
      <c r="H30" s="54"/>
      <c r="I30" s="54"/>
      <c r="J30" s="54"/>
      <c r="K30" s="54"/>
      <c r="L30" s="54"/>
      <c r="M30" s="54"/>
      <c r="N30" s="54"/>
      <c r="O30" s="54"/>
      <c r="P30" s="60">
        <v>1379827</v>
      </c>
      <c r="Q30" s="60"/>
      <c r="R30" s="61">
        <v>0.86199999999999999</v>
      </c>
      <c r="S30" s="54"/>
      <c r="T30" s="54"/>
    </row>
    <row r="31" spans="2:20" hidden="1" x14ac:dyDescent="0.35">
      <c r="B31" s="70" t="s">
        <v>219</v>
      </c>
      <c r="C31" s="54"/>
      <c r="D31" s="54"/>
      <c r="E31" s="60">
        <v>34698</v>
      </c>
      <c r="F31" s="54"/>
      <c r="G31" s="59">
        <f>(L31/O31)*100</f>
        <v>0.5478818602350275</v>
      </c>
      <c r="H31" s="54"/>
      <c r="I31" s="54"/>
      <c r="J31" s="54"/>
      <c r="K31" s="54"/>
      <c r="L31" s="60">
        <v>29881</v>
      </c>
      <c r="M31" s="60">
        <v>6464279</v>
      </c>
      <c r="N31" s="60">
        <v>1010366</v>
      </c>
      <c r="O31" s="71">
        <f>M31-N31</f>
        <v>5453913</v>
      </c>
      <c r="P31" s="60">
        <v>1365753</v>
      </c>
      <c r="Q31" s="60"/>
      <c r="R31" s="61">
        <v>0.84199999999999997</v>
      </c>
      <c r="S31" s="54"/>
      <c r="T31" s="54"/>
    </row>
    <row r="32" spans="2:20" hidden="1" x14ac:dyDescent="0.35">
      <c r="B32" s="70" t="s">
        <v>228</v>
      </c>
      <c r="C32" s="54"/>
      <c r="D32" s="54"/>
      <c r="E32" s="60">
        <v>35884</v>
      </c>
      <c r="F32" s="54"/>
      <c r="G32" s="72">
        <f>(L32/O32)*100</f>
        <v>0.56224313047001517</v>
      </c>
      <c r="H32" s="54"/>
      <c r="I32" s="54"/>
      <c r="J32" s="54"/>
      <c r="K32" s="54"/>
      <c r="L32" s="60">
        <v>31028</v>
      </c>
      <c r="M32" s="60">
        <v>6527177</v>
      </c>
      <c r="N32" s="60">
        <v>1008568</v>
      </c>
      <c r="O32" s="71">
        <f>M32-N32</f>
        <v>5518609</v>
      </c>
      <c r="P32" s="60">
        <v>1381926</v>
      </c>
      <c r="Q32" s="60"/>
      <c r="R32" s="61">
        <v>0.84199999999999997</v>
      </c>
      <c r="S32" s="54"/>
      <c r="T32" s="54" t="s">
        <v>227</v>
      </c>
    </row>
    <row r="33" spans="1:20" hidden="1" x14ac:dyDescent="0.35">
      <c r="B33" s="70" t="s">
        <v>230</v>
      </c>
      <c r="C33" s="54"/>
      <c r="D33" s="54"/>
      <c r="E33" s="60">
        <v>35726</v>
      </c>
      <c r="F33" s="54"/>
      <c r="G33" s="72">
        <f>(L33/O33)*100</f>
        <v>0.56094737455884502</v>
      </c>
      <c r="H33" s="54"/>
      <c r="I33" s="54"/>
      <c r="J33" s="54"/>
      <c r="K33" s="54"/>
      <c r="L33" s="60">
        <v>30881</v>
      </c>
      <c r="M33" s="60">
        <v>6527177</v>
      </c>
      <c r="N33" s="60">
        <v>1022026</v>
      </c>
      <c r="O33" s="71">
        <f>M33-N33</f>
        <v>5505151</v>
      </c>
      <c r="P33" s="60">
        <v>1381663</v>
      </c>
      <c r="Q33" s="60"/>
      <c r="R33" s="61">
        <v>0.84599999999999997</v>
      </c>
      <c r="S33" s="54"/>
      <c r="T33" s="54" t="s">
        <v>232</v>
      </c>
    </row>
    <row r="34" spans="1:20" hidden="1" x14ac:dyDescent="0.35">
      <c r="B34" s="70" t="s">
        <v>233</v>
      </c>
      <c r="C34" s="54"/>
      <c r="D34" s="54"/>
      <c r="E34" s="60">
        <v>35404</v>
      </c>
      <c r="F34" s="54"/>
      <c r="G34" s="72">
        <f>(L34/O34)*100</f>
        <v>0.56094737455884502</v>
      </c>
      <c r="H34" s="54"/>
      <c r="I34" s="54"/>
      <c r="J34" s="54"/>
      <c r="K34" s="54"/>
      <c r="L34" s="60">
        <v>30881</v>
      </c>
      <c r="M34" s="60">
        <v>6527177</v>
      </c>
      <c r="N34" s="60">
        <v>1022026</v>
      </c>
      <c r="O34" s="71">
        <f>M34-N34</f>
        <v>5505151</v>
      </c>
      <c r="P34" s="60">
        <v>1381120</v>
      </c>
      <c r="Q34" s="60"/>
      <c r="R34" s="61">
        <v>0.85399999999999998</v>
      </c>
      <c r="S34" s="54"/>
      <c r="T34" s="54" t="s">
        <v>234</v>
      </c>
    </row>
    <row r="35" spans="1:20" hidden="1" x14ac:dyDescent="0.35">
      <c r="B35" s="70" t="s">
        <v>235</v>
      </c>
      <c r="C35" s="54"/>
      <c r="D35" s="54"/>
      <c r="E35" s="60">
        <v>35240</v>
      </c>
      <c r="F35" s="54"/>
      <c r="G35" s="54"/>
      <c r="H35" s="54"/>
      <c r="I35" s="54"/>
      <c r="J35" s="54"/>
      <c r="K35" s="54"/>
      <c r="L35" s="60">
        <v>30429</v>
      </c>
      <c r="M35" s="54"/>
      <c r="N35" s="54"/>
      <c r="O35" s="54"/>
      <c r="P35" s="54"/>
      <c r="Q35" s="54"/>
      <c r="R35" s="61">
        <v>0.85799999999999998</v>
      </c>
      <c r="T35" s="54" t="s">
        <v>236</v>
      </c>
    </row>
    <row r="36" spans="1:20" hidden="1" x14ac:dyDescent="0.35">
      <c r="B36" s="70" t="s">
        <v>237</v>
      </c>
      <c r="C36" s="54"/>
      <c r="D36" s="54"/>
      <c r="E36" s="60">
        <v>35074</v>
      </c>
      <c r="F36" s="54"/>
      <c r="G36" s="72">
        <f>(L36/O36)*100</f>
        <v>0.55617667298479645</v>
      </c>
      <c r="H36" s="54"/>
      <c r="I36" s="54"/>
      <c r="J36" s="54"/>
      <c r="K36" s="54"/>
      <c r="L36" s="60">
        <v>30276</v>
      </c>
      <c r="M36" s="60">
        <v>6464279</v>
      </c>
      <c r="N36" s="60">
        <v>1020685</v>
      </c>
      <c r="O36" s="71">
        <f>M36-N36</f>
        <v>5443594</v>
      </c>
      <c r="P36" s="60">
        <v>1380556</v>
      </c>
      <c r="Q36" s="60"/>
      <c r="R36" s="61">
        <v>0.86199999999999999</v>
      </c>
      <c r="T36" s="54" t="s">
        <v>239</v>
      </c>
    </row>
    <row r="37" spans="1:20" hidden="1" x14ac:dyDescent="0.35">
      <c r="B37" s="70" t="s">
        <v>238</v>
      </c>
      <c r="C37" s="54"/>
      <c r="D37" s="54"/>
      <c r="E37" s="73">
        <v>30334</v>
      </c>
      <c r="F37" s="54"/>
      <c r="G37" s="72">
        <f>(L37/O37)*100</f>
        <v>0.47199871235007768</v>
      </c>
      <c r="H37" s="54"/>
      <c r="I37" s="54"/>
      <c r="J37" s="54"/>
      <c r="K37" s="54"/>
      <c r="L37" s="60">
        <v>25923</v>
      </c>
      <c r="M37" s="60">
        <v>6464279</v>
      </c>
      <c r="N37" s="60">
        <v>972103</v>
      </c>
      <c r="O37" s="71">
        <f>M37-N37</f>
        <v>5492176</v>
      </c>
      <c r="P37" s="60">
        <v>1321366</v>
      </c>
      <c r="Q37" s="60"/>
      <c r="R37" s="61">
        <v>0.86199999999999999</v>
      </c>
      <c r="T37" s="54" t="s">
        <v>240</v>
      </c>
    </row>
    <row r="38" spans="1:20" hidden="1" x14ac:dyDescent="0.35">
      <c r="B38" s="70" t="s">
        <v>242</v>
      </c>
      <c r="C38" s="54"/>
      <c r="D38" s="54"/>
      <c r="E38" s="73">
        <v>33984</v>
      </c>
      <c r="F38" s="54"/>
      <c r="G38" s="72">
        <f>(L38/O38)*100</f>
        <v>0.53845396240671139</v>
      </c>
      <c r="H38" s="54"/>
      <c r="I38" s="54"/>
      <c r="J38" s="54"/>
      <c r="K38" s="54"/>
      <c r="L38" s="60">
        <v>29304</v>
      </c>
      <c r="M38" s="60">
        <v>6464279</v>
      </c>
      <c r="N38" s="60">
        <v>1022031</v>
      </c>
      <c r="O38" s="71">
        <f>M38-N38</f>
        <v>5442248</v>
      </c>
      <c r="P38" s="60">
        <v>1382145</v>
      </c>
      <c r="Q38" s="60"/>
      <c r="R38" s="61">
        <v>0.86199999999999999</v>
      </c>
      <c r="T38" s="54" t="s">
        <v>241</v>
      </c>
    </row>
    <row r="39" spans="1:20" hidden="1" x14ac:dyDescent="0.35">
      <c r="B39" s="70" t="s">
        <v>246</v>
      </c>
      <c r="E39" s="60">
        <v>31655</v>
      </c>
      <c r="F39" s="54"/>
      <c r="G39" s="72">
        <f>(L39/O39)*100</f>
        <v>0.49429630048544837</v>
      </c>
      <c r="H39" s="54"/>
      <c r="I39" s="54"/>
      <c r="J39" s="54"/>
      <c r="K39" s="60">
        <v>41848</v>
      </c>
      <c r="L39" s="60">
        <v>27095</v>
      </c>
      <c r="M39" s="60">
        <v>6464279</v>
      </c>
      <c r="N39" s="60">
        <v>982749</v>
      </c>
      <c r="O39" s="71">
        <f>M39-N39</f>
        <v>5481530</v>
      </c>
      <c r="P39" s="60">
        <v>1335260</v>
      </c>
      <c r="Q39" s="75">
        <v>0.84199999999999997</v>
      </c>
      <c r="R39" s="61">
        <v>0.85899999999999999</v>
      </c>
      <c r="T39" s="54" t="s">
        <v>244</v>
      </c>
    </row>
    <row r="40" spans="1:20" hidden="1" x14ac:dyDescent="0.35">
      <c r="B40" s="70" t="s">
        <v>248</v>
      </c>
      <c r="E40">
        <v>31115</v>
      </c>
      <c r="P40">
        <v>1335205</v>
      </c>
      <c r="R40" s="61">
        <v>0.872</v>
      </c>
      <c r="T40" s="54" t="s">
        <v>250</v>
      </c>
    </row>
    <row r="41" spans="1:20" hidden="1" x14ac:dyDescent="0.35">
      <c r="B41" s="78" t="s">
        <v>249</v>
      </c>
      <c r="E41">
        <v>31167</v>
      </c>
      <c r="P41" s="76">
        <v>1335211</v>
      </c>
      <c r="Q41">
        <v>0.84299999999999997</v>
      </c>
      <c r="R41" s="77">
        <v>0.87</v>
      </c>
      <c r="T41" s="54" t="s">
        <v>251</v>
      </c>
    </row>
    <row r="42" spans="1:20" s="25" customFormat="1" x14ac:dyDescent="0.35">
      <c r="A42" s="3" t="s">
        <v>254</v>
      </c>
      <c r="B42" s="79" t="s">
        <v>253</v>
      </c>
      <c r="C42" s="55"/>
      <c r="D42" s="55"/>
      <c r="E42" s="60">
        <v>32795</v>
      </c>
      <c r="F42" s="55"/>
      <c r="G42" s="72">
        <f>(L42/O42)*100</f>
        <v>0.51685058419566854</v>
      </c>
      <c r="H42" s="55"/>
      <c r="I42" s="55"/>
      <c r="J42" s="55"/>
      <c r="K42" s="55"/>
      <c r="L42" s="60">
        <v>28166</v>
      </c>
      <c r="M42" s="60">
        <v>6464279</v>
      </c>
      <c r="N42" s="60">
        <v>1014735</v>
      </c>
      <c r="O42" s="71">
        <f>M42-N42</f>
        <v>5449544</v>
      </c>
      <c r="P42" s="60">
        <v>1375264</v>
      </c>
      <c r="Q42" s="75">
        <v>0.82599999999999996</v>
      </c>
      <c r="R42" s="61">
        <v>0.86599999999999999</v>
      </c>
      <c r="T42" s="55" t="s">
        <v>252</v>
      </c>
    </row>
    <row r="43" spans="1:20" x14ac:dyDescent="0.35">
      <c r="E43">
        <f>E42/E36</f>
        <v>0.93502309402976569</v>
      </c>
    </row>
    <row r="44" spans="1:20" x14ac:dyDescent="0.35">
      <c r="T44" s="25"/>
    </row>
    <row r="45" spans="1:20" x14ac:dyDescent="0.35">
      <c r="T45" s="25"/>
    </row>
    <row r="46" spans="1:20" x14ac:dyDescent="0.35">
      <c r="R46" s="25"/>
    </row>
  </sheetData>
  <mergeCells count="3">
    <mergeCell ref="C3:C4"/>
    <mergeCell ref="I3:J3"/>
    <mergeCell ref="B2:R2"/>
  </mergeCells>
  <pageMargins left="0.7" right="0.7" top="0.75" bottom="0.75" header="0.3" footer="0.3"/>
  <pageSetup orientation="portrait" horizontalDpi="1200" verticalDpi="1200" r:id="rId1"/>
  <ignoredErrors>
    <ignoredError sqref="B27:B28 B30" numberStoredAsText="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1" tint="0.499984740745262"/>
  </sheetPr>
  <dimension ref="A1:K28"/>
  <sheetViews>
    <sheetView workbookViewId="0">
      <selection activeCell="D3" sqref="D3:D14"/>
    </sheetView>
  </sheetViews>
  <sheetFormatPr defaultColWidth="8.81640625" defaultRowHeight="14.5" x14ac:dyDescent="0.35"/>
  <cols>
    <col min="1" max="1" width="10.453125" style="83" bestFit="1" customWidth="1"/>
    <col min="2" max="2" width="10" style="83" bestFit="1" customWidth="1"/>
    <col min="3" max="3" width="11.453125" style="83" bestFit="1" customWidth="1"/>
    <col min="4" max="4" width="8.1796875" style="83" customWidth="1"/>
    <col min="5" max="5" width="18" style="83" bestFit="1" customWidth="1"/>
    <col min="6" max="6" width="17.1796875" style="83" customWidth="1"/>
    <col min="7" max="7" width="32.1796875" style="83" customWidth="1"/>
    <col min="8" max="8" width="21" style="83" hidden="1" customWidth="1"/>
    <col min="9" max="9" width="29.453125" style="83" customWidth="1"/>
    <col min="10" max="10" width="7.453125" style="83" bestFit="1" customWidth="1"/>
    <col min="11" max="16384" width="8.81640625" style="83"/>
  </cols>
  <sheetData>
    <row r="1" spans="1:11" ht="29" x14ac:dyDescent="0.35">
      <c r="A1" s="98" t="s">
        <v>280</v>
      </c>
      <c r="B1" s="98" t="s">
        <v>279</v>
      </c>
      <c r="C1" s="98" t="s">
        <v>278</v>
      </c>
      <c r="D1" s="98" t="s">
        <v>277</v>
      </c>
      <c r="E1" s="98" t="s">
        <v>276</v>
      </c>
      <c r="F1" s="98" t="s">
        <v>243</v>
      </c>
      <c r="G1" s="98" t="s">
        <v>218</v>
      </c>
      <c r="H1" s="98" t="s">
        <v>216</v>
      </c>
      <c r="I1" s="98" t="s">
        <v>154</v>
      </c>
      <c r="J1" s="114" t="s">
        <v>312</v>
      </c>
      <c r="K1" s="83" t="s">
        <v>310</v>
      </c>
    </row>
    <row r="2" spans="1:11" x14ac:dyDescent="0.35">
      <c r="A2" s="97" t="s">
        <v>146</v>
      </c>
      <c r="B2" s="97">
        <v>2017</v>
      </c>
      <c r="C2" s="97">
        <v>2017</v>
      </c>
      <c r="D2" s="97">
        <v>2016</v>
      </c>
      <c r="E2" s="97">
        <v>2017</v>
      </c>
      <c r="F2" s="97">
        <v>2017</v>
      </c>
      <c r="G2" s="97">
        <v>2016</v>
      </c>
      <c r="H2" s="97">
        <v>2016</v>
      </c>
      <c r="I2" s="97">
        <v>2017</v>
      </c>
    </row>
    <row r="3" spans="1:11" x14ac:dyDescent="0.35">
      <c r="A3" s="96" t="s">
        <v>150</v>
      </c>
      <c r="B3" s="95">
        <v>85</v>
      </c>
      <c r="C3" s="95" t="s">
        <v>275</v>
      </c>
      <c r="D3" s="95">
        <v>82</v>
      </c>
      <c r="E3" s="94">
        <v>59656</v>
      </c>
      <c r="F3" s="94">
        <v>1119909</v>
      </c>
      <c r="G3" s="93" t="s">
        <v>200</v>
      </c>
      <c r="H3" s="92" t="s">
        <v>220</v>
      </c>
      <c r="I3" s="91" t="s">
        <v>186</v>
      </c>
    </row>
    <row r="4" spans="1:11" ht="43.5" x14ac:dyDescent="0.35">
      <c r="A4" s="88" t="s">
        <v>274</v>
      </c>
      <c r="B4" s="90" t="s">
        <v>273</v>
      </c>
      <c r="C4" s="90" t="s">
        <v>272</v>
      </c>
      <c r="D4" s="90" t="s">
        <v>271</v>
      </c>
      <c r="E4" s="90" t="s">
        <v>270</v>
      </c>
      <c r="F4" s="90" t="s">
        <v>269</v>
      </c>
      <c r="G4" s="88" t="s">
        <v>152</v>
      </c>
      <c r="H4" s="88" t="s">
        <v>225</v>
      </c>
      <c r="I4" s="88" t="s">
        <v>157</v>
      </c>
    </row>
    <row r="5" spans="1:11" x14ac:dyDescent="0.35">
      <c r="A5" s="88" t="s">
        <v>268</v>
      </c>
      <c r="B5" s="88">
        <v>1</v>
      </c>
      <c r="C5" s="88">
        <v>1.03</v>
      </c>
      <c r="D5" s="88">
        <v>0.7</v>
      </c>
      <c r="E5" s="88">
        <v>1.3</v>
      </c>
      <c r="F5" s="88"/>
      <c r="G5" s="84" t="s">
        <v>314</v>
      </c>
      <c r="H5" s="88"/>
      <c r="I5" s="88" t="s">
        <v>315</v>
      </c>
    </row>
    <row r="6" spans="1:11" x14ac:dyDescent="0.35">
      <c r="A6" s="87" t="s">
        <v>267</v>
      </c>
      <c r="B6" s="87">
        <v>93</v>
      </c>
      <c r="C6" s="87">
        <v>89</v>
      </c>
      <c r="D6" s="87">
        <v>87</v>
      </c>
      <c r="E6" s="85">
        <v>63779</v>
      </c>
      <c r="F6" s="85">
        <v>1135962</v>
      </c>
      <c r="G6" s="85">
        <v>32795</v>
      </c>
      <c r="H6" s="85"/>
      <c r="I6" s="85">
        <v>1375264</v>
      </c>
    </row>
    <row r="7" spans="1:11" hidden="1" x14ac:dyDescent="0.35">
      <c r="A7" s="88" t="s">
        <v>266</v>
      </c>
      <c r="B7" s="88">
        <v>0.9</v>
      </c>
      <c r="C7" s="88">
        <v>1.03</v>
      </c>
      <c r="D7" s="88">
        <v>1</v>
      </c>
      <c r="E7" s="88">
        <v>0.93500000000000005</v>
      </c>
      <c r="F7" s="88"/>
      <c r="G7" s="88"/>
      <c r="H7" s="88"/>
      <c r="I7" s="88"/>
    </row>
    <row r="8" spans="1:11" hidden="1" x14ac:dyDescent="0.35">
      <c r="A8" s="87" t="s">
        <v>265</v>
      </c>
      <c r="B8" s="87">
        <v>92</v>
      </c>
      <c r="C8" s="87">
        <v>88</v>
      </c>
      <c r="D8" s="87" t="s">
        <v>264</v>
      </c>
      <c r="E8" s="85">
        <v>55664</v>
      </c>
      <c r="F8" s="88"/>
      <c r="G8" s="88"/>
      <c r="H8" s="88"/>
      <c r="I8" s="88"/>
    </row>
    <row r="9" spans="1:11" hidden="1" x14ac:dyDescent="0.35">
      <c r="A9" s="88" t="s">
        <v>263</v>
      </c>
      <c r="B9" s="88">
        <v>0.83199999999999996</v>
      </c>
      <c r="C9" s="88">
        <v>1.0349999999999999</v>
      </c>
      <c r="D9" s="88">
        <v>0.89</v>
      </c>
      <c r="E9" s="88">
        <v>1.1200000000000001</v>
      </c>
      <c r="F9" s="88"/>
      <c r="G9" s="88"/>
      <c r="H9" s="88"/>
      <c r="I9" s="88"/>
    </row>
    <row r="10" spans="1:11" hidden="1" x14ac:dyDescent="0.35">
      <c r="A10" s="87" t="s">
        <v>262</v>
      </c>
      <c r="B10" s="87">
        <v>91.1</v>
      </c>
      <c r="C10" s="87">
        <v>90.6</v>
      </c>
      <c r="D10" s="87">
        <v>83.4</v>
      </c>
      <c r="E10" s="85">
        <v>62634</v>
      </c>
      <c r="F10" s="85">
        <v>1141476</v>
      </c>
      <c r="G10" s="85">
        <v>35072</v>
      </c>
      <c r="H10" s="85"/>
      <c r="I10" s="85">
        <v>1382961</v>
      </c>
    </row>
    <row r="11" spans="1:11" hidden="1" x14ac:dyDescent="0.35">
      <c r="A11" s="88" t="s">
        <v>261</v>
      </c>
      <c r="B11" s="88">
        <v>0.7</v>
      </c>
      <c r="C11" s="88">
        <v>1.03</v>
      </c>
      <c r="D11" s="88">
        <v>0.85</v>
      </c>
      <c r="E11" s="88">
        <v>1</v>
      </c>
      <c r="F11" s="88"/>
      <c r="G11" s="88"/>
      <c r="H11" s="88"/>
      <c r="I11" s="88"/>
    </row>
    <row r="12" spans="1:11" hidden="1" x14ac:dyDescent="0.35">
      <c r="A12" s="87" t="s">
        <v>260</v>
      </c>
      <c r="B12" s="87">
        <v>89.1</v>
      </c>
      <c r="C12" s="87">
        <v>91.5</v>
      </c>
      <c r="D12" s="87">
        <v>84</v>
      </c>
      <c r="E12" s="85">
        <v>59534</v>
      </c>
      <c r="F12" s="85">
        <v>1135962</v>
      </c>
      <c r="G12" s="89">
        <v>37232</v>
      </c>
      <c r="H12" s="85"/>
      <c r="I12" s="85">
        <v>1393422</v>
      </c>
    </row>
    <row r="13" spans="1:11" x14ac:dyDescent="0.35">
      <c r="A13" s="88" t="s">
        <v>259</v>
      </c>
      <c r="B13" s="88">
        <v>0.5</v>
      </c>
      <c r="C13" s="88">
        <v>1.03</v>
      </c>
      <c r="D13" s="88">
        <v>0.85</v>
      </c>
      <c r="E13" s="88">
        <v>1</v>
      </c>
      <c r="F13" s="88"/>
      <c r="G13" s="88"/>
      <c r="H13" s="88"/>
      <c r="I13" s="88"/>
    </row>
    <row r="14" spans="1:11" x14ac:dyDescent="0.35">
      <c r="A14" s="87" t="s">
        <v>258</v>
      </c>
      <c r="B14" s="86">
        <v>84</v>
      </c>
      <c r="C14" s="86">
        <v>97</v>
      </c>
      <c r="D14" s="86">
        <v>84</v>
      </c>
      <c r="E14" s="85">
        <v>58346</v>
      </c>
      <c r="F14" s="85">
        <v>1135962</v>
      </c>
      <c r="G14" s="104">
        <v>38516</v>
      </c>
      <c r="H14" s="85"/>
      <c r="I14" s="85">
        <v>1392400</v>
      </c>
      <c r="J14" s="83" t="s">
        <v>313</v>
      </c>
      <c r="K14" s="83" t="s">
        <v>311</v>
      </c>
    </row>
    <row r="17" spans="1:4" x14ac:dyDescent="0.35">
      <c r="A17" s="84" t="s">
        <v>257</v>
      </c>
    </row>
    <row r="18" spans="1:4" x14ac:dyDescent="0.35">
      <c r="A18" s="83" t="s">
        <v>146</v>
      </c>
      <c r="B18" s="83" t="s">
        <v>256</v>
      </c>
      <c r="C18" s="83" t="s">
        <v>55</v>
      </c>
      <c r="D18" s="83" t="s">
        <v>309</v>
      </c>
    </row>
    <row r="19" spans="1:4" x14ac:dyDescent="0.35">
      <c r="A19" s="83">
        <v>1</v>
      </c>
      <c r="B19" s="83">
        <v>2</v>
      </c>
    </row>
    <row r="20" spans="1:4" x14ac:dyDescent="0.35">
      <c r="A20" s="83">
        <v>2</v>
      </c>
      <c r="B20" s="83">
        <v>0</v>
      </c>
    </row>
    <row r="21" spans="1:4" x14ac:dyDescent="0.35">
      <c r="A21" s="83">
        <v>3</v>
      </c>
      <c r="B21" s="83">
        <v>1</v>
      </c>
    </row>
    <row r="22" spans="1:4" x14ac:dyDescent="0.35">
      <c r="A22" s="83">
        <v>4</v>
      </c>
      <c r="B22" s="83">
        <v>0</v>
      </c>
    </row>
    <row r="23" spans="1:4" x14ac:dyDescent="0.35">
      <c r="A23" s="83">
        <v>5</v>
      </c>
      <c r="B23" s="83">
        <v>1</v>
      </c>
      <c r="C23" s="83">
        <f>AVERAGE(B19:B23)</f>
        <v>0.8</v>
      </c>
      <c r="D23" s="83">
        <v>0.85</v>
      </c>
    </row>
    <row r="24" spans="1:4" x14ac:dyDescent="0.35">
      <c r="A24" s="83">
        <v>6</v>
      </c>
      <c r="B24" s="83">
        <v>0</v>
      </c>
    </row>
    <row r="25" spans="1:4" x14ac:dyDescent="0.35">
      <c r="A25" s="83">
        <v>7</v>
      </c>
      <c r="B25" s="83">
        <v>1</v>
      </c>
    </row>
    <row r="26" spans="1:4" x14ac:dyDescent="0.35">
      <c r="A26" s="83">
        <v>8</v>
      </c>
      <c r="B26" s="83">
        <v>0</v>
      </c>
    </row>
    <row r="27" spans="1:4" x14ac:dyDescent="0.35">
      <c r="A27" s="83">
        <v>9</v>
      </c>
      <c r="B27" s="83">
        <v>1</v>
      </c>
    </row>
    <row r="28" spans="1:4" x14ac:dyDescent="0.35">
      <c r="A28" s="83">
        <v>10</v>
      </c>
      <c r="B28" s="83">
        <v>0</v>
      </c>
      <c r="C28" s="83">
        <f>AVERAGE(B19:B28)</f>
        <v>0.6</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1" tint="0.499984740745262"/>
  </sheetPr>
  <dimension ref="A1:P21"/>
  <sheetViews>
    <sheetView workbookViewId="0">
      <selection activeCell="P29" sqref="P29"/>
    </sheetView>
  </sheetViews>
  <sheetFormatPr defaultColWidth="8.81640625" defaultRowHeight="14.5" x14ac:dyDescent="0.35"/>
  <cols>
    <col min="1" max="1" width="6" style="25" customWidth="1"/>
    <col min="2" max="2" width="14.453125" style="26" bestFit="1" customWidth="1"/>
    <col min="3" max="3" width="13.453125" style="26" bestFit="1" customWidth="1"/>
    <col min="4" max="4" width="13.1796875" style="26" bestFit="1" customWidth="1"/>
    <col min="5" max="7" width="8.453125" style="25" bestFit="1" customWidth="1"/>
    <col min="8" max="8" width="9.453125" style="25" customWidth="1"/>
    <col min="9" max="16384" width="8.81640625" style="25"/>
  </cols>
  <sheetData>
    <row r="1" spans="1:16" s="101" customFormat="1" ht="39.5" x14ac:dyDescent="0.35">
      <c r="A1" s="101" t="s">
        <v>146</v>
      </c>
      <c r="B1" s="103" t="s">
        <v>308</v>
      </c>
      <c r="C1" s="103" t="s">
        <v>307</v>
      </c>
      <c r="D1" s="103" t="s">
        <v>306</v>
      </c>
      <c r="E1" s="102" t="s">
        <v>305</v>
      </c>
      <c r="F1" s="102" t="s">
        <v>304</v>
      </c>
      <c r="G1" s="102" t="s">
        <v>303</v>
      </c>
      <c r="H1" s="102" t="s">
        <v>302</v>
      </c>
    </row>
    <row r="2" spans="1:16" x14ac:dyDescent="0.35">
      <c r="A2" s="25" t="s">
        <v>301</v>
      </c>
      <c r="B2" s="26">
        <v>113914</v>
      </c>
      <c r="C2" s="26">
        <v>81122.7109375</v>
      </c>
      <c r="D2" s="26">
        <v>144122.65625</v>
      </c>
      <c r="F2" s="100"/>
      <c r="G2" s="100"/>
      <c r="H2" s="100"/>
      <c r="I2" s="100"/>
      <c r="J2" s="100"/>
      <c r="K2" s="100"/>
      <c r="L2" s="100"/>
      <c r="M2" s="100"/>
      <c r="N2" s="100"/>
      <c r="O2" s="100"/>
      <c r="P2" s="100"/>
    </row>
    <row r="3" spans="1:16" x14ac:dyDescent="0.35">
      <c r="A3" s="25" t="s">
        <v>300</v>
      </c>
      <c r="B3" s="26">
        <v>99064</v>
      </c>
      <c r="C3" s="26">
        <v>70547.328125</v>
      </c>
      <c r="D3" s="26">
        <v>125334.421875</v>
      </c>
      <c r="F3" s="100"/>
      <c r="G3" s="100"/>
      <c r="H3" s="100"/>
      <c r="I3" s="100"/>
      <c r="J3" s="100"/>
      <c r="K3" s="100"/>
      <c r="L3" s="100"/>
      <c r="M3" s="100"/>
      <c r="N3" s="100"/>
      <c r="O3" s="100"/>
      <c r="P3" s="100"/>
    </row>
    <row r="4" spans="1:16" x14ac:dyDescent="0.35">
      <c r="A4" s="25" t="s">
        <v>299</v>
      </c>
      <c r="B4" s="26">
        <v>88322</v>
      </c>
      <c r="C4" s="26">
        <v>62897.0390625</v>
      </c>
      <c r="D4" s="26">
        <v>111742.9140625</v>
      </c>
      <c r="F4" s="100"/>
      <c r="G4" s="100"/>
      <c r="H4" s="100"/>
      <c r="I4" s="100"/>
      <c r="J4" s="100"/>
      <c r="K4" s="100"/>
      <c r="L4" s="100"/>
      <c r="M4" s="100"/>
      <c r="N4" s="100"/>
      <c r="O4" s="100"/>
      <c r="P4" s="100"/>
    </row>
    <row r="5" spans="1:16" x14ac:dyDescent="0.35">
      <c r="A5" s="25" t="s">
        <v>298</v>
      </c>
      <c r="B5" s="26">
        <v>81427</v>
      </c>
      <c r="C5" s="26">
        <v>57987.09375</v>
      </c>
      <c r="D5" s="26">
        <v>103019.90625</v>
      </c>
      <c r="F5" s="100"/>
      <c r="G5" s="100"/>
      <c r="H5" s="100"/>
      <c r="I5" s="100"/>
      <c r="J5" s="100"/>
      <c r="K5" s="100"/>
      <c r="L5" s="100"/>
      <c r="M5" s="100"/>
      <c r="N5" s="100"/>
      <c r="O5" s="100"/>
      <c r="P5" s="100"/>
    </row>
    <row r="6" spans="1:16" x14ac:dyDescent="0.35">
      <c r="A6" s="25" t="s">
        <v>297</v>
      </c>
      <c r="B6" s="26">
        <v>77382</v>
      </c>
      <c r="C6" s="26">
        <v>55106.58984375</v>
      </c>
      <c r="D6" s="26">
        <v>97902.3984375</v>
      </c>
    </row>
    <row r="7" spans="1:16" x14ac:dyDescent="0.35">
      <c r="A7" s="25" t="s">
        <v>296</v>
      </c>
      <c r="B7" s="26">
        <v>75006</v>
      </c>
      <c r="C7" s="26">
        <v>53414.76171875</v>
      </c>
      <c r="D7" s="26">
        <v>94896.703125</v>
      </c>
    </row>
    <row r="8" spans="1:16" x14ac:dyDescent="0.35">
      <c r="A8" s="25" t="s">
        <v>295</v>
      </c>
      <c r="B8" s="26">
        <v>74065</v>
      </c>
      <c r="C8" s="26">
        <v>52743.796875</v>
      </c>
      <c r="D8" s="26">
        <v>93704.6640625</v>
      </c>
    </row>
    <row r="9" spans="1:16" x14ac:dyDescent="0.35">
      <c r="A9" s="25" t="s">
        <v>294</v>
      </c>
      <c r="B9" s="26">
        <v>74550</v>
      </c>
      <c r="C9" s="26">
        <v>53088.71484375</v>
      </c>
      <c r="D9" s="26">
        <v>94317.4375</v>
      </c>
    </row>
    <row r="10" spans="1:16" x14ac:dyDescent="0.35">
      <c r="A10" s="25" t="s">
        <v>293</v>
      </c>
      <c r="B10" s="26">
        <v>73446</v>
      </c>
      <c r="C10" s="26">
        <v>52303.82421875</v>
      </c>
      <c r="D10" s="26">
        <v>92923.0078125</v>
      </c>
    </row>
    <row r="11" spans="1:16" x14ac:dyDescent="0.35">
      <c r="A11" s="25" t="s">
        <v>292</v>
      </c>
      <c r="B11" s="26">
        <v>73679</v>
      </c>
      <c r="C11" s="26">
        <v>52469.70703125</v>
      </c>
      <c r="D11" s="26">
        <v>93217.71875</v>
      </c>
    </row>
    <row r="12" spans="1:16" x14ac:dyDescent="0.35">
      <c r="A12" s="25" t="s">
        <v>291</v>
      </c>
      <c r="B12" s="26">
        <v>73604</v>
      </c>
      <c r="C12" s="26">
        <v>52416.01171875</v>
      </c>
      <c r="D12" s="26">
        <v>93122.3203125</v>
      </c>
      <c r="E12" s="99">
        <v>77881.390599999999</v>
      </c>
      <c r="F12" s="99">
        <v>73000</v>
      </c>
      <c r="G12" s="99">
        <v>67771.179699999993</v>
      </c>
      <c r="H12" s="26">
        <v>90119</v>
      </c>
    </row>
    <row r="13" spans="1:16" x14ac:dyDescent="0.35">
      <c r="A13" s="25" t="s">
        <v>290</v>
      </c>
      <c r="B13" s="26">
        <v>68410</v>
      </c>
      <c r="C13" s="26">
        <v>48717.5</v>
      </c>
      <c r="D13" s="26">
        <v>86551.5390625</v>
      </c>
      <c r="E13" s="99">
        <v>70690.210900000005</v>
      </c>
      <c r="F13" s="99">
        <v>66000</v>
      </c>
      <c r="G13" s="99">
        <v>60882.070299999999</v>
      </c>
      <c r="H13" s="26">
        <v>78473</v>
      </c>
    </row>
    <row r="14" spans="1:16" x14ac:dyDescent="0.35">
      <c r="A14" s="25" t="s">
        <v>289</v>
      </c>
      <c r="B14" s="26">
        <v>62425</v>
      </c>
      <c r="C14" s="26">
        <v>44454.82421875</v>
      </c>
      <c r="D14" s="26">
        <v>78978.46875</v>
      </c>
      <c r="E14" s="99">
        <v>63683.996099999997</v>
      </c>
      <c r="F14" s="99">
        <v>59000</v>
      </c>
      <c r="G14" s="99">
        <v>54305.554700000001</v>
      </c>
      <c r="H14" s="26">
        <v>68715</v>
      </c>
    </row>
    <row r="15" spans="1:16" x14ac:dyDescent="0.35">
      <c r="A15" s="25" t="s">
        <v>288</v>
      </c>
      <c r="B15" s="26">
        <v>60448</v>
      </c>
      <c r="C15" s="26">
        <v>43047.33984375</v>
      </c>
      <c r="D15" s="26">
        <v>76477.9296875</v>
      </c>
      <c r="E15" s="99">
        <v>59234.652300000002</v>
      </c>
      <c r="F15" s="99">
        <v>55000</v>
      </c>
      <c r="G15" s="99">
        <v>50326.984400000001</v>
      </c>
      <c r="H15" s="26">
        <v>61893</v>
      </c>
    </row>
    <row r="16" spans="1:16" x14ac:dyDescent="0.35">
      <c r="A16" s="25" t="s">
        <v>287</v>
      </c>
      <c r="B16" s="26">
        <v>56043</v>
      </c>
      <c r="C16" s="26">
        <v>39910.9921875</v>
      </c>
      <c r="D16" s="26">
        <v>70905.890625</v>
      </c>
      <c r="E16" s="99">
        <v>52835.414100000002</v>
      </c>
      <c r="F16" s="99">
        <v>49000</v>
      </c>
      <c r="G16" s="99">
        <v>44601.214800000002</v>
      </c>
      <c r="H16" s="26">
        <v>54449</v>
      </c>
    </row>
    <row r="17" spans="1:8" x14ac:dyDescent="0.35">
      <c r="A17" s="25" t="s">
        <v>286</v>
      </c>
      <c r="B17" s="26">
        <v>51095</v>
      </c>
      <c r="C17" s="26">
        <v>36387.05859375</v>
      </c>
      <c r="D17" s="26">
        <v>64645.26953125</v>
      </c>
      <c r="E17" s="99">
        <v>48071.0625</v>
      </c>
      <c r="F17" s="99">
        <v>44000</v>
      </c>
      <c r="G17" s="99">
        <v>40095.957000000002</v>
      </c>
      <c r="H17" s="26">
        <v>48009</v>
      </c>
    </row>
    <row r="18" spans="1:8" x14ac:dyDescent="0.35">
      <c r="A18" s="25" t="s">
        <v>285</v>
      </c>
      <c r="B18" s="26">
        <v>46493</v>
      </c>
      <c r="C18" s="26">
        <v>33109.21484375</v>
      </c>
      <c r="D18" s="26">
        <v>58821.85546875</v>
      </c>
      <c r="E18" s="99">
        <v>43781.515599999999</v>
      </c>
      <c r="F18" s="99">
        <v>40000</v>
      </c>
      <c r="G18" s="99">
        <v>36092.386700000003</v>
      </c>
      <c r="H18" s="26">
        <v>38516</v>
      </c>
    </row>
    <row r="19" spans="1:8" x14ac:dyDescent="0.35">
      <c r="A19" s="25" t="s">
        <v>284</v>
      </c>
      <c r="B19" s="26">
        <v>40973</v>
      </c>
      <c r="C19" s="26">
        <v>29179.052734375</v>
      </c>
      <c r="D19" s="26">
        <v>51839.5234375</v>
      </c>
      <c r="E19" s="99"/>
      <c r="F19" s="99"/>
      <c r="G19" s="99"/>
      <c r="H19" s="26">
        <v>28763</v>
      </c>
    </row>
    <row r="20" spans="1:8" x14ac:dyDescent="0.35">
      <c r="A20" s="25" t="s">
        <v>151</v>
      </c>
      <c r="B20" s="26" t="s">
        <v>283</v>
      </c>
      <c r="C20" s="26" t="s">
        <v>283</v>
      </c>
      <c r="D20" s="26" t="s">
        <v>283</v>
      </c>
      <c r="H20" s="25" t="s">
        <v>282</v>
      </c>
    </row>
    <row r="21" spans="1:8" x14ac:dyDescent="0.35">
      <c r="H21" s="25" t="s">
        <v>281</v>
      </c>
    </row>
  </sheetData>
  <pageMargins left="0.75" right="0.75" top="1" bottom="1" header="0.5" footer="0.5"/>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2F3B0-F4D9-44B8-854D-4357715F73DD}">
  <dimension ref="A1:F11"/>
  <sheetViews>
    <sheetView workbookViewId="0">
      <selection activeCell="P37" sqref="P37"/>
    </sheetView>
  </sheetViews>
  <sheetFormatPr defaultColWidth="8.81640625" defaultRowHeight="14.5" x14ac:dyDescent="0.35"/>
  <sheetData>
    <row r="1" spans="1:6" x14ac:dyDescent="0.35">
      <c r="A1" s="117" t="s">
        <v>319</v>
      </c>
      <c r="F1" t="s">
        <v>329</v>
      </c>
    </row>
    <row r="2" spans="1:6" x14ac:dyDescent="0.35">
      <c r="A2" s="117"/>
      <c r="B2" s="117"/>
      <c r="F2" t="s">
        <v>327</v>
      </c>
    </row>
    <row r="3" spans="1:6" x14ac:dyDescent="0.35">
      <c r="A3" s="117" t="s">
        <v>320</v>
      </c>
    </row>
    <row r="4" spans="1:6" x14ac:dyDescent="0.35">
      <c r="A4" s="117" t="s">
        <v>321</v>
      </c>
    </row>
    <row r="5" spans="1:6" x14ac:dyDescent="0.35">
      <c r="A5" s="117" t="s">
        <v>322</v>
      </c>
    </row>
    <row r="6" spans="1:6" x14ac:dyDescent="0.35">
      <c r="A6" s="117" t="s">
        <v>323</v>
      </c>
    </row>
    <row r="7" spans="1:6" x14ac:dyDescent="0.35">
      <c r="A7" s="118" t="s">
        <v>328</v>
      </c>
    </row>
    <row r="8" spans="1:6" x14ac:dyDescent="0.35">
      <c r="B8" s="117" t="s">
        <v>324</v>
      </c>
    </row>
    <row r="9" spans="1:6" x14ac:dyDescent="0.35">
      <c r="C9" s="119">
        <v>107.46</v>
      </c>
    </row>
    <row r="10" spans="1:6" x14ac:dyDescent="0.35">
      <c r="A10" s="117" t="s">
        <v>326</v>
      </c>
    </row>
    <row r="11" spans="1:6" x14ac:dyDescent="0.35">
      <c r="A11" s="117" t="s">
        <v>325</v>
      </c>
    </row>
  </sheetData>
  <pageMargins left="0.7" right="0.7" top="0.75" bottom="0.75" header="0.3" footer="0.3"/>
  <pageSetup paperSize="9" orientation="portrait" horizontalDpi="4294967293" verticalDpi="1200"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7F90B-C3A5-0B4A-8D48-C9DF7B78D446}">
  <dimension ref="A1:AI71"/>
  <sheetViews>
    <sheetView zoomScaleNormal="100" workbookViewId="0">
      <pane xSplit="2" ySplit="2" topLeftCell="R6" activePane="bottomRight" state="frozen"/>
      <selection pane="topRight" activeCell="C1" sqref="C1"/>
      <selection pane="bottomLeft" activeCell="A3" sqref="A3"/>
      <selection pane="bottomRight" activeCell="T20" sqref="T20"/>
    </sheetView>
  </sheetViews>
  <sheetFormatPr defaultColWidth="11.453125" defaultRowHeight="14.5" x14ac:dyDescent="0.35"/>
  <cols>
    <col min="1" max="1" width="41.453125" customWidth="1"/>
    <col min="2" max="2" width="14.81640625" customWidth="1"/>
    <col min="20" max="20" width="16.81640625" customWidth="1"/>
    <col min="21" max="21" width="12.7265625" bestFit="1" customWidth="1"/>
    <col min="22" max="22" width="13.7265625" bestFit="1" customWidth="1"/>
    <col min="23" max="23" width="15.1796875" bestFit="1" customWidth="1"/>
  </cols>
  <sheetData>
    <row r="1" spans="1:35" x14ac:dyDescent="0.35">
      <c r="A1" s="126" t="s">
        <v>330</v>
      </c>
      <c r="B1" s="25" t="s">
        <v>331</v>
      </c>
      <c r="C1" s="127">
        <v>2000</v>
      </c>
      <c r="D1" s="127">
        <v>2001</v>
      </c>
      <c r="E1" s="127">
        <v>2002</v>
      </c>
      <c r="F1" s="127">
        <v>2003</v>
      </c>
      <c r="G1" s="127">
        <v>2004</v>
      </c>
      <c r="H1" s="127">
        <v>2005</v>
      </c>
      <c r="I1" s="127">
        <v>2006</v>
      </c>
      <c r="J1" s="127">
        <v>2007</v>
      </c>
      <c r="K1" s="127">
        <v>2008</v>
      </c>
      <c r="L1" s="127">
        <v>2009</v>
      </c>
      <c r="M1" s="127">
        <v>2010</v>
      </c>
      <c r="N1" s="127">
        <v>2011</v>
      </c>
      <c r="O1" s="127">
        <v>2012</v>
      </c>
      <c r="P1" s="127">
        <v>2013</v>
      </c>
      <c r="Q1" s="127">
        <v>2014</v>
      </c>
      <c r="R1" s="127">
        <v>2015</v>
      </c>
      <c r="S1" s="127">
        <v>2016</v>
      </c>
      <c r="T1" s="127">
        <v>2017</v>
      </c>
      <c r="U1" s="127">
        <v>2018</v>
      </c>
      <c r="V1" s="127">
        <v>2019</v>
      </c>
      <c r="W1" s="127">
        <v>2020</v>
      </c>
      <c r="X1" s="127">
        <v>2021</v>
      </c>
      <c r="Y1" s="127">
        <v>2022</v>
      </c>
      <c r="Z1" s="127">
        <v>2023</v>
      </c>
      <c r="AA1" s="127">
        <v>2024</v>
      </c>
      <c r="AB1" s="127">
        <v>2025</v>
      </c>
      <c r="AC1" s="127">
        <v>2026</v>
      </c>
      <c r="AD1" s="127">
        <v>2027</v>
      </c>
      <c r="AE1" s="127">
        <v>2028</v>
      </c>
      <c r="AF1" s="127">
        <v>2029</v>
      </c>
      <c r="AG1" s="127">
        <v>2030</v>
      </c>
      <c r="AH1" s="127" t="s">
        <v>46</v>
      </c>
      <c r="AI1" s="127" t="s">
        <v>44</v>
      </c>
    </row>
    <row r="2" spans="1:35" x14ac:dyDescent="0.35">
      <c r="A2" s="128" t="s">
        <v>332</v>
      </c>
      <c r="B2" s="129" t="s">
        <v>333</v>
      </c>
      <c r="C2" s="130"/>
      <c r="D2" s="130"/>
      <c r="E2" s="130"/>
      <c r="F2" s="130"/>
      <c r="G2" s="130"/>
      <c r="H2" s="130"/>
      <c r="I2" s="130"/>
      <c r="J2" s="130"/>
      <c r="K2" s="130"/>
      <c r="L2" s="130"/>
      <c r="M2" s="131"/>
      <c r="N2" s="131"/>
      <c r="O2" s="131"/>
      <c r="P2" s="131"/>
      <c r="Q2" s="131"/>
      <c r="R2" s="131"/>
      <c r="S2" s="131"/>
      <c r="T2" s="131"/>
      <c r="U2" s="132"/>
      <c r="V2" s="133"/>
      <c r="W2" s="133"/>
      <c r="X2" s="133"/>
      <c r="Y2" s="130"/>
      <c r="AG2" s="130"/>
      <c r="AI2" s="130"/>
    </row>
    <row r="3" spans="1:35" x14ac:dyDescent="0.35">
      <c r="A3" s="134" t="s">
        <v>336</v>
      </c>
      <c r="B3" s="135" t="s">
        <v>334</v>
      </c>
      <c r="C3" s="138"/>
      <c r="D3" s="138"/>
      <c r="E3" s="138"/>
      <c r="F3" s="138"/>
      <c r="G3" s="138"/>
      <c r="H3" s="138"/>
      <c r="I3" s="138"/>
      <c r="J3" s="138"/>
      <c r="K3" s="138"/>
      <c r="L3" s="138"/>
      <c r="M3" s="138"/>
      <c r="N3" s="138"/>
      <c r="O3" s="138"/>
      <c r="P3" s="138"/>
      <c r="Q3" s="138"/>
      <c r="R3" s="138"/>
      <c r="S3" s="138"/>
      <c r="T3" s="138">
        <v>9248438.2799999993</v>
      </c>
      <c r="U3" s="138"/>
      <c r="V3" s="138"/>
      <c r="W3" s="138">
        <v>10392980</v>
      </c>
      <c r="X3" s="138"/>
      <c r="Y3" s="138"/>
      <c r="Z3" s="138"/>
      <c r="AA3" s="138"/>
      <c r="AB3" s="138"/>
      <c r="AC3" s="138"/>
      <c r="AD3" s="138"/>
      <c r="AE3" s="138"/>
      <c r="AF3" s="138"/>
      <c r="AG3" s="138"/>
      <c r="AH3" s="136"/>
      <c r="AI3" s="136"/>
    </row>
    <row r="4" spans="1:35" x14ac:dyDescent="0.35">
      <c r="A4" s="134" t="s">
        <v>336</v>
      </c>
      <c r="B4" s="135" t="s">
        <v>335</v>
      </c>
      <c r="C4" s="137"/>
      <c r="D4" s="137"/>
      <c r="E4" s="137"/>
      <c r="F4" s="137"/>
      <c r="G4" s="137"/>
      <c r="H4" s="137"/>
      <c r="I4" s="137"/>
      <c r="J4" s="137"/>
      <c r="K4" s="137"/>
      <c r="L4" s="137"/>
      <c r="M4" s="137"/>
      <c r="N4" s="137"/>
      <c r="O4" s="137"/>
      <c r="P4" s="137"/>
      <c r="Q4" s="137"/>
      <c r="R4" s="137"/>
      <c r="S4" s="137"/>
      <c r="T4" s="137">
        <v>2413194</v>
      </c>
      <c r="U4" s="137"/>
      <c r="V4" s="137"/>
      <c r="W4" s="137"/>
      <c r="X4" s="137"/>
      <c r="Y4" s="137"/>
      <c r="Z4" s="137"/>
      <c r="AA4" s="137"/>
      <c r="AB4" s="137"/>
      <c r="AC4" s="137"/>
      <c r="AD4" s="137"/>
      <c r="AE4" s="137"/>
      <c r="AF4" s="137"/>
      <c r="AG4" s="137"/>
      <c r="AH4" s="137"/>
      <c r="AI4" s="137"/>
    </row>
    <row r="5" spans="1:35" x14ac:dyDescent="0.35">
      <c r="A5" s="134" t="s">
        <v>336</v>
      </c>
      <c r="B5" s="135" t="s">
        <v>349</v>
      </c>
      <c r="C5" s="138"/>
      <c r="D5" s="138"/>
      <c r="E5" s="138"/>
      <c r="F5" s="138"/>
      <c r="G5" s="138"/>
      <c r="H5" s="138"/>
      <c r="I5" s="138"/>
      <c r="J5" s="138"/>
      <c r="K5" s="138"/>
      <c r="L5" s="138"/>
      <c r="M5" s="138"/>
      <c r="N5" s="138"/>
      <c r="O5" s="138"/>
      <c r="P5" s="138"/>
      <c r="Q5" s="138"/>
      <c r="R5" s="138"/>
      <c r="S5" s="138"/>
      <c r="T5" s="138">
        <v>3.13</v>
      </c>
      <c r="U5" s="138"/>
      <c r="V5" s="138"/>
      <c r="W5" s="138"/>
      <c r="X5" s="138"/>
      <c r="Y5" s="138"/>
      <c r="Z5" s="138"/>
      <c r="AA5" s="138"/>
      <c r="AB5" s="138"/>
      <c r="AC5" s="138"/>
      <c r="AD5" s="138"/>
      <c r="AE5" s="138"/>
      <c r="AF5" s="138"/>
      <c r="AG5" s="138"/>
      <c r="AH5" s="137"/>
      <c r="AI5" s="137"/>
    </row>
    <row r="6" spans="1:35" x14ac:dyDescent="0.35">
      <c r="A6" s="134" t="s">
        <v>336</v>
      </c>
      <c r="B6" s="135" t="s">
        <v>350</v>
      </c>
      <c r="C6" s="138"/>
      <c r="D6" s="138"/>
      <c r="E6" s="138"/>
      <c r="F6" s="138"/>
      <c r="G6" s="138"/>
      <c r="H6" s="138"/>
      <c r="I6" s="138"/>
      <c r="J6" s="138"/>
      <c r="K6" s="138"/>
      <c r="L6" s="138"/>
      <c r="M6" s="138"/>
      <c r="N6" s="138"/>
      <c r="O6" s="138"/>
      <c r="P6" s="138"/>
      <c r="Q6" s="138"/>
      <c r="R6" s="138"/>
      <c r="S6" s="138"/>
      <c r="T6" s="138">
        <v>4.6900000000000004</v>
      </c>
      <c r="U6" s="138"/>
      <c r="V6" s="138"/>
      <c r="W6" s="138"/>
      <c r="X6" s="138"/>
      <c r="Y6" s="138"/>
      <c r="Z6" s="138"/>
      <c r="AA6" s="138"/>
      <c r="AB6" s="138"/>
      <c r="AC6" s="138"/>
      <c r="AD6" s="138"/>
      <c r="AE6" s="138"/>
      <c r="AF6" s="138"/>
      <c r="AG6" s="138"/>
      <c r="AH6" s="137"/>
      <c r="AI6" s="137"/>
    </row>
    <row r="8" spans="1:35" x14ac:dyDescent="0.35">
      <c r="A8" s="134" t="s">
        <v>337</v>
      </c>
      <c r="B8" s="135" t="s">
        <v>334</v>
      </c>
      <c r="C8" s="138"/>
      <c r="D8" s="138"/>
      <c r="E8" s="138"/>
      <c r="F8" s="138"/>
      <c r="G8" s="138"/>
      <c r="H8" s="138"/>
      <c r="I8" s="138"/>
      <c r="J8" s="138"/>
      <c r="K8" s="138"/>
      <c r="L8" s="138"/>
      <c r="M8" s="138"/>
      <c r="N8" s="138"/>
      <c r="O8" s="138"/>
      <c r="P8" s="138"/>
      <c r="Q8" s="138"/>
      <c r="R8" s="138"/>
      <c r="S8" s="138"/>
      <c r="T8" s="138">
        <v>213842302.06</v>
      </c>
      <c r="U8" s="138"/>
      <c r="V8" s="138"/>
      <c r="W8" s="138">
        <v>173445986</v>
      </c>
      <c r="X8" s="138"/>
      <c r="Y8" s="138"/>
      <c r="Z8" s="138"/>
      <c r="AA8" s="138"/>
      <c r="AB8" s="138"/>
      <c r="AC8" s="138"/>
      <c r="AD8" s="138"/>
      <c r="AE8" s="138"/>
      <c r="AF8" s="138"/>
      <c r="AG8" s="138"/>
      <c r="AH8" s="136"/>
      <c r="AI8" s="136"/>
    </row>
    <row r="9" spans="1:35" x14ac:dyDescent="0.35">
      <c r="A9" s="134" t="s">
        <v>337</v>
      </c>
      <c r="B9" s="135" t="s">
        <v>335</v>
      </c>
      <c r="C9" s="137"/>
      <c r="D9" s="137"/>
      <c r="E9" s="137"/>
      <c r="F9" s="137"/>
      <c r="G9" s="137"/>
      <c r="H9" s="137"/>
      <c r="I9" s="137"/>
      <c r="J9" s="137"/>
      <c r="K9" s="137"/>
      <c r="L9" s="137"/>
      <c r="M9" s="137"/>
      <c r="N9" s="137"/>
      <c r="O9" s="137"/>
      <c r="P9" s="137"/>
      <c r="Q9" s="137"/>
      <c r="R9" s="137"/>
      <c r="S9" s="137"/>
      <c r="T9" s="137">
        <v>1119909</v>
      </c>
      <c r="U9" s="137"/>
      <c r="V9" s="137"/>
      <c r="W9" s="137"/>
      <c r="X9" s="137"/>
      <c r="Y9" s="137"/>
      <c r="Z9" s="137"/>
      <c r="AA9" s="137"/>
      <c r="AB9" s="137"/>
      <c r="AC9" s="137"/>
      <c r="AD9" s="137"/>
      <c r="AE9" s="137"/>
      <c r="AF9" s="137"/>
      <c r="AG9" s="137"/>
      <c r="AH9" s="137"/>
      <c r="AI9" s="137"/>
    </row>
    <row r="10" spans="1:35" x14ac:dyDescent="0.35">
      <c r="A10" s="134" t="s">
        <v>337</v>
      </c>
      <c r="B10" s="135" t="s">
        <v>349</v>
      </c>
      <c r="C10" s="138"/>
      <c r="D10" s="138"/>
      <c r="E10" s="138"/>
      <c r="F10" s="138"/>
      <c r="G10" s="138"/>
      <c r="H10" s="138"/>
      <c r="I10" s="138"/>
      <c r="J10" s="138"/>
      <c r="K10" s="138"/>
      <c r="L10" s="138"/>
      <c r="M10" s="138"/>
      <c r="N10" s="138"/>
      <c r="O10" s="138"/>
      <c r="P10" s="138"/>
      <c r="Q10" s="138"/>
      <c r="R10" s="138"/>
      <c r="S10" s="138"/>
      <c r="T10" s="138">
        <v>152.76</v>
      </c>
      <c r="U10" s="138"/>
      <c r="V10" s="138"/>
      <c r="W10" s="138"/>
      <c r="X10" s="138"/>
      <c r="Y10" s="138"/>
      <c r="Z10" s="138"/>
      <c r="AA10" s="138"/>
      <c r="AB10" s="138"/>
      <c r="AC10" s="138"/>
      <c r="AD10" s="138"/>
      <c r="AE10" s="138"/>
      <c r="AF10" s="138"/>
      <c r="AG10" s="138"/>
      <c r="AH10" s="137"/>
      <c r="AI10" s="137"/>
    </row>
    <row r="11" spans="1:35" x14ac:dyDescent="0.35">
      <c r="A11" s="134" t="s">
        <v>337</v>
      </c>
      <c r="B11" s="135" t="s">
        <v>350</v>
      </c>
      <c r="C11" s="138"/>
      <c r="D11" s="138"/>
      <c r="E11" s="138"/>
      <c r="F11" s="138"/>
      <c r="G11" s="138"/>
      <c r="H11" s="138"/>
      <c r="I11" s="138"/>
      <c r="J11" s="138"/>
      <c r="K11" s="138"/>
      <c r="L11" s="138"/>
      <c r="M11" s="138"/>
      <c r="N11" s="138"/>
      <c r="O11" s="138"/>
      <c r="P11" s="138"/>
      <c r="Q11" s="138"/>
      <c r="R11" s="138"/>
      <c r="S11" s="138"/>
      <c r="T11" s="138">
        <v>229.14</v>
      </c>
      <c r="U11" s="138"/>
      <c r="V11" s="138"/>
      <c r="W11" s="138"/>
      <c r="X11" s="138"/>
      <c r="Y11" s="138"/>
      <c r="Z11" s="138"/>
      <c r="AA11" s="138"/>
      <c r="AB11" s="138"/>
      <c r="AC11" s="138"/>
      <c r="AD11" s="138"/>
      <c r="AE11" s="138"/>
      <c r="AF11" s="138"/>
      <c r="AG11" s="138"/>
      <c r="AH11" s="137"/>
      <c r="AI11" s="137"/>
    </row>
    <row r="13" spans="1:35" x14ac:dyDescent="0.35">
      <c r="A13" s="134" t="s">
        <v>338</v>
      </c>
      <c r="B13" s="135" t="s">
        <v>334</v>
      </c>
      <c r="C13" s="138"/>
      <c r="D13" s="138"/>
      <c r="E13" s="138"/>
      <c r="F13" s="138"/>
      <c r="G13" s="138"/>
      <c r="H13" s="138"/>
      <c r="I13" s="138"/>
      <c r="J13" s="138"/>
      <c r="K13" s="138"/>
      <c r="L13" s="138"/>
      <c r="M13" s="138"/>
      <c r="N13" s="138"/>
      <c r="O13" s="138"/>
      <c r="P13" s="138"/>
      <c r="Q13" s="138"/>
      <c r="R13" s="138"/>
      <c r="S13" s="138"/>
      <c r="T13" s="138">
        <v>11715.06</v>
      </c>
      <c r="U13" s="138"/>
      <c r="V13" s="138"/>
      <c r="W13" s="138"/>
      <c r="X13" s="138"/>
      <c r="Y13" s="138"/>
      <c r="Z13" s="138"/>
      <c r="AA13" s="138"/>
      <c r="AB13" s="138"/>
      <c r="AC13" s="138"/>
      <c r="AD13" s="138"/>
      <c r="AE13" s="138"/>
      <c r="AF13" s="138"/>
      <c r="AG13" s="138"/>
      <c r="AH13" s="136"/>
      <c r="AI13" s="136"/>
    </row>
    <row r="14" spans="1:35" x14ac:dyDescent="0.35">
      <c r="A14" s="134" t="s">
        <v>338</v>
      </c>
      <c r="B14" s="135" t="s">
        <v>335</v>
      </c>
      <c r="C14" s="137"/>
      <c r="D14" s="137"/>
      <c r="E14" s="137"/>
      <c r="F14" s="137"/>
      <c r="G14" s="137"/>
      <c r="H14" s="137"/>
      <c r="I14" s="137"/>
      <c r="J14" s="137"/>
      <c r="K14" s="137"/>
      <c r="L14" s="137"/>
      <c r="M14" s="137"/>
      <c r="N14" s="137"/>
      <c r="O14" s="137"/>
      <c r="P14" s="137"/>
      <c r="Q14" s="137"/>
      <c r="R14" s="137"/>
      <c r="S14" s="137"/>
      <c r="T14" s="137">
        <v>1389</v>
      </c>
      <c r="U14" s="137"/>
      <c r="V14" s="137"/>
      <c r="W14" s="137"/>
      <c r="X14" s="137"/>
      <c r="Y14" s="137"/>
      <c r="Z14" s="137"/>
      <c r="AA14" s="137"/>
      <c r="AB14" s="137"/>
      <c r="AC14" s="137"/>
      <c r="AD14" s="137"/>
      <c r="AE14" s="137"/>
      <c r="AF14" s="137"/>
      <c r="AG14" s="137"/>
      <c r="AH14" s="137"/>
      <c r="AI14" s="137"/>
    </row>
    <row r="15" spans="1:35" x14ac:dyDescent="0.35">
      <c r="A15" s="134" t="s">
        <v>338</v>
      </c>
      <c r="B15" s="135" t="s">
        <v>349</v>
      </c>
      <c r="C15" s="138"/>
      <c r="D15" s="138"/>
      <c r="E15" s="138"/>
      <c r="F15" s="138"/>
      <c r="G15" s="138"/>
      <c r="H15" s="138"/>
      <c r="I15" s="138"/>
      <c r="J15" s="138"/>
      <c r="K15" s="138"/>
      <c r="L15" s="138"/>
      <c r="M15" s="138"/>
      <c r="N15" s="138"/>
      <c r="O15" s="138"/>
      <c r="P15" s="138"/>
      <c r="Q15" s="138"/>
      <c r="R15" s="138"/>
      <c r="S15" s="138"/>
      <c r="T15" s="138">
        <v>6.75</v>
      </c>
      <c r="U15" s="138"/>
      <c r="V15" s="138"/>
      <c r="W15" s="138"/>
      <c r="X15" s="138"/>
      <c r="Y15" s="138"/>
      <c r="Z15" s="138"/>
      <c r="AA15" s="138"/>
      <c r="AB15" s="138"/>
      <c r="AC15" s="138"/>
      <c r="AD15" s="138"/>
      <c r="AE15" s="138"/>
      <c r="AF15" s="138"/>
      <c r="AG15" s="138"/>
      <c r="AH15" s="137"/>
      <c r="AI15" s="137"/>
    </row>
    <row r="16" spans="1:35" x14ac:dyDescent="0.35">
      <c r="A16" s="134" t="s">
        <v>338</v>
      </c>
      <c r="B16" s="135" t="s">
        <v>350</v>
      </c>
      <c r="C16" s="138"/>
      <c r="D16" s="138"/>
      <c r="E16" s="138"/>
      <c r="F16" s="138"/>
      <c r="G16" s="138"/>
      <c r="H16" s="138"/>
      <c r="I16" s="138"/>
      <c r="J16" s="138"/>
      <c r="K16" s="138"/>
      <c r="L16" s="138"/>
      <c r="M16" s="138"/>
      <c r="N16" s="138"/>
      <c r="O16" s="138"/>
      <c r="P16" s="138"/>
      <c r="Q16" s="138"/>
      <c r="R16" s="138"/>
      <c r="S16" s="138"/>
      <c r="T16" s="138">
        <v>10.119999999999999</v>
      </c>
      <c r="U16" s="138"/>
      <c r="V16" s="138"/>
      <c r="W16" s="138"/>
      <c r="X16" s="138"/>
      <c r="Y16" s="138"/>
      <c r="Z16" s="138"/>
      <c r="AA16" s="138"/>
      <c r="AB16" s="138"/>
      <c r="AC16" s="138"/>
      <c r="AD16" s="138"/>
      <c r="AE16" s="138"/>
      <c r="AF16" s="138"/>
      <c r="AG16" s="138"/>
      <c r="AH16" s="137"/>
      <c r="AI16" s="137"/>
    </row>
    <row r="18" spans="1:35" x14ac:dyDescent="0.35">
      <c r="A18" s="134" t="s">
        <v>339</v>
      </c>
      <c r="B18" s="135" t="s">
        <v>334</v>
      </c>
      <c r="C18" s="138"/>
      <c r="D18" s="138"/>
      <c r="E18" s="138"/>
      <c r="F18" s="138"/>
      <c r="G18" s="138"/>
      <c r="H18" s="138"/>
      <c r="I18" s="138"/>
      <c r="J18" s="138"/>
      <c r="K18" s="138"/>
      <c r="L18" s="138"/>
      <c r="M18" s="138"/>
      <c r="N18" s="138"/>
      <c r="O18" s="138"/>
      <c r="P18" s="138"/>
      <c r="Q18" s="138"/>
      <c r="R18" s="138"/>
      <c r="S18" s="138"/>
      <c r="T18" s="138">
        <v>524814.47</v>
      </c>
      <c r="U18" s="138"/>
      <c r="V18" s="138"/>
      <c r="W18" s="138"/>
      <c r="X18" s="138"/>
      <c r="Y18" s="138"/>
      <c r="Z18" s="138"/>
      <c r="AA18" s="138"/>
      <c r="AB18" s="138"/>
      <c r="AC18" s="138"/>
      <c r="AD18" s="138"/>
      <c r="AE18" s="138"/>
      <c r="AF18" s="138"/>
      <c r="AG18" s="138"/>
      <c r="AH18" s="136"/>
      <c r="AI18" s="136"/>
    </row>
    <row r="19" spans="1:35" x14ac:dyDescent="0.35">
      <c r="A19" s="134" t="s">
        <v>339</v>
      </c>
      <c r="B19" s="135" t="s">
        <v>335</v>
      </c>
      <c r="C19" s="137"/>
      <c r="D19" s="137"/>
      <c r="E19" s="137"/>
      <c r="F19" s="137"/>
      <c r="G19" s="137"/>
      <c r="H19" s="137"/>
      <c r="I19" s="137"/>
      <c r="J19" s="137"/>
      <c r="K19" s="137"/>
      <c r="L19" s="137"/>
      <c r="M19" s="137"/>
      <c r="N19" s="137"/>
      <c r="O19" s="137"/>
      <c r="P19" s="137"/>
      <c r="Q19" s="137"/>
      <c r="R19" s="137"/>
      <c r="S19" s="137"/>
      <c r="T19" s="137">
        <v>17799</v>
      </c>
      <c r="U19" s="137"/>
      <c r="V19" s="137"/>
      <c r="W19" s="137"/>
      <c r="X19" s="137"/>
      <c r="Y19" s="137"/>
      <c r="Z19" s="137"/>
      <c r="AA19" s="137"/>
      <c r="AB19" s="137"/>
      <c r="AC19" s="137"/>
      <c r="AD19" s="137"/>
      <c r="AE19" s="137"/>
      <c r="AF19" s="137"/>
      <c r="AG19" s="137"/>
      <c r="AH19" s="137"/>
      <c r="AI19" s="137"/>
    </row>
    <row r="20" spans="1:35" x14ac:dyDescent="0.35">
      <c r="A20" s="134" t="s">
        <v>339</v>
      </c>
      <c r="B20" s="135" t="s">
        <v>349</v>
      </c>
      <c r="C20" s="138"/>
      <c r="D20" s="138"/>
      <c r="E20" s="138"/>
      <c r="F20" s="138"/>
      <c r="G20" s="138"/>
      <c r="H20" s="138"/>
      <c r="I20" s="138"/>
      <c r="J20" s="138"/>
      <c r="K20" s="138"/>
      <c r="L20" s="138"/>
      <c r="M20" s="138"/>
      <c r="N20" s="138"/>
      <c r="O20" s="138"/>
      <c r="P20" s="138"/>
      <c r="Q20" s="138"/>
      <c r="R20" s="138"/>
      <c r="S20" s="138"/>
      <c r="T20" s="138">
        <v>23.59</v>
      </c>
      <c r="U20" s="138"/>
      <c r="V20" s="138"/>
      <c r="W20" s="138"/>
      <c r="X20" s="138"/>
      <c r="Y20" s="138"/>
      <c r="Z20" s="138"/>
      <c r="AA20" s="138"/>
      <c r="AB20" s="138"/>
      <c r="AC20" s="138"/>
      <c r="AD20" s="138"/>
      <c r="AE20" s="138"/>
      <c r="AF20" s="138"/>
      <c r="AG20" s="138"/>
      <c r="AH20" s="137"/>
      <c r="AI20" s="137"/>
    </row>
    <row r="21" spans="1:35" x14ac:dyDescent="0.35">
      <c r="A21" s="134" t="s">
        <v>339</v>
      </c>
      <c r="B21" s="135" t="s">
        <v>350</v>
      </c>
      <c r="C21" s="138"/>
      <c r="D21" s="138"/>
      <c r="E21" s="138"/>
      <c r="F21" s="138"/>
      <c r="G21" s="138"/>
      <c r="H21" s="138"/>
      <c r="I21" s="138"/>
      <c r="J21" s="138"/>
      <c r="K21" s="138"/>
      <c r="L21" s="138"/>
      <c r="M21" s="138"/>
      <c r="N21" s="138"/>
      <c r="O21" s="138"/>
      <c r="P21" s="138"/>
      <c r="Q21" s="138"/>
      <c r="R21" s="138"/>
      <c r="S21" s="138"/>
      <c r="T21" s="138">
        <v>35.380000000000003</v>
      </c>
      <c r="U21" s="138"/>
      <c r="V21" s="138"/>
      <c r="W21" s="138"/>
      <c r="X21" s="138"/>
      <c r="Y21" s="138"/>
      <c r="Z21" s="138"/>
      <c r="AA21" s="138"/>
      <c r="AB21" s="138"/>
      <c r="AC21" s="138"/>
      <c r="AD21" s="138"/>
      <c r="AE21" s="138"/>
      <c r="AF21" s="138"/>
      <c r="AG21" s="138"/>
      <c r="AH21" s="137"/>
      <c r="AI21" s="137"/>
    </row>
    <row r="23" spans="1:35" x14ac:dyDescent="0.35">
      <c r="A23" s="134" t="s">
        <v>340</v>
      </c>
      <c r="B23" s="135" t="s">
        <v>334</v>
      </c>
      <c r="C23" s="138"/>
      <c r="D23" s="138"/>
      <c r="E23" s="138"/>
      <c r="F23" s="138"/>
      <c r="G23" s="138"/>
      <c r="H23" s="138"/>
      <c r="I23" s="138"/>
      <c r="J23" s="138"/>
      <c r="K23" s="138"/>
      <c r="L23" s="138"/>
      <c r="M23" s="138"/>
      <c r="N23" s="138"/>
      <c r="O23" s="138"/>
      <c r="P23" s="138"/>
      <c r="Q23" s="138"/>
      <c r="R23" s="138"/>
      <c r="S23" s="138"/>
      <c r="T23" s="138">
        <v>1083679.1599999999</v>
      </c>
      <c r="U23" s="138"/>
      <c r="V23" s="138"/>
      <c r="W23" s="138"/>
      <c r="X23" s="138"/>
      <c r="Y23" s="138"/>
      <c r="Z23" s="138"/>
      <c r="AA23" s="138"/>
      <c r="AB23" s="138"/>
      <c r="AC23" s="138"/>
      <c r="AD23" s="138"/>
      <c r="AE23" s="138"/>
      <c r="AF23" s="138"/>
      <c r="AG23" s="138"/>
      <c r="AH23" s="136"/>
      <c r="AI23" s="136"/>
    </row>
    <row r="24" spans="1:35" x14ac:dyDescent="0.35">
      <c r="A24" s="134" t="s">
        <v>340</v>
      </c>
      <c r="B24" s="135" t="s">
        <v>335</v>
      </c>
      <c r="C24" s="137"/>
      <c r="D24" s="137"/>
      <c r="E24" s="137"/>
      <c r="F24" s="137"/>
      <c r="G24" s="137"/>
      <c r="H24" s="137"/>
      <c r="I24" s="137"/>
      <c r="J24" s="137"/>
      <c r="K24" s="137"/>
      <c r="L24" s="137"/>
      <c r="M24" s="137"/>
      <c r="N24" s="137"/>
      <c r="O24" s="137"/>
      <c r="P24" s="137"/>
      <c r="Q24" s="137"/>
      <c r="R24" s="137"/>
      <c r="S24" s="137"/>
      <c r="T24" s="137">
        <v>359257</v>
      </c>
      <c r="U24" s="137"/>
      <c r="V24" s="137"/>
      <c r="W24" s="137"/>
      <c r="X24" s="137"/>
      <c r="Y24" s="137"/>
      <c r="Z24" s="137"/>
      <c r="AA24" s="137"/>
      <c r="AB24" s="137"/>
      <c r="AC24" s="137"/>
      <c r="AD24" s="137"/>
      <c r="AE24" s="137"/>
      <c r="AF24" s="137"/>
      <c r="AG24" s="137"/>
      <c r="AH24" s="137"/>
      <c r="AI24" s="137"/>
    </row>
    <row r="25" spans="1:35" x14ac:dyDescent="0.35">
      <c r="A25" s="134" t="s">
        <v>340</v>
      </c>
      <c r="B25" s="135" t="s">
        <v>349</v>
      </c>
      <c r="C25" s="138"/>
      <c r="D25" s="138"/>
      <c r="E25" s="138"/>
      <c r="F25" s="138"/>
      <c r="G25" s="138"/>
      <c r="H25" s="138"/>
      <c r="I25" s="138"/>
      <c r="J25" s="138"/>
      <c r="K25" s="138"/>
      <c r="L25" s="138"/>
      <c r="M25" s="138"/>
      <c r="N25" s="138"/>
      <c r="O25" s="138"/>
      <c r="P25" s="138"/>
      <c r="Q25" s="138"/>
      <c r="R25" s="138"/>
      <c r="S25" s="138"/>
      <c r="T25" s="138">
        <v>2.41</v>
      </c>
      <c r="U25" s="138"/>
      <c r="V25" s="138"/>
      <c r="W25" s="138"/>
      <c r="X25" s="138"/>
      <c r="Y25" s="138"/>
      <c r="Z25" s="138"/>
      <c r="AA25" s="138"/>
      <c r="AB25" s="138"/>
      <c r="AC25" s="138"/>
      <c r="AD25" s="138"/>
      <c r="AE25" s="138"/>
      <c r="AF25" s="138"/>
      <c r="AG25" s="138"/>
      <c r="AH25" s="137"/>
      <c r="AI25" s="137"/>
    </row>
    <row r="26" spans="1:35" x14ac:dyDescent="0.35">
      <c r="A26" s="134" t="s">
        <v>340</v>
      </c>
      <c r="B26" s="135" t="s">
        <v>350</v>
      </c>
      <c r="C26" s="138"/>
      <c r="D26" s="138"/>
      <c r="E26" s="138"/>
      <c r="F26" s="138"/>
      <c r="G26" s="138"/>
      <c r="H26" s="138"/>
      <c r="I26" s="138"/>
      <c r="J26" s="138"/>
      <c r="K26" s="138"/>
      <c r="L26" s="138"/>
      <c r="M26" s="138"/>
      <c r="N26" s="138"/>
      <c r="O26" s="138"/>
      <c r="P26" s="138"/>
      <c r="Q26" s="138"/>
      <c r="R26" s="138"/>
      <c r="S26" s="138"/>
      <c r="T26" s="138">
        <v>3.62</v>
      </c>
      <c r="U26" s="138"/>
      <c r="V26" s="138"/>
      <c r="W26" s="138"/>
      <c r="X26" s="138"/>
      <c r="Y26" s="138"/>
      <c r="Z26" s="138"/>
      <c r="AA26" s="138"/>
      <c r="AB26" s="138"/>
      <c r="AC26" s="138"/>
      <c r="AD26" s="138"/>
      <c r="AE26" s="138"/>
      <c r="AF26" s="138"/>
      <c r="AG26" s="138"/>
      <c r="AH26" s="137"/>
      <c r="AI26" s="137"/>
    </row>
    <row r="28" spans="1:35" x14ac:dyDescent="0.35">
      <c r="A28" s="134" t="s">
        <v>341</v>
      </c>
      <c r="B28" s="135" t="s">
        <v>334</v>
      </c>
      <c r="C28" s="138"/>
      <c r="D28" s="138"/>
      <c r="E28" s="138"/>
      <c r="F28" s="138"/>
      <c r="G28" s="138"/>
      <c r="H28" s="138"/>
      <c r="I28" s="138"/>
      <c r="J28" s="138"/>
      <c r="K28" s="138"/>
      <c r="L28" s="138"/>
      <c r="M28" s="138"/>
      <c r="N28" s="138"/>
      <c r="O28" s="138"/>
      <c r="P28" s="138"/>
      <c r="Q28" s="138"/>
      <c r="R28" s="138"/>
      <c r="S28" s="138"/>
      <c r="T28" s="138">
        <v>5798.91</v>
      </c>
      <c r="U28" s="138"/>
      <c r="V28" s="138"/>
      <c r="W28" s="138"/>
      <c r="X28" s="138"/>
      <c r="Y28" s="138"/>
      <c r="Z28" s="138"/>
      <c r="AA28" s="138"/>
      <c r="AB28" s="138"/>
      <c r="AC28" s="138"/>
      <c r="AD28" s="138"/>
      <c r="AE28" s="138"/>
      <c r="AF28" s="138"/>
      <c r="AG28" s="138"/>
      <c r="AH28" s="136"/>
      <c r="AI28" s="136"/>
    </row>
    <row r="29" spans="1:35" x14ac:dyDescent="0.35">
      <c r="A29" s="134" t="s">
        <v>341</v>
      </c>
      <c r="B29" s="135" t="s">
        <v>335</v>
      </c>
      <c r="C29" s="137"/>
      <c r="D29" s="137"/>
      <c r="E29" s="137"/>
      <c r="F29" s="137"/>
      <c r="G29" s="137"/>
      <c r="H29" s="137"/>
      <c r="I29" s="137"/>
      <c r="J29" s="137"/>
      <c r="K29" s="137"/>
      <c r="L29" s="137"/>
      <c r="M29" s="137"/>
      <c r="N29" s="137"/>
      <c r="O29" s="137"/>
      <c r="P29" s="137"/>
      <c r="Q29" s="137"/>
      <c r="R29" s="137"/>
      <c r="S29" s="137"/>
      <c r="T29" s="137">
        <v>992</v>
      </c>
      <c r="U29" s="137"/>
      <c r="V29" s="137"/>
      <c r="W29" s="137"/>
      <c r="X29" s="137"/>
      <c r="Y29" s="137"/>
      <c r="Z29" s="137"/>
      <c r="AA29" s="137"/>
      <c r="AB29" s="137"/>
      <c r="AC29" s="137"/>
      <c r="AD29" s="137"/>
      <c r="AE29" s="137"/>
      <c r="AF29" s="137"/>
      <c r="AG29" s="137"/>
      <c r="AH29" s="137"/>
      <c r="AI29" s="137"/>
    </row>
    <row r="30" spans="1:35" x14ac:dyDescent="0.35">
      <c r="A30" s="134" t="s">
        <v>341</v>
      </c>
      <c r="B30" s="135" t="s">
        <v>349</v>
      </c>
      <c r="C30" s="138"/>
      <c r="D30" s="138"/>
      <c r="E30" s="138"/>
      <c r="F30" s="138"/>
      <c r="G30" s="138"/>
      <c r="H30" s="138"/>
      <c r="I30" s="138"/>
      <c r="J30" s="138"/>
      <c r="K30" s="138"/>
      <c r="L30" s="138"/>
      <c r="M30" s="138"/>
      <c r="N30" s="138"/>
      <c r="O30" s="138"/>
      <c r="P30" s="138"/>
      <c r="Q30" s="138"/>
      <c r="R30" s="138"/>
      <c r="S30" s="138"/>
      <c r="T30" s="138">
        <v>4.68</v>
      </c>
      <c r="U30" s="138"/>
      <c r="V30" s="138"/>
      <c r="W30" s="138"/>
      <c r="X30" s="138"/>
      <c r="Y30" s="138"/>
      <c r="Z30" s="138"/>
      <c r="AA30" s="138"/>
      <c r="AB30" s="138"/>
      <c r="AC30" s="138"/>
      <c r="AD30" s="138"/>
      <c r="AE30" s="138"/>
      <c r="AF30" s="138"/>
      <c r="AG30" s="138"/>
      <c r="AH30" s="137"/>
      <c r="AI30" s="137"/>
    </row>
    <row r="31" spans="1:35" x14ac:dyDescent="0.35">
      <c r="A31" s="134" t="s">
        <v>341</v>
      </c>
      <c r="B31" s="135" t="s">
        <v>350</v>
      </c>
      <c r="C31" s="138"/>
      <c r="D31" s="138"/>
      <c r="E31" s="138"/>
      <c r="F31" s="138"/>
      <c r="G31" s="138"/>
      <c r="H31" s="138"/>
      <c r="I31" s="138"/>
      <c r="J31" s="138"/>
      <c r="K31" s="138"/>
      <c r="L31" s="138"/>
      <c r="M31" s="138"/>
      <c r="N31" s="138"/>
      <c r="O31" s="138"/>
      <c r="P31" s="138"/>
      <c r="Q31" s="138"/>
      <c r="R31" s="138"/>
      <c r="S31" s="138"/>
      <c r="T31" s="138">
        <v>7.01</v>
      </c>
      <c r="U31" s="138"/>
      <c r="V31" s="138"/>
      <c r="W31" s="138"/>
      <c r="X31" s="138"/>
      <c r="Y31" s="138"/>
      <c r="Z31" s="138"/>
      <c r="AA31" s="138"/>
      <c r="AB31" s="138"/>
      <c r="AC31" s="138"/>
      <c r="AD31" s="138"/>
      <c r="AE31" s="138"/>
      <c r="AF31" s="138"/>
      <c r="AG31" s="138"/>
      <c r="AH31" s="137"/>
      <c r="AI31" s="137"/>
    </row>
    <row r="33" spans="1:35" x14ac:dyDescent="0.35">
      <c r="A33" s="134" t="s">
        <v>128</v>
      </c>
      <c r="B33" s="135" t="s">
        <v>334</v>
      </c>
      <c r="C33" s="138"/>
      <c r="D33" s="138"/>
      <c r="E33" s="138"/>
      <c r="F33" s="138"/>
      <c r="G33" s="138"/>
      <c r="H33" s="138"/>
      <c r="I33" s="138"/>
      <c r="J33" s="138"/>
      <c r="K33" s="138"/>
      <c r="L33" s="138"/>
      <c r="M33" s="138"/>
      <c r="N33" s="138"/>
      <c r="O33" s="138"/>
      <c r="P33" s="138"/>
      <c r="Q33" s="138"/>
      <c r="R33" s="138"/>
      <c r="S33" s="138"/>
      <c r="T33" s="138">
        <v>8470389</v>
      </c>
      <c r="U33" s="138"/>
      <c r="V33" s="138"/>
      <c r="W33" s="138">
        <v>1541535</v>
      </c>
      <c r="X33" s="138"/>
      <c r="Y33" s="138"/>
      <c r="Z33" s="138"/>
      <c r="AA33" s="138"/>
      <c r="AB33" s="138"/>
      <c r="AC33" s="138"/>
      <c r="AD33" s="138"/>
      <c r="AE33" s="138"/>
      <c r="AF33" s="138"/>
      <c r="AG33" s="138"/>
      <c r="AH33" s="136"/>
      <c r="AI33" s="136"/>
    </row>
    <row r="34" spans="1:35" x14ac:dyDescent="0.35">
      <c r="A34" s="134" t="s">
        <v>128</v>
      </c>
      <c r="B34" s="135" t="s">
        <v>335</v>
      </c>
      <c r="C34" s="137"/>
      <c r="D34" s="137"/>
      <c r="E34" s="137"/>
      <c r="F34" s="137"/>
      <c r="G34" s="137"/>
      <c r="H34" s="137"/>
      <c r="I34" s="137"/>
      <c r="J34" s="137"/>
      <c r="K34" s="137"/>
      <c r="L34" s="137"/>
      <c r="M34" s="137"/>
      <c r="N34" s="137"/>
      <c r="O34" s="137"/>
      <c r="P34" s="137"/>
      <c r="Q34" s="137"/>
      <c r="R34" s="137"/>
      <c r="S34" s="137"/>
      <c r="T34" s="137">
        <v>57639</v>
      </c>
      <c r="U34" s="5">
        <v>59621</v>
      </c>
      <c r="V34" s="5">
        <v>57609</v>
      </c>
      <c r="W34" s="5">
        <v>51229</v>
      </c>
      <c r="X34" s="137"/>
      <c r="Y34" s="137"/>
      <c r="Z34" s="137"/>
      <c r="AA34" s="137"/>
      <c r="AB34" s="137"/>
      <c r="AC34" s="137"/>
      <c r="AD34" s="137"/>
      <c r="AE34" s="137"/>
      <c r="AF34" s="137"/>
      <c r="AG34" s="137"/>
      <c r="AH34" s="137"/>
      <c r="AI34" s="137"/>
    </row>
    <row r="35" spans="1:35" x14ac:dyDescent="0.35">
      <c r="A35" s="134" t="s">
        <v>128</v>
      </c>
      <c r="B35" s="135" t="s">
        <v>349</v>
      </c>
      <c r="C35" s="138"/>
      <c r="D35" s="138"/>
      <c r="E35" s="138"/>
      <c r="F35" s="138"/>
      <c r="G35" s="138"/>
      <c r="H35" s="138"/>
      <c r="I35" s="138"/>
      <c r="J35" s="138"/>
      <c r="K35" s="138"/>
      <c r="L35" s="138"/>
      <c r="M35" s="138"/>
      <c r="N35" s="138"/>
      <c r="O35" s="138"/>
      <c r="P35" s="138"/>
      <c r="Q35" s="138"/>
      <c r="R35" s="138"/>
      <c r="S35" s="138"/>
      <c r="T35" s="138">
        <v>117.56</v>
      </c>
      <c r="U35" s="138"/>
      <c r="V35" s="138"/>
      <c r="W35" s="138">
        <f>W33/W34</f>
        <v>30.091061703332098</v>
      </c>
      <c r="X35" s="138"/>
      <c r="Y35" s="138"/>
      <c r="Z35" s="138"/>
      <c r="AA35" s="138"/>
      <c r="AB35" s="138"/>
      <c r="AC35" s="138"/>
      <c r="AD35" s="138"/>
      <c r="AE35" s="138"/>
      <c r="AF35" s="138"/>
      <c r="AG35" s="138"/>
      <c r="AH35" s="137"/>
      <c r="AI35" s="137"/>
    </row>
    <row r="36" spans="1:35" x14ac:dyDescent="0.35">
      <c r="A36" s="134" t="s">
        <v>128</v>
      </c>
      <c r="B36" s="135" t="s">
        <v>350</v>
      </c>
      <c r="C36" s="138"/>
      <c r="D36" s="138"/>
      <c r="E36" s="138"/>
      <c r="F36" s="138"/>
      <c r="G36" s="138"/>
      <c r="H36" s="138"/>
      <c r="I36" s="138"/>
      <c r="J36" s="138"/>
      <c r="K36" s="138"/>
      <c r="L36" s="138"/>
      <c r="M36" s="138"/>
      <c r="N36" s="138"/>
      <c r="O36" s="138"/>
      <c r="P36" s="138"/>
      <c r="Q36" s="138"/>
      <c r="R36" s="138"/>
      <c r="S36" s="138"/>
      <c r="T36" s="138">
        <v>176.35</v>
      </c>
      <c r="U36" s="138"/>
      <c r="V36" s="138"/>
      <c r="W36" s="138"/>
      <c r="X36" s="138"/>
      <c r="Y36" s="138"/>
      <c r="Z36" s="138"/>
      <c r="AA36" s="138"/>
      <c r="AB36" s="138"/>
      <c r="AC36" s="138"/>
      <c r="AD36" s="138"/>
      <c r="AE36" s="138"/>
      <c r="AF36" s="138"/>
      <c r="AG36" s="138"/>
      <c r="AH36" s="137"/>
      <c r="AI36" s="137"/>
    </row>
    <row r="38" spans="1:35" x14ac:dyDescent="0.35">
      <c r="A38" s="134" t="s">
        <v>342</v>
      </c>
      <c r="B38" s="135" t="s">
        <v>334</v>
      </c>
      <c r="C38" s="138"/>
      <c r="D38" s="138"/>
      <c r="E38" s="138"/>
      <c r="F38" s="138"/>
      <c r="G38" s="138"/>
      <c r="H38" s="138"/>
      <c r="I38" s="138"/>
      <c r="J38" s="138"/>
      <c r="K38" s="138"/>
      <c r="L38" s="138"/>
      <c r="M38" s="138"/>
      <c r="N38" s="138"/>
      <c r="O38" s="138"/>
      <c r="P38" s="138"/>
      <c r="Q38" s="138"/>
      <c r="R38" s="138"/>
      <c r="S38" s="138"/>
      <c r="T38" s="138">
        <v>6418.91</v>
      </c>
      <c r="U38" s="138"/>
      <c r="V38" s="138"/>
      <c r="W38" s="138"/>
      <c r="X38" s="138"/>
      <c r="Y38" s="138"/>
      <c r="Z38" s="138"/>
      <c r="AA38" s="138"/>
      <c r="AB38" s="138"/>
      <c r="AC38" s="138"/>
      <c r="AD38" s="138"/>
      <c r="AE38" s="138"/>
      <c r="AF38" s="138"/>
      <c r="AG38" s="138"/>
      <c r="AH38" s="136"/>
      <c r="AI38" s="136"/>
    </row>
    <row r="39" spans="1:35" x14ac:dyDescent="0.35">
      <c r="A39" s="134" t="s">
        <v>342</v>
      </c>
      <c r="B39" s="135" t="s">
        <v>335</v>
      </c>
      <c r="C39" s="137"/>
      <c r="D39" s="137"/>
      <c r="E39" s="137"/>
      <c r="F39" s="137"/>
      <c r="G39" s="137"/>
      <c r="H39" s="137"/>
      <c r="I39" s="137"/>
      <c r="J39" s="137"/>
      <c r="K39" s="137"/>
      <c r="L39" s="137"/>
      <c r="M39" s="137"/>
      <c r="N39" s="137"/>
      <c r="O39" s="137"/>
      <c r="P39" s="137"/>
      <c r="Q39" s="137"/>
      <c r="R39" s="137"/>
      <c r="S39" s="137"/>
      <c r="T39" s="137">
        <v>1087</v>
      </c>
      <c r="U39" s="137"/>
      <c r="V39" s="137"/>
      <c r="W39" s="137"/>
      <c r="X39" s="137"/>
      <c r="Y39" s="137"/>
      <c r="Z39" s="137"/>
      <c r="AA39" s="137"/>
      <c r="AB39" s="137"/>
      <c r="AC39" s="137"/>
      <c r="AD39" s="137"/>
      <c r="AE39" s="137"/>
      <c r="AF39" s="137"/>
      <c r="AG39" s="137"/>
      <c r="AH39" s="137"/>
      <c r="AI39" s="137"/>
    </row>
    <row r="40" spans="1:35" x14ac:dyDescent="0.35">
      <c r="A40" s="134" t="s">
        <v>342</v>
      </c>
      <c r="B40" s="135" t="s">
        <v>349</v>
      </c>
      <c r="C40" s="138"/>
      <c r="D40" s="138"/>
      <c r="E40" s="138"/>
      <c r="F40" s="138"/>
      <c r="G40" s="138"/>
      <c r="H40" s="138"/>
      <c r="I40" s="138"/>
      <c r="J40" s="138"/>
      <c r="K40" s="138"/>
      <c r="L40" s="138"/>
      <c r="M40" s="138"/>
      <c r="N40" s="138"/>
      <c r="O40" s="138"/>
      <c r="P40" s="138"/>
      <c r="Q40" s="138"/>
      <c r="R40" s="138"/>
      <c r="S40" s="138"/>
      <c r="T40" s="138">
        <v>4.7300000000000004</v>
      </c>
      <c r="U40" s="138"/>
      <c r="V40" s="138"/>
      <c r="W40" s="138"/>
      <c r="X40" s="138"/>
      <c r="Y40" s="138"/>
      <c r="Z40" s="138"/>
      <c r="AA40" s="138"/>
      <c r="AB40" s="138"/>
      <c r="AC40" s="138"/>
      <c r="AD40" s="138"/>
      <c r="AE40" s="138"/>
      <c r="AF40" s="138"/>
      <c r="AG40" s="138"/>
      <c r="AH40" s="137"/>
      <c r="AI40" s="137"/>
    </row>
    <row r="41" spans="1:35" x14ac:dyDescent="0.35">
      <c r="A41" s="134" t="s">
        <v>342</v>
      </c>
      <c r="B41" s="135" t="s">
        <v>350</v>
      </c>
      <c r="C41" s="138"/>
      <c r="D41" s="138"/>
      <c r="E41" s="138"/>
      <c r="F41" s="138"/>
      <c r="G41" s="138"/>
      <c r="H41" s="138"/>
      <c r="I41" s="138"/>
      <c r="J41" s="138"/>
      <c r="K41" s="138"/>
      <c r="L41" s="138"/>
      <c r="M41" s="138"/>
      <c r="N41" s="138"/>
      <c r="O41" s="138"/>
      <c r="P41" s="138"/>
      <c r="Q41" s="138"/>
      <c r="R41" s="138"/>
      <c r="S41" s="138"/>
      <c r="T41" s="138">
        <v>7.09</v>
      </c>
      <c r="U41" s="138"/>
      <c r="V41" s="138"/>
      <c r="W41" s="138"/>
      <c r="X41" s="138"/>
      <c r="Y41" s="138"/>
      <c r="Z41" s="138"/>
      <c r="AA41" s="138"/>
      <c r="AB41" s="138"/>
      <c r="AC41" s="138"/>
      <c r="AD41" s="138"/>
      <c r="AE41" s="138"/>
      <c r="AF41" s="138"/>
      <c r="AG41" s="138"/>
      <c r="AH41" s="137"/>
      <c r="AI41" s="137"/>
    </row>
    <row r="43" spans="1:35" x14ac:dyDescent="0.35">
      <c r="A43" s="134" t="s">
        <v>343</v>
      </c>
      <c r="B43" s="135" t="s">
        <v>334</v>
      </c>
      <c r="C43" s="138"/>
      <c r="D43" s="138"/>
      <c r="E43" s="138"/>
      <c r="F43" s="138"/>
      <c r="G43" s="138"/>
      <c r="H43" s="138"/>
      <c r="I43" s="138"/>
      <c r="J43" s="138"/>
      <c r="K43" s="138"/>
      <c r="L43" s="138"/>
      <c r="M43" s="138"/>
      <c r="N43" s="138"/>
      <c r="O43" s="138"/>
      <c r="P43" s="138"/>
      <c r="Q43" s="138"/>
      <c r="R43" s="138"/>
      <c r="S43" s="138"/>
      <c r="T43" s="138">
        <v>1282.3699999999999</v>
      </c>
      <c r="U43" s="138"/>
      <c r="V43" s="138"/>
      <c r="W43" s="138"/>
      <c r="X43" s="138"/>
      <c r="Y43" s="138"/>
      <c r="Z43" s="138"/>
      <c r="AA43" s="138"/>
      <c r="AB43" s="138"/>
      <c r="AC43" s="138"/>
      <c r="AD43" s="138"/>
      <c r="AE43" s="138"/>
      <c r="AF43" s="138"/>
      <c r="AG43" s="138"/>
      <c r="AH43" s="136"/>
      <c r="AI43" s="136"/>
    </row>
    <row r="44" spans="1:35" x14ac:dyDescent="0.35">
      <c r="A44" s="134" t="s">
        <v>343</v>
      </c>
      <c r="B44" s="135" t="s">
        <v>335</v>
      </c>
      <c r="C44" s="137"/>
      <c r="D44" s="137"/>
      <c r="E44" s="137"/>
      <c r="F44" s="137"/>
      <c r="G44" s="137"/>
      <c r="H44" s="137"/>
      <c r="I44" s="137"/>
      <c r="J44" s="137"/>
      <c r="K44" s="137"/>
      <c r="L44" s="137"/>
      <c r="M44" s="137"/>
      <c r="N44" s="137"/>
      <c r="O44" s="137"/>
      <c r="P44" s="137"/>
      <c r="Q44" s="137"/>
      <c r="R44" s="137"/>
      <c r="S44" s="137"/>
      <c r="T44" s="137">
        <v>1087</v>
      </c>
      <c r="U44" s="137"/>
      <c r="V44" s="137"/>
      <c r="W44" s="137"/>
      <c r="X44" s="137"/>
      <c r="Y44" s="137"/>
      <c r="Z44" s="137"/>
      <c r="AA44" s="137"/>
      <c r="AB44" s="137"/>
      <c r="AC44" s="137"/>
      <c r="AD44" s="137"/>
      <c r="AE44" s="137"/>
      <c r="AF44" s="137"/>
      <c r="AG44" s="137"/>
      <c r="AH44" s="137"/>
      <c r="AI44" s="137"/>
    </row>
    <row r="45" spans="1:35" x14ac:dyDescent="0.35">
      <c r="A45" s="134" t="s">
        <v>343</v>
      </c>
      <c r="B45" s="135" t="s">
        <v>349</v>
      </c>
      <c r="C45" s="138"/>
      <c r="D45" s="138"/>
      <c r="E45" s="138"/>
      <c r="F45" s="138"/>
      <c r="G45" s="138"/>
      <c r="H45" s="138"/>
      <c r="I45" s="138"/>
      <c r="J45" s="138"/>
      <c r="K45" s="138"/>
      <c r="L45" s="138"/>
      <c r="M45" s="138"/>
      <c r="N45" s="138"/>
      <c r="O45" s="138"/>
      <c r="P45" s="138"/>
      <c r="Q45" s="138"/>
      <c r="R45" s="138"/>
      <c r="S45" s="138"/>
      <c r="T45" s="138">
        <v>0.94</v>
      </c>
      <c r="U45" s="138"/>
      <c r="V45" s="138"/>
      <c r="W45" s="138"/>
      <c r="X45" s="138"/>
      <c r="Y45" s="138"/>
      <c r="Z45" s="138"/>
      <c r="AA45" s="138"/>
      <c r="AB45" s="138"/>
      <c r="AC45" s="138"/>
      <c r="AD45" s="138"/>
      <c r="AE45" s="138"/>
      <c r="AF45" s="138"/>
      <c r="AG45" s="138"/>
      <c r="AH45" s="137"/>
      <c r="AI45" s="137"/>
    </row>
    <row r="46" spans="1:35" x14ac:dyDescent="0.35">
      <c r="A46" s="134" t="s">
        <v>343</v>
      </c>
      <c r="B46" s="135" t="s">
        <v>350</v>
      </c>
      <c r="C46" s="138"/>
      <c r="D46" s="138"/>
      <c r="E46" s="138"/>
      <c r="F46" s="138"/>
      <c r="G46" s="138"/>
      <c r="H46" s="138"/>
      <c r="I46" s="138"/>
      <c r="J46" s="138"/>
      <c r="K46" s="138"/>
      <c r="L46" s="138"/>
      <c r="M46" s="138"/>
      <c r="N46" s="138"/>
      <c r="O46" s="138"/>
      <c r="P46" s="138"/>
      <c r="Q46" s="138"/>
      <c r="R46" s="138"/>
      <c r="S46" s="138"/>
      <c r="T46" s="138">
        <v>1.42</v>
      </c>
      <c r="U46" s="138"/>
      <c r="V46" s="138"/>
      <c r="W46" s="138"/>
      <c r="X46" s="138"/>
      <c r="Y46" s="138"/>
      <c r="Z46" s="138"/>
      <c r="AA46" s="138"/>
      <c r="AB46" s="138"/>
      <c r="AC46" s="138"/>
      <c r="AD46" s="138"/>
      <c r="AE46" s="138"/>
      <c r="AF46" s="138"/>
      <c r="AG46" s="138"/>
      <c r="AH46" s="137"/>
      <c r="AI46" s="137"/>
    </row>
    <row r="48" spans="1:35" x14ac:dyDescent="0.35">
      <c r="A48" s="134" t="s">
        <v>344</v>
      </c>
      <c r="B48" s="135" t="s">
        <v>334</v>
      </c>
      <c r="C48" s="138"/>
      <c r="D48" s="138"/>
      <c r="E48" s="138"/>
      <c r="F48" s="138"/>
      <c r="G48" s="138"/>
      <c r="H48" s="138"/>
      <c r="I48" s="138"/>
      <c r="J48" s="138"/>
      <c r="K48" s="138"/>
      <c r="L48" s="138"/>
      <c r="M48" s="138"/>
      <c r="N48" s="138"/>
      <c r="O48" s="138"/>
      <c r="P48" s="138"/>
      <c r="Q48" s="138"/>
      <c r="R48" s="138"/>
      <c r="S48" s="138"/>
      <c r="T48" s="138">
        <v>13371.76</v>
      </c>
      <c r="U48" s="138"/>
      <c r="V48" s="138"/>
      <c r="W48" s="138"/>
      <c r="X48" s="138"/>
      <c r="Y48" s="138"/>
      <c r="Z48" s="138"/>
      <c r="AA48" s="138"/>
      <c r="AB48" s="138"/>
      <c r="AC48" s="138"/>
      <c r="AD48" s="138"/>
      <c r="AE48" s="138"/>
      <c r="AF48" s="138"/>
      <c r="AG48" s="138"/>
      <c r="AH48" s="136"/>
      <c r="AI48" s="136"/>
    </row>
    <row r="49" spans="1:35" x14ac:dyDescent="0.35">
      <c r="A49" s="134" t="s">
        <v>344</v>
      </c>
      <c r="B49" s="135" t="s">
        <v>335</v>
      </c>
      <c r="C49" s="137"/>
      <c r="D49" s="137"/>
      <c r="E49" s="137"/>
      <c r="F49" s="137"/>
      <c r="G49" s="137"/>
      <c r="H49" s="137"/>
      <c r="I49" s="137"/>
      <c r="J49" s="137"/>
      <c r="K49" s="137"/>
      <c r="L49" s="137"/>
      <c r="M49" s="137"/>
      <c r="N49" s="137"/>
      <c r="O49" s="137"/>
      <c r="P49" s="137"/>
      <c r="Q49" s="137"/>
      <c r="R49" s="137"/>
      <c r="S49" s="137"/>
      <c r="T49" s="137">
        <v>4022</v>
      </c>
      <c r="U49" s="137"/>
      <c r="V49" s="137"/>
      <c r="W49" s="137"/>
      <c r="X49" s="137"/>
      <c r="Y49" s="137"/>
      <c r="Z49" s="137"/>
      <c r="AA49" s="137"/>
      <c r="AB49" s="137"/>
      <c r="AC49" s="137"/>
      <c r="AD49" s="137"/>
      <c r="AE49" s="137"/>
      <c r="AF49" s="137"/>
      <c r="AG49" s="137"/>
      <c r="AH49" s="137"/>
      <c r="AI49" s="137"/>
    </row>
    <row r="50" spans="1:35" x14ac:dyDescent="0.35">
      <c r="A50" s="134" t="s">
        <v>344</v>
      </c>
      <c r="B50" s="135" t="s">
        <v>349</v>
      </c>
      <c r="C50" s="138"/>
      <c r="D50" s="138"/>
      <c r="E50" s="138"/>
      <c r="F50" s="138"/>
      <c r="G50" s="138"/>
      <c r="H50" s="138"/>
      <c r="I50" s="138"/>
      <c r="J50" s="138"/>
      <c r="K50" s="138"/>
      <c r="L50" s="138"/>
      <c r="M50" s="138"/>
      <c r="N50" s="138"/>
      <c r="O50" s="138"/>
      <c r="P50" s="138"/>
      <c r="Q50" s="138"/>
      <c r="R50" s="138"/>
      <c r="S50" s="138"/>
      <c r="T50" s="138">
        <v>2.66</v>
      </c>
      <c r="U50" s="138"/>
      <c r="V50" s="138"/>
      <c r="W50" s="138"/>
      <c r="X50" s="138"/>
      <c r="Y50" s="138"/>
      <c r="Z50" s="138"/>
      <c r="AA50" s="138"/>
      <c r="AB50" s="138"/>
      <c r="AC50" s="138"/>
      <c r="AD50" s="138"/>
      <c r="AE50" s="138"/>
      <c r="AF50" s="138"/>
      <c r="AG50" s="138"/>
      <c r="AH50" s="137"/>
      <c r="AI50" s="137"/>
    </row>
    <row r="51" spans="1:35" x14ac:dyDescent="0.35">
      <c r="A51" s="134" t="s">
        <v>344</v>
      </c>
      <c r="B51" s="135" t="s">
        <v>350</v>
      </c>
      <c r="C51" s="138"/>
      <c r="D51" s="138"/>
      <c r="E51" s="138"/>
      <c r="F51" s="138"/>
      <c r="G51" s="138"/>
      <c r="H51" s="138"/>
      <c r="I51" s="138"/>
      <c r="J51" s="138"/>
      <c r="K51" s="138"/>
      <c r="L51" s="138"/>
      <c r="M51" s="138"/>
      <c r="N51" s="138"/>
      <c r="O51" s="138"/>
      <c r="P51" s="138"/>
      <c r="Q51" s="138"/>
      <c r="R51" s="138"/>
      <c r="S51" s="138"/>
      <c r="T51" s="138">
        <v>3.99</v>
      </c>
      <c r="U51" s="138"/>
      <c r="V51" s="138"/>
      <c r="W51" s="138"/>
      <c r="X51" s="138"/>
      <c r="Y51" s="138"/>
      <c r="Z51" s="138"/>
      <c r="AA51" s="138"/>
      <c r="AB51" s="138"/>
      <c r="AC51" s="138"/>
      <c r="AD51" s="138"/>
      <c r="AE51" s="138"/>
      <c r="AF51" s="138"/>
      <c r="AG51" s="138"/>
      <c r="AH51" s="137"/>
      <c r="AI51" s="137"/>
    </row>
    <row r="53" spans="1:35" x14ac:dyDescent="0.35">
      <c r="A53" s="134" t="s">
        <v>347</v>
      </c>
      <c r="B53" s="135" t="s">
        <v>334</v>
      </c>
      <c r="C53" s="138"/>
      <c r="D53" s="138"/>
      <c r="E53" s="138"/>
      <c r="F53" s="138"/>
      <c r="G53" s="138"/>
      <c r="H53" s="138"/>
      <c r="I53" s="138"/>
      <c r="J53" s="138"/>
      <c r="K53" s="138"/>
      <c r="L53" s="138"/>
      <c r="M53" s="138"/>
      <c r="N53" s="138"/>
      <c r="O53" s="138"/>
      <c r="P53" s="138"/>
      <c r="Q53" s="138"/>
      <c r="R53" s="138"/>
      <c r="S53" s="138"/>
      <c r="T53" s="138">
        <v>10932082.76</v>
      </c>
      <c r="U53" s="138"/>
      <c r="V53" s="138"/>
      <c r="W53" s="138"/>
      <c r="X53" s="138"/>
      <c r="Y53" s="138"/>
      <c r="Z53" s="138"/>
      <c r="AA53" s="138"/>
      <c r="AB53" s="138"/>
      <c r="AC53" s="138"/>
      <c r="AD53" s="138"/>
      <c r="AE53" s="138"/>
      <c r="AF53" s="138"/>
      <c r="AG53" s="138"/>
      <c r="AH53" s="136"/>
      <c r="AI53" s="136"/>
    </row>
    <row r="54" spans="1:35" x14ac:dyDescent="0.35">
      <c r="A54" s="134" t="s">
        <v>347</v>
      </c>
      <c r="B54" s="135" t="s">
        <v>335</v>
      </c>
      <c r="C54" s="137"/>
      <c r="D54" s="137"/>
      <c r="E54" s="137"/>
      <c r="F54" s="137"/>
      <c r="G54" s="137"/>
      <c r="H54" s="137"/>
      <c r="I54" s="137"/>
      <c r="J54" s="137"/>
      <c r="K54" s="137"/>
      <c r="L54" s="137"/>
      <c r="M54" s="137"/>
      <c r="N54" s="137"/>
      <c r="O54" s="137"/>
      <c r="P54" s="137"/>
      <c r="Q54" s="137"/>
      <c r="R54" s="137"/>
      <c r="S54" s="137"/>
      <c r="T54" s="137">
        <v>340788</v>
      </c>
      <c r="U54" s="137"/>
      <c r="V54" s="137"/>
      <c r="W54" s="137"/>
      <c r="X54" s="137"/>
      <c r="Y54" s="137"/>
      <c r="Z54" s="137"/>
      <c r="AA54" s="137"/>
      <c r="AB54" s="137"/>
      <c r="AC54" s="137"/>
      <c r="AD54" s="137"/>
      <c r="AE54" s="137"/>
      <c r="AF54" s="137"/>
      <c r="AG54" s="137"/>
      <c r="AH54" s="137"/>
      <c r="AI54" s="137"/>
    </row>
    <row r="55" spans="1:35" x14ac:dyDescent="0.35">
      <c r="A55" s="134" t="s">
        <v>347</v>
      </c>
      <c r="B55" s="135" t="s">
        <v>349</v>
      </c>
      <c r="C55" s="138"/>
      <c r="D55" s="138"/>
      <c r="E55" s="138"/>
      <c r="F55" s="138"/>
      <c r="G55" s="138"/>
      <c r="H55" s="138"/>
      <c r="I55" s="138"/>
      <c r="J55" s="138"/>
      <c r="K55" s="138"/>
      <c r="L55" s="138"/>
      <c r="M55" s="138"/>
      <c r="N55" s="138"/>
      <c r="O55" s="138"/>
      <c r="P55" s="138"/>
      <c r="Q55" s="138"/>
      <c r="R55" s="138"/>
      <c r="S55" s="138"/>
      <c r="T55" s="138">
        <v>26.82</v>
      </c>
      <c r="U55" s="138"/>
      <c r="V55" s="138"/>
      <c r="W55" s="138"/>
      <c r="X55" s="138"/>
      <c r="Y55" s="138"/>
      <c r="Z55" s="138"/>
      <c r="AA55" s="138"/>
      <c r="AB55" s="138"/>
      <c r="AC55" s="138"/>
      <c r="AD55" s="138"/>
      <c r="AE55" s="138"/>
      <c r="AF55" s="138"/>
      <c r="AG55" s="138"/>
      <c r="AH55" s="137"/>
      <c r="AI55" s="137"/>
    </row>
    <row r="56" spans="1:35" x14ac:dyDescent="0.35">
      <c r="A56" s="134" t="s">
        <v>347</v>
      </c>
      <c r="B56" s="135" t="s">
        <v>350</v>
      </c>
      <c r="C56" s="138"/>
      <c r="D56" s="138"/>
      <c r="E56" s="138"/>
      <c r="F56" s="138"/>
      <c r="G56" s="138"/>
      <c r="H56" s="138"/>
      <c r="I56" s="138"/>
      <c r="J56" s="138"/>
      <c r="K56" s="138"/>
      <c r="L56" s="138"/>
      <c r="M56" s="138"/>
      <c r="N56" s="138"/>
      <c r="O56" s="138"/>
      <c r="P56" s="138"/>
      <c r="Q56" s="138"/>
      <c r="R56" s="138"/>
      <c r="S56" s="138"/>
      <c r="T56" s="138">
        <v>40.24</v>
      </c>
      <c r="U56" s="138"/>
      <c r="V56" s="138"/>
      <c r="W56" s="138"/>
      <c r="X56" s="138"/>
      <c r="Y56" s="138"/>
      <c r="Z56" s="138"/>
      <c r="AA56" s="138"/>
      <c r="AB56" s="138"/>
      <c r="AC56" s="138"/>
      <c r="AD56" s="138"/>
      <c r="AE56" s="138"/>
      <c r="AF56" s="138"/>
      <c r="AG56" s="138"/>
      <c r="AH56" s="137"/>
      <c r="AI56" s="137"/>
    </row>
    <row r="58" spans="1:35" x14ac:dyDescent="0.35">
      <c r="A58" s="134" t="s">
        <v>348</v>
      </c>
      <c r="B58" s="135" t="s">
        <v>334</v>
      </c>
      <c r="C58" s="138"/>
      <c r="D58" s="138"/>
      <c r="E58" s="138"/>
      <c r="F58" s="138"/>
      <c r="G58" s="138"/>
      <c r="H58" s="138"/>
      <c r="I58" s="138"/>
      <c r="J58" s="138"/>
      <c r="K58" s="138"/>
      <c r="L58" s="138"/>
      <c r="M58" s="138"/>
      <c r="N58" s="138"/>
      <c r="O58" s="138"/>
      <c r="P58" s="138"/>
      <c r="Q58" s="138"/>
      <c r="R58" s="138"/>
      <c r="S58" s="138"/>
      <c r="T58" s="138">
        <v>0</v>
      </c>
      <c r="U58" s="138"/>
      <c r="V58" s="138"/>
      <c r="W58" s="138"/>
      <c r="X58" s="138"/>
      <c r="Y58" s="138"/>
      <c r="Z58" s="138"/>
      <c r="AA58" s="138"/>
      <c r="AB58" s="138"/>
      <c r="AC58" s="138"/>
      <c r="AD58" s="138"/>
      <c r="AE58" s="138"/>
      <c r="AF58" s="138"/>
      <c r="AG58" s="138"/>
      <c r="AH58" s="136"/>
      <c r="AI58" s="136"/>
    </row>
    <row r="59" spans="1:35" x14ac:dyDescent="0.35">
      <c r="A59" s="134" t="s">
        <v>348</v>
      </c>
      <c r="B59" s="135" t="s">
        <v>335</v>
      </c>
      <c r="C59" s="137"/>
      <c r="D59" s="137"/>
      <c r="E59" s="137"/>
      <c r="F59" s="137"/>
      <c r="G59" s="137"/>
      <c r="H59" s="137"/>
      <c r="I59" s="137"/>
      <c r="J59" s="137"/>
      <c r="K59" s="137"/>
      <c r="L59" s="137"/>
      <c r="M59" s="137"/>
      <c r="N59" s="137"/>
      <c r="O59" s="137"/>
      <c r="P59" s="137"/>
      <c r="Q59" s="137"/>
      <c r="R59" s="137"/>
      <c r="S59" s="137"/>
      <c r="T59" s="137">
        <v>0</v>
      </c>
      <c r="U59" s="137"/>
      <c r="V59" s="137"/>
      <c r="W59" s="137"/>
      <c r="X59" s="137"/>
      <c r="Y59" s="137"/>
      <c r="Z59" s="137"/>
      <c r="AA59" s="137"/>
      <c r="AB59" s="137"/>
      <c r="AC59" s="137"/>
      <c r="AD59" s="137"/>
      <c r="AE59" s="137"/>
      <c r="AF59" s="137"/>
      <c r="AG59" s="137"/>
      <c r="AH59" s="137"/>
      <c r="AI59" s="137"/>
    </row>
    <row r="60" spans="1:35" x14ac:dyDescent="0.35">
      <c r="A60" s="134" t="s">
        <v>348</v>
      </c>
      <c r="B60" s="135" t="s">
        <v>349</v>
      </c>
      <c r="C60" s="138"/>
      <c r="D60" s="138"/>
      <c r="E60" s="138"/>
      <c r="F60" s="138"/>
      <c r="G60" s="138"/>
      <c r="H60" s="138"/>
      <c r="I60" s="138"/>
      <c r="J60" s="138"/>
      <c r="K60" s="138"/>
      <c r="L60" s="138"/>
      <c r="M60" s="138"/>
      <c r="N60" s="138"/>
      <c r="O60" s="138"/>
      <c r="P60" s="138"/>
      <c r="Q60" s="138"/>
      <c r="R60" s="138"/>
      <c r="S60" s="138"/>
      <c r="T60" s="138">
        <v>18.53</v>
      </c>
      <c r="U60" s="138"/>
      <c r="V60" s="138"/>
      <c r="W60" s="138"/>
      <c r="X60" s="138"/>
      <c r="Y60" s="138"/>
      <c r="Z60" s="138"/>
      <c r="AA60" s="138"/>
      <c r="AB60" s="138"/>
      <c r="AC60" s="138"/>
      <c r="AD60" s="138"/>
      <c r="AE60" s="138"/>
      <c r="AF60" s="138"/>
      <c r="AG60" s="138"/>
      <c r="AH60" s="137"/>
      <c r="AI60" s="137"/>
    </row>
    <row r="61" spans="1:35" x14ac:dyDescent="0.35">
      <c r="A61" s="134" t="s">
        <v>348</v>
      </c>
      <c r="B61" s="135" t="s">
        <v>350</v>
      </c>
      <c r="C61" s="138"/>
      <c r="D61" s="138"/>
      <c r="E61" s="138"/>
      <c r="F61" s="138"/>
      <c r="G61" s="138"/>
      <c r="H61" s="138"/>
      <c r="I61" s="138"/>
      <c r="J61" s="138"/>
      <c r="K61" s="138"/>
      <c r="L61" s="138"/>
      <c r="M61" s="138"/>
      <c r="N61" s="138"/>
      <c r="O61" s="138"/>
      <c r="P61" s="138"/>
      <c r="Q61" s="138"/>
      <c r="R61" s="138"/>
      <c r="S61" s="138"/>
      <c r="T61" s="138">
        <v>27.8</v>
      </c>
      <c r="U61" s="138"/>
      <c r="V61" s="138"/>
      <c r="W61" s="138"/>
      <c r="X61" s="138"/>
      <c r="Y61" s="138"/>
      <c r="Z61" s="138"/>
      <c r="AA61" s="138"/>
      <c r="AB61" s="138"/>
      <c r="AC61" s="138"/>
      <c r="AD61" s="138"/>
      <c r="AE61" s="138"/>
      <c r="AF61" s="138"/>
      <c r="AG61" s="138"/>
      <c r="AH61" s="137"/>
      <c r="AI61" s="137"/>
    </row>
    <row r="63" spans="1:35" x14ac:dyDescent="0.35">
      <c r="A63" s="134" t="s">
        <v>345</v>
      </c>
      <c r="B63" s="135" t="s">
        <v>334</v>
      </c>
      <c r="C63" s="138"/>
      <c r="D63" s="138"/>
      <c r="E63" s="138"/>
      <c r="F63" s="138"/>
      <c r="G63" s="138"/>
      <c r="H63" s="138"/>
      <c r="I63" s="138"/>
      <c r="J63" s="138"/>
      <c r="K63" s="138"/>
      <c r="L63" s="138"/>
      <c r="M63" s="138"/>
      <c r="N63" s="138"/>
      <c r="O63" s="138"/>
      <c r="P63" s="138"/>
      <c r="Q63" s="138"/>
      <c r="R63" s="138"/>
      <c r="S63" s="138"/>
      <c r="T63" s="138">
        <v>1282.3699999999999</v>
      </c>
      <c r="U63" s="138"/>
      <c r="V63" s="138"/>
      <c r="W63" s="138"/>
      <c r="X63" s="138"/>
      <c r="Y63" s="138"/>
      <c r="Z63" s="138"/>
      <c r="AA63" s="138"/>
      <c r="AB63" s="138"/>
      <c r="AC63" s="138"/>
      <c r="AD63" s="138"/>
      <c r="AE63" s="138"/>
      <c r="AF63" s="138"/>
      <c r="AG63" s="138"/>
      <c r="AH63" s="136"/>
      <c r="AI63" s="136"/>
    </row>
    <row r="64" spans="1:35" x14ac:dyDescent="0.35">
      <c r="A64" s="134" t="s">
        <v>345</v>
      </c>
      <c r="B64" s="135" t="s">
        <v>335</v>
      </c>
      <c r="C64" s="137"/>
      <c r="D64" s="137"/>
      <c r="E64" s="137"/>
      <c r="F64" s="137"/>
      <c r="G64" s="137"/>
      <c r="H64" s="137"/>
      <c r="I64" s="137"/>
      <c r="J64" s="137"/>
      <c r="K64" s="137"/>
      <c r="L64" s="137"/>
      <c r="M64" s="137"/>
      <c r="N64" s="137"/>
      <c r="O64" s="137"/>
      <c r="P64" s="137"/>
      <c r="Q64" s="137"/>
      <c r="R64" s="137"/>
      <c r="S64" s="137"/>
      <c r="T64" s="137">
        <v>1087</v>
      </c>
      <c r="U64" s="137"/>
      <c r="V64" s="137"/>
      <c r="W64" s="137"/>
      <c r="X64" s="137"/>
      <c r="Y64" s="137"/>
      <c r="Z64" s="137"/>
      <c r="AA64" s="137"/>
      <c r="AB64" s="137"/>
      <c r="AC64" s="137"/>
      <c r="AD64" s="137"/>
      <c r="AE64" s="137"/>
      <c r="AF64" s="137"/>
      <c r="AG64" s="137"/>
      <c r="AH64" s="137"/>
      <c r="AI64" s="137"/>
    </row>
    <row r="65" spans="1:35" x14ac:dyDescent="0.35">
      <c r="A65" s="134" t="s">
        <v>345</v>
      </c>
      <c r="B65" s="135" t="s">
        <v>349</v>
      </c>
      <c r="C65" s="138"/>
      <c r="D65" s="138"/>
      <c r="E65" s="138"/>
      <c r="F65" s="138"/>
      <c r="G65" s="138"/>
      <c r="H65" s="138"/>
      <c r="I65" s="138"/>
      <c r="J65" s="138"/>
      <c r="K65" s="138"/>
      <c r="L65" s="138"/>
      <c r="M65" s="138"/>
      <c r="N65" s="138"/>
      <c r="O65" s="138"/>
      <c r="P65" s="138"/>
      <c r="Q65" s="138"/>
      <c r="R65" s="138"/>
      <c r="S65" s="138"/>
      <c r="T65" s="138">
        <v>5.15</v>
      </c>
      <c r="U65" s="138"/>
      <c r="V65" s="138"/>
      <c r="W65" s="138"/>
      <c r="X65" s="138"/>
      <c r="Y65" s="138"/>
      <c r="Z65" s="138"/>
      <c r="AA65" s="138"/>
      <c r="AB65" s="138"/>
      <c r="AC65" s="138"/>
      <c r="AD65" s="138"/>
      <c r="AE65" s="138"/>
      <c r="AF65" s="138"/>
      <c r="AG65" s="138"/>
      <c r="AH65" s="137"/>
      <c r="AI65" s="137"/>
    </row>
    <row r="66" spans="1:35" x14ac:dyDescent="0.35">
      <c r="A66" s="134" t="s">
        <v>345</v>
      </c>
      <c r="B66" s="135" t="s">
        <v>350</v>
      </c>
      <c r="C66" s="138"/>
      <c r="D66" s="138"/>
      <c r="E66" s="138"/>
      <c r="F66" s="138"/>
      <c r="G66" s="138"/>
      <c r="H66" s="138"/>
      <c r="I66" s="138"/>
      <c r="J66" s="138"/>
      <c r="K66" s="138"/>
      <c r="L66" s="138"/>
      <c r="M66" s="138"/>
      <c r="N66" s="138"/>
      <c r="O66" s="138"/>
      <c r="P66" s="138"/>
      <c r="Q66" s="138"/>
      <c r="R66" s="138"/>
      <c r="S66" s="138"/>
      <c r="T66" s="138">
        <v>7.73</v>
      </c>
      <c r="U66" s="138"/>
      <c r="V66" s="138"/>
      <c r="W66" s="138"/>
      <c r="X66" s="138"/>
      <c r="Y66" s="138"/>
      <c r="Z66" s="138"/>
      <c r="AA66" s="138"/>
      <c r="AB66" s="138"/>
      <c r="AC66" s="138"/>
      <c r="AD66" s="138"/>
      <c r="AE66" s="138"/>
      <c r="AF66" s="138"/>
      <c r="AG66" s="138"/>
      <c r="AH66" s="137"/>
      <c r="AI66" s="137"/>
    </row>
    <row r="68" spans="1:35" x14ac:dyDescent="0.35">
      <c r="A68" s="134" t="s">
        <v>346</v>
      </c>
      <c r="B68" s="135" t="s">
        <v>334</v>
      </c>
      <c r="C68" s="138"/>
      <c r="D68" s="138"/>
      <c r="E68" s="138"/>
      <c r="F68" s="138"/>
      <c r="G68" s="138"/>
      <c r="H68" s="138"/>
      <c r="I68" s="138"/>
      <c r="J68" s="138"/>
      <c r="K68" s="138"/>
      <c r="L68" s="138"/>
      <c r="M68" s="138"/>
      <c r="N68" s="138"/>
      <c r="O68" s="138"/>
      <c r="P68" s="138"/>
      <c r="Q68" s="138"/>
      <c r="R68" s="138"/>
      <c r="S68" s="138"/>
      <c r="T68" s="138"/>
      <c r="U68" s="138">
        <v>1541447.07</v>
      </c>
      <c r="V68" s="138"/>
      <c r="W68" s="138">
        <v>32435929</v>
      </c>
      <c r="X68" s="138"/>
      <c r="Y68" s="138"/>
      <c r="Z68" s="138"/>
      <c r="AA68" s="138"/>
      <c r="AB68" s="138"/>
      <c r="AC68" s="138"/>
      <c r="AD68" s="138"/>
      <c r="AE68" s="138"/>
      <c r="AF68" s="138"/>
      <c r="AG68" s="138"/>
      <c r="AH68" s="136"/>
      <c r="AI68" s="136"/>
    </row>
    <row r="69" spans="1:35" x14ac:dyDescent="0.35">
      <c r="A69" s="134" t="s">
        <v>346</v>
      </c>
      <c r="B69" s="135" t="s">
        <v>335</v>
      </c>
      <c r="C69" s="137"/>
      <c r="D69" s="137"/>
      <c r="E69" s="137"/>
      <c r="F69" s="137"/>
      <c r="G69" s="137"/>
      <c r="H69" s="137"/>
      <c r="I69" s="137"/>
      <c r="J69" s="137"/>
      <c r="K69" s="137"/>
      <c r="L69" s="137">
        <v>2784</v>
      </c>
      <c r="M69" s="137">
        <v>9381</v>
      </c>
      <c r="N69" s="137">
        <v>27973</v>
      </c>
      <c r="O69" s="137">
        <v>29321</v>
      </c>
      <c r="P69" s="137">
        <v>65679</v>
      </c>
      <c r="Q69" s="137"/>
      <c r="R69" s="137">
        <v>133012</v>
      </c>
      <c r="S69" s="137">
        <v>136986</v>
      </c>
      <c r="T69" s="137">
        <v>159476</v>
      </c>
      <c r="U69" s="137">
        <v>197705</v>
      </c>
      <c r="V69" s="137">
        <v>207375</v>
      </c>
      <c r="W69" s="137">
        <v>53743</v>
      </c>
      <c r="X69" s="137"/>
      <c r="Y69" s="137"/>
      <c r="Z69" s="137"/>
      <c r="AA69" s="137"/>
      <c r="AB69" s="137"/>
      <c r="AC69" s="137"/>
      <c r="AD69" s="137"/>
      <c r="AE69" s="137"/>
      <c r="AF69" s="137"/>
      <c r="AG69" s="137"/>
      <c r="AH69" s="137"/>
      <c r="AI69" s="137"/>
    </row>
    <row r="70" spans="1:35" x14ac:dyDescent="0.35">
      <c r="A70" s="134" t="s">
        <v>346</v>
      </c>
      <c r="B70" s="135" t="s">
        <v>349</v>
      </c>
      <c r="C70" s="138"/>
      <c r="D70" s="138"/>
      <c r="E70" s="138"/>
      <c r="F70" s="138"/>
      <c r="G70" s="138"/>
      <c r="H70" s="138"/>
      <c r="I70" s="138"/>
      <c r="J70" s="138"/>
      <c r="K70" s="138"/>
      <c r="L70" s="138"/>
      <c r="M70" s="138"/>
      <c r="N70" s="138"/>
      <c r="O70" s="138"/>
      <c r="P70" s="138"/>
      <c r="Q70" s="138"/>
      <c r="R70" s="138"/>
      <c r="S70" s="138"/>
      <c r="T70" s="138"/>
      <c r="U70" s="138">
        <f>U68/U69</f>
        <v>7.7967025113173669</v>
      </c>
      <c r="V70" s="138"/>
      <c r="W70" s="138">
        <f>W68/W69</f>
        <v>603.53774445044007</v>
      </c>
      <c r="X70" s="138"/>
      <c r="Y70" s="138"/>
      <c r="Z70" s="138"/>
      <c r="AA70" s="138"/>
      <c r="AB70" s="138"/>
      <c r="AC70" s="138"/>
      <c r="AD70" s="138"/>
      <c r="AE70" s="138"/>
      <c r="AF70" s="138"/>
      <c r="AG70" s="138"/>
      <c r="AH70" s="137"/>
      <c r="AI70" s="137"/>
    </row>
    <row r="71" spans="1:35" x14ac:dyDescent="0.35">
      <c r="A71" s="134" t="s">
        <v>346</v>
      </c>
      <c r="B71" s="135" t="s">
        <v>350</v>
      </c>
      <c r="C71" s="138"/>
      <c r="D71" s="138"/>
      <c r="E71" s="138"/>
      <c r="F71" s="138"/>
      <c r="G71" s="138"/>
      <c r="H71" s="138"/>
      <c r="I71" s="138"/>
      <c r="J71" s="138"/>
      <c r="K71" s="138"/>
      <c r="L71" s="138"/>
      <c r="M71" s="138"/>
      <c r="N71" s="138"/>
      <c r="O71" s="138"/>
      <c r="P71" s="138"/>
      <c r="Q71" s="138"/>
      <c r="R71" s="138"/>
      <c r="S71" s="138"/>
      <c r="T71" s="138"/>
      <c r="U71" s="138">
        <f>U68/U69</f>
        <v>7.7967025113173669</v>
      </c>
      <c r="V71" s="138"/>
      <c r="W71" s="138">
        <f>W68/W69</f>
        <v>603.53774445044007</v>
      </c>
      <c r="X71" s="138"/>
      <c r="Y71" s="138"/>
      <c r="Z71" s="138"/>
      <c r="AA71" s="138"/>
      <c r="AB71" s="138"/>
      <c r="AC71" s="138"/>
      <c r="AD71" s="138"/>
      <c r="AE71" s="138"/>
      <c r="AF71" s="138"/>
      <c r="AG71" s="138"/>
      <c r="AH71" s="137"/>
      <c r="AI71" s="13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8"/>
  <sheetViews>
    <sheetView zoomScale="80" zoomScaleNormal="80" workbookViewId="0">
      <selection activeCell="D25" sqref="D25"/>
    </sheetView>
  </sheetViews>
  <sheetFormatPr defaultColWidth="8.81640625" defaultRowHeight="14.5" x14ac:dyDescent="0.35"/>
  <cols>
    <col min="1" max="1" width="4.26953125" customWidth="1"/>
    <col min="2" max="2" width="5.26953125" customWidth="1"/>
    <col min="3" max="3" width="10.453125" bestFit="1" customWidth="1"/>
    <col min="4" max="4" width="24.81640625" bestFit="1" customWidth="1"/>
    <col min="5" max="5" width="5" bestFit="1" customWidth="1"/>
    <col min="6" max="6" width="6.81640625" bestFit="1" customWidth="1"/>
    <col min="7" max="7" width="14.81640625" bestFit="1" customWidth="1"/>
    <col min="8" max="8" width="12.453125" bestFit="1" customWidth="1"/>
    <col min="9" max="9" width="16.453125" customWidth="1"/>
    <col min="10" max="10" width="12.453125" customWidth="1"/>
  </cols>
  <sheetData>
    <row r="1" spans="1:8" x14ac:dyDescent="0.35">
      <c r="A1" s="2" t="s">
        <v>4</v>
      </c>
    </row>
    <row r="2" spans="1:8" x14ac:dyDescent="0.35">
      <c r="C2" s="3" t="s">
        <v>5</v>
      </c>
      <c r="D2" s="3" t="s">
        <v>6</v>
      </c>
      <c r="E2" s="3" t="s">
        <v>7</v>
      </c>
      <c r="F2" s="3" t="s">
        <v>8</v>
      </c>
      <c r="G2" s="3" t="s">
        <v>9</v>
      </c>
      <c r="H2" s="3" t="s">
        <v>10</v>
      </c>
    </row>
    <row r="3" spans="1:8" x14ac:dyDescent="0.35">
      <c r="B3" s="4">
        <v>1</v>
      </c>
      <c r="C3" s="5" t="s">
        <v>11</v>
      </c>
      <c r="D3" s="5" t="s">
        <v>12</v>
      </c>
      <c r="E3" s="5">
        <v>0</v>
      </c>
      <c r="F3" s="5">
        <v>1</v>
      </c>
      <c r="G3" s="5">
        <v>15</v>
      </c>
      <c r="H3" s="5">
        <v>49</v>
      </c>
    </row>
    <row r="4" spans="1:8" x14ac:dyDescent="0.35">
      <c r="B4" s="4">
        <v>2</v>
      </c>
      <c r="C4" s="5" t="s">
        <v>13</v>
      </c>
      <c r="D4" s="5" t="s">
        <v>14</v>
      </c>
      <c r="E4" s="5">
        <v>1</v>
      </c>
      <c r="F4" s="5">
        <v>0</v>
      </c>
      <c r="G4" s="5">
        <v>15</v>
      </c>
      <c r="H4" s="5">
        <v>65</v>
      </c>
    </row>
    <row r="5" spans="1:8" x14ac:dyDescent="0.35">
      <c r="B5" s="4">
        <v>3</v>
      </c>
      <c r="C5" s="5" t="s">
        <v>15</v>
      </c>
      <c r="D5" s="5" t="s">
        <v>16</v>
      </c>
      <c r="E5" s="5">
        <v>1</v>
      </c>
      <c r="F5" s="5">
        <v>0</v>
      </c>
      <c r="G5" s="5">
        <v>15</v>
      </c>
      <c r="H5" s="5">
        <v>65</v>
      </c>
    </row>
    <row r="6" spans="1:8" x14ac:dyDescent="0.35">
      <c r="B6" s="4">
        <v>4</v>
      </c>
      <c r="C6" s="5" t="s">
        <v>17</v>
      </c>
      <c r="D6" s="5" t="s">
        <v>18</v>
      </c>
      <c r="E6" s="5">
        <v>1</v>
      </c>
      <c r="F6" s="5">
        <v>0</v>
      </c>
      <c r="G6" s="5">
        <v>15</v>
      </c>
      <c r="H6" s="5">
        <v>65</v>
      </c>
    </row>
    <row r="7" spans="1:8" x14ac:dyDescent="0.35">
      <c r="B7" s="4">
        <v>5</v>
      </c>
      <c r="C7" s="5" t="s">
        <v>19</v>
      </c>
      <c r="D7" s="5" t="s">
        <v>20</v>
      </c>
      <c r="E7" s="5">
        <v>0</v>
      </c>
      <c r="F7" s="5">
        <v>1</v>
      </c>
      <c r="G7" s="5">
        <v>0</v>
      </c>
      <c r="H7" s="5">
        <v>14</v>
      </c>
    </row>
    <row r="8" spans="1:8" x14ac:dyDescent="0.35">
      <c r="B8" s="4">
        <v>6</v>
      </c>
      <c r="C8" s="5" t="s">
        <v>21</v>
      </c>
      <c r="D8" s="5" t="s">
        <v>22</v>
      </c>
      <c r="E8" s="5">
        <v>1</v>
      </c>
      <c r="F8" s="5">
        <v>0</v>
      </c>
      <c r="G8" s="5">
        <v>0</v>
      </c>
      <c r="H8" s="5">
        <v>14</v>
      </c>
    </row>
    <row r="9" spans="1:8" x14ac:dyDescent="0.35">
      <c r="B9" s="4">
        <v>7</v>
      </c>
      <c r="C9" s="5" t="s">
        <v>23</v>
      </c>
      <c r="D9" s="5" t="s">
        <v>24</v>
      </c>
      <c r="E9" s="5">
        <v>0</v>
      </c>
      <c r="F9" s="5">
        <v>1</v>
      </c>
      <c r="G9" s="5">
        <v>15</v>
      </c>
      <c r="H9" s="5">
        <v>19</v>
      </c>
    </row>
    <row r="10" spans="1:8" x14ac:dyDescent="0.35">
      <c r="B10" s="4">
        <v>8</v>
      </c>
      <c r="C10" s="5" t="s">
        <v>25</v>
      </c>
      <c r="D10" s="5" t="s">
        <v>26</v>
      </c>
      <c r="E10" s="5">
        <v>1</v>
      </c>
      <c r="F10" s="5">
        <v>0</v>
      </c>
      <c r="G10" s="5">
        <v>15</v>
      </c>
      <c r="H10" s="5">
        <v>19</v>
      </c>
    </row>
    <row r="11" spans="1:8" x14ac:dyDescent="0.35">
      <c r="B11" s="4">
        <v>9</v>
      </c>
      <c r="C11" s="5" t="s">
        <v>27</v>
      </c>
      <c r="D11" s="5" t="s">
        <v>28</v>
      </c>
      <c r="E11" s="5">
        <v>0</v>
      </c>
      <c r="F11" s="5">
        <v>1</v>
      </c>
      <c r="G11" s="5">
        <v>20</v>
      </c>
      <c r="H11" s="5">
        <v>24</v>
      </c>
    </row>
    <row r="12" spans="1:8" x14ac:dyDescent="0.35">
      <c r="B12" s="4">
        <v>10</v>
      </c>
      <c r="C12" s="5" t="s">
        <v>29</v>
      </c>
      <c r="D12" s="5" t="s">
        <v>30</v>
      </c>
      <c r="E12" s="5">
        <v>1</v>
      </c>
      <c r="F12" s="5">
        <v>0</v>
      </c>
      <c r="G12" s="5">
        <v>20</v>
      </c>
      <c r="H12" s="5">
        <v>24</v>
      </c>
    </row>
    <row r="13" spans="1:8" x14ac:dyDescent="0.35">
      <c r="B13" s="4">
        <v>11</v>
      </c>
      <c r="C13" s="5" t="s">
        <v>31</v>
      </c>
      <c r="D13" s="5" t="s">
        <v>32</v>
      </c>
      <c r="E13" s="5">
        <v>0</v>
      </c>
      <c r="F13" s="5">
        <v>1</v>
      </c>
      <c r="G13" s="5">
        <v>25</v>
      </c>
      <c r="H13" s="5">
        <v>34</v>
      </c>
    </row>
    <row r="14" spans="1:8" x14ac:dyDescent="0.35">
      <c r="B14" s="4">
        <v>12</v>
      </c>
      <c r="C14" s="5" t="s">
        <v>33</v>
      </c>
      <c r="D14" s="5" t="s">
        <v>34</v>
      </c>
      <c r="E14" s="5">
        <v>1</v>
      </c>
      <c r="F14" s="5">
        <v>0</v>
      </c>
      <c r="G14" s="5">
        <v>25</v>
      </c>
      <c r="H14" s="5">
        <v>34</v>
      </c>
    </row>
    <row r="15" spans="1:8" x14ac:dyDescent="0.35">
      <c r="B15" s="4">
        <v>13</v>
      </c>
      <c r="C15" s="5" t="s">
        <v>35</v>
      </c>
      <c r="D15" s="5" t="s">
        <v>36</v>
      </c>
      <c r="E15" s="5">
        <v>0</v>
      </c>
      <c r="F15" s="5">
        <v>1</v>
      </c>
      <c r="G15" s="5">
        <v>35</v>
      </c>
      <c r="H15" s="5">
        <v>49</v>
      </c>
    </row>
    <row r="16" spans="1:8" x14ac:dyDescent="0.35">
      <c r="B16" s="4">
        <v>14</v>
      </c>
      <c r="C16" s="5" t="s">
        <v>37</v>
      </c>
      <c r="D16" s="5" t="s">
        <v>38</v>
      </c>
      <c r="E16" s="5">
        <v>1</v>
      </c>
      <c r="F16" s="5">
        <v>0</v>
      </c>
      <c r="G16" s="5">
        <v>35</v>
      </c>
      <c r="H16" s="5">
        <v>49</v>
      </c>
    </row>
    <row r="17" spans="2:8" x14ac:dyDescent="0.35">
      <c r="B17" s="4">
        <v>15</v>
      </c>
      <c r="C17" s="5" t="s">
        <v>39</v>
      </c>
      <c r="D17" s="5" t="s">
        <v>40</v>
      </c>
      <c r="E17" s="5">
        <v>0</v>
      </c>
      <c r="F17" s="5">
        <v>1</v>
      </c>
      <c r="G17" s="5">
        <v>50</v>
      </c>
      <c r="H17" s="5">
        <v>99</v>
      </c>
    </row>
    <row r="18" spans="2:8" x14ac:dyDescent="0.35">
      <c r="B18" s="4">
        <v>16</v>
      </c>
      <c r="C18" s="5" t="s">
        <v>41</v>
      </c>
      <c r="D18" s="5" t="s">
        <v>42</v>
      </c>
      <c r="E18" s="5">
        <v>1</v>
      </c>
      <c r="F18" s="5">
        <v>0</v>
      </c>
      <c r="G18" s="5">
        <v>50</v>
      </c>
      <c r="H18" s="5">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Y86"/>
  <sheetViews>
    <sheetView zoomScale="80" zoomScaleNormal="80" workbookViewId="0">
      <pane xSplit="3" ySplit="2" topLeftCell="D54" activePane="bottomRight" state="frozen"/>
      <selection pane="topRight" activeCell="D1" sqref="D1"/>
      <selection pane="bottomLeft" activeCell="A3" sqref="A3"/>
      <selection pane="bottomRight" activeCell="A74" sqref="A74:XFD74"/>
    </sheetView>
  </sheetViews>
  <sheetFormatPr defaultColWidth="8.81640625" defaultRowHeight="14.5" x14ac:dyDescent="0.35"/>
  <cols>
    <col min="4" max="4" width="10.81640625" customWidth="1"/>
    <col min="5" max="9" width="11" customWidth="1"/>
    <col min="10" max="10" width="10.81640625" customWidth="1"/>
    <col min="11" max="13" width="11" customWidth="1"/>
    <col min="14" max="14" width="11.1796875" bestFit="1" customWidth="1"/>
    <col min="15" max="15" width="12.1796875" customWidth="1"/>
    <col min="16" max="22" width="9.453125" bestFit="1" customWidth="1"/>
    <col min="23" max="30" width="10.08984375" bestFit="1" customWidth="1"/>
    <col min="31" max="31" width="11" bestFit="1" customWidth="1"/>
    <col min="32" max="33" width="9.453125" bestFit="1" customWidth="1"/>
    <col min="34" max="34" width="11.81640625" customWidth="1"/>
    <col min="35" max="36" width="10.7265625" bestFit="1" customWidth="1"/>
    <col min="37" max="44" width="8.81640625" customWidth="1"/>
    <col min="45" max="45" width="3.1796875" customWidth="1"/>
    <col min="46" max="46" width="10.453125" customWidth="1"/>
    <col min="47" max="47" width="8" customWidth="1"/>
  </cols>
  <sheetData>
    <row r="1" spans="1:47" x14ac:dyDescent="0.35">
      <c r="A1" s="2" t="s">
        <v>43</v>
      </c>
    </row>
    <row r="2" spans="1:47" x14ac:dyDescent="0.35">
      <c r="D2" s="4">
        <v>1990</v>
      </c>
      <c r="E2" s="4">
        <v>1991</v>
      </c>
      <c r="F2" s="4">
        <v>1992</v>
      </c>
      <c r="G2" s="4">
        <v>1993</v>
      </c>
      <c r="H2" s="4">
        <v>1994</v>
      </c>
      <c r="I2" s="4">
        <v>1995</v>
      </c>
      <c r="J2" s="4">
        <v>1996</v>
      </c>
      <c r="K2" s="4">
        <v>1997</v>
      </c>
      <c r="L2" s="4">
        <v>1998</v>
      </c>
      <c r="M2" s="4">
        <v>1999</v>
      </c>
      <c r="N2" s="4">
        <v>2000</v>
      </c>
      <c r="O2" s="4">
        <v>2001</v>
      </c>
      <c r="P2" s="4">
        <v>2002</v>
      </c>
      <c r="Q2" s="4">
        <v>2003</v>
      </c>
      <c r="R2" s="4">
        <v>2004</v>
      </c>
      <c r="S2" s="4">
        <v>2005</v>
      </c>
      <c r="T2" s="4">
        <v>2006</v>
      </c>
      <c r="U2" s="4">
        <v>2007</v>
      </c>
      <c r="V2" s="4">
        <v>2008</v>
      </c>
      <c r="W2" s="4">
        <v>2009</v>
      </c>
      <c r="X2" s="4">
        <v>2010</v>
      </c>
      <c r="Y2" s="4">
        <v>2011</v>
      </c>
      <c r="Z2" s="4">
        <v>2012</v>
      </c>
      <c r="AA2" s="4">
        <v>2013</v>
      </c>
      <c r="AB2" s="4">
        <v>2014</v>
      </c>
      <c r="AC2" s="4">
        <v>2015</v>
      </c>
      <c r="AD2" s="4">
        <v>2016</v>
      </c>
      <c r="AE2" s="4">
        <v>2017</v>
      </c>
      <c r="AF2" s="4">
        <v>2018</v>
      </c>
      <c r="AG2" s="4">
        <v>2019</v>
      </c>
      <c r="AH2" s="4">
        <v>2020</v>
      </c>
      <c r="AI2" s="4">
        <v>2021</v>
      </c>
      <c r="AJ2" s="4">
        <v>2022</v>
      </c>
      <c r="AK2" s="4">
        <v>2023</v>
      </c>
      <c r="AL2" s="4">
        <v>2024</v>
      </c>
      <c r="AM2" s="4">
        <v>2025</v>
      </c>
      <c r="AN2" s="4">
        <v>2026</v>
      </c>
      <c r="AO2" s="4">
        <v>2027</v>
      </c>
      <c r="AP2" s="4">
        <v>2028</v>
      </c>
      <c r="AQ2" s="4">
        <v>2029</v>
      </c>
      <c r="AR2" s="4">
        <v>2030</v>
      </c>
      <c r="AT2" s="4" t="s">
        <v>44</v>
      </c>
    </row>
    <row r="3" spans="1:47" x14ac:dyDescent="0.35">
      <c r="B3" s="4" t="str">
        <f>Populations!$C$3</f>
        <v>FSW</v>
      </c>
      <c r="C3" s="4" t="s">
        <v>45</v>
      </c>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6" t="s">
        <v>46</v>
      </c>
      <c r="AT3" s="5"/>
    </row>
    <row r="4" spans="1:47" x14ac:dyDescent="0.35">
      <c r="B4" s="4" t="str">
        <f>Populations!$C$3</f>
        <v>FSW</v>
      </c>
      <c r="C4" s="4" t="s">
        <v>47</v>
      </c>
      <c r="D4" s="11">
        <v>29878.488171973782</v>
      </c>
      <c r="E4" s="11">
        <v>30749.388974045945</v>
      </c>
      <c r="F4" s="11">
        <v>31651.936834650311</v>
      </c>
      <c r="G4" s="11">
        <v>32568.203373209948</v>
      </c>
      <c r="H4" s="11">
        <v>33461.762280569252</v>
      </c>
      <c r="I4" s="11">
        <v>34316.926223723407</v>
      </c>
      <c r="J4" s="11">
        <v>34978.047638975906</v>
      </c>
      <c r="K4" s="11">
        <v>35572.779567589256</v>
      </c>
      <c r="L4" s="11">
        <v>36125.501140334149</v>
      </c>
      <c r="M4" s="11">
        <v>36671.747199928686</v>
      </c>
      <c r="N4" s="11">
        <v>37228.827053034824</v>
      </c>
      <c r="O4" s="11">
        <v>37636.734855594819</v>
      </c>
      <c r="P4" s="11">
        <v>38045.397928331055</v>
      </c>
      <c r="Q4" s="11">
        <v>38460.276503173372</v>
      </c>
      <c r="R4" s="11">
        <v>38872.010182527752</v>
      </c>
      <c r="S4" s="11">
        <v>39278.778889084242</v>
      </c>
      <c r="T4" s="11">
        <v>39699.823440119457</v>
      </c>
      <c r="U4" s="11">
        <v>40100.21568535197</v>
      </c>
      <c r="V4" s="11">
        <v>40502.415626416136</v>
      </c>
      <c r="W4" s="11">
        <v>40934.281589484657</v>
      </c>
      <c r="X4" s="11">
        <v>41413.135262697826</v>
      </c>
      <c r="Y4" s="11">
        <v>41981.061290793878</v>
      </c>
      <c r="Z4" s="11">
        <v>42581.748710469037</v>
      </c>
      <c r="AA4" s="11">
        <v>43203.385591426071</v>
      </c>
      <c r="AB4" s="11">
        <v>43839.112594687358</v>
      </c>
      <c r="AC4" s="11">
        <v>44488.706853643496</v>
      </c>
      <c r="AD4" s="11">
        <v>45000</v>
      </c>
      <c r="AE4" s="11">
        <v>45598.359701754955</v>
      </c>
      <c r="AF4" s="11">
        <v>46271.949265654526</v>
      </c>
      <c r="AG4" s="11">
        <v>46991.449351086725</v>
      </c>
      <c r="AH4" s="11">
        <v>47749.443452550462</v>
      </c>
      <c r="AI4" s="11"/>
      <c r="AJ4" s="11"/>
      <c r="AK4" s="11"/>
      <c r="AL4" s="11"/>
      <c r="AM4" s="11"/>
      <c r="AN4" s="11"/>
      <c r="AO4" s="11"/>
      <c r="AP4" s="11"/>
      <c r="AQ4" s="11"/>
      <c r="AR4" s="11"/>
      <c r="AS4" s="6" t="s">
        <v>46</v>
      </c>
      <c r="AT4" s="5"/>
      <c r="AU4" s="23"/>
    </row>
    <row r="5" spans="1:47" x14ac:dyDescent="0.35">
      <c r="B5" s="4" t="str">
        <f>Populations!$C$3</f>
        <v>FSW</v>
      </c>
      <c r="C5" s="4" t="s">
        <v>48</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6" t="s">
        <v>46</v>
      </c>
      <c r="AT5" s="5"/>
    </row>
    <row r="6" spans="1:47" x14ac:dyDescent="0.35">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row>
    <row r="7" spans="1:47" x14ac:dyDescent="0.35">
      <c r="B7" s="4" t="str">
        <f>Populations!$C$4</f>
        <v>Clients</v>
      </c>
      <c r="C7" s="4" t="s">
        <v>45</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6" t="s">
        <v>46</v>
      </c>
      <c r="AT7" s="5"/>
    </row>
    <row r="8" spans="1:47" x14ac:dyDescent="0.35">
      <c r="B8" s="4" t="str">
        <f>Populations!$C$4</f>
        <v>Clients</v>
      </c>
      <c r="C8" s="4" t="s">
        <v>47</v>
      </c>
      <c r="D8" s="11">
        <v>238897.9</v>
      </c>
      <c r="E8" s="11">
        <v>245023</v>
      </c>
      <c r="F8" s="11">
        <v>251284.6</v>
      </c>
      <c r="G8" s="11">
        <v>257582</v>
      </c>
      <c r="H8" s="11">
        <v>263678.2</v>
      </c>
      <c r="I8" s="11">
        <v>269484.40000000002</v>
      </c>
      <c r="J8" s="11">
        <v>273701.3</v>
      </c>
      <c r="K8" s="11">
        <v>277321.2</v>
      </c>
      <c r="L8" s="11">
        <v>280474.5</v>
      </c>
      <c r="M8" s="11">
        <v>283340.79999999999</v>
      </c>
      <c r="N8" s="11">
        <v>286000.2</v>
      </c>
      <c r="O8" s="11">
        <v>286312.8</v>
      </c>
      <c r="P8" s="11">
        <v>286098.09999999998</v>
      </c>
      <c r="Q8" s="11">
        <v>285667.40000000002</v>
      </c>
      <c r="R8" s="11">
        <v>285286.5</v>
      </c>
      <c r="S8" s="11">
        <v>285218.40000000002</v>
      </c>
      <c r="T8" s="11">
        <v>287238.09999999998</v>
      </c>
      <c r="U8" s="11">
        <v>289419</v>
      </c>
      <c r="V8" s="11">
        <v>291854.3</v>
      </c>
      <c r="W8" s="11">
        <v>294578.2</v>
      </c>
      <c r="X8" s="11">
        <v>297574.09999999998</v>
      </c>
      <c r="Y8" s="11">
        <v>300394.3</v>
      </c>
      <c r="Z8" s="11">
        <v>303477.90000000002</v>
      </c>
      <c r="AA8" s="11">
        <v>306770</v>
      </c>
      <c r="AB8" s="11">
        <v>310252.5</v>
      </c>
      <c r="AC8" s="11">
        <v>313966.7</v>
      </c>
      <c r="AD8" s="11">
        <v>317637</v>
      </c>
      <c r="AE8" s="11">
        <v>322150.90000000002</v>
      </c>
      <c r="AF8" s="11">
        <v>327385</v>
      </c>
      <c r="AG8" s="11">
        <v>333060.90000000002</v>
      </c>
      <c r="AH8" s="11">
        <v>339066.2</v>
      </c>
      <c r="AI8" s="11"/>
      <c r="AJ8" s="11"/>
      <c r="AK8" s="11"/>
      <c r="AL8" s="11"/>
      <c r="AM8" s="11"/>
      <c r="AN8" s="11"/>
      <c r="AO8" s="11"/>
      <c r="AP8" s="11"/>
      <c r="AQ8" s="11"/>
      <c r="AR8" s="11"/>
      <c r="AS8" s="6" t="s">
        <v>46</v>
      </c>
      <c r="AT8" s="5"/>
    </row>
    <row r="9" spans="1:47" x14ac:dyDescent="0.35">
      <c r="B9" s="4" t="str">
        <f>Populations!$C$4</f>
        <v>Clients</v>
      </c>
      <c r="C9" s="4" t="s">
        <v>48</v>
      </c>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6" t="s">
        <v>46</v>
      </c>
      <c r="AT9" s="5"/>
    </row>
    <row r="10" spans="1:47" x14ac:dyDescent="0.35">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row>
    <row r="11" spans="1:47" x14ac:dyDescent="0.35">
      <c r="B11" s="4" t="str">
        <f>Populations!$C$5</f>
        <v>MSM</v>
      </c>
      <c r="C11" s="4" t="s">
        <v>45</v>
      </c>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6" t="s">
        <v>46</v>
      </c>
      <c r="AT11" s="5"/>
    </row>
    <row r="12" spans="1:47" x14ac:dyDescent="0.35">
      <c r="B12" s="4" t="str">
        <f>Populations!$C$5</f>
        <v>MSM</v>
      </c>
      <c r="C12" s="4" t="s">
        <v>47</v>
      </c>
      <c r="D12" s="11">
        <v>16497.438456450458</v>
      </c>
      <c r="E12" s="11">
        <v>16920.416056042603</v>
      </c>
      <c r="F12" s="11">
        <v>17352.819859671308</v>
      </c>
      <c r="G12" s="11">
        <v>17787.695883845867</v>
      </c>
      <c r="H12" s="11">
        <v>18208.677752326977</v>
      </c>
      <c r="I12" s="11">
        <v>18609.633253257889</v>
      </c>
      <c r="J12" s="11">
        <v>18900.837354369727</v>
      </c>
      <c r="K12" s="11">
        <v>19150.814760904086</v>
      </c>
      <c r="L12" s="11">
        <v>19368.570432614575</v>
      </c>
      <c r="M12" s="11">
        <v>19566.50690609435</v>
      </c>
      <c r="N12" s="11">
        <v>19750.155602173658</v>
      </c>
      <c r="O12" s="11">
        <v>19771.742645263974</v>
      </c>
      <c r="P12" s="11">
        <v>19756.916227632846</v>
      </c>
      <c r="Q12" s="11">
        <v>19727.173618998808</v>
      </c>
      <c r="R12" s="11">
        <v>19700.870021068218</v>
      </c>
      <c r="S12" s="11">
        <v>19696.167277515913</v>
      </c>
      <c r="T12" s="11">
        <v>19835.640569037074</v>
      </c>
      <c r="U12" s="11">
        <v>19986.245758658551</v>
      </c>
      <c r="V12" s="11">
        <v>20154.41890657234</v>
      </c>
      <c r="W12" s="11">
        <v>20342.52174302057</v>
      </c>
      <c r="X12" s="11">
        <v>20549.407931102091</v>
      </c>
      <c r="Y12" s="11">
        <v>20744.160902705782</v>
      </c>
      <c r="Z12" s="11">
        <v>20957.103340560239</v>
      </c>
      <c r="AA12" s="11">
        <v>21184.444046118893</v>
      </c>
      <c r="AB12" s="11">
        <v>21424.933097820849</v>
      </c>
      <c r="AC12" s="11">
        <v>21681.422526631017</v>
      </c>
      <c r="AD12" s="11">
        <v>21934.880377732719</v>
      </c>
      <c r="AE12" s="11">
        <v>22246.594241473555</v>
      </c>
      <c r="AF12" s="11">
        <v>22608.042553178711</v>
      </c>
      <c r="AG12" s="11">
        <v>23000</v>
      </c>
      <c r="AH12" s="11">
        <v>23414.70463810072</v>
      </c>
      <c r="AI12" s="11"/>
      <c r="AJ12" s="11"/>
      <c r="AK12" s="11"/>
      <c r="AL12" s="11"/>
      <c r="AM12" s="11"/>
      <c r="AN12" s="11"/>
      <c r="AO12" s="11"/>
      <c r="AP12" s="11"/>
      <c r="AQ12" s="11"/>
      <c r="AR12" s="11"/>
      <c r="AS12" s="6" t="s">
        <v>46</v>
      </c>
      <c r="AT12" s="5"/>
      <c r="AU12" s="23"/>
    </row>
    <row r="13" spans="1:47" x14ac:dyDescent="0.35">
      <c r="B13" s="4" t="str">
        <f>Populations!$C$5</f>
        <v>MSM</v>
      </c>
      <c r="C13" s="4" t="s">
        <v>48</v>
      </c>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6" t="s">
        <v>46</v>
      </c>
      <c r="AT13" s="5"/>
    </row>
    <row r="14" spans="1:47" x14ac:dyDescent="0.35">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row>
    <row r="15" spans="1:47" x14ac:dyDescent="0.35">
      <c r="B15" s="4" t="str">
        <f>Populations!$C$6</f>
        <v>Prisoners</v>
      </c>
      <c r="C15" s="4" t="s">
        <v>45</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6" t="s">
        <v>46</v>
      </c>
      <c r="AT15" s="5"/>
    </row>
    <row r="16" spans="1:47" x14ac:dyDescent="0.35">
      <c r="B16" s="4" t="str">
        <f>Populations!$C$6</f>
        <v>Prisoners</v>
      </c>
      <c r="C16" s="4" t="s">
        <v>47</v>
      </c>
      <c r="D16" s="11">
        <v>13628.318724893854</v>
      </c>
      <c r="E16" s="11">
        <v>13977.735002817803</v>
      </c>
      <c r="F16" s="11">
        <v>14334.938144945863</v>
      </c>
      <c r="G16" s="11">
        <v>14694.183556220498</v>
      </c>
      <c r="H16" s="11">
        <v>15041.951186704893</v>
      </c>
      <c r="I16" s="11">
        <v>15373.175296169558</v>
      </c>
      <c r="J16" s="11">
        <v>15613.735205783685</v>
      </c>
      <c r="K16" s="11">
        <v>15820.238280746853</v>
      </c>
      <c r="L16" s="11">
        <v>16000.123400855518</v>
      </c>
      <c r="M16" s="11">
        <v>16163.636139817072</v>
      </c>
      <c r="N16" s="11">
        <v>16315.345932230412</v>
      </c>
      <c r="O16" s="11">
        <v>16333.178706957195</v>
      </c>
      <c r="P16" s="11">
        <v>16320.930796740175</v>
      </c>
      <c r="Q16" s="11">
        <v>16296.360815694667</v>
      </c>
      <c r="R16" s="11">
        <v>16274.631756534614</v>
      </c>
      <c r="S16" s="11">
        <v>16270.746881426188</v>
      </c>
      <c r="T16" s="11">
        <v>16385.963948334975</v>
      </c>
      <c r="U16" s="11">
        <v>16510.376931065759</v>
      </c>
      <c r="V16" s="11">
        <v>16649.302574994541</v>
      </c>
      <c r="W16" s="11">
        <v>16804.691874669166</v>
      </c>
      <c r="X16" s="11">
        <v>16975.597856127813</v>
      </c>
      <c r="Y16" s="11">
        <v>17136.48074571347</v>
      </c>
      <c r="Z16" s="11">
        <v>17312.38971611498</v>
      </c>
      <c r="AA16" s="11">
        <v>17500.192907663433</v>
      </c>
      <c r="AB16" s="11">
        <v>17698.8577764607</v>
      </c>
      <c r="AC16" s="11">
        <v>17910.740348086489</v>
      </c>
      <c r="AD16" s="11">
        <v>18120.118572909636</v>
      </c>
      <c r="AE16" s="11">
        <v>18377.621329912938</v>
      </c>
      <c r="AF16" s="11">
        <v>18676.209065669369</v>
      </c>
      <c r="AG16" s="11">
        <v>19000</v>
      </c>
      <c r="AH16" s="11">
        <v>19342.58209234407</v>
      </c>
      <c r="AI16" s="11"/>
      <c r="AJ16" s="11"/>
      <c r="AK16" s="11"/>
      <c r="AL16" s="11"/>
      <c r="AM16" s="11"/>
      <c r="AN16" s="11"/>
      <c r="AO16" s="11"/>
      <c r="AP16" s="11"/>
      <c r="AQ16" s="11"/>
      <c r="AR16" s="11"/>
      <c r="AS16" s="6" t="s">
        <v>46</v>
      </c>
      <c r="AT16" s="5"/>
    </row>
    <row r="17" spans="2:51" x14ac:dyDescent="0.35">
      <c r="B17" s="4" t="str">
        <f>Populations!$C$6</f>
        <v>Prisoners</v>
      </c>
      <c r="C17" s="4" t="s">
        <v>48</v>
      </c>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6" t="s">
        <v>46</v>
      </c>
      <c r="AT17" s="5"/>
    </row>
    <row r="18" spans="2:51" x14ac:dyDescent="0.35">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row>
    <row r="19" spans="2:51" x14ac:dyDescent="0.35">
      <c r="B19" s="4" t="str">
        <f>Populations!$C$7</f>
        <v>F0-14</v>
      </c>
      <c r="C19" s="4" t="s">
        <v>45</v>
      </c>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6" t="s">
        <v>46</v>
      </c>
      <c r="AT19" s="5"/>
    </row>
    <row r="20" spans="2:51" x14ac:dyDescent="0.35">
      <c r="B20" s="4" t="str">
        <f>Populations!$C$7</f>
        <v>F0-14</v>
      </c>
      <c r="C20" s="4" t="s">
        <v>47</v>
      </c>
      <c r="D20" s="11">
        <v>2368753</v>
      </c>
      <c r="E20" s="11">
        <v>2413511.9999999995</v>
      </c>
      <c r="F20" s="11">
        <v>2442145</v>
      </c>
      <c r="G20" s="11">
        <v>2457625</v>
      </c>
      <c r="H20" s="11">
        <v>2465823</v>
      </c>
      <c r="I20" s="11">
        <v>2470048</v>
      </c>
      <c r="J20" s="11">
        <v>2478935</v>
      </c>
      <c r="K20" s="11">
        <v>2486884</v>
      </c>
      <c r="L20" s="11">
        <v>2492049.9999999995</v>
      </c>
      <c r="M20" s="11">
        <v>2491462</v>
      </c>
      <c r="N20" s="11">
        <v>2484619</v>
      </c>
      <c r="O20" s="11">
        <v>2486313</v>
      </c>
      <c r="P20" s="11">
        <v>2484854</v>
      </c>
      <c r="Q20" s="11">
        <v>2482683</v>
      </c>
      <c r="R20" s="11">
        <v>2484221.9999999995</v>
      </c>
      <c r="S20" s="11">
        <v>2492395</v>
      </c>
      <c r="T20" s="11">
        <v>2504946</v>
      </c>
      <c r="U20" s="11">
        <v>2525424.9999999995</v>
      </c>
      <c r="V20" s="11">
        <v>2554341.0000000005</v>
      </c>
      <c r="W20" s="11">
        <v>2592057.0000000005</v>
      </c>
      <c r="X20" s="11">
        <v>2638833</v>
      </c>
      <c r="Y20" s="11">
        <v>2689961</v>
      </c>
      <c r="Z20" s="11">
        <v>2750125</v>
      </c>
      <c r="AA20" s="11">
        <v>2814987</v>
      </c>
      <c r="AB20" s="11">
        <v>2877484.9999999995</v>
      </c>
      <c r="AC20" s="11">
        <v>2932136</v>
      </c>
      <c r="AD20" s="11">
        <v>2986017.0000000005</v>
      </c>
      <c r="AE20" s="11">
        <v>3024093</v>
      </c>
      <c r="AF20" s="11">
        <v>3051209</v>
      </c>
      <c r="AG20" s="11">
        <v>3075752</v>
      </c>
      <c r="AH20" s="11">
        <v>3102450</v>
      </c>
      <c r="AI20" s="11"/>
      <c r="AJ20" s="11"/>
      <c r="AK20" s="11"/>
      <c r="AL20" s="11"/>
      <c r="AM20" s="11"/>
      <c r="AN20" s="11"/>
      <c r="AO20" s="11"/>
      <c r="AP20" s="11"/>
      <c r="AQ20" s="11"/>
      <c r="AR20" s="11"/>
      <c r="AS20" s="6" t="s">
        <v>46</v>
      </c>
      <c r="AT20" s="5"/>
      <c r="AV20" s="12"/>
      <c r="AW20" s="18"/>
      <c r="AX20" s="12"/>
      <c r="AY20" s="12"/>
    </row>
    <row r="21" spans="2:51" x14ac:dyDescent="0.35">
      <c r="B21" s="4" t="str">
        <f>Populations!$C$7</f>
        <v>F0-14</v>
      </c>
      <c r="C21" s="4" t="s">
        <v>48</v>
      </c>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6" t="s">
        <v>46</v>
      </c>
      <c r="AT21" s="5"/>
      <c r="AX21" s="12"/>
      <c r="AY21" s="12"/>
    </row>
    <row r="22" spans="2:51" x14ac:dyDescent="0.35">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row>
    <row r="23" spans="2:51" x14ac:dyDescent="0.35">
      <c r="B23" s="4" t="str">
        <f>Populations!$C$8</f>
        <v>M0-14</v>
      </c>
      <c r="C23" s="4" t="s">
        <v>45</v>
      </c>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6" t="s">
        <v>46</v>
      </c>
      <c r="AT23" s="5"/>
    </row>
    <row r="24" spans="2:51" x14ac:dyDescent="0.35">
      <c r="B24" s="4" t="str">
        <f>Populations!$C$8</f>
        <v>M0-14</v>
      </c>
      <c r="C24" s="4" t="s">
        <v>47</v>
      </c>
      <c r="D24" s="11">
        <v>2400249</v>
      </c>
      <c r="E24" s="11">
        <v>2447659</v>
      </c>
      <c r="F24" s="11">
        <v>2477404</v>
      </c>
      <c r="G24" s="11">
        <v>2492756.0000000005</v>
      </c>
      <c r="H24" s="11">
        <v>2500106</v>
      </c>
      <c r="I24" s="11">
        <v>2503062</v>
      </c>
      <c r="J24" s="11">
        <v>2512893</v>
      </c>
      <c r="K24" s="11">
        <v>2522511</v>
      </c>
      <c r="L24" s="11">
        <v>2528471</v>
      </c>
      <c r="M24" s="11">
        <v>2525874</v>
      </c>
      <c r="N24" s="11">
        <v>2513172</v>
      </c>
      <c r="O24" s="11">
        <v>2508499</v>
      </c>
      <c r="P24" s="11">
        <v>2499438</v>
      </c>
      <c r="Q24" s="11">
        <v>2490572</v>
      </c>
      <c r="R24" s="11">
        <v>2489457.0000000005</v>
      </c>
      <c r="S24" s="11">
        <v>2500951</v>
      </c>
      <c r="T24" s="11">
        <v>2504718</v>
      </c>
      <c r="U24" s="11">
        <v>2522922</v>
      </c>
      <c r="V24" s="11">
        <v>2553813</v>
      </c>
      <c r="W24" s="11">
        <v>2594912</v>
      </c>
      <c r="X24" s="11">
        <v>2644665</v>
      </c>
      <c r="Y24" s="11">
        <v>2697491</v>
      </c>
      <c r="Z24" s="11">
        <v>2758005</v>
      </c>
      <c r="AA24" s="11">
        <v>2822877</v>
      </c>
      <c r="AB24" s="11">
        <v>2887058.0000000005</v>
      </c>
      <c r="AC24" s="11">
        <v>2946315</v>
      </c>
      <c r="AD24" s="11">
        <v>2999900</v>
      </c>
      <c r="AE24" s="11">
        <v>3040251</v>
      </c>
      <c r="AF24" s="11">
        <v>3070918</v>
      </c>
      <c r="AG24" s="11">
        <v>3098483</v>
      </c>
      <c r="AH24" s="11">
        <v>3126770</v>
      </c>
      <c r="AI24" s="11"/>
      <c r="AJ24" s="11"/>
      <c r="AK24" s="11"/>
      <c r="AL24" s="11"/>
      <c r="AM24" s="11"/>
      <c r="AN24" s="11"/>
      <c r="AO24" s="11"/>
      <c r="AP24" s="11"/>
      <c r="AQ24" s="11"/>
      <c r="AR24" s="11"/>
      <c r="AS24" s="6" t="s">
        <v>46</v>
      </c>
      <c r="AT24" s="5"/>
      <c r="AU24" s="12"/>
      <c r="AV24" s="19"/>
    </row>
    <row r="25" spans="2:51" x14ac:dyDescent="0.35">
      <c r="B25" s="4" t="str">
        <f>Populations!$C$8</f>
        <v>M0-14</v>
      </c>
      <c r="C25" s="4" t="s">
        <v>48</v>
      </c>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6" t="s">
        <v>46</v>
      </c>
      <c r="AT25" s="5"/>
    </row>
    <row r="26" spans="2:51" x14ac:dyDescent="0.35">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row>
    <row r="27" spans="2:51" x14ac:dyDescent="0.35">
      <c r="B27" s="4" t="str">
        <f>Populations!$C$9</f>
        <v>F15-19</v>
      </c>
      <c r="C27" s="4" t="s">
        <v>45</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6" t="s">
        <v>46</v>
      </c>
      <c r="AT27" s="5"/>
    </row>
    <row r="28" spans="2:51" x14ac:dyDescent="0.35">
      <c r="B28" s="4" t="str">
        <f>Populations!$C$9</f>
        <v>F15-19</v>
      </c>
      <c r="C28" s="4" t="s">
        <v>47</v>
      </c>
      <c r="D28" s="11">
        <v>587502.65476724063</v>
      </c>
      <c r="E28" s="11">
        <v>607376.50227943016</v>
      </c>
      <c r="F28" s="11">
        <v>630307.02911628434</v>
      </c>
      <c r="G28" s="11">
        <v>654353.56488266075</v>
      </c>
      <c r="H28" s="11">
        <v>676181.90944929665</v>
      </c>
      <c r="I28" s="11">
        <v>693737.8162910539</v>
      </c>
      <c r="J28" s="11">
        <v>707100.2948896687</v>
      </c>
      <c r="K28" s="11">
        <v>716329.58997496462</v>
      </c>
      <c r="L28" s="11">
        <v>723375.26050877967</v>
      </c>
      <c r="M28" s="11">
        <v>731466.81905707612</v>
      </c>
      <c r="N28" s="11">
        <v>742177.54192492366</v>
      </c>
      <c r="O28" s="11">
        <v>747884.00174331211</v>
      </c>
      <c r="P28" s="11">
        <v>757891.54022370849</v>
      </c>
      <c r="Q28" s="11">
        <v>770215.04413749382</v>
      </c>
      <c r="R28" s="11">
        <v>781332.66583628219</v>
      </c>
      <c r="S28" s="11">
        <v>788983.74652389996</v>
      </c>
      <c r="T28" s="11">
        <v>784196.75954921509</v>
      </c>
      <c r="U28" s="11">
        <v>776239.51711987006</v>
      </c>
      <c r="V28" s="11">
        <v>767251.20095386903</v>
      </c>
      <c r="W28" s="11">
        <v>760356.63605387427</v>
      </c>
      <c r="X28" s="11">
        <v>757457.97569268185</v>
      </c>
      <c r="Y28" s="11">
        <v>748162.51016643178</v>
      </c>
      <c r="Z28" s="11">
        <v>743996.73524189694</v>
      </c>
      <c r="AA28" s="11">
        <v>744540.9130473542</v>
      </c>
      <c r="AB28" s="11">
        <v>748725.45272380137</v>
      </c>
      <c r="AC28" s="11">
        <v>755621.00524231791</v>
      </c>
      <c r="AD28" s="11">
        <v>757360.20145903341</v>
      </c>
      <c r="AE28" s="11">
        <v>763832.06563174014</v>
      </c>
      <c r="AF28" s="11">
        <v>775237.08432034357</v>
      </c>
      <c r="AG28" s="11">
        <v>791469.58234302141</v>
      </c>
      <c r="AH28" s="11">
        <v>812009.08473883744</v>
      </c>
      <c r="AI28" s="11"/>
      <c r="AJ28" s="11"/>
      <c r="AK28" s="11"/>
      <c r="AL28" s="11"/>
      <c r="AM28" s="11"/>
      <c r="AN28" s="11"/>
      <c r="AO28" s="11"/>
      <c r="AP28" s="11"/>
      <c r="AQ28" s="11"/>
      <c r="AR28" s="11"/>
      <c r="AS28" s="6" t="s">
        <v>46</v>
      </c>
      <c r="AT28" s="5"/>
    </row>
    <row r="29" spans="2:51" x14ac:dyDescent="0.35">
      <c r="B29" s="4" t="str">
        <f>Populations!$C$9</f>
        <v>F15-19</v>
      </c>
      <c r="C29" s="4" t="s">
        <v>48</v>
      </c>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6" t="s">
        <v>46</v>
      </c>
      <c r="AT29" s="5"/>
    </row>
    <row r="30" spans="2:51" x14ac:dyDescent="0.35">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row>
    <row r="31" spans="2:51" x14ac:dyDescent="0.35">
      <c r="B31" s="4" t="str">
        <f>Populations!$C$10</f>
        <v>M15-19</v>
      </c>
      <c r="C31" s="4" t="s">
        <v>45</v>
      </c>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6" t="s">
        <v>46</v>
      </c>
      <c r="AT31" s="5"/>
    </row>
    <row r="32" spans="2:51" x14ac:dyDescent="0.35">
      <c r="B32" s="4" t="str">
        <f>Populations!$C$10</f>
        <v>M15-19</v>
      </c>
      <c r="C32" s="4" t="s">
        <v>47</v>
      </c>
      <c r="D32" s="11">
        <v>531791.34601978189</v>
      </c>
      <c r="E32" s="11">
        <v>549099.88199338317</v>
      </c>
      <c r="F32" s="11">
        <v>569112.29436337319</v>
      </c>
      <c r="G32" s="11">
        <v>590178.03829966229</v>
      </c>
      <c r="H32" s="11">
        <v>609363.40347522032</v>
      </c>
      <c r="I32" s="11">
        <v>624805.75892318797</v>
      </c>
      <c r="J32" s="11">
        <v>634371.819820159</v>
      </c>
      <c r="K32" s="11">
        <v>640728.19219539128</v>
      </c>
      <c r="L32" s="11">
        <v>645829.79554387799</v>
      </c>
      <c r="M32" s="11">
        <v>652183.50575002946</v>
      </c>
      <c r="N32" s="11">
        <v>660611.0456701162</v>
      </c>
      <c r="O32" s="11">
        <v>658289.6342316675</v>
      </c>
      <c r="P32" s="11">
        <v>659973.89987011382</v>
      </c>
      <c r="Q32" s="11">
        <v>664913.11090467242</v>
      </c>
      <c r="R32" s="11">
        <v>670949.13560051634</v>
      </c>
      <c r="S32" s="11">
        <v>676675.46129329503</v>
      </c>
      <c r="T32" s="11">
        <v>668144.09677905752</v>
      </c>
      <c r="U32" s="11">
        <v>658783.02290130721</v>
      </c>
      <c r="V32" s="11">
        <v>651029.01175866032</v>
      </c>
      <c r="W32" s="11">
        <v>647094.32585725316</v>
      </c>
      <c r="X32" s="11">
        <v>647703.0751870604</v>
      </c>
      <c r="Y32" s="11">
        <v>640964.23785388796</v>
      </c>
      <c r="Z32" s="11">
        <v>639683.73452602816</v>
      </c>
      <c r="AA32" s="11">
        <v>643484.42458370223</v>
      </c>
      <c r="AB32" s="11">
        <v>651249.08440267225</v>
      </c>
      <c r="AC32" s="11">
        <v>661868.47686594259</v>
      </c>
      <c r="AD32" s="11">
        <v>666252.18195230956</v>
      </c>
      <c r="AE32" s="11">
        <v>674440.12665512529</v>
      </c>
      <c r="AF32" s="11">
        <v>686837.848064363</v>
      </c>
      <c r="AG32" s="11">
        <v>703739.07216860342</v>
      </c>
      <c r="AH32" s="11">
        <v>724736.48709848558</v>
      </c>
      <c r="AI32" s="11"/>
      <c r="AJ32" s="11"/>
      <c r="AK32" s="11"/>
      <c r="AL32" s="11"/>
      <c r="AM32" s="11"/>
      <c r="AN32" s="11"/>
      <c r="AO32" s="11"/>
      <c r="AP32" s="11"/>
      <c r="AQ32" s="11"/>
      <c r="AR32" s="11"/>
      <c r="AS32" s="6" t="s">
        <v>46</v>
      </c>
      <c r="AT32" s="5"/>
    </row>
    <row r="33" spans="2:47" x14ac:dyDescent="0.35">
      <c r="B33" s="4" t="str">
        <f>Populations!$C$10</f>
        <v>M15-19</v>
      </c>
      <c r="C33" s="4" t="s">
        <v>48</v>
      </c>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6" t="s">
        <v>46</v>
      </c>
      <c r="AT33" s="5"/>
    </row>
    <row r="34" spans="2:47" x14ac:dyDescent="0.35">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row>
    <row r="35" spans="2:47" x14ac:dyDescent="0.35">
      <c r="B35" s="4" t="str">
        <f>Populations!$C$11</f>
        <v>F20-24</v>
      </c>
      <c r="C35" s="4" t="s">
        <v>45</v>
      </c>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6" t="s">
        <v>46</v>
      </c>
      <c r="AT35" s="5"/>
    </row>
    <row r="36" spans="2:47" x14ac:dyDescent="0.35">
      <c r="B36" s="4" t="str">
        <f>Populations!$C$11</f>
        <v>F20-24</v>
      </c>
      <c r="C36" s="4" t="s">
        <v>47</v>
      </c>
      <c r="D36" s="11">
        <v>489207.94615790347</v>
      </c>
      <c r="E36" s="11">
        <v>500267.29836391145</v>
      </c>
      <c r="F36" s="11">
        <v>512299.45481379493</v>
      </c>
      <c r="G36" s="11">
        <v>525660.94579388807</v>
      </c>
      <c r="H36" s="11">
        <v>540652.00733478775</v>
      </c>
      <c r="I36" s="11">
        <v>557480.03932605137</v>
      </c>
      <c r="J36" s="11">
        <v>573182.1862025758</v>
      </c>
      <c r="K36" s="11">
        <v>591572.63069517049</v>
      </c>
      <c r="L36" s="11">
        <v>611496.84675196675</v>
      </c>
      <c r="M36" s="11">
        <v>630834.41740687273</v>
      </c>
      <c r="N36" s="11">
        <v>648053.54633272998</v>
      </c>
      <c r="O36" s="11">
        <v>652955.09705593204</v>
      </c>
      <c r="P36" s="11">
        <v>655543.6452013104</v>
      </c>
      <c r="Q36" s="11">
        <v>658319.84086581203</v>
      </c>
      <c r="R36" s="11">
        <v>664100.37207332812</v>
      </c>
      <c r="S36" s="11">
        <v>674251.11523937108</v>
      </c>
      <c r="T36" s="11">
        <v>682467.1137214019</v>
      </c>
      <c r="U36" s="11">
        <v>693063.27284073213</v>
      </c>
      <c r="V36" s="11">
        <v>704588.780988983</v>
      </c>
      <c r="W36" s="11">
        <v>714439.28812442895</v>
      </c>
      <c r="X36" s="11">
        <v>721104.72552738909</v>
      </c>
      <c r="Y36" s="11">
        <v>715951.33208115317</v>
      </c>
      <c r="Z36" s="11">
        <v>707456.82517600269</v>
      </c>
      <c r="AA36" s="11">
        <v>697961.86070836917</v>
      </c>
      <c r="AB36" s="11">
        <v>690451.02185083285</v>
      </c>
      <c r="AC36" s="11">
        <v>686790.90760940895</v>
      </c>
      <c r="AD36" s="11">
        <v>679676.10377907485</v>
      </c>
      <c r="AE36" s="11">
        <v>677426.30878663994</v>
      </c>
      <c r="AF36" s="11">
        <v>680356.57294052676</v>
      </c>
      <c r="AG36" s="11">
        <v>687188.9178736544</v>
      </c>
      <c r="AH36" s="11">
        <v>696949.55172362563</v>
      </c>
      <c r="AI36" s="11"/>
      <c r="AJ36" s="11"/>
      <c r="AK36" s="11"/>
      <c r="AL36" s="11"/>
      <c r="AM36" s="11"/>
      <c r="AN36" s="11"/>
      <c r="AO36" s="11"/>
      <c r="AP36" s="11"/>
      <c r="AQ36" s="11"/>
      <c r="AR36" s="11"/>
      <c r="AS36" s="6" t="s">
        <v>46</v>
      </c>
      <c r="AT36" s="5"/>
    </row>
    <row r="37" spans="2:47" x14ac:dyDescent="0.35">
      <c r="B37" s="4" t="str">
        <f>Populations!$C$11</f>
        <v>F20-24</v>
      </c>
      <c r="C37" s="4" t="s">
        <v>48</v>
      </c>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6" t="s">
        <v>46</v>
      </c>
      <c r="AT37" s="5"/>
    </row>
    <row r="38" spans="2:47" x14ac:dyDescent="0.35">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row>
    <row r="39" spans="2:47" x14ac:dyDescent="0.35">
      <c r="B39" s="4" t="str">
        <f>Populations!$C$12</f>
        <v>M20-24</v>
      </c>
      <c r="C39" s="4" t="s">
        <v>45</v>
      </c>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6" t="s">
        <v>46</v>
      </c>
      <c r="AT39" s="5"/>
    </row>
    <row r="40" spans="2:47" x14ac:dyDescent="0.35">
      <c r="B40" s="4" t="str">
        <f>Populations!$C$12</f>
        <v>M20-24</v>
      </c>
      <c r="C40" s="4" t="s">
        <v>47</v>
      </c>
      <c r="D40" s="11">
        <v>441171.11050969956</v>
      </c>
      <c r="E40" s="11">
        <v>450246.44490611175</v>
      </c>
      <c r="F40" s="11">
        <v>459966.02422007505</v>
      </c>
      <c r="G40" s="11">
        <v>470763.78201175819</v>
      </c>
      <c r="H40" s="11">
        <v>483063.00316500675</v>
      </c>
      <c r="I40" s="11">
        <v>497166.28756533714</v>
      </c>
      <c r="J40" s="11">
        <v>510052.96069574665</v>
      </c>
      <c r="K40" s="11">
        <v>524385.19163702498</v>
      </c>
      <c r="L40" s="11">
        <v>538996.06294209254</v>
      </c>
      <c r="M40" s="11">
        <v>552155.16470843623</v>
      </c>
      <c r="N40" s="11">
        <v>563007.94066112232</v>
      </c>
      <c r="O40" s="11">
        <v>559101.6512299102</v>
      </c>
      <c r="P40" s="11">
        <v>552633.46775328473</v>
      </c>
      <c r="Q40" s="11">
        <v>546467.8841621757</v>
      </c>
      <c r="R40" s="11">
        <v>543789.74206690129</v>
      </c>
      <c r="S40" s="11">
        <v>546570.82136663294</v>
      </c>
      <c r="T40" s="11">
        <v>552497.69713016448</v>
      </c>
      <c r="U40" s="11">
        <v>559625.21114913223</v>
      </c>
      <c r="V40" s="11">
        <v>566499.81910542492</v>
      </c>
      <c r="W40" s="11">
        <v>571243.80440739216</v>
      </c>
      <c r="X40" s="11">
        <v>573534.15720656491</v>
      </c>
      <c r="Y40" s="11">
        <v>566481.18392185937</v>
      </c>
      <c r="Z40" s="11">
        <v>558809.70002071687</v>
      </c>
      <c r="AA40" s="11">
        <v>552657.4272750119</v>
      </c>
      <c r="AB40" s="11">
        <v>549924.26701873448</v>
      </c>
      <c r="AC40" s="11">
        <v>551624.50567166542</v>
      </c>
      <c r="AD40" s="11">
        <v>551865.87566832372</v>
      </c>
      <c r="AE40" s="11">
        <v>556966.5916271169</v>
      </c>
      <c r="AF40" s="11">
        <v>567234.5777717228</v>
      </c>
      <c r="AG40" s="11">
        <v>580920.78901606286</v>
      </c>
      <c r="AH40" s="11">
        <v>596451.88343339006</v>
      </c>
      <c r="AI40" s="11"/>
      <c r="AJ40" s="11"/>
      <c r="AK40" s="11"/>
      <c r="AL40" s="11"/>
      <c r="AM40" s="11"/>
      <c r="AN40" s="11"/>
      <c r="AO40" s="11"/>
      <c r="AP40" s="11"/>
      <c r="AQ40" s="11"/>
      <c r="AR40" s="11"/>
      <c r="AS40" s="6" t="s">
        <v>46</v>
      </c>
      <c r="AT40" s="5"/>
    </row>
    <row r="41" spans="2:47" x14ac:dyDescent="0.35">
      <c r="B41" s="4" t="str">
        <f>Populations!$C$12</f>
        <v>M20-24</v>
      </c>
      <c r="C41" s="4" t="s">
        <v>48</v>
      </c>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6" t="s">
        <v>46</v>
      </c>
      <c r="AT41" s="5"/>
    </row>
    <row r="42" spans="2:47" x14ac:dyDescent="0.35">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row>
    <row r="43" spans="2:47" x14ac:dyDescent="0.35">
      <c r="B43" s="4" t="str">
        <f>Populations!$C$13</f>
        <v>F25-34</v>
      </c>
      <c r="C43" s="4" t="s">
        <v>45</v>
      </c>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6" t="s">
        <v>46</v>
      </c>
      <c r="AT43" s="5"/>
    </row>
    <row r="44" spans="2:47" x14ac:dyDescent="0.35">
      <c r="B44" s="4" t="str">
        <f>Populations!$C$13</f>
        <v>F25-34</v>
      </c>
      <c r="C44" s="4" t="s">
        <v>47</v>
      </c>
      <c r="D44" s="11">
        <v>732823.80690589338</v>
      </c>
      <c r="E44" s="11">
        <v>750742.16974511486</v>
      </c>
      <c r="F44" s="11">
        <v>768597.32499894756</v>
      </c>
      <c r="G44" s="11">
        <v>786016.94048471015</v>
      </c>
      <c r="H44" s="11">
        <v>802299.80705199484</v>
      </c>
      <c r="I44" s="11">
        <v>817492.34277132154</v>
      </c>
      <c r="J44" s="11">
        <v>824319.7496118407</v>
      </c>
      <c r="K44" s="11">
        <v>829512.64779894461</v>
      </c>
      <c r="L44" s="11">
        <v>835205.28095802921</v>
      </c>
      <c r="M44" s="11">
        <v>844323.96276889474</v>
      </c>
      <c r="N44" s="11">
        <v>858729.36652642582</v>
      </c>
      <c r="O44" s="11">
        <v>874350.52868417068</v>
      </c>
      <c r="P44" s="11">
        <v>891698.0480178491</v>
      </c>
      <c r="Q44" s="11">
        <v>909685.54415358964</v>
      </c>
      <c r="R44" s="11">
        <v>927090.34536152694</v>
      </c>
      <c r="S44" s="11">
        <v>943961.83256774524</v>
      </c>
      <c r="T44" s="11">
        <v>967125.43737572094</v>
      </c>
      <c r="U44" s="11">
        <v>989291.54747677851</v>
      </c>
      <c r="V44" s="11">
        <v>1010767.3122311672</v>
      </c>
      <c r="W44" s="11">
        <v>1032343.8140747693</v>
      </c>
      <c r="X44" s="11">
        <v>1054682.7574171245</v>
      </c>
      <c r="Y44" s="11">
        <v>1083853.0580740857</v>
      </c>
      <c r="Z44" s="11">
        <v>1109536.0777309209</v>
      </c>
      <c r="AA44" s="11">
        <v>1129907.6849780474</v>
      </c>
      <c r="AB44" s="11">
        <v>1144089.8869496742</v>
      </c>
      <c r="AC44" s="11">
        <v>1152596.2452770849</v>
      </c>
      <c r="AD44" s="11">
        <v>1160492.2553580848</v>
      </c>
      <c r="AE44" s="11">
        <v>1164725.1883420954</v>
      </c>
      <c r="AF44" s="11">
        <v>1164382.484715065</v>
      </c>
      <c r="AG44" s="11">
        <v>1159460.1940029073</v>
      </c>
      <c r="AH44" s="11">
        <v>1151723.1905039013</v>
      </c>
      <c r="AI44" s="11"/>
      <c r="AJ44" s="11"/>
      <c r="AK44" s="11"/>
      <c r="AL44" s="11"/>
      <c r="AM44" s="11"/>
      <c r="AN44" s="11"/>
      <c r="AO44" s="11"/>
      <c r="AP44" s="11"/>
      <c r="AQ44" s="11"/>
      <c r="AR44" s="11"/>
      <c r="AS44" s="6" t="s">
        <v>46</v>
      </c>
      <c r="AT44" s="5"/>
      <c r="AU44" s="18"/>
    </row>
    <row r="45" spans="2:47" x14ac:dyDescent="0.35">
      <c r="B45" s="4" t="str">
        <f>Populations!$C$13</f>
        <v>F25-34</v>
      </c>
      <c r="C45" s="4" t="s">
        <v>48</v>
      </c>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6" t="s">
        <v>46</v>
      </c>
      <c r="AT45" s="5"/>
    </row>
    <row r="46" spans="2:47" x14ac:dyDescent="0.35">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row>
    <row r="47" spans="2:47" x14ac:dyDescent="0.35">
      <c r="B47" s="4" t="str">
        <f>Populations!$C$14</f>
        <v>M25-34</v>
      </c>
      <c r="C47" s="4" t="s">
        <v>45</v>
      </c>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6" t="s">
        <v>46</v>
      </c>
      <c r="AT47" s="5"/>
    </row>
    <row r="48" spans="2:47" x14ac:dyDescent="0.35">
      <c r="B48" s="4" t="str">
        <f>Populations!$C$14</f>
        <v>M25-34</v>
      </c>
      <c r="C48" s="4" t="s">
        <v>47</v>
      </c>
      <c r="D48" s="11">
        <v>651494.00395810499</v>
      </c>
      <c r="E48" s="11">
        <v>666072.04184450954</v>
      </c>
      <c r="F48" s="11">
        <v>680191.29925932467</v>
      </c>
      <c r="G48" s="11">
        <v>693560.71238305082</v>
      </c>
      <c r="H48" s="11">
        <v>705702.86556053266</v>
      </c>
      <c r="I48" s="11">
        <v>716771.27720876271</v>
      </c>
      <c r="J48" s="11">
        <v>722513.57591602614</v>
      </c>
      <c r="K48" s="11">
        <v>726896.39361269982</v>
      </c>
      <c r="L48" s="11">
        <v>731216.20664112782</v>
      </c>
      <c r="M48" s="11">
        <v>737236.25832248689</v>
      </c>
      <c r="N48" s="11">
        <v>745813.76710079156</v>
      </c>
      <c r="O48" s="11">
        <v>750475.22516125429</v>
      </c>
      <c r="P48" s="11">
        <v>752292.59925374005</v>
      </c>
      <c r="Q48" s="11">
        <v>751036.94283730094</v>
      </c>
      <c r="R48" s="11">
        <v>747218.50498575473</v>
      </c>
      <c r="S48" s="11">
        <v>742278.40656150272</v>
      </c>
      <c r="T48" s="11">
        <v>757230.92289860512</v>
      </c>
      <c r="U48" s="11">
        <v>772554.36812763067</v>
      </c>
      <c r="V48" s="11">
        <v>787691.46152100107</v>
      </c>
      <c r="W48" s="11">
        <v>802206.49473916041</v>
      </c>
      <c r="X48" s="11">
        <v>815467.64632026758</v>
      </c>
      <c r="Y48" s="11">
        <v>830555.93328049011</v>
      </c>
      <c r="Z48" s="11">
        <v>839889.49807773891</v>
      </c>
      <c r="AA48" s="11">
        <v>842140.80573039339</v>
      </c>
      <c r="AB48" s="11">
        <v>838121.81780809455</v>
      </c>
      <c r="AC48" s="11">
        <v>830103.36453675583</v>
      </c>
      <c r="AD48" s="11">
        <v>833589.91864289681</v>
      </c>
      <c r="AE48" s="11">
        <v>835820.81633259868</v>
      </c>
      <c r="AF48" s="11">
        <v>835410.84229415702</v>
      </c>
      <c r="AG48" s="11">
        <v>832370.64520389517</v>
      </c>
      <c r="AH48" s="11">
        <v>828710.1627178092</v>
      </c>
      <c r="AI48" s="11"/>
      <c r="AJ48" s="11"/>
      <c r="AK48" s="11"/>
      <c r="AL48" s="11"/>
      <c r="AM48" s="11"/>
      <c r="AN48" s="11"/>
      <c r="AO48" s="11"/>
      <c r="AP48" s="11"/>
      <c r="AQ48" s="11"/>
      <c r="AR48" s="11"/>
      <c r="AS48" s="6" t="s">
        <v>46</v>
      </c>
      <c r="AT48" s="5"/>
    </row>
    <row r="49" spans="2:46" x14ac:dyDescent="0.35">
      <c r="B49" s="4" t="str">
        <f>Populations!$C$14</f>
        <v>M25-34</v>
      </c>
      <c r="C49" s="4" t="s">
        <v>48</v>
      </c>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6" t="s">
        <v>46</v>
      </c>
      <c r="AT49" s="5"/>
    </row>
    <row r="50" spans="2:46" x14ac:dyDescent="0.35">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row>
    <row r="51" spans="2:46" x14ac:dyDescent="0.35">
      <c r="B51" s="4" t="str">
        <f>Populations!$C$15</f>
        <v>F35-49</v>
      </c>
      <c r="C51" s="4" t="s">
        <v>45</v>
      </c>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6" t="s">
        <v>46</v>
      </c>
      <c r="AT51" s="5"/>
    </row>
    <row r="52" spans="2:46" x14ac:dyDescent="0.35">
      <c r="B52" s="4" t="str">
        <f>Populations!$C$15</f>
        <v>F35-49</v>
      </c>
      <c r="C52" s="4" t="s">
        <v>47</v>
      </c>
      <c r="D52" s="11">
        <v>573747.10399698885</v>
      </c>
      <c r="E52" s="11">
        <v>594363.64063749742</v>
      </c>
      <c r="F52" s="11">
        <v>613538.25423632283</v>
      </c>
      <c r="G52" s="11">
        <v>631797.34546553134</v>
      </c>
      <c r="H52" s="11">
        <v>649970.51388335146</v>
      </c>
      <c r="I52" s="11">
        <v>668606.87538784975</v>
      </c>
      <c r="J52" s="11">
        <v>685449.7216569389</v>
      </c>
      <c r="K52" s="11">
        <v>700076.35196333111</v>
      </c>
      <c r="L52" s="11">
        <v>711502.11064089008</v>
      </c>
      <c r="M52" s="11">
        <v>718526.05356722767</v>
      </c>
      <c r="N52" s="11">
        <v>720626.71816288575</v>
      </c>
      <c r="O52" s="11">
        <v>726934.63766099012</v>
      </c>
      <c r="P52" s="11">
        <v>729588.36862880096</v>
      </c>
      <c r="Q52" s="11">
        <v>729594.2943399311</v>
      </c>
      <c r="R52" s="11">
        <v>728133.60654633516</v>
      </c>
      <c r="S52" s="11">
        <v>725906.52677989937</v>
      </c>
      <c r="T52" s="11">
        <v>732898.86591354257</v>
      </c>
      <c r="U52" s="11">
        <v>740031.44687726733</v>
      </c>
      <c r="V52" s="11">
        <v>748100.29019956465</v>
      </c>
      <c r="W52" s="11">
        <v>758015.98015744286</v>
      </c>
      <c r="X52" s="11">
        <v>770106.40610010677</v>
      </c>
      <c r="Y52" s="11">
        <v>800686.03838753526</v>
      </c>
      <c r="Z52" s="11">
        <v>835577.6131407104</v>
      </c>
      <c r="AA52" s="11">
        <v>873742.15567480284</v>
      </c>
      <c r="AB52" s="11">
        <v>913595.52588100405</v>
      </c>
      <c r="AC52" s="11">
        <v>953669.13501754461</v>
      </c>
      <c r="AD52" s="11">
        <v>991932.43940380693</v>
      </c>
      <c r="AE52" s="11">
        <v>1031206.0775377697</v>
      </c>
      <c r="AF52" s="11">
        <v>1070942.90875841</v>
      </c>
      <c r="AG52" s="11">
        <v>1110191.8564293305</v>
      </c>
      <c r="AH52" s="11">
        <v>1148090.729581085</v>
      </c>
      <c r="AI52" s="11"/>
      <c r="AJ52" s="11"/>
      <c r="AK52" s="11"/>
      <c r="AL52" s="11"/>
      <c r="AM52" s="11"/>
      <c r="AN52" s="11"/>
      <c r="AO52" s="11"/>
      <c r="AP52" s="11"/>
      <c r="AQ52" s="11"/>
      <c r="AR52" s="11"/>
      <c r="AS52" s="6" t="s">
        <v>46</v>
      </c>
      <c r="AT52" s="5"/>
    </row>
    <row r="53" spans="2:46" x14ac:dyDescent="0.35">
      <c r="B53" s="4" t="str">
        <f>Populations!$C$15</f>
        <v>F35-49</v>
      </c>
      <c r="C53" s="4" t="s">
        <v>48</v>
      </c>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6" t="s">
        <v>46</v>
      </c>
      <c r="AT53" s="5"/>
    </row>
    <row r="54" spans="2:46" x14ac:dyDescent="0.35">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row>
    <row r="55" spans="2:46" x14ac:dyDescent="0.35">
      <c r="B55" s="4" t="str">
        <f>Populations!$C$16</f>
        <v>M35-49</v>
      </c>
      <c r="C55" s="4" t="s">
        <v>45</v>
      </c>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6" t="s">
        <v>46</v>
      </c>
      <c r="AT55" s="5"/>
    </row>
    <row r="56" spans="2:46" x14ac:dyDescent="0.35">
      <c r="B56" s="4" t="str">
        <f>Populations!$C$16</f>
        <v>M35-49</v>
      </c>
      <c r="C56" s="4" t="s">
        <v>47</v>
      </c>
      <c r="D56" s="11">
        <v>495498.88233106921</v>
      </c>
      <c r="E56" s="11">
        <v>508890.48019713513</v>
      </c>
      <c r="F56" s="11">
        <v>520604.02415261004</v>
      </c>
      <c r="G56" s="11">
        <v>531253.58786546241</v>
      </c>
      <c r="H56" s="11">
        <v>541723.89886020846</v>
      </c>
      <c r="I56" s="11">
        <v>552633.46775328473</v>
      </c>
      <c r="J56" s="11">
        <v>561858.77100791479</v>
      </c>
      <c r="K56" s="11">
        <v>568909.96951323317</v>
      </c>
      <c r="L56" s="11">
        <v>572859.74103943154</v>
      </c>
      <c r="M56" s="11">
        <v>572762.1281731358</v>
      </c>
      <c r="N56" s="11">
        <v>568503.54503356584</v>
      </c>
      <c r="O56" s="11">
        <v>572843.7680249468</v>
      </c>
      <c r="P56" s="11">
        <v>573905.0860984883</v>
      </c>
      <c r="Q56" s="11">
        <v>572565.1276611574</v>
      </c>
      <c r="R56" s="11">
        <v>569645.6155692247</v>
      </c>
      <c r="S56" s="11">
        <v>565473.99661962723</v>
      </c>
      <c r="T56" s="11">
        <v>571048.57867480081</v>
      </c>
      <c r="U56" s="11">
        <v>577311.77513220557</v>
      </c>
      <c r="V56" s="11">
        <v>584664.68613334675</v>
      </c>
      <c r="W56" s="11">
        <v>593511.96137850475</v>
      </c>
      <c r="X56" s="11">
        <v>603937.01549887727</v>
      </c>
      <c r="Y56" s="11">
        <v>627666.70329534332</v>
      </c>
      <c r="Z56" s="11">
        <v>654648.67431884073</v>
      </c>
      <c r="AA56" s="11">
        <v>683962.70545710996</v>
      </c>
      <c r="AB56" s="11">
        <v>713853.53989621706</v>
      </c>
      <c r="AC56" s="11">
        <v>742511.79005091859</v>
      </c>
      <c r="AD56" s="11">
        <v>766970.0247858275</v>
      </c>
      <c r="AE56" s="11">
        <v>791506.34981377283</v>
      </c>
      <c r="AF56" s="11">
        <v>815697.48025090911</v>
      </c>
      <c r="AG56" s="11">
        <v>838517.59361143853</v>
      </c>
      <c r="AH56" s="11">
        <v>858939.9800198701</v>
      </c>
      <c r="AI56" s="11"/>
      <c r="AJ56" s="11"/>
      <c r="AK56" s="11"/>
      <c r="AL56" s="11"/>
      <c r="AM56" s="11"/>
      <c r="AN56" s="11"/>
      <c r="AO56" s="11"/>
      <c r="AP56" s="11"/>
      <c r="AQ56" s="11"/>
      <c r="AR56" s="11"/>
      <c r="AS56" s="6" t="s">
        <v>46</v>
      </c>
      <c r="AT56" s="5"/>
    </row>
    <row r="57" spans="2:46" x14ac:dyDescent="0.35">
      <c r="B57" s="4" t="str">
        <f>Populations!$C$16</f>
        <v>M35-49</v>
      </c>
      <c r="C57" s="4" t="s">
        <v>48</v>
      </c>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6" t="s">
        <v>46</v>
      </c>
      <c r="AT57" s="5"/>
    </row>
    <row r="58" spans="2:46" x14ac:dyDescent="0.35">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row>
    <row r="59" spans="2:46" x14ac:dyDescent="0.35">
      <c r="B59" s="4" t="str">
        <f>Populations!$C$17</f>
        <v>F50+</v>
      </c>
      <c r="C59" s="4" t="s">
        <v>45</v>
      </c>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6" t="s">
        <v>46</v>
      </c>
      <c r="AT59" s="5"/>
    </row>
    <row r="60" spans="2:46" x14ac:dyDescent="0.35">
      <c r="B60" s="4" t="str">
        <f>Populations!$C$17</f>
        <v>F50+</v>
      </c>
      <c r="C60" s="4" t="s">
        <v>47</v>
      </c>
      <c r="D60" s="11">
        <v>459552.99999999994</v>
      </c>
      <c r="E60" s="11">
        <v>473940</v>
      </c>
      <c r="F60" s="11">
        <v>489106.00000000006</v>
      </c>
      <c r="G60" s="11">
        <v>504068.00000000012</v>
      </c>
      <c r="H60" s="11">
        <v>517257.99999999994</v>
      </c>
      <c r="I60" s="11">
        <v>527898</v>
      </c>
      <c r="J60" s="11">
        <v>540174</v>
      </c>
      <c r="K60" s="11">
        <v>549656.99999999988</v>
      </c>
      <c r="L60" s="11">
        <v>557634.99999999988</v>
      </c>
      <c r="M60" s="11">
        <v>566051.99999999977</v>
      </c>
      <c r="N60" s="11">
        <v>575743.99999999988</v>
      </c>
      <c r="O60" s="11">
        <v>585813.00000000012</v>
      </c>
      <c r="P60" s="11">
        <v>597013.99999999988</v>
      </c>
      <c r="Q60" s="11">
        <v>608564</v>
      </c>
      <c r="R60" s="11">
        <v>619213</v>
      </c>
      <c r="S60" s="11">
        <v>628234</v>
      </c>
      <c r="T60" s="11">
        <v>636652</v>
      </c>
      <c r="U60" s="11">
        <v>644370.99999999988</v>
      </c>
      <c r="V60" s="11">
        <v>651543</v>
      </c>
      <c r="W60" s="11">
        <v>658454.00000000012</v>
      </c>
      <c r="X60" s="11">
        <v>665105.99999999988</v>
      </c>
      <c r="Y60" s="11">
        <v>674613</v>
      </c>
      <c r="Z60" s="11">
        <v>685342.00000000012</v>
      </c>
      <c r="AA60" s="11">
        <v>696814</v>
      </c>
      <c r="AB60" s="11">
        <v>708609</v>
      </c>
      <c r="AC60" s="11">
        <v>720561.99999999988</v>
      </c>
      <c r="AD60" s="11">
        <v>735654</v>
      </c>
      <c r="AE60" s="11">
        <v>752664</v>
      </c>
      <c r="AF60" s="11">
        <v>771293.00000000012</v>
      </c>
      <c r="AG60" s="11">
        <v>791066</v>
      </c>
      <c r="AH60" s="11">
        <v>811945</v>
      </c>
      <c r="AI60" s="11"/>
      <c r="AJ60" s="11"/>
      <c r="AK60" s="11"/>
      <c r="AL60" s="11"/>
      <c r="AM60" s="11"/>
      <c r="AN60" s="11"/>
      <c r="AO60" s="11"/>
      <c r="AP60" s="11"/>
      <c r="AQ60" s="11"/>
      <c r="AR60" s="11"/>
      <c r="AS60" s="6" t="s">
        <v>46</v>
      </c>
      <c r="AT60" s="5"/>
    </row>
    <row r="61" spans="2:46" x14ac:dyDescent="0.35">
      <c r="B61" s="4" t="str">
        <f>Populations!$C$17</f>
        <v>F50+</v>
      </c>
      <c r="C61" s="4" t="s">
        <v>48</v>
      </c>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6" t="s">
        <v>46</v>
      </c>
      <c r="AT61" s="5"/>
    </row>
    <row r="62" spans="2:46" x14ac:dyDescent="0.35">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row>
    <row r="63" spans="2:46" x14ac:dyDescent="0.35">
      <c r="B63" s="4" t="str">
        <f>Populations!$C$18</f>
        <v>M50+</v>
      </c>
      <c r="C63" s="4" t="s">
        <v>45</v>
      </c>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6" t="s">
        <v>46</v>
      </c>
      <c r="AT63" s="5"/>
    </row>
    <row r="64" spans="2:46" x14ac:dyDescent="0.35">
      <c r="B64" s="4" t="str">
        <f>Populations!$C$18</f>
        <v>M50+</v>
      </c>
      <c r="C64" s="4" t="s">
        <v>47</v>
      </c>
      <c r="D64" s="11">
        <v>401714.99999999994</v>
      </c>
      <c r="E64" s="11">
        <v>412167.99999999994</v>
      </c>
      <c r="F64" s="11">
        <v>422615.99999999994</v>
      </c>
      <c r="G64" s="11">
        <v>432109</v>
      </c>
      <c r="H64" s="11">
        <v>439216.99999999994</v>
      </c>
      <c r="I64" s="11">
        <v>443235</v>
      </c>
      <c r="J64" s="11">
        <v>447169.99999999994</v>
      </c>
      <c r="K64" s="11">
        <v>447925.99999999994</v>
      </c>
      <c r="L64" s="11">
        <v>446472.99999999994</v>
      </c>
      <c r="M64" s="11">
        <v>444103</v>
      </c>
      <c r="N64" s="11">
        <v>441129</v>
      </c>
      <c r="O64" s="11">
        <v>440391.99999999994</v>
      </c>
      <c r="P64" s="11">
        <v>439238.99999999994</v>
      </c>
      <c r="Q64" s="11">
        <v>437450.99999999988</v>
      </c>
      <c r="R64" s="11">
        <v>434625</v>
      </c>
      <c r="S64" s="11">
        <v>430551.00000000006</v>
      </c>
      <c r="T64" s="11">
        <v>430411.00000000006</v>
      </c>
      <c r="U64" s="11">
        <v>430286</v>
      </c>
      <c r="V64" s="11">
        <v>430103.00000000012</v>
      </c>
      <c r="W64" s="11">
        <v>429669.00000000006</v>
      </c>
      <c r="X64" s="11">
        <v>428618</v>
      </c>
      <c r="Y64" s="11">
        <v>437681</v>
      </c>
      <c r="Z64" s="11">
        <v>447749</v>
      </c>
      <c r="AA64" s="11">
        <v>458644.00000000006</v>
      </c>
      <c r="AB64" s="11">
        <v>470332</v>
      </c>
      <c r="AC64" s="11">
        <v>482796</v>
      </c>
      <c r="AD64" s="11">
        <v>497936</v>
      </c>
      <c r="AE64" s="11">
        <v>515293.99999999988</v>
      </c>
      <c r="AF64" s="11">
        <v>534350.99999999988</v>
      </c>
      <c r="AG64" s="11">
        <v>554261.00000000012</v>
      </c>
      <c r="AH64" s="11">
        <v>574577.99999999988</v>
      </c>
      <c r="AI64" s="11"/>
      <c r="AJ64" s="11"/>
      <c r="AK64" s="11"/>
      <c r="AL64" s="11"/>
      <c r="AM64" s="11"/>
      <c r="AN64" s="11"/>
      <c r="AO64" s="11"/>
      <c r="AP64" s="11"/>
      <c r="AQ64" s="11"/>
      <c r="AR64" s="11"/>
      <c r="AS64" s="6" t="s">
        <v>46</v>
      </c>
      <c r="AT64" s="5"/>
    </row>
    <row r="65" spans="2:48" x14ac:dyDescent="0.35">
      <c r="B65" s="4" t="str">
        <f>Populations!$C$18</f>
        <v>M50+</v>
      </c>
      <c r="C65" s="4" t="s">
        <v>48</v>
      </c>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6" t="s">
        <v>46</v>
      </c>
      <c r="AT65" s="5"/>
    </row>
    <row r="66" spans="2:48" x14ac:dyDescent="0.35">
      <c r="AD66" s="12"/>
      <c r="AE66" s="12"/>
      <c r="AF66" s="12"/>
      <c r="AG66" s="12"/>
      <c r="AH66" s="12"/>
      <c r="AI66" s="12"/>
      <c r="AJ66" s="12"/>
    </row>
    <row r="67" spans="2:48" hidden="1" x14ac:dyDescent="0.35">
      <c r="AD67" s="12"/>
      <c r="AE67" s="12">
        <f>AE20+AE24</f>
        <v>6064344</v>
      </c>
      <c r="AU67" t="s">
        <v>140</v>
      </c>
    </row>
    <row r="68" spans="2:48" hidden="1" x14ac:dyDescent="0.35">
      <c r="AD68" s="12"/>
      <c r="AE68" s="12">
        <f>AE66-AE20-AE24</f>
        <v>-6064344</v>
      </c>
      <c r="AU68" t="s">
        <v>139</v>
      </c>
    </row>
    <row r="69" spans="2:48" hidden="1" x14ac:dyDescent="0.35">
      <c r="AE69" s="12"/>
    </row>
    <row r="70" spans="2:48" hidden="1" x14ac:dyDescent="0.35">
      <c r="AE70" s="12">
        <v>13572560</v>
      </c>
      <c r="AU70" t="s">
        <v>144</v>
      </c>
    </row>
    <row r="71" spans="2:48" hidden="1" x14ac:dyDescent="0.35">
      <c r="AE71" s="12">
        <v>14542235</v>
      </c>
      <c r="AU71" t="s">
        <v>141</v>
      </c>
    </row>
    <row r="72" spans="2:48" hidden="1" x14ac:dyDescent="0.35">
      <c r="AE72" t="s">
        <v>145</v>
      </c>
      <c r="AU72" t="s">
        <v>143</v>
      </c>
    </row>
    <row r="73" spans="2:48" hidden="1" x14ac:dyDescent="0.35">
      <c r="AE73" s="16">
        <f>AE66-AE70</f>
        <v>-13572560</v>
      </c>
      <c r="AF73" s="17"/>
      <c r="AG73" s="17"/>
      <c r="AH73" s="17"/>
      <c r="AI73" s="17"/>
      <c r="AJ73" s="17"/>
      <c r="AK73" s="17"/>
      <c r="AL73" s="17"/>
      <c r="AM73" s="17"/>
      <c r="AN73" s="17"/>
      <c r="AO73" s="17"/>
      <c r="AP73" s="17"/>
      <c r="AQ73" s="17"/>
      <c r="AR73" s="17"/>
      <c r="AS73" s="17"/>
      <c r="AT73" s="17"/>
      <c r="AU73" s="17" t="s">
        <v>142</v>
      </c>
    </row>
    <row r="74" spans="2:48" x14ac:dyDescent="0.35">
      <c r="D74" s="12">
        <f t="shared" ref="D74:AG74" si="0">SUM(D4:D64)</f>
        <v>10432409</v>
      </c>
      <c r="E74" s="12">
        <f t="shared" si="0"/>
        <v>10681008</v>
      </c>
      <c r="F74" s="12">
        <f t="shared" si="0"/>
        <v>10900511</v>
      </c>
      <c r="G74" s="12">
        <f t="shared" si="0"/>
        <v>11092775.000000002</v>
      </c>
      <c r="H74" s="12">
        <f t="shared" si="0"/>
        <v>11261752.000000002</v>
      </c>
      <c r="I74" s="12">
        <f t="shared" si="0"/>
        <v>11410721</v>
      </c>
      <c r="J74" s="12">
        <f t="shared" si="0"/>
        <v>11541215</v>
      </c>
      <c r="K74" s="12">
        <f t="shared" si="0"/>
        <v>11653254.000000002</v>
      </c>
      <c r="L74" s="12">
        <f t="shared" si="0"/>
        <v>11747079</v>
      </c>
      <c r="M74" s="12">
        <f t="shared" si="0"/>
        <v>11822722</v>
      </c>
      <c r="N74" s="12">
        <f t="shared" si="0"/>
        <v>11881482.000000002</v>
      </c>
      <c r="O74" s="12">
        <f t="shared" si="0"/>
        <v>11923906</v>
      </c>
      <c r="P74" s="12">
        <f t="shared" si="0"/>
        <v>11954293</v>
      </c>
      <c r="Q74" s="12">
        <f t="shared" si="0"/>
        <v>11982219</v>
      </c>
      <c r="R74" s="12">
        <f t="shared" si="0"/>
        <v>12019911</v>
      </c>
      <c r="S74" s="12">
        <f t="shared" si="0"/>
        <v>12076697</v>
      </c>
      <c r="T74" s="12">
        <f t="shared" si="0"/>
        <v>12155496</v>
      </c>
      <c r="U74" s="12">
        <f t="shared" si="0"/>
        <v>12255919.999999998</v>
      </c>
      <c r="V74" s="12">
        <f t="shared" si="0"/>
        <v>12379553.000000002</v>
      </c>
      <c r="W74" s="12">
        <f t="shared" si="0"/>
        <v>12526964</v>
      </c>
      <c r="X74" s="12">
        <f t="shared" si="0"/>
        <v>12697727.999999998</v>
      </c>
      <c r="Y74" s="12">
        <f t="shared" si="0"/>
        <v>12894322.999999998</v>
      </c>
      <c r="Z74" s="12">
        <f t="shared" si="0"/>
        <v>13115148.999999998</v>
      </c>
      <c r="AA74" s="12">
        <f t="shared" si="0"/>
        <v>13350377.999999998</v>
      </c>
      <c r="AB74" s="12">
        <f t="shared" si="0"/>
        <v>13586709.999999996</v>
      </c>
      <c r="AC74" s="12">
        <f t="shared" si="0"/>
        <v>13814642</v>
      </c>
      <c r="AD74" s="12">
        <f t="shared" si="0"/>
        <v>14030338.000000004</v>
      </c>
      <c r="AE74" s="12">
        <f t="shared" si="0"/>
        <v>14236598.999999998</v>
      </c>
      <c r="AF74" s="12">
        <f t="shared" si="0"/>
        <v>14438812</v>
      </c>
      <c r="AG74" s="12">
        <f t="shared" si="0"/>
        <v>14645473</v>
      </c>
      <c r="AH74" s="12">
        <f>SUM(AH4:AH64)</f>
        <v>14862926.999999998</v>
      </c>
      <c r="AI74" s="12">
        <f>AH74+AI75</f>
        <v>15085870.904999997</v>
      </c>
      <c r="AJ74" s="12">
        <f>AI74+AJ75</f>
        <v>15312158.968574997</v>
      </c>
      <c r="AV74" t="s">
        <v>404</v>
      </c>
    </row>
    <row r="75" spans="2:48" x14ac:dyDescent="0.35">
      <c r="E75" s="12">
        <f>E74-D74</f>
        <v>248599</v>
      </c>
      <c r="F75" s="12">
        <f t="shared" ref="F75:AH75" si="1">F74-E74</f>
        <v>219503</v>
      </c>
      <c r="G75" s="12">
        <f t="shared" si="1"/>
        <v>192264.00000000186</v>
      </c>
      <c r="H75" s="12">
        <f t="shared" si="1"/>
        <v>168977</v>
      </c>
      <c r="I75" s="12">
        <f t="shared" si="1"/>
        <v>148968.99999999814</v>
      </c>
      <c r="J75" s="12">
        <f t="shared" si="1"/>
        <v>130494</v>
      </c>
      <c r="K75" s="12">
        <f t="shared" si="1"/>
        <v>112039.00000000186</v>
      </c>
      <c r="L75" s="12">
        <f t="shared" si="1"/>
        <v>93824.999999998137</v>
      </c>
      <c r="M75" s="12">
        <f t="shared" si="1"/>
        <v>75643</v>
      </c>
      <c r="N75" s="12">
        <f t="shared" si="1"/>
        <v>58760.000000001863</v>
      </c>
      <c r="O75" s="12">
        <f t="shared" si="1"/>
        <v>42423.999999998137</v>
      </c>
      <c r="P75" s="12">
        <f t="shared" si="1"/>
        <v>30387</v>
      </c>
      <c r="Q75" s="12">
        <f t="shared" si="1"/>
        <v>27926</v>
      </c>
      <c r="R75" s="12">
        <f t="shared" si="1"/>
        <v>37692</v>
      </c>
      <c r="S75" s="12">
        <f t="shared" si="1"/>
        <v>56786</v>
      </c>
      <c r="T75" s="12">
        <f t="shared" si="1"/>
        <v>78799</v>
      </c>
      <c r="U75" s="12">
        <f t="shared" si="1"/>
        <v>100423.99999999814</v>
      </c>
      <c r="V75" s="12">
        <f t="shared" si="1"/>
        <v>123633.00000000373</v>
      </c>
      <c r="W75" s="12">
        <f t="shared" si="1"/>
        <v>147410.99999999814</v>
      </c>
      <c r="X75" s="12">
        <f t="shared" si="1"/>
        <v>170763.99999999814</v>
      </c>
      <c r="Y75" s="12">
        <f t="shared" si="1"/>
        <v>196595</v>
      </c>
      <c r="Z75" s="12">
        <f t="shared" si="1"/>
        <v>220826</v>
      </c>
      <c r="AA75" s="12">
        <f t="shared" si="1"/>
        <v>235229</v>
      </c>
      <c r="AB75" s="12">
        <f t="shared" si="1"/>
        <v>236331.99999999814</v>
      </c>
      <c r="AC75" s="12">
        <f t="shared" si="1"/>
        <v>227932.00000000373</v>
      </c>
      <c r="AD75" s="12">
        <f t="shared" si="1"/>
        <v>215696.00000000373</v>
      </c>
      <c r="AE75" s="12">
        <f t="shared" si="1"/>
        <v>206260.99999999441</v>
      </c>
      <c r="AF75" s="12">
        <f t="shared" si="1"/>
        <v>202213.00000000186</v>
      </c>
      <c r="AG75" s="12">
        <f t="shared" si="1"/>
        <v>206661</v>
      </c>
      <c r="AH75" s="12">
        <f t="shared" si="1"/>
        <v>217453.99999999814</v>
      </c>
      <c r="AI75" s="12">
        <f>AH74*1.5%</f>
        <v>222943.90499999997</v>
      </c>
      <c r="AJ75" s="12">
        <f>AI74*1.5%</f>
        <v>226288.06357499995</v>
      </c>
      <c r="AV75" t="s">
        <v>405</v>
      </c>
    </row>
    <row r="76" spans="2:48" x14ac:dyDescent="0.35">
      <c r="E76" s="23">
        <f>E75/E74</f>
        <v>2.3274863196432398E-2</v>
      </c>
      <c r="F76" s="23">
        <f t="shared" ref="F76:AH76" si="2">F75/F74</f>
        <v>2.0136945873454923E-2</v>
      </c>
      <c r="G76" s="23">
        <f t="shared" si="2"/>
        <v>1.7332362731597984E-2</v>
      </c>
      <c r="H76" s="23">
        <f t="shared" si="2"/>
        <v>1.5004503739737829E-2</v>
      </c>
      <c r="I76" s="23">
        <f t="shared" si="2"/>
        <v>1.3055178546561443E-2</v>
      </c>
      <c r="J76" s="23">
        <f t="shared" si="2"/>
        <v>1.1306781824963837E-2</v>
      </c>
      <c r="K76" s="23">
        <f t="shared" si="2"/>
        <v>9.614396116312391E-3</v>
      </c>
      <c r="L76" s="23">
        <f t="shared" si="2"/>
        <v>7.9870919400472345E-3</v>
      </c>
      <c r="M76" s="23">
        <f t="shared" si="2"/>
        <v>6.3981035839293186E-3</v>
      </c>
      <c r="N76" s="23">
        <f t="shared" si="2"/>
        <v>4.9455110061187527E-3</v>
      </c>
      <c r="O76" s="23">
        <f t="shared" si="2"/>
        <v>3.5578945355656225E-3</v>
      </c>
      <c r="P76" s="23">
        <f t="shared" si="2"/>
        <v>2.5419320071877107E-3</v>
      </c>
      <c r="Q76" s="23">
        <f t="shared" si="2"/>
        <v>2.3306200629449351E-3</v>
      </c>
      <c r="R76" s="23">
        <f t="shared" si="2"/>
        <v>3.1357969289456471E-3</v>
      </c>
      <c r="S76" s="23">
        <f t="shared" si="2"/>
        <v>4.7021135000737367E-3</v>
      </c>
      <c r="T76" s="23">
        <f t="shared" si="2"/>
        <v>6.482582035319661E-3</v>
      </c>
      <c r="U76" s="23">
        <f t="shared" si="2"/>
        <v>8.1939177148674398E-3</v>
      </c>
      <c r="V76" s="23">
        <f t="shared" si="2"/>
        <v>9.9868710930034153E-3</v>
      </c>
      <c r="W76" s="23">
        <f t="shared" si="2"/>
        <v>1.1767496098815175E-2</v>
      </c>
      <c r="X76" s="23">
        <f t="shared" si="2"/>
        <v>1.3448390137196052E-2</v>
      </c>
      <c r="Y76" s="23">
        <f t="shared" si="2"/>
        <v>1.5246632180689132E-2</v>
      </c>
      <c r="Z76" s="23">
        <f t="shared" si="2"/>
        <v>1.6837475502565775E-2</v>
      </c>
      <c r="AA76" s="23">
        <f t="shared" si="2"/>
        <v>1.7619650919247384E-2</v>
      </c>
      <c r="AB76" s="23">
        <f t="shared" si="2"/>
        <v>1.7394350803100839E-2</v>
      </c>
      <c r="AC76" s="23">
        <f t="shared" si="2"/>
        <v>1.6499305591849846E-2</v>
      </c>
      <c r="AD76" s="23">
        <f t="shared" si="2"/>
        <v>1.5373542675878775E-2</v>
      </c>
      <c r="AE76" s="23">
        <f t="shared" si="2"/>
        <v>1.4488081036769698E-2</v>
      </c>
      <c r="AF76" s="23">
        <f t="shared" si="2"/>
        <v>1.4004822557423828E-2</v>
      </c>
      <c r="AG76" s="23">
        <f t="shared" si="2"/>
        <v>1.4110913317719407E-2</v>
      </c>
      <c r="AH76" s="23">
        <f t="shared" si="2"/>
        <v>1.463063096521958E-2</v>
      </c>
      <c r="AI76" s="23">
        <v>1.4999999999999999E-2</v>
      </c>
      <c r="AJ76" s="23">
        <v>1.4999999999999999E-2</v>
      </c>
      <c r="AV76" t="s">
        <v>406</v>
      </c>
    </row>
    <row r="77" spans="2:48" x14ac:dyDescent="0.35">
      <c r="D77" s="12">
        <f>D8+D12+D16+D24+D32+D40+D48+D56+D64</f>
        <v>5190943</v>
      </c>
      <c r="E77" s="12">
        <f t="shared" ref="E77:AE77" si="3">E8+E12+E16+E24+E32+E40+E48+E56+E64</f>
        <v>5310057</v>
      </c>
      <c r="F77" s="12">
        <f t="shared" si="3"/>
        <v>5412866.0000000009</v>
      </c>
      <c r="G77" s="12">
        <f t="shared" si="3"/>
        <v>5500685.0000000009</v>
      </c>
      <c r="H77" s="12">
        <f t="shared" si="3"/>
        <v>5576105</v>
      </c>
      <c r="I77" s="12">
        <f t="shared" si="3"/>
        <v>5641140.9999999991</v>
      </c>
      <c r="J77" s="12">
        <f t="shared" si="3"/>
        <v>5697076</v>
      </c>
      <c r="K77" s="12">
        <f t="shared" si="3"/>
        <v>5743649</v>
      </c>
      <c r="L77" s="12">
        <f t="shared" si="3"/>
        <v>5779689.0000000009</v>
      </c>
      <c r="M77" s="12">
        <f t="shared" si="3"/>
        <v>5803385</v>
      </c>
      <c r="N77" s="12">
        <f t="shared" si="3"/>
        <v>5814303</v>
      </c>
      <c r="O77" s="12">
        <f t="shared" si="3"/>
        <v>5812018.9999999991</v>
      </c>
      <c r="P77" s="12">
        <f t="shared" si="3"/>
        <v>5799658</v>
      </c>
      <c r="Q77" s="12">
        <f t="shared" si="3"/>
        <v>5784696.9999999991</v>
      </c>
      <c r="R77" s="12">
        <f t="shared" si="3"/>
        <v>5776947</v>
      </c>
      <c r="S77" s="12">
        <f t="shared" si="3"/>
        <v>5783686</v>
      </c>
      <c r="T77" s="12">
        <f t="shared" si="3"/>
        <v>5807510</v>
      </c>
      <c r="U77" s="12">
        <f t="shared" si="3"/>
        <v>5847398</v>
      </c>
      <c r="V77" s="12">
        <f t="shared" si="3"/>
        <v>5902459</v>
      </c>
      <c r="W77" s="12">
        <f t="shared" si="3"/>
        <v>5970363</v>
      </c>
      <c r="X77" s="12">
        <f t="shared" si="3"/>
        <v>6049024</v>
      </c>
      <c r="Y77" s="12">
        <f t="shared" si="3"/>
        <v>6139115</v>
      </c>
      <c r="Z77" s="12">
        <f t="shared" si="3"/>
        <v>6240533</v>
      </c>
      <c r="AA77" s="12">
        <f t="shared" si="3"/>
        <v>6349221</v>
      </c>
      <c r="AB77" s="12">
        <f t="shared" si="3"/>
        <v>6459915</v>
      </c>
      <c r="AC77" s="12">
        <f t="shared" si="3"/>
        <v>6568777.9999999991</v>
      </c>
      <c r="AD77" s="12">
        <f t="shared" si="3"/>
        <v>6674206.0000000009</v>
      </c>
      <c r="AE77" s="12">
        <f t="shared" si="3"/>
        <v>6777054</v>
      </c>
      <c r="AF77" s="12">
        <f>AF8+AF12+AF16+AF24+AF32+AF40+AF48+AF56+AF64</f>
        <v>6879118.9999999991</v>
      </c>
      <c r="AG77" s="12">
        <f>AG8+AG12+AG16+AG24+AG32+AG40+AG48+AG56+AG64</f>
        <v>6983353</v>
      </c>
      <c r="AH77" s="12">
        <f>AH8+AH12+AH24+AH16+AH32+AH40+AH48+AH56+AH64</f>
        <v>7092010</v>
      </c>
      <c r="AI77" s="12">
        <f>AH77+AI81</f>
        <v>7198390.1500000004</v>
      </c>
      <c r="AJ77" s="12">
        <f>AI77+AJ81</f>
        <v>7306366.0022500008</v>
      </c>
    </row>
    <row r="78" spans="2:48" x14ac:dyDescent="0.35">
      <c r="AF78" s="23">
        <f>'Cost &amp; coverage'!U69/'Population size'!AF77</f>
        <v>2.8739872067920329E-2</v>
      </c>
      <c r="AG78" s="23">
        <f>'Cost &amp; coverage'!V69/'Population size'!AG77</f>
        <v>2.9695620427608344E-2</v>
      </c>
      <c r="AH78" s="23">
        <f>'Cost &amp; coverage'!W69/'Population size'!AH77</f>
        <v>7.5779644980760036E-3</v>
      </c>
      <c r="AI78" s="23">
        <f>150000/AI77</f>
        <v>2.083799250586605E-2</v>
      </c>
      <c r="AJ78" s="23">
        <f>(150000+AJ85)/AJ77</f>
        <v>2.9357959885111772E-2</v>
      </c>
    </row>
    <row r="79" spans="2:48" x14ac:dyDescent="0.35">
      <c r="AG79" s="23">
        <f>'Cost &amp; coverage'!V69/'Population size'!AG74</f>
        <v>1.4159665584034056E-2</v>
      </c>
      <c r="AH79" s="23">
        <f>'Cost &amp; coverage'!W69/'Population size'!AH74</f>
        <v>3.6159095715130678E-3</v>
      </c>
    </row>
    <row r="81" spans="5:36" x14ac:dyDescent="0.35">
      <c r="E81" s="12">
        <f>E77-D77</f>
        <v>119114</v>
      </c>
      <c r="F81" s="12">
        <f t="shared" ref="F81:AF81" si="4">F77-E77</f>
        <v>102809.00000000093</v>
      </c>
      <c r="G81" s="12">
        <f t="shared" si="4"/>
        <v>87819</v>
      </c>
      <c r="H81" s="12">
        <f t="shared" si="4"/>
        <v>75419.999999999069</v>
      </c>
      <c r="I81" s="12">
        <f t="shared" si="4"/>
        <v>65035.999999999069</v>
      </c>
      <c r="J81" s="12">
        <f t="shared" si="4"/>
        <v>55935.000000000931</v>
      </c>
      <c r="K81" s="12">
        <f t="shared" si="4"/>
        <v>46573</v>
      </c>
      <c r="L81" s="12">
        <f t="shared" si="4"/>
        <v>36040.000000000931</v>
      </c>
      <c r="M81" s="12">
        <f t="shared" si="4"/>
        <v>23695.999999999069</v>
      </c>
      <c r="N81" s="12">
        <f t="shared" si="4"/>
        <v>10918</v>
      </c>
      <c r="O81" s="12">
        <f t="shared" si="4"/>
        <v>-2284.0000000009313</v>
      </c>
      <c r="P81" s="12">
        <f t="shared" si="4"/>
        <v>-12360.999999999069</v>
      </c>
      <c r="Q81" s="12">
        <f t="shared" si="4"/>
        <v>-14961.000000000931</v>
      </c>
      <c r="R81" s="12">
        <f t="shared" si="4"/>
        <v>-7749.9999999990687</v>
      </c>
      <c r="S81" s="12">
        <f t="shared" si="4"/>
        <v>6739</v>
      </c>
      <c r="T81" s="12">
        <f t="shared" si="4"/>
        <v>23824</v>
      </c>
      <c r="U81" s="12">
        <f t="shared" si="4"/>
        <v>39888</v>
      </c>
      <c r="V81" s="12">
        <f t="shared" si="4"/>
        <v>55061</v>
      </c>
      <c r="W81" s="12">
        <f t="shared" si="4"/>
        <v>67904</v>
      </c>
      <c r="X81" s="12">
        <f t="shared" si="4"/>
        <v>78661</v>
      </c>
      <c r="Y81" s="12">
        <f t="shared" si="4"/>
        <v>90091</v>
      </c>
      <c r="Z81" s="12">
        <f t="shared" si="4"/>
        <v>101418</v>
      </c>
      <c r="AA81" s="12">
        <f t="shared" si="4"/>
        <v>108688</v>
      </c>
      <c r="AB81" s="12">
        <f t="shared" si="4"/>
        <v>110694</v>
      </c>
      <c r="AC81" s="12">
        <f t="shared" si="4"/>
        <v>108862.99999999907</v>
      </c>
      <c r="AD81" s="12">
        <f t="shared" si="4"/>
        <v>105428.00000000186</v>
      </c>
      <c r="AE81" s="12">
        <f t="shared" si="4"/>
        <v>102847.99999999907</v>
      </c>
      <c r="AF81" s="12">
        <f t="shared" si="4"/>
        <v>102064.99999999907</v>
      </c>
      <c r="AG81" s="12">
        <f>AG77-AF77</f>
        <v>104234.00000000093</v>
      </c>
      <c r="AH81" s="12">
        <f>AH77-AG77</f>
        <v>108657</v>
      </c>
      <c r="AI81" s="12">
        <f>1.5%*AH77</f>
        <v>106380.15</v>
      </c>
      <c r="AJ81" s="12">
        <f>1.5%*AI77</f>
        <v>107975.85225</v>
      </c>
    </row>
    <row r="82" spans="5:36" x14ac:dyDescent="0.35">
      <c r="E82" s="23">
        <f>E81/E77</f>
        <v>2.2431774272856204E-2</v>
      </c>
      <c r="AH82">
        <f>AH76*AG77</f>
        <v>102170.86064285904</v>
      </c>
    </row>
    <row r="83" spans="5:36" x14ac:dyDescent="0.35">
      <c r="AH83" s="12">
        <f>AH82+AG77</f>
        <v>7085523.8606428588</v>
      </c>
    </row>
    <row r="85" spans="5:36" x14ac:dyDescent="0.35">
      <c r="AJ85">
        <f>150000*43%</f>
        <v>64500</v>
      </c>
    </row>
    <row r="86" spans="5:36" x14ac:dyDescent="0.35">
      <c r="AJ86">
        <f>150000+AJ85</f>
        <v>214500</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V67"/>
  <sheetViews>
    <sheetView topLeftCell="G1" zoomScale="80" zoomScaleNormal="80" workbookViewId="0">
      <pane ySplit="2" topLeftCell="A48" activePane="bottomLeft" state="frozen"/>
      <selection pane="bottomLeft" activeCell="AD67" sqref="AD67"/>
    </sheetView>
  </sheetViews>
  <sheetFormatPr defaultColWidth="8.81640625" defaultRowHeight="14.5" x14ac:dyDescent="0.35"/>
  <cols>
    <col min="4" max="4" width="7.453125" bestFit="1" customWidth="1"/>
    <col min="14" max="28" width="8.81640625" customWidth="1"/>
    <col min="32" max="44" width="8.81640625" customWidth="1"/>
    <col min="45" max="45" width="3.1796875" bestFit="1" customWidth="1"/>
    <col min="46" max="46" width="10.81640625" bestFit="1" customWidth="1"/>
    <col min="47" max="47" width="0" hidden="1" customWidth="1"/>
    <col min="48" max="48" width="0" style="29" hidden="1" customWidth="1"/>
  </cols>
  <sheetData>
    <row r="1" spans="1:48" x14ac:dyDescent="0.35">
      <c r="A1" s="2" t="s">
        <v>49</v>
      </c>
    </row>
    <row r="2" spans="1:48" s="25" customFormat="1" x14ac:dyDescent="0.35">
      <c r="D2" s="4">
        <v>1990</v>
      </c>
      <c r="E2" s="4">
        <v>1991</v>
      </c>
      <c r="F2" s="4">
        <v>1992</v>
      </c>
      <c r="G2" s="4">
        <v>1993</v>
      </c>
      <c r="H2" s="4">
        <v>1994</v>
      </c>
      <c r="I2" s="4">
        <v>1995</v>
      </c>
      <c r="J2" s="4">
        <v>1996</v>
      </c>
      <c r="K2" s="4">
        <v>1997</v>
      </c>
      <c r="L2" s="4">
        <v>1998</v>
      </c>
      <c r="M2" s="4">
        <v>1999</v>
      </c>
      <c r="N2" s="4">
        <v>2000</v>
      </c>
      <c r="O2" s="3">
        <v>2001</v>
      </c>
      <c r="P2" s="3">
        <v>2002</v>
      </c>
      <c r="Q2" s="3">
        <v>2003</v>
      </c>
      <c r="R2" s="3">
        <v>2004</v>
      </c>
      <c r="S2" s="3">
        <v>2005</v>
      </c>
      <c r="T2" s="3">
        <v>2006</v>
      </c>
      <c r="U2" s="3">
        <v>2007</v>
      </c>
      <c r="V2" s="3">
        <v>2008</v>
      </c>
      <c r="W2" s="3">
        <v>2009</v>
      </c>
      <c r="X2" s="3">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T2" s="3" t="s">
        <v>44</v>
      </c>
      <c r="AU2" s="25" t="s">
        <v>162</v>
      </c>
      <c r="AV2" s="35" t="s">
        <v>163</v>
      </c>
    </row>
    <row r="3" spans="1:48" x14ac:dyDescent="0.35">
      <c r="B3" s="4" t="str">
        <f>Populations!$C$3</f>
        <v>FSW</v>
      </c>
      <c r="C3" s="4" t="s">
        <v>45</v>
      </c>
      <c r="D3" s="7"/>
      <c r="E3" s="7"/>
      <c r="F3" s="7"/>
      <c r="G3" s="7"/>
      <c r="H3" s="7"/>
      <c r="I3" s="7"/>
      <c r="J3" s="7"/>
      <c r="K3" s="7"/>
      <c r="L3" s="7"/>
      <c r="M3" s="7"/>
      <c r="N3" s="7"/>
      <c r="O3" s="7"/>
      <c r="P3" s="7">
        <v>0.75</v>
      </c>
      <c r="Q3" s="7"/>
      <c r="R3" s="7"/>
      <c r="S3" s="7"/>
      <c r="T3" s="7"/>
      <c r="U3" s="7"/>
      <c r="V3" s="7"/>
      <c r="W3" s="7"/>
      <c r="X3" s="7"/>
      <c r="Y3" s="7"/>
      <c r="Z3" s="7"/>
      <c r="AA3" s="7"/>
      <c r="AB3" s="7"/>
      <c r="AC3" s="7"/>
      <c r="AD3" s="7"/>
      <c r="AE3" s="7"/>
      <c r="AF3" s="7"/>
      <c r="AG3" s="7"/>
      <c r="AH3" s="7"/>
      <c r="AI3" s="7"/>
      <c r="AJ3" s="7"/>
      <c r="AK3" s="7"/>
      <c r="AL3" s="7"/>
      <c r="AM3" s="7"/>
      <c r="AN3" s="7"/>
      <c r="AO3" s="7"/>
      <c r="AP3" s="7"/>
      <c r="AQ3" s="7"/>
      <c r="AR3" s="7"/>
      <c r="AS3" s="6" t="s">
        <v>46</v>
      </c>
      <c r="AT3" s="7"/>
    </row>
    <row r="4" spans="1:48" x14ac:dyDescent="0.35">
      <c r="B4" s="4" t="str">
        <f>Populations!$C$3</f>
        <v>FSW</v>
      </c>
      <c r="C4" s="4" t="s">
        <v>47</v>
      </c>
      <c r="D4" s="14"/>
      <c r="E4" s="14"/>
      <c r="F4" s="14"/>
      <c r="G4" s="14"/>
      <c r="H4" s="14"/>
      <c r="I4" s="14"/>
      <c r="J4" s="14"/>
      <c r="K4" s="14"/>
      <c r="L4" s="14"/>
      <c r="M4" s="14"/>
      <c r="N4" s="14"/>
      <c r="O4" s="14"/>
      <c r="P4" s="14">
        <v>0.69499999999999995</v>
      </c>
      <c r="Q4" s="14"/>
      <c r="R4" s="14"/>
      <c r="S4" s="14"/>
      <c r="T4" s="14"/>
      <c r="U4" s="14"/>
      <c r="V4" s="14">
        <v>0.61199999999999999</v>
      </c>
      <c r="W4" s="14"/>
      <c r="X4" s="14"/>
      <c r="Y4" s="14">
        <v>0.4995</v>
      </c>
      <c r="Z4" s="14">
        <v>0.44400000000000001</v>
      </c>
      <c r="AA4" s="14">
        <v>0.46200000000000002</v>
      </c>
      <c r="AB4" s="14">
        <v>0.57099999999999995</v>
      </c>
      <c r="AC4" s="14"/>
      <c r="AD4" s="14"/>
      <c r="AE4" s="14">
        <v>0.56100000000000005</v>
      </c>
      <c r="AF4" s="7"/>
      <c r="AG4" s="124">
        <v>0.42199999999999999</v>
      </c>
      <c r="AH4" s="7"/>
      <c r="AI4" s="7"/>
      <c r="AJ4" s="7"/>
      <c r="AK4" s="7"/>
      <c r="AL4" s="7"/>
      <c r="AM4" s="7"/>
      <c r="AN4" s="7"/>
      <c r="AO4" s="7"/>
      <c r="AP4" s="7"/>
      <c r="AQ4" s="7"/>
      <c r="AR4" s="7"/>
      <c r="AS4" s="6" t="s">
        <v>46</v>
      </c>
      <c r="AT4" s="7"/>
      <c r="AU4" s="12">
        <f>AB4*'Population size'!AE4</f>
        <v>26036.663389702077</v>
      </c>
      <c r="AV4" s="19">
        <f>AU4/$AU$67</f>
        <v>1.9987709054492216E-2</v>
      </c>
    </row>
    <row r="5" spans="1:48" x14ac:dyDescent="0.35">
      <c r="B5" s="4" t="str">
        <f>Populations!$C$3</f>
        <v>FSW</v>
      </c>
      <c r="C5" s="4" t="s">
        <v>48</v>
      </c>
      <c r="D5" s="7"/>
      <c r="E5" s="7"/>
      <c r="F5" s="7"/>
      <c r="G5" s="7"/>
      <c r="H5" s="7"/>
      <c r="I5" s="7"/>
      <c r="J5" s="7"/>
      <c r="K5" s="7"/>
      <c r="L5" s="7"/>
      <c r="M5" s="7"/>
      <c r="N5" s="7"/>
      <c r="O5" s="7"/>
      <c r="P5" s="7">
        <v>0.64</v>
      </c>
      <c r="Q5" s="7"/>
      <c r="R5" s="7"/>
      <c r="S5" s="7"/>
      <c r="T5" s="7"/>
      <c r="U5" s="7"/>
      <c r="V5" s="7"/>
      <c r="W5" s="7"/>
      <c r="X5" s="7"/>
      <c r="Y5" s="7"/>
      <c r="Z5" s="7"/>
      <c r="AA5" s="7"/>
      <c r="AB5" s="7"/>
      <c r="AC5" s="7"/>
      <c r="AD5" s="7"/>
      <c r="AE5" s="7"/>
      <c r="AF5" s="7"/>
      <c r="AG5" s="7"/>
      <c r="AH5" s="7"/>
      <c r="AI5" s="7"/>
      <c r="AJ5" s="7"/>
      <c r="AK5" s="7"/>
      <c r="AL5" s="7"/>
      <c r="AM5" s="7"/>
      <c r="AN5" s="7"/>
      <c r="AO5" s="7"/>
      <c r="AP5" s="7"/>
      <c r="AQ5" s="7"/>
      <c r="AR5" s="7"/>
      <c r="AS5" s="6" t="s">
        <v>46</v>
      </c>
      <c r="AT5" s="7"/>
      <c r="AU5" s="12"/>
    </row>
    <row r="6" spans="1:48" x14ac:dyDescent="0.35">
      <c r="AU6" s="12"/>
    </row>
    <row r="7" spans="1:48" x14ac:dyDescent="0.35">
      <c r="B7" s="4" t="str">
        <f>Populations!$C$4</f>
        <v>Clients</v>
      </c>
      <c r="C7" s="4" t="s">
        <v>45</v>
      </c>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6" t="s">
        <v>46</v>
      </c>
      <c r="AT7" s="7"/>
      <c r="AU7" s="12"/>
    </row>
    <row r="8" spans="1:48" x14ac:dyDescent="0.35">
      <c r="B8" s="4" t="str">
        <f>Populations!$C$4</f>
        <v>Clients</v>
      </c>
      <c r="C8" s="4" t="s">
        <v>47</v>
      </c>
      <c r="D8" s="14"/>
      <c r="E8" s="14"/>
      <c r="F8" s="14"/>
      <c r="G8" s="14"/>
      <c r="H8" s="14"/>
      <c r="I8" s="14"/>
      <c r="J8" s="14"/>
      <c r="K8" s="14"/>
      <c r="L8" s="14"/>
      <c r="M8" s="14"/>
      <c r="N8" s="14"/>
      <c r="O8" s="14"/>
      <c r="P8" s="14"/>
      <c r="Q8" s="14"/>
      <c r="R8" s="14"/>
      <c r="S8" s="124">
        <v>0.125</v>
      </c>
      <c r="T8" s="14"/>
      <c r="U8" s="14"/>
      <c r="V8" s="14"/>
      <c r="W8" s="14"/>
      <c r="X8" s="124">
        <v>0.13400000000000001</v>
      </c>
      <c r="Y8" s="14"/>
      <c r="Z8" s="14"/>
      <c r="AA8" s="14"/>
      <c r="AB8" s="14"/>
      <c r="AC8" s="124">
        <v>0.158</v>
      </c>
      <c r="AD8" s="14"/>
      <c r="AE8" s="14"/>
      <c r="AF8" s="7"/>
      <c r="AG8" s="7"/>
      <c r="AH8" s="7"/>
      <c r="AI8" s="7"/>
      <c r="AJ8" s="7"/>
      <c r="AK8" s="7"/>
      <c r="AL8" s="7"/>
      <c r="AM8" s="7"/>
      <c r="AN8" s="7"/>
      <c r="AO8" s="7"/>
      <c r="AP8" s="7"/>
      <c r="AQ8" s="7"/>
      <c r="AR8" s="7"/>
      <c r="AS8" s="6" t="s">
        <v>46</v>
      </c>
      <c r="AT8" s="7"/>
      <c r="AU8" s="12">
        <f>AC8*'Population size'!AE8</f>
        <v>50899.842200000006</v>
      </c>
      <c r="AV8" s="19">
        <f>AU8/$AU$67</f>
        <v>3.9074562726633857E-2</v>
      </c>
    </row>
    <row r="9" spans="1:48" x14ac:dyDescent="0.35">
      <c r="B9" s="4" t="str">
        <f>Populations!$C$4</f>
        <v>Clients</v>
      </c>
      <c r="C9" s="4" t="s">
        <v>48</v>
      </c>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6" t="s">
        <v>46</v>
      </c>
      <c r="AT9" s="7"/>
      <c r="AU9" s="12"/>
    </row>
    <row r="10" spans="1:48" x14ac:dyDescent="0.35">
      <c r="AU10" s="12"/>
    </row>
    <row r="11" spans="1:48" x14ac:dyDescent="0.35">
      <c r="B11" s="4" t="str">
        <f>Populations!$C$5</f>
        <v>MSM</v>
      </c>
      <c r="C11" s="4" t="s">
        <v>45</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6" t="s">
        <v>46</v>
      </c>
      <c r="AT11" s="7"/>
      <c r="AU11" s="12"/>
    </row>
    <row r="12" spans="1:48" x14ac:dyDescent="0.35">
      <c r="B12" s="4" t="str">
        <f>Populations!$C$5</f>
        <v>MSM</v>
      </c>
      <c r="C12" s="4" t="s">
        <v>47</v>
      </c>
      <c r="D12" s="14"/>
      <c r="E12" s="14"/>
      <c r="F12" s="14"/>
      <c r="G12" s="14"/>
      <c r="H12" s="14"/>
      <c r="I12" s="14"/>
      <c r="J12" s="14"/>
      <c r="K12" s="14"/>
      <c r="L12" s="14"/>
      <c r="M12" s="14"/>
      <c r="N12" s="14"/>
      <c r="O12" s="14"/>
      <c r="P12" s="14"/>
      <c r="Q12" s="14"/>
      <c r="R12" s="14"/>
      <c r="S12" s="14"/>
      <c r="T12" s="14"/>
      <c r="U12" s="14"/>
      <c r="V12" s="14"/>
      <c r="W12" s="14"/>
      <c r="X12" s="14"/>
      <c r="Y12" s="14"/>
      <c r="Z12" s="14"/>
      <c r="AA12" s="14">
        <v>0.23499999999999999</v>
      </c>
      <c r="AB12" s="14"/>
      <c r="AC12" s="14"/>
      <c r="AD12" s="14"/>
      <c r="AE12" s="14"/>
      <c r="AF12" s="7"/>
      <c r="AG12" s="124">
        <v>0.21099999999999999</v>
      </c>
      <c r="AH12" s="7"/>
      <c r="AI12" s="7"/>
      <c r="AJ12" s="7"/>
      <c r="AK12" s="7"/>
      <c r="AL12" s="7"/>
      <c r="AM12" s="7"/>
      <c r="AN12" s="7"/>
      <c r="AO12" s="7"/>
      <c r="AP12" s="7"/>
      <c r="AQ12" s="7"/>
      <c r="AR12" s="7"/>
      <c r="AS12" s="6" t="s">
        <v>46</v>
      </c>
      <c r="AT12" s="7"/>
      <c r="AU12" s="12">
        <f>AT12*'Population size'!AE12</f>
        <v>0</v>
      </c>
      <c r="AV12" s="19">
        <f>AU12/$AU$67</f>
        <v>0</v>
      </c>
    </row>
    <row r="13" spans="1:48" x14ac:dyDescent="0.35">
      <c r="B13" s="4" t="str">
        <f>Populations!$C$5</f>
        <v>MSM</v>
      </c>
      <c r="C13" s="4" t="s">
        <v>48</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6" t="s">
        <v>46</v>
      </c>
      <c r="AT13" s="7"/>
      <c r="AU13" s="12"/>
    </row>
    <row r="14" spans="1:48" x14ac:dyDescent="0.35">
      <c r="AU14" s="12"/>
    </row>
    <row r="15" spans="1:48" x14ac:dyDescent="0.35">
      <c r="B15" s="4" t="str">
        <f>Populations!$C$6</f>
        <v>Prisoners</v>
      </c>
      <c r="C15" s="4" t="s">
        <v>45</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6" t="s">
        <v>46</v>
      </c>
      <c r="AT15" s="7"/>
      <c r="AU15" s="12"/>
    </row>
    <row r="16" spans="1:48" x14ac:dyDescent="0.35">
      <c r="B16" s="4" t="str">
        <f>Populations!$C$6</f>
        <v>Prisoners</v>
      </c>
      <c r="C16" s="4" t="s">
        <v>47</v>
      </c>
      <c r="D16" s="14"/>
      <c r="E16" s="14"/>
      <c r="F16" s="14"/>
      <c r="G16" s="14"/>
      <c r="H16" s="14"/>
      <c r="I16" s="14"/>
      <c r="J16" s="14"/>
      <c r="K16" s="14"/>
      <c r="L16" s="14"/>
      <c r="M16" s="14"/>
      <c r="N16" s="14"/>
      <c r="O16" s="14"/>
      <c r="P16" s="14"/>
      <c r="Q16" s="14"/>
      <c r="R16" s="14"/>
      <c r="S16" s="14"/>
      <c r="T16" s="14"/>
      <c r="U16" s="14"/>
      <c r="V16" s="14"/>
      <c r="W16" s="14"/>
      <c r="X16" s="14"/>
      <c r="Y16" s="14"/>
      <c r="Z16" s="14">
        <v>0.26800000000000002</v>
      </c>
      <c r="AA16" s="14"/>
      <c r="AB16" s="14"/>
      <c r="AC16" s="14"/>
      <c r="AD16" s="14"/>
      <c r="AE16" s="14"/>
      <c r="AF16" s="7"/>
      <c r="AG16" s="7"/>
      <c r="AH16" s="7"/>
      <c r="AI16" s="7"/>
      <c r="AJ16" s="7"/>
      <c r="AK16" s="7"/>
      <c r="AL16" s="7"/>
      <c r="AM16" s="7"/>
      <c r="AN16" s="7"/>
      <c r="AO16" s="7"/>
      <c r="AP16" s="7"/>
      <c r="AQ16" s="7"/>
      <c r="AR16" s="7"/>
      <c r="AS16" s="6" t="s">
        <v>46</v>
      </c>
      <c r="AT16" s="7"/>
      <c r="AU16" s="12">
        <f>AC16*'Population size'!AE16</f>
        <v>0</v>
      </c>
      <c r="AV16" s="19">
        <f>AU16/$AU$67</f>
        <v>0</v>
      </c>
    </row>
    <row r="17" spans="2:48" x14ac:dyDescent="0.35">
      <c r="B17" s="4" t="str">
        <f>Populations!$C$6</f>
        <v>Prisoners</v>
      </c>
      <c r="C17" s="4" t="s">
        <v>48</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6" t="s">
        <v>46</v>
      </c>
      <c r="AT17" s="7"/>
      <c r="AU17" s="12"/>
    </row>
    <row r="18" spans="2:48" x14ac:dyDescent="0.35">
      <c r="AU18" s="12"/>
    </row>
    <row r="19" spans="2:48" x14ac:dyDescent="0.35">
      <c r="B19" s="4" t="str">
        <f>Populations!$C$7</f>
        <v>F0-14</v>
      </c>
      <c r="C19" s="4" t="s">
        <v>45</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6" t="s">
        <v>46</v>
      </c>
      <c r="AT19" s="7"/>
      <c r="AU19" s="12"/>
    </row>
    <row r="20" spans="2:48" x14ac:dyDescent="0.35">
      <c r="B20" s="4" t="str">
        <f>Populations!$C$7</f>
        <v>F0-14</v>
      </c>
      <c r="C20" s="4" t="s">
        <v>47</v>
      </c>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46">
        <v>1.8499999999999999E-2</v>
      </c>
      <c r="AD20" s="14">
        <v>1.4999999999999999E-2</v>
      </c>
      <c r="AE20" s="14"/>
      <c r="AF20" s="7"/>
      <c r="AG20" s="124">
        <v>0.01</v>
      </c>
      <c r="AH20" s="7"/>
      <c r="AI20" s="7"/>
      <c r="AJ20" s="7"/>
      <c r="AK20" s="7"/>
      <c r="AL20" s="7"/>
      <c r="AM20" s="7"/>
      <c r="AN20" s="7"/>
      <c r="AO20" s="7"/>
      <c r="AP20" s="7"/>
      <c r="AQ20" s="7"/>
      <c r="AR20" s="7"/>
      <c r="AS20" s="6" t="s">
        <v>46</v>
      </c>
      <c r="AT20" s="7"/>
      <c r="AU20" s="12">
        <f>AD20*'Population size'!AE20</f>
        <v>45361.394999999997</v>
      </c>
      <c r="AV20" s="19">
        <f>AU20/$AU$67</f>
        <v>3.4822832403498399E-2</v>
      </c>
    </row>
    <row r="21" spans="2:48" x14ac:dyDescent="0.35">
      <c r="B21" s="4" t="str">
        <f>Populations!$C$7</f>
        <v>F0-14</v>
      </c>
      <c r="C21" s="4" t="s">
        <v>48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6" t="s">
        <v>46</v>
      </c>
      <c r="AT21" s="7"/>
      <c r="AU21" s="12"/>
    </row>
    <row r="22" spans="2:48" x14ac:dyDescent="0.35">
      <c r="AU22" s="12"/>
    </row>
    <row r="23" spans="2:48" x14ac:dyDescent="0.35">
      <c r="B23" s="4" t="str">
        <f>Populations!$C$8</f>
        <v>M0-14</v>
      </c>
      <c r="C23" s="4" t="s">
        <v>45</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6" t="s">
        <v>46</v>
      </c>
      <c r="AT23" s="7"/>
      <c r="AU23" s="12"/>
    </row>
    <row r="24" spans="2:48" x14ac:dyDescent="0.35">
      <c r="B24" s="4" t="str">
        <f>Populations!$C$8</f>
        <v>M0-14</v>
      </c>
      <c r="C24" s="4" t="s">
        <v>47</v>
      </c>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46">
        <v>1.8499999999999999E-2</v>
      </c>
      <c r="AD24" s="14">
        <v>1.7000000000000001E-2</v>
      </c>
      <c r="AE24" s="14"/>
      <c r="AF24" s="7"/>
      <c r="AG24" s="124">
        <v>0.01</v>
      </c>
      <c r="AH24" s="7"/>
      <c r="AI24" s="7"/>
      <c r="AJ24" s="7"/>
      <c r="AK24" s="7"/>
      <c r="AL24" s="7"/>
      <c r="AM24" s="7"/>
      <c r="AN24" s="7"/>
      <c r="AO24" s="7"/>
      <c r="AP24" s="7"/>
      <c r="AQ24" s="7"/>
      <c r="AR24" s="7"/>
      <c r="AS24" s="6" t="s">
        <v>46</v>
      </c>
      <c r="AT24" s="7"/>
      <c r="AU24" s="12">
        <f>AD24*'Population size'!AE24</f>
        <v>51684.267000000007</v>
      </c>
      <c r="AV24" s="19">
        <f>AU24/$AU$67</f>
        <v>3.9676746441300217E-2</v>
      </c>
    </row>
    <row r="25" spans="2:48" x14ac:dyDescent="0.35">
      <c r="B25" s="4" t="str">
        <f>Populations!$C$8</f>
        <v>M0-14</v>
      </c>
      <c r="C25" s="4" t="s">
        <v>48</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6" t="s">
        <v>46</v>
      </c>
      <c r="AT25" s="7"/>
      <c r="AU25" s="12"/>
    </row>
    <row r="26" spans="2:48" x14ac:dyDescent="0.35">
      <c r="AU26" s="12"/>
    </row>
    <row r="27" spans="2:48" x14ac:dyDescent="0.35">
      <c r="B27" s="4" t="str">
        <f>Populations!$C$9</f>
        <v>F15-19</v>
      </c>
      <c r="C27" s="4" t="s">
        <v>45</v>
      </c>
      <c r="D27" s="7"/>
      <c r="E27" s="7"/>
      <c r="F27" s="7"/>
      <c r="G27" s="7"/>
      <c r="H27" s="7"/>
      <c r="I27" s="7"/>
      <c r="J27" s="7"/>
      <c r="K27" s="7"/>
      <c r="L27" s="7"/>
      <c r="M27" s="7"/>
      <c r="N27" s="7"/>
      <c r="O27" s="7"/>
      <c r="P27" s="7"/>
      <c r="Q27" s="7"/>
      <c r="R27" s="7"/>
      <c r="S27" s="7">
        <v>7.6999999999999999E-2</v>
      </c>
      <c r="T27" s="7"/>
      <c r="U27" s="7"/>
      <c r="V27" s="7"/>
      <c r="W27" s="7"/>
      <c r="X27" s="7">
        <v>5.2999999999999999E-2</v>
      </c>
      <c r="Y27" s="7"/>
      <c r="Z27" s="7"/>
      <c r="AA27" s="7"/>
      <c r="AB27" s="7"/>
      <c r="AC27" s="7">
        <v>5.0999999999999997E-2</v>
      </c>
      <c r="AD27" s="7"/>
      <c r="AE27" s="7"/>
      <c r="AF27" s="7"/>
      <c r="AG27" s="7"/>
      <c r="AH27" s="7"/>
      <c r="AI27" s="7"/>
      <c r="AJ27" s="7"/>
      <c r="AK27" s="7"/>
      <c r="AL27" s="7"/>
      <c r="AM27" s="7"/>
      <c r="AN27" s="7"/>
      <c r="AO27" s="7"/>
      <c r="AP27" s="7"/>
      <c r="AQ27" s="7"/>
      <c r="AR27" s="7"/>
      <c r="AS27" s="6" t="s">
        <v>46</v>
      </c>
      <c r="AT27" s="7"/>
      <c r="AU27" s="12"/>
    </row>
    <row r="28" spans="2:48" x14ac:dyDescent="0.35">
      <c r="B28" s="4" t="str">
        <f>Populations!$C$9</f>
        <v>F15-19</v>
      </c>
      <c r="C28" s="4" t="s">
        <v>47</v>
      </c>
      <c r="D28" s="14"/>
      <c r="E28" s="14"/>
      <c r="F28" s="14"/>
      <c r="G28" s="14"/>
      <c r="H28" s="14"/>
      <c r="I28" s="14"/>
      <c r="J28" s="14"/>
      <c r="K28" s="14"/>
      <c r="L28" s="14"/>
      <c r="M28" s="14"/>
      <c r="N28" s="14"/>
      <c r="O28" s="14">
        <v>0.106</v>
      </c>
      <c r="P28" s="14"/>
      <c r="Q28" s="14"/>
      <c r="R28" s="14"/>
      <c r="S28" s="14">
        <v>6.2E-2</v>
      </c>
      <c r="T28" s="14"/>
      <c r="U28" s="14"/>
      <c r="V28" s="14"/>
      <c r="W28" s="14"/>
      <c r="X28" s="14">
        <v>4.2000000000000003E-2</v>
      </c>
      <c r="Y28" s="124">
        <v>4.2000000000000003E-2</v>
      </c>
      <c r="Z28" s="14"/>
      <c r="AA28" s="14"/>
      <c r="AB28" s="14"/>
      <c r="AC28" s="14">
        <v>0.04</v>
      </c>
      <c r="AD28" s="14">
        <v>3.9E-2</v>
      </c>
      <c r="AE28" s="14"/>
      <c r="AF28" s="7"/>
      <c r="AG28" s="7"/>
      <c r="AH28" s="15">
        <v>3.7999999999999999E-2</v>
      </c>
      <c r="AI28" s="7"/>
      <c r="AJ28" s="7"/>
      <c r="AK28" s="7"/>
      <c r="AL28" s="7"/>
      <c r="AM28" s="7"/>
      <c r="AN28" s="7"/>
      <c r="AO28" s="7"/>
      <c r="AP28" s="7"/>
      <c r="AQ28" s="7"/>
      <c r="AR28" s="7"/>
      <c r="AS28" s="6" t="s">
        <v>46</v>
      </c>
      <c r="AT28" s="7"/>
      <c r="AU28" s="12">
        <f>AD28*'Population size'!AE28</f>
        <v>29789.450559637866</v>
      </c>
      <c r="AV28" s="19">
        <f>AU28/$AU$67</f>
        <v>2.2868631889089192E-2</v>
      </c>
    </row>
    <row r="29" spans="2:48" x14ac:dyDescent="0.35">
      <c r="B29" s="4" t="str">
        <f>Populations!$C$9</f>
        <v>F15-19</v>
      </c>
      <c r="C29" s="4" t="s">
        <v>48</v>
      </c>
      <c r="D29" s="7"/>
      <c r="E29" s="7"/>
      <c r="F29" s="7"/>
      <c r="G29" s="7"/>
      <c r="H29" s="7"/>
      <c r="I29" s="7"/>
      <c r="J29" s="7"/>
      <c r="K29" s="7"/>
      <c r="L29" s="7"/>
      <c r="M29" s="7"/>
      <c r="N29" s="7"/>
      <c r="O29" s="7"/>
      <c r="P29" s="7"/>
      <c r="Q29" s="7"/>
      <c r="R29" s="7"/>
      <c r="S29" s="7">
        <v>4.7E-2</v>
      </c>
      <c r="T29" s="7"/>
      <c r="U29" s="7"/>
      <c r="V29" s="7"/>
      <c r="W29" s="7"/>
      <c r="X29" s="7">
        <v>3.2000000000000001E-2</v>
      </c>
      <c r="Y29" s="7"/>
      <c r="Z29" s="7"/>
      <c r="AA29" s="7"/>
      <c r="AB29" s="7"/>
      <c r="AC29" s="7">
        <v>0.03</v>
      </c>
      <c r="AD29" s="7"/>
      <c r="AE29" s="7"/>
      <c r="AF29" s="7"/>
      <c r="AG29" s="7"/>
      <c r="AH29" s="7"/>
      <c r="AI29" s="7"/>
      <c r="AJ29" s="7"/>
      <c r="AK29" s="7"/>
      <c r="AL29" s="7"/>
      <c r="AM29" s="7"/>
      <c r="AN29" s="7"/>
      <c r="AO29" s="7"/>
      <c r="AP29" s="7"/>
      <c r="AQ29" s="7"/>
      <c r="AR29" s="7"/>
      <c r="AS29" s="6" t="s">
        <v>46</v>
      </c>
      <c r="AT29" s="7"/>
      <c r="AU29" s="12"/>
    </row>
    <row r="30" spans="2:48" x14ac:dyDescent="0.35">
      <c r="AU30" s="12"/>
    </row>
    <row r="31" spans="2:48" x14ac:dyDescent="0.35">
      <c r="B31" s="4" t="str">
        <f>Populations!$C$10</f>
        <v>M15-19</v>
      </c>
      <c r="C31" s="4" t="s">
        <v>45</v>
      </c>
      <c r="D31" s="7"/>
      <c r="E31" s="7"/>
      <c r="F31" s="7"/>
      <c r="G31" s="7"/>
      <c r="H31" s="7"/>
      <c r="I31" s="7"/>
      <c r="J31" s="7"/>
      <c r="K31" s="7"/>
      <c r="L31" s="7"/>
      <c r="M31" s="7"/>
      <c r="N31" s="7"/>
      <c r="O31" s="7"/>
      <c r="P31" s="7"/>
      <c r="Q31" s="7"/>
      <c r="R31" s="7"/>
      <c r="S31" s="7">
        <v>4.2000000000000003E-2</v>
      </c>
      <c r="T31" s="7"/>
      <c r="U31" s="7"/>
      <c r="V31" s="7"/>
      <c r="W31" s="7"/>
      <c r="X31" s="7">
        <v>4.3999999999999997E-2</v>
      </c>
      <c r="Y31" s="7"/>
      <c r="Z31" s="7"/>
      <c r="AA31" s="7"/>
      <c r="AB31" s="7"/>
      <c r="AC31" s="7">
        <v>3.3000000000000002E-2</v>
      </c>
      <c r="AD31" s="7"/>
      <c r="AE31" s="7"/>
      <c r="AF31" s="7"/>
      <c r="AG31" s="7"/>
      <c r="AH31" s="7"/>
      <c r="AI31" s="7"/>
      <c r="AJ31" s="7"/>
      <c r="AK31" s="7"/>
      <c r="AL31" s="7"/>
      <c r="AM31" s="7"/>
      <c r="AN31" s="7"/>
      <c r="AO31" s="7"/>
      <c r="AP31" s="7"/>
      <c r="AQ31" s="7"/>
      <c r="AR31" s="7"/>
      <c r="AS31" s="6" t="s">
        <v>46</v>
      </c>
      <c r="AT31" s="7"/>
      <c r="AU31" s="12"/>
    </row>
    <row r="32" spans="2:48" x14ac:dyDescent="0.35">
      <c r="B32" s="4" t="str">
        <f>Populations!$C$10</f>
        <v>M15-19</v>
      </c>
      <c r="C32" s="4" t="s">
        <v>47</v>
      </c>
      <c r="D32" s="14"/>
      <c r="E32" s="14"/>
      <c r="F32" s="14"/>
      <c r="G32" s="14"/>
      <c r="H32" s="14"/>
      <c r="I32" s="14"/>
      <c r="J32" s="14"/>
      <c r="K32" s="14"/>
      <c r="L32" s="14"/>
      <c r="M32" s="14"/>
      <c r="N32" s="14"/>
      <c r="O32" s="14">
        <v>2.1000000000000001E-2</v>
      </c>
      <c r="P32" s="14"/>
      <c r="Q32" s="14"/>
      <c r="R32" s="14"/>
      <c r="S32" s="14">
        <v>3.1E-2</v>
      </c>
      <c r="T32" s="14"/>
      <c r="U32" s="14"/>
      <c r="V32" s="14"/>
      <c r="W32" s="14"/>
      <c r="X32" s="14">
        <v>3.4000000000000002E-2</v>
      </c>
      <c r="Y32" s="124">
        <v>3.3000000000000002E-2</v>
      </c>
      <c r="Z32" s="14"/>
      <c r="AA32" s="14"/>
      <c r="AB32" s="14"/>
      <c r="AC32" s="14">
        <v>2.5000000000000001E-2</v>
      </c>
      <c r="AD32" s="14">
        <v>3.2000000000000001E-2</v>
      </c>
      <c r="AE32" s="14"/>
      <c r="AF32" s="7"/>
      <c r="AG32" s="7"/>
      <c r="AH32" s="124">
        <v>2.1000000000000001E-2</v>
      </c>
      <c r="AI32" s="7"/>
      <c r="AJ32" s="7"/>
      <c r="AK32" s="7"/>
      <c r="AL32" s="7"/>
      <c r="AM32" s="7"/>
      <c r="AN32" s="7"/>
      <c r="AO32" s="7"/>
      <c r="AP32" s="7"/>
      <c r="AQ32" s="7"/>
      <c r="AR32" s="7"/>
      <c r="AS32" s="6" t="s">
        <v>46</v>
      </c>
      <c r="AT32" s="7"/>
      <c r="AU32" s="12">
        <f>AD32*'Population size'!AE32</f>
        <v>21582.084052964008</v>
      </c>
      <c r="AV32" s="19">
        <f>AU32/$AU$67</f>
        <v>1.6568037554722054E-2</v>
      </c>
    </row>
    <row r="33" spans="2:48" x14ac:dyDescent="0.35">
      <c r="B33" s="4" t="str">
        <f>Populations!$C$10</f>
        <v>M15-19</v>
      </c>
      <c r="C33" s="4" t="s">
        <v>48</v>
      </c>
      <c r="D33" s="7"/>
      <c r="E33" s="7"/>
      <c r="F33" s="7"/>
      <c r="G33" s="7"/>
      <c r="H33" s="7"/>
      <c r="I33" s="7"/>
      <c r="J33" s="7"/>
      <c r="K33" s="7"/>
      <c r="L33" s="7"/>
      <c r="M33" s="7"/>
      <c r="N33" s="7"/>
      <c r="O33" s="7"/>
      <c r="P33" s="7"/>
      <c r="Q33" s="7"/>
      <c r="R33" s="7"/>
      <c r="S33" s="7">
        <v>0.02</v>
      </c>
      <c r="T33" s="7"/>
      <c r="U33" s="7"/>
      <c r="V33" s="7"/>
      <c r="W33" s="7"/>
      <c r="X33" s="7">
        <v>2.3E-2</v>
      </c>
      <c r="Y33" s="7"/>
      <c r="Z33" s="7"/>
      <c r="AA33" s="7"/>
      <c r="AB33" s="7"/>
      <c r="AC33" s="7">
        <v>1.7000000000000001E-2</v>
      </c>
      <c r="AD33" s="7"/>
      <c r="AE33" s="7"/>
      <c r="AF33" s="7"/>
      <c r="AG33" s="7"/>
      <c r="AH33" s="7"/>
      <c r="AI33" s="7"/>
      <c r="AJ33" s="7"/>
      <c r="AK33" s="7"/>
      <c r="AL33" s="7"/>
      <c r="AM33" s="7"/>
      <c r="AN33" s="7"/>
      <c r="AO33" s="7"/>
      <c r="AP33" s="7"/>
      <c r="AQ33" s="7"/>
      <c r="AR33" s="7"/>
      <c r="AS33" s="6" t="s">
        <v>46</v>
      </c>
      <c r="AT33" s="7"/>
      <c r="AU33" s="12"/>
    </row>
    <row r="34" spans="2:48" x14ac:dyDescent="0.35">
      <c r="AU34" s="12"/>
    </row>
    <row r="35" spans="2:48" x14ac:dyDescent="0.35">
      <c r="B35" s="4" t="str">
        <f>Populations!$C$11</f>
        <v>F20-24</v>
      </c>
      <c r="C35" s="4" t="s">
        <v>45</v>
      </c>
      <c r="D35" s="7"/>
      <c r="E35" s="7"/>
      <c r="F35" s="7"/>
      <c r="G35" s="7"/>
      <c r="H35" s="7"/>
      <c r="I35" s="7"/>
      <c r="J35" s="7"/>
      <c r="K35" s="7"/>
      <c r="L35" s="7"/>
      <c r="M35" s="7"/>
      <c r="N35" s="7"/>
      <c r="O35" s="7"/>
      <c r="P35" s="7"/>
      <c r="Q35" s="7"/>
      <c r="R35" s="7"/>
      <c r="S35" s="7">
        <v>0.182</v>
      </c>
      <c r="T35" s="7"/>
      <c r="U35" s="7"/>
      <c r="V35" s="7"/>
      <c r="W35" s="7"/>
      <c r="X35" s="7">
        <v>0.122</v>
      </c>
      <c r="Y35" s="7"/>
      <c r="Z35" s="7"/>
      <c r="AA35" s="7"/>
      <c r="AB35" s="7"/>
      <c r="AC35" s="7">
        <v>0.123</v>
      </c>
      <c r="AD35" s="7"/>
      <c r="AE35" s="7"/>
      <c r="AF35" s="7"/>
      <c r="AG35" s="7"/>
      <c r="AH35" s="7"/>
      <c r="AI35" s="7"/>
      <c r="AJ35" s="7"/>
      <c r="AK35" s="7"/>
      <c r="AL35" s="7"/>
      <c r="AM35" s="7"/>
      <c r="AN35" s="7"/>
      <c r="AO35" s="7"/>
      <c r="AP35" s="7"/>
      <c r="AQ35" s="7"/>
      <c r="AR35" s="7"/>
      <c r="AS35" s="6" t="s">
        <v>46</v>
      </c>
      <c r="AT35" s="7"/>
      <c r="AU35" s="12"/>
    </row>
    <row r="36" spans="2:48" x14ac:dyDescent="0.35">
      <c r="B36" s="4" t="str">
        <f>Populations!$C$11</f>
        <v>F20-24</v>
      </c>
      <c r="C36" s="4" t="s">
        <v>47</v>
      </c>
      <c r="D36" s="14"/>
      <c r="E36" s="14"/>
      <c r="F36" s="14"/>
      <c r="G36" s="14"/>
      <c r="H36" s="14"/>
      <c r="I36" s="14"/>
      <c r="J36" s="14"/>
      <c r="K36" s="14"/>
      <c r="L36" s="14"/>
      <c r="M36" s="14"/>
      <c r="N36" s="14"/>
      <c r="O36" s="37">
        <v>0.26100000000000001</v>
      </c>
      <c r="P36" s="14"/>
      <c r="Q36" s="14"/>
      <c r="R36" s="14"/>
      <c r="S36" s="14">
        <v>0.16300000000000001</v>
      </c>
      <c r="T36" s="14"/>
      <c r="U36" s="14"/>
      <c r="V36" s="14"/>
      <c r="W36" s="14"/>
      <c r="X36" s="14">
        <v>0.106</v>
      </c>
      <c r="Y36" s="124">
        <v>0.106</v>
      </c>
      <c r="Z36" s="14"/>
      <c r="AA36" s="14"/>
      <c r="AB36" s="14"/>
      <c r="AC36" s="14">
        <v>0.10299999999999999</v>
      </c>
      <c r="AD36" s="14">
        <v>8.1000000000000003E-2</v>
      </c>
      <c r="AE36" s="14"/>
      <c r="AF36" s="7"/>
      <c r="AG36" s="7"/>
      <c r="AH36" s="15">
        <v>6.4000000000000001E-2</v>
      </c>
      <c r="AI36" s="7"/>
      <c r="AJ36" s="7"/>
      <c r="AK36" s="7"/>
      <c r="AL36" s="7"/>
      <c r="AM36" s="7"/>
      <c r="AN36" s="7"/>
      <c r="AO36" s="7"/>
      <c r="AP36" s="7"/>
      <c r="AQ36" s="7"/>
      <c r="AR36" s="7"/>
      <c r="AS36" s="6" t="s">
        <v>46</v>
      </c>
      <c r="AT36" s="7"/>
      <c r="AU36" s="12">
        <f>AD36*'Population size'!AE36</f>
        <v>54871.531011717838</v>
      </c>
      <c r="AV36" s="19">
        <f>AU36/$AU$67</f>
        <v>4.212353099247533E-2</v>
      </c>
    </row>
    <row r="37" spans="2:48" x14ac:dyDescent="0.35">
      <c r="B37" s="4" t="str">
        <f>Populations!$C$11</f>
        <v>F20-24</v>
      </c>
      <c r="C37" s="4" t="s">
        <v>48</v>
      </c>
      <c r="D37" s="7"/>
      <c r="E37" s="7"/>
      <c r="F37" s="7"/>
      <c r="G37" s="7"/>
      <c r="H37" s="7"/>
      <c r="I37" s="7"/>
      <c r="J37" s="7"/>
      <c r="K37" s="7"/>
      <c r="L37" s="7"/>
      <c r="M37" s="7"/>
      <c r="N37" s="7"/>
      <c r="O37" s="7"/>
      <c r="P37" s="7"/>
      <c r="Q37" s="7"/>
      <c r="R37" s="7"/>
      <c r="S37" s="7">
        <v>0.14499999999999999</v>
      </c>
      <c r="T37" s="7"/>
      <c r="U37" s="7"/>
      <c r="V37" s="7"/>
      <c r="W37" s="7"/>
      <c r="X37" s="7">
        <v>8.8999999999999996E-2</v>
      </c>
      <c r="Y37" s="7"/>
      <c r="Z37" s="7"/>
      <c r="AA37" s="7"/>
      <c r="AB37" s="7"/>
      <c r="AC37" s="7">
        <v>8.3000000000000004E-2</v>
      </c>
      <c r="AD37" s="7"/>
      <c r="AE37" s="7"/>
      <c r="AF37" s="7"/>
      <c r="AG37" s="7"/>
      <c r="AH37" s="7"/>
      <c r="AI37" s="7"/>
      <c r="AJ37" s="7"/>
      <c r="AK37" s="7"/>
      <c r="AL37" s="7"/>
      <c r="AM37" s="7"/>
      <c r="AN37" s="7"/>
      <c r="AO37" s="7"/>
      <c r="AP37" s="7"/>
      <c r="AQ37" s="7"/>
      <c r="AR37" s="7"/>
      <c r="AS37" s="6" t="s">
        <v>46</v>
      </c>
      <c r="AT37" s="7"/>
      <c r="AU37" s="12"/>
    </row>
    <row r="38" spans="2:48" x14ac:dyDescent="0.35">
      <c r="AU38" s="12"/>
    </row>
    <row r="39" spans="2:48" x14ac:dyDescent="0.35">
      <c r="B39" s="4" t="str">
        <f>Populations!$C$12</f>
        <v>M20-24</v>
      </c>
      <c r="C39" s="4" t="s">
        <v>45</v>
      </c>
      <c r="D39" s="7"/>
      <c r="E39" s="7"/>
      <c r="F39" s="7"/>
      <c r="G39" s="7"/>
      <c r="H39" s="7"/>
      <c r="I39" s="7"/>
      <c r="J39" s="7"/>
      <c r="K39" s="7"/>
      <c r="L39" s="7"/>
      <c r="M39" s="7"/>
      <c r="N39" s="7"/>
      <c r="O39" s="7"/>
      <c r="P39" s="7"/>
      <c r="Q39" s="7"/>
      <c r="R39" s="7"/>
      <c r="S39" s="7">
        <v>7.8E-2</v>
      </c>
      <c r="T39" s="7"/>
      <c r="U39" s="7"/>
      <c r="V39" s="7"/>
      <c r="W39" s="7"/>
      <c r="X39" s="7">
        <v>5.1999999999999998E-2</v>
      </c>
      <c r="Y39" s="7"/>
      <c r="Z39" s="7"/>
      <c r="AA39" s="7"/>
      <c r="AB39" s="7"/>
      <c r="AC39" s="7">
        <v>4.8000000000000001E-2</v>
      </c>
      <c r="AD39" s="7"/>
      <c r="AE39" s="7"/>
      <c r="AF39" s="7"/>
      <c r="AG39" s="7"/>
      <c r="AH39" s="7"/>
      <c r="AI39" s="7"/>
      <c r="AJ39" s="7"/>
      <c r="AK39" s="7"/>
      <c r="AL39" s="7"/>
      <c r="AM39" s="7"/>
      <c r="AN39" s="7"/>
      <c r="AO39" s="7"/>
      <c r="AP39" s="7"/>
      <c r="AQ39" s="7"/>
      <c r="AR39" s="7"/>
      <c r="AS39" s="6" t="s">
        <v>46</v>
      </c>
      <c r="AT39" s="7"/>
      <c r="AU39" s="12"/>
    </row>
    <row r="40" spans="2:48" x14ac:dyDescent="0.35">
      <c r="B40" s="4" t="str">
        <f>Populations!$C$12</f>
        <v>M20-24</v>
      </c>
      <c r="C40" s="4" t="s">
        <v>47</v>
      </c>
      <c r="D40" s="14"/>
      <c r="E40" s="14"/>
      <c r="F40" s="14"/>
      <c r="G40" s="14"/>
      <c r="H40" s="14"/>
      <c r="I40" s="14"/>
      <c r="J40" s="14"/>
      <c r="K40" s="14"/>
      <c r="L40" s="14"/>
      <c r="M40" s="14"/>
      <c r="N40" s="14"/>
      <c r="O40" s="14">
        <v>9.1999999999999998E-2</v>
      </c>
      <c r="P40" s="14"/>
      <c r="Q40" s="14"/>
      <c r="R40" s="14"/>
      <c r="S40" s="14">
        <v>5.8000000000000003E-2</v>
      </c>
      <c r="T40" s="14"/>
      <c r="U40" s="14"/>
      <c r="V40" s="14"/>
      <c r="W40" s="14"/>
      <c r="X40" s="14">
        <v>3.7999999999999999E-2</v>
      </c>
      <c r="Y40" s="124">
        <v>3.7999999999999999E-2</v>
      </c>
      <c r="Z40" s="14"/>
      <c r="AA40" s="14"/>
      <c r="AB40" s="14"/>
      <c r="AC40" s="14">
        <v>3.6999999999999998E-2</v>
      </c>
      <c r="AD40" s="14">
        <v>2.7E-2</v>
      </c>
      <c r="AE40" s="14"/>
      <c r="AF40" s="7"/>
      <c r="AG40" s="7"/>
      <c r="AH40" s="124">
        <v>2.8000000000000001E-2</v>
      </c>
      <c r="AI40" s="7"/>
      <c r="AJ40" s="7"/>
      <c r="AK40" s="7"/>
      <c r="AL40" s="7"/>
      <c r="AM40" s="7"/>
      <c r="AN40" s="7"/>
      <c r="AO40" s="7"/>
      <c r="AP40" s="7"/>
      <c r="AQ40" s="7"/>
      <c r="AR40" s="7"/>
      <c r="AS40" s="6" t="s">
        <v>46</v>
      </c>
      <c r="AT40" s="7"/>
      <c r="AU40" s="12">
        <f>AD40*'Population size'!AE40</f>
        <v>15038.097973932156</v>
      </c>
      <c r="AV40" s="19">
        <f>AU40/$AU$67</f>
        <v>1.154437965176398E-2</v>
      </c>
    </row>
    <row r="41" spans="2:48" x14ac:dyDescent="0.35">
      <c r="B41" s="4" t="str">
        <f>Populations!$C$12</f>
        <v>M20-24</v>
      </c>
      <c r="C41" s="4" t="s">
        <v>48</v>
      </c>
      <c r="D41" s="7"/>
      <c r="E41" s="7"/>
      <c r="F41" s="7"/>
      <c r="G41" s="7"/>
      <c r="H41" s="7"/>
      <c r="I41" s="7"/>
      <c r="J41" s="7"/>
      <c r="K41" s="7"/>
      <c r="L41" s="7"/>
      <c r="M41" s="7"/>
      <c r="N41" s="7"/>
      <c r="O41" s="7"/>
      <c r="P41" s="7"/>
      <c r="Q41" s="7"/>
      <c r="R41" s="7"/>
      <c r="S41" s="7">
        <v>3.9E-2</v>
      </c>
      <c r="T41" s="7"/>
      <c r="U41" s="7"/>
      <c r="V41" s="7"/>
      <c r="W41" s="7"/>
      <c r="X41" s="7">
        <v>2.5000000000000001E-2</v>
      </c>
      <c r="Y41" s="7"/>
      <c r="Z41" s="7"/>
      <c r="AA41" s="7"/>
      <c r="AB41" s="7"/>
      <c r="AC41" s="7">
        <v>2.5000000000000001E-2</v>
      </c>
      <c r="AD41" s="7"/>
      <c r="AE41" s="7"/>
      <c r="AF41" s="7"/>
      <c r="AG41" s="7"/>
      <c r="AH41" s="7"/>
      <c r="AI41" s="7"/>
      <c r="AJ41" s="7"/>
      <c r="AK41" s="7"/>
      <c r="AL41" s="7"/>
      <c r="AM41" s="7"/>
      <c r="AN41" s="7"/>
      <c r="AO41" s="7"/>
      <c r="AP41" s="7"/>
      <c r="AQ41" s="7"/>
      <c r="AR41" s="7"/>
      <c r="AS41" s="6" t="s">
        <v>46</v>
      </c>
      <c r="AT41" s="7"/>
      <c r="AU41" s="12"/>
    </row>
    <row r="42" spans="2:48" x14ac:dyDescent="0.35">
      <c r="AU42" s="12"/>
    </row>
    <row r="43" spans="2:48" x14ac:dyDescent="0.35">
      <c r="B43" s="4" t="str">
        <f>Populations!$C$13</f>
        <v>F25-34</v>
      </c>
      <c r="C43" s="4" t="s">
        <v>45</v>
      </c>
      <c r="D43" s="7"/>
      <c r="E43" s="7"/>
      <c r="F43" s="7"/>
      <c r="G43" s="7"/>
      <c r="H43" s="7"/>
      <c r="I43" s="7"/>
      <c r="J43" s="7"/>
      <c r="K43" s="7"/>
      <c r="L43" s="7"/>
      <c r="M43" s="7"/>
      <c r="N43" s="7"/>
      <c r="O43" s="7"/>
      <c r="P43" s="7"/>
      <c r="Q43" s="7"/>
      <c r="R43" s="7"/>
      <c r="S43" s="7">
        <v>0.34799999999999998</v>
      </c>
      <c r="T43" s="7"/>
      <c r="U43" s="7"/>
      <c r="V43" s="7"/>
      <c r="W43" s="7"/>
      <c r="X43" s="7">
        <v>0.25900000000000001</v>
      </c>
      <c r="Y43" s="7"/>
      <c r="Z43" s="7"/>
      <c r="AA43" s="7"/>
      <c r="AB43" s="7"/>
      <c r="AC43" s="7">
        <v>0.20499999999999999</v>
      </c>
      <c r="AD43" s="7"/>
      <c r="AE43" s="7"/>
      <c r="AF43" s="7"/>
      <c r="AG43" s="7"/>
      <c r="AH43" s="7"/>
      <c r="AI43" s="7"/>
      <c r="AJ43" s="7"/>
      <c r="AK43" s="7"/>
      <c r="AL43" s="7"/>
      <c r="AM43" s="7"/>
      <c r="AN43" s="7"/>
      <c r="AO43" s="7"/>
      <c r="AP43" s="7"/>
      <c r="AQ43" s="7"/>
      <c r="AR43" s="7"/>
      <c r="AS43" s="6" t="s">
        <v>46</v>
      </c>
      <c r="AT43" s="7"/>
      <c r="AU43" s="12"/>
    </row>
    <row r="44" spans="2:48" x14ac:dyDescent="0.35">
      <c r="B44" s="4" t="str">
        <f>Populations!$C$13</f>
        <v>F25-34</v>
      </c>
      <c r="C44" s="4" t="s">
        <v>47</v>
      </c>
      <c r="D44" s="14"/>
      <c r="E44" s="14"/>
      <c r="F44" s="14"/>
      <c r="G44" s="14"/>
      <c r="H44" s="14"/>
      <c r="I44" s="14"/>
      <c r="J44" s="14"/>
      <c r="K44" s="14"/>
      <c r="L44" s="14"/>
      <c r="M44" s="14"/>
      <c r="N44" s="14"/>
      <c r="O44" s="37">
        <v>0.34699999999999998</v>
      </c>
      <c r="P44" s="14"/>
      <c r="Q44" s="14"/>
      <c r="R44" s="14"/>
      <c r="S44" s="124">
        <v>0.316</v>
      </c>
      <c r="T44" s="14"/>
      <c r="U44" s="14"/>
      <c r="V44" s="14"/>
      <c r="W44" s="14"/>
      <c r="X44" s="14">
        <v>0.23899999999999999</v>
      </c>
      <c r="Y44" s="124">
        <v>0.24099999999999999</v>
      </c>
      <c r="Z44" s="14"/>
      <c r="AA44" s="14"/>
      <c r="AB44" s="14"/>
      <c r="AC44" s="14">
        <v>0.187</v>
      </c>
      <c r="AD44" s="124">
        <v>0.17799999999999999</v>
      </c>
      <c r="AE44" s="14"/>
      <c r="AF44" s="7"/>
      <c r="AG44" s="7"/>
      <c r="AH44" s="7"/>
      <c r="AI44" s="7"/>
      <c r="AJ44" s="7"/>
      <c r="AK44" s="7"/>
      <c r="AL44" s="7"/>
      <c r="AM44" s="7"/>
      <c r="AN44" s="7"/>
      <c r="AO44" s="7"/>
      <c r="AP44" s="7"/>
      <c r="AQ44" s="7"/>
      <c r="AR44" s="7"/>
      <c r="AS44" s="6" t="s">
        <v>46</v>
      </c>
      <c r="AT44" s="7"/>
      <c r="AU44" s="12">
        <f>AD44*'Population size'!AE44</f>
        <v>207321.08352489295</v>
      </c>
      <c r="AV44" s="30">
        <f>AU44/$AU$67</f>
        <v>0.15915532018578885</v>
      </c>
    </row>
    <row r="45" spans="2:48" x14ac:dyDescent="0.35">
      <c r="B45" s="4" t="str">
        <f>Populations!$C$13</f>
        <v>F25-34</v>
      </c>
      <c r="C45" s="4" t="s">
        <v>48</v>
      </c>
      <c r="D45" s="7"/>
      <c r="E45" s="7"/>
      <c r="F45" s="7"/>
      <c r="G45" s="7"/>
      <c r="H45" s="7"/>
      <c r="I45" s="7"/>
      <c r="J45" s="7"/>
      <c r="K45" s="7"/>
      <c r="L45" s="7"/>
      <c r="M45" s="7"/>
      <c r="N45" s="7"/>
      <c r="O45" s="7"/>
      <c r="P45" s="7"/>
      <c r="Q45" s="7"/>
      <c r="R45" s="7"/>
      <c r="S45" s="7">
        <v>0.28899999999999998</v>
      </c>
      <c r="T45" s="7"/>
      <c r="U45" s="7"/>
      <c r="V45" s="7"/>
      <c r="W45" s="7"/>
      <c r="X45" s="7">
        <v>0.22</v>
      </c>
      <c r="Y45" s="7"/>
      <c r="Z45" s="7"/>
      <c r="AA45" s="7"/>
      <c r="AB45" s="7"/>
      <c r="AC45" s="7">
        <v>0.16900000000000001</v>
      </c>
      <c r="AD45" s="7"/>
      <c r="AE45" s="7"/>
      <c r="AF45" s="7"/>
      <c r="AG45" s="7"/>
      <c r="AH45" s="7"/>
      <c r="AI45" s="7"/>
      <c r="AJ45" s="7"/>
      <c r="AK45" s="7"/>
      <c r="AL45" s="7"/>
      <c r="AM45" s="7"/>
      <c r="AN45" s="7"/>
      <c r="AO45" s="7"/>
      <c r="AP45" s="7"/>
      <c r="AQ45" s="7"/>
      <c r="AR45" s="7"/>
      <c r="AS45" s="6" t="s">
        <v>46</v>
      </c>
      <c r="AT45" s="7"/>
      <c r="AU45" s="12"/>
    </row>
    <row r="46" spans="2:48" x14ac:dyDescent="0.35">
      <c r="AU46" s="12"/>
    </row>
    <row r="47" spans="2:48" x14ac:dyDescent="0.35">
      <c r="B47" s="4" t="str">
        <f>Populations!$C$14</f>
        <v>M25-34</v>
      </c>
      <c r="C47" s="4" t="s">
        <v>45</v>
      </c>
      <c r="D47" s="7"/>
      <c r="E47" s="7"/>
      <c r="F47" s="7"/>
      <c r="G47" s="7"/>
      <c r="H47" s="7"/>
      <c r="I47" s="7"/>
      <c r="J47" s="7"/>
      <c r="K47" s="7"/>
      <c r="L47" s="7"/>
      <c r="M47" s="7"/>
      <c r="N47" s="7"/>
      <c r="O47" s="7"/>
      <c r="P47" s="7"/>
      <c r="Q47" s="7"/>
      <c r="R47" s="7"/>
      <c r="S47" s="7"/>
      <c r="T47" s="7"/>
      <c r="U47" s="7"/>
      <c r="V47" s="7"/>
      <c r="W47" s="7"/>
      <c r="X47" s="7">
        <v>0.153</v>
      </c>
      <c r="Y47" s="7"/>
      <c r="Z47" s="7"/>
      <c r="AA47" s="7"/>
      <c r="AB47" s="7"/>
      <c r="AC47" s="7">
        <v>0.121</v>
      </c>
      <c r="AD47" s="7"/>
      <c r="AE47" s="7"/>
      <c r="AF47" s="7"/>
      <c r="AG47" s="7"/>
      <c r="AH47" s="7"/>
      <c r="AI47" s="7"/>
      <c r="AJ47" s="7"/>
      <c r="AK47" s="7"/>
      <c r="AL47" s="7"/>
      <c r="AM47" s="7"/>
      <c r="AN47" s="7"/>
      <c r="AO47" s="7"/>
      <c r="AP47" s="7"/>
      <c r="AQ47" s="7"/>
      <c r="AR47" s="7"/>
      <c r="AS47" s="6" t="s">
        <v>46</v>
      </c>
      <c r="AT47" s="7"/>
      <c r="AU47" s="12"/>
    </row>
    <row r="48" spans="2:48" x14ac:dyDescent="0.35">
      <c r="B48" s="4" t="str">
        <f>Populations!$C$14</f>
        <v>M25-34</v>
      </c>
      <c r="C48" s="4" t="s">
        <v>47</v>
      </c>
      <c r="D48" s="14"/>
      <c r="E48" s="14"/>
      <c r="F48" s="14"/>
      <c r="G48" s="14"/>
      <c r="H48" s="14"/>
      <c r="I48" s="14"/>
      <c r="J48" s="14"/>
      <c r="K48" s="14"/>
      <c r="L48" s="14"/>
      <c r="M48" s="14"/>
      <c r="N48" s="14"/>
      <c r="O48" s="14">
        <v>0.24399999999999999</v>
      </c>
      <c r="P48" s="14"/>
      <c r="Q48" s="14"/>
      <c r="R48" s="14"/>
      <c r="S48" s="124">
        <v>0.20100000000000001</v>
      </c>
      <c r="T48" s="14"/>
      <c r="U48" s="14"/>
      <c r="V48" s="14"/>
      <c r="W48" s="14"/>
      <c r="X48" s="14">
        <v>0.13400000000000001</v>
      </c>
      <c r="Y48" s="124">
        <v>0.13400000000000001</v>
      </c>
      <c r="Z48" s="14"/>
      <c r="AA48" s="14"/>
      <c r="AB48" s="14"/>
      <c r="AC48" s="14">
        <v>0.10299999999999999</v>
      </c>
      <c r="AD48" s="124">
        <v>9.1999999999999998E-2</v>
      </c>
      <c r="AE48" s="14"/>
      <c r="AF48" s="7"/>
      <c r="AG48" s="7"/>
      <c r="AH48" s="7"/>
      <c r="AI48" s="7"/>
      <c r="AJ48" s="7"/>
      <c r="AK48" s="7"/>
      <c r="AL48" s="7"/>
      <c r="AM48" s="7"/>
      <c r="AN48" s="7"/>
      <c r="AO48" s="7"/>
      <c r="AP48" s="7"/>
      <c r="AQ48" s="7"/>
      <c r="AR48" s="7"/>
      <c r="AS48" s="6" t="s">
        <v>46</v>
      </c>
      <c r="AT48" s="7"/>
      <c r="AU48" s="12">
        <f>AD48*'Population size'!AE48</f>
        <v>76895.515102599078</v>
      </c>
      <c r="AV48" s="19">
        <f>AU48/$AU$67</f>
        <v>5.9030804387706505E-2</v>
      </c>
    </row>
    <row r="49" spans="2:48" x14ac:dyDescent="0.35">
      <c r="B49" s="4" t="str">
        <f>Populations!$C$14</f>
        <v>M25-34</v>
      </c>
      <c r="C49" s="4" t="s">
        <v>48</v>
      </c>
      <c r="D49" s="7"/>
      <c r="E49" s="7"/>
      <c r="F49" s="7"/>
      <c r="G49" s="7"/>
      <c r="H49" s="7"/>
      <c r="I49" s="7"/>
      <c r="J49" s="7"/>
      <c r="K49" s="7"/>
      <c r="L49" s="7"/>
      <c r="M49" s="7"/>
      <c r="N49" s="7"/>
      <c r="O49" s="7"/>
      <c r="P49" s="7"/>
      <c r="Q49" s="7"/>
      <c r="R49" s="7"/>
      <c r="S49" s="7"/>
      <c r="T49" s="7"/>
      <c r="U49" s="7"/>
      <c r="V49" s="7"/>
      <c r="W49" s="7"/>
      <c r="X49" s="7">
        <v>0.115</v>
      </c>
      <c r="Y49" s="7"/>
      <c r="Z49" s="7"/>
      <c r="AA49" s="7"/>
      <c r="AB49" s="7"/>
      <c r="AC49" s="7">
        <v>8.5999999999999993E-2</v>
      </c>
      <c r="AD49" s="7"/>
      <c r="AE49" s="7"/>
      <c r="AF49" s="7"/>
      <c r="AG49" s="7"/>
      <c r="AH49" s="7"/>
      <c r="AI49" s="7"/>
      <c r="AJ49" s="7"/>
      <c r="AK49" s="7"/>
      <c r="AL49" s="7"/>
      <c r="AM49" s="7"/>
      <c r="AN49" s="7"/>
      <c r="AO49" s="7"/>
      <c r="AP49" s="7"/>
      <c r="AQ49" s="7"/>
      <c r="AR49" s="7"/>
      <c r="AS49" s="6" t="s">
        <v>46</v>
      </c>
      <c r="AT49" s="7"/>
      <c r="AU49" s="12"/>
    </row>
    <row r="50" spans="2:48" x14ac:dyDescent="0.35">
      <c r="AU50" s="12"/>
    </row>
    <row r="51" spans="2:48" x14ac:dyDescent="0.35">
      <c r="B51" s="4" t="str">
        <f>Populations!$C$15</f>
        <v>F35-49</v>
      </c>
      <c r="C51" s="4" t="s">
        <v>45</v>
      </c>
      <c r="D51" s="7"/>
      <c r="E51" s="7"/>
      <c r="F51" s="7"/>
      <c r="G51" s="7"/>
      <c r="H51" s="7"/>
      <c r="I51" s="7"/>
      <c r="J51" s="7"/>
      <c r="K51" s="7"/>
      <c r="L51" s="7"/>
      <c r="M51" s="7"/>
      <c r="N51" s="7"/>
      <c r="O51" s="7"/>
      <c r="P51" s="7"/>
      <c r="Q51" s="7"/>
      <c r="R51" s="7"/>
      <c r="S51" s="7">
        <v>0.29699999999999999</v>
      </c>
      <c r="T51" s="7"/>
      <c r="U51" s="7"/>
      <c r="V51" s="7"/>
      <c r="W51" s="7"/>
      <c r="X51" s="7">
        <v>0.28699999999999998</v>
      </c>
      <c r="Y51" s="7"/>
      <c r="Z51" s="7"/>
      <c r="AA51" s="7"/>
      <c r="AB51" s="7"/>
      <c r="AC51" s="7">
        <v>0.307</v>
      </c>
      <c r="AD51" s="7"/>
      <c r="AE51" s="7"/>
      <c r="AF51" s="7"/>
      <c r="AG51" s="7"/>
      <c r="AH51" s="7"/>
      <c r="AI51" s="7"/>
      <c r="AJ51" s="7"/>
      <c r="AK51" s="7"/>
      <c r="AL51" s="7"/>
      <c r="AM51" s="7"/>
      <c r="AN51" s="7"/>
      <c r="AO51" s="7"/>
      <c r="AP51" s="7"/>
      <c r="AQ51" s="7"/>
      <c r="AR51" s="7"/>
      <c r="AS51" s="6" t="s">
        <v>46</v>
      </c>
      <c r="AT51" s="7"/>
      <c r="AU51" s="12"/>
    </row>
    <row r="52" spans="2:48" x14ac:dyDescent="0.35">
      <c r="B52" s="4" t="str">
        <f>Populations!$C$15</f>
        <v>F35-49</v>
      </c>
      <c r="C52" s="4" t="s">
        <v>47</v>
      </c>
      <c r="D52" s="14"/>
      <c r="E52" s="14"/>
      <c r="F52" s="14"/>
      <c r="G52" s="14"/>
      <c r="H52" s="14"/>
      <c r="I52" s="14"/>
      <c r="J52" s="14"/>
      <c r="K52" s="14"/>
      <c r="L52" s="14"/>
      <c r="M52" s="14"/>
      <c r="N52" s="14"/>
      <c r="O52" s="14"/>
      <c r="P52" s="14"/>
      <c r="Q52" s="14"/>
      <c r="R52" s="14"/>
      <c r="S52" s="124">
        <v>0.27300000000000002</v>
      </c>
      <c r="T52" s="14"/>
      <c r="U52" s="14"/>
      <c r="V52" s="14"/>
      <c r="W52" s="14"/>
      <c r="X52" s="14">
        <v>0.26400000000000001</v>
      </c>
      <c r="Y52" s="124">
        <v>0.26400000000000001</v>
      </c>
      <c r="Z52" s="14"/>
      <c r="AA52" s="14"/>
      <c r="AB52" s="14"/>
      <c r="AC52" s="14">
        <v>0.28299999999999997</v>
      </c>
      <c r="AD52" s="124">
        <v>0.28100000000000003</v>
      </c>
      <c r="AE52" s="14"/>
      <c r="AF52" s="7"/>
      <c r="AG52" s="7"/>
      <c r="AH52" s="7"/>
      <c r="AI52" s="7"/>
      <c r="AJ52" s="7"/>
      <c r="AK52" s="7"/>
      <c r="AL52" s="7"/>
      <c r="AM52" s="7"/>
      <c r="AN52" s="7"/>
      <c r="AO52" s="7"/>
      <c r="AP52" s="7"/>
      <c r="AQ52" s="7"/>
      <c r="AR52" s="7"/>
      <c r="AS52" s="6" t="s">
        <v>46</v>
      </c>
      <c r="AT52" s="7"/>
      <c r="AU52" s="12">
        <f>AD52*'Population size'!AE52</f>
        <v>289768.90778811328</v>
      </c>
      <c r="AV52" s="30">
        <f>AU52/$AU$67</f>
        <v>0.22244849638443112</v>
      </c>
    </row>
    <row r="53" spans="2:48" x14ac:dyDescent="0.35">
      <c r="B53" s="4" t="str">
        <f>Populations!$C$15</f>
        <v>F35-49</v>
      </c>
      <c r="C53" s="4" t="s">
        <v>48</v>
      </c>
      <c r="D53" s="7"/>
      <c r="E53" s="7"/>
      <c r="F53" s="7"/>
      <c r="G53" s="7"/>
      <c r="H53" s="7"/>
      <c r="I53" s="7"/>
      <c r="J53" s="7"/>
      <c r="K53" s="7"/>
      <c r="L53" s="7"/>
      <c r="M53" s="7"/>
      <c r="N53" s="7"/>
      <c r="O53" s="7"/>
      <c r="P53" s="7"/>
      <c r="Q53" s="7"/>
      <c r="R53" s="7"/>
      <c r="S53" s="7">
        <v>0.245</v>
      </c>
      <c r="T53" s="7"/>
      <c r="U53" s="7"/>
      <c r="V53" s="7"/>
      <c r="W53" s="7"/>
      <c r="X53" s="7">
        <v>0.24</v>
      </c>
      <c r="Y53" s="7"/>
      <c r="Z53" s="7"/>
      <c r="AA53" s="7"/>
      <c r="AB53" s="7"/>
      <c r="AC53" s="7">
        <v>0.25900000000000001</v>
      </c>
      <c r="AD53" s="7"/>
      <c r="AE53" s="7"/>
      <c r="AF53" s="7"/>
      <c r="AG53" s="7"/>
      <c r="AH53" s="7"/>
      <c r="AI53" s="7"/>
      <c r="AJ53" s="7"/>
      <c r="AK53" s="7"/>
      <c r="AL53" s="7"/>
      <c r="AM53" s="7"/>
      <c r="AN53" s="7"/>
      <c r="AO53" s="7"/>
      <c r="AP53" s="7"/>
      <c r="AQ53" s="7"/>
      <c r="AR53" s="7"/>
      <c r="AS53" s="6" t="s">
        <v>46</v>
      </c>
      <c r="AT53" s="7"/>
      <c r="AU53" s="12"/>
    </row>
    <row r="54" spans="2:48" x14ac:dyDescent="0.35">
      <c r="AU54" s="12"/>
    </row>
    <row r="55" spans="2:48" x14ac:dyDescent="0.35">
      <c r="B55" s="4" t="str">
        <f>Populations!$C$16</f>
        <v>M35-49</v>
      </c>
      <c r="C55" s="4" t="s">
        <v>45</v>
      </c>
      <c r="D55" s="7"/>
      <c r="E55" s="7"/>
      <c r="F55" s="7"/>
      <c r="G55" s="7"/>
      <c r="H55" s="7"/>
      <c r="I55" s="7"/>
      <c r="J55" s="7"/>
      <c r="K55" s="7"/>
      <c r="L55" s="7"/>
      <c r="M55" s="7"/>
      <c r="N55" s="7"/>
      <c r="O55" s="7"/>
      <c r="P55" s="7"/>
      <c r="Q55" s="7"/>
      <c r="R55" s="7"/>
      <c r="S55" s="7">
        <v>0.34</v>
      </c>
      <c r="T55" s="7"/>
      <c r="U55" s="7"/>
      <c r="V55" s="7"/>
      <c r="W55" s="7"/>
      <c r="X55" s="7">
        <v>0.29099999999999998</v>
      </c>
      <c r="Y55" s="7"/>
      <c r="Z55" s="7"/>
      <c r="AA55" s="7"/>
      <c r="AB55" s="7"/>
      <c r="AC55" s="7">
        <v>0.25</v>
      </c>
      <c r="AD55" s="7"/>
      <c r="AE55" s="7"/>
      <c r="AF55" s="7"/>
      <c r="AG55" s="7"/>
      <c r="AH55" s="7"/>
      <c r="AI55" s="7"/>
      <c r="AJ55" s="7"/>
      <c r="AK55" s="7"/>
      <c r="AL55" s="7"/>
      <c r="AM55" s="7"/>
      <c r="AN55" s="7"/>
      <c r="AO55" s="7"/>
      <c r="AP55" s="7"/>
      <c r="AQ55" s="7"/>
      <c r="AR55" s="7"/>
      <c r="AS55" s="6" t="s">
        <v>46</v>
      </c>
      <c r="AT55" s="7"/>
      <c r="AU55" s="12"/>
    </row>
    <row r="56" spans="2:48" x14ac:dyDescent="0.35">
      <c r="B56" s="4" t="str">
        <f>Populations!$C$16</f>
        <v>M35-49</v>
      </c>
      <c r="C56" s="4" t="s">
        <v>47</v>
      </c>
      <c r="D56" s="14"/>
      <c r="E56" s="14"/>
      <c r="F56" s="14"/>
      <c r="G56" s="14"/>
      <c r="H56" s="14"/>
      <c r="I56" s="14"/>
      <c r="J56" s="14"/>
      <c r="K56" s="14"/>
      <c r="L56" s="14"/>
      <c r="M56" s="14"/>
      <c r="N56" s="14"/>
      <c r="O56" s="14"/>
      <c r="P56" s="14"/>
      <c r="Q56" s="14"/>
      <c r="R56" s="14"/>
      <c r="S56" s="124">
        <v>0.309</v>
      </c>
      <c r="T56" s="14"/>
      <c r="U56" s="14"/>
      <c r="V56" s="14"/>
      <c r="W56" s="14"/>
      <c r="X56" s="14">
        <v>0.26500000000000001</v>
      </c>
      <c r="Y56" s="124">
        <v>0.26600000000000001</v>
      </c>
      <c r="Z56" s="14"/>
      <c r="AA56" s="14"/>
      <c r="AB56" s="14"/>
      <c r="AC56" s="14">
        <v>0.22500000000000001</v>
      </c>
      <c r="AD56" s="124">
        <v>0.23400000000000001</v>
      </c>
      <c r="AE56" s="14"/>
      <c r="AF56" s="7"/>
      <c r="AG56" s="7"/>
      <c r="AH56" s="7"/>
      <c r="AI56" s="7"/>
      <c r="AJ56" s="7"/>
      <c r="AK56" s="7"/>
      <c r="AL56" s="7"/>
      <c r="AM56" s="7"/>
      <c r="AN56" s="7"/>
      <c r="AO56" s="7"/>
      <c r="AP56" s="7"/>
      <c r="AQ56" s="7"/>
      <c r="AR56" s="7"/>
      <c r="AS56" s="6" t="s">
        <v>46</v>
      </c>
      <c r="AT56" s="7"/>
      <c r="AU56" s="12">
        <f>AD56*'Population size'!AE56</f>
        <v>185212.48585642286</v>
      </c>
      <c r="AV56" s="30">
        <f>AU56/$AU$67</f>
        <v>0.14218309101855292</v>
      </c>
    </row>
    <row r="57" spans="2:48" x14ac:dyDescent="0.35">
      <c r="B57" s="4" t="str">
        <f>Populations!$C$16</f>
        <v>M35-49</v>
      </c>
      <c r="C57" s="4" t="s">
        <v>48</v>
      </c>
      <c r="D57" s="7"/>
      <c r="E57" s="7"/>
      <c r="F57" s="7"/>
      <c r="G57" s="7"/>
      <c r="H57" s="7"/>
      <c r="I57" s="7"/>
      <c r="J57" s="7"/>
      <c r="K57" s="7"/>
      <c r="L57" s="7"/>
      <c r="M57" s="7"/>
      <c r="N57" s="7"/>
      <c r="O57" s="7"/>
      <c r="P57" s="7"/>
      <c r="Q57" s="7"/>
      <c r="R57" s="7"/>
      <c r="S57" s="7">
        <v>0.27500000000000002</v>
      </c>
      <c r="T57" s="7"/>
      <c r="U57" s="7"/>
      <c r="V57" s="7"/>
      <c r="W57" s="7"/>
      <c r="X57" s="7">
        <v>0.23899999999999999</v>
      </c>
      <c r="Y57" s="7"/>
      <c r="Z57" s="7"/>
      <c r="AA57" s="7"/>
      <c r="AB57" s="7"/>
      <c r="AC57" s="7">
        <v>0.19900000000000001</v>
      </c>
      <c r="AD57" s="7"/>
      <c r="AE57" s="7"/>
      <c r="AF57" s="7"/>
      <c r="AG57" s="7"/>
      <c r="AH57" s="7"/>
      <c r="AI57" s="7"/>
      <c r="AJ57" s="7"/>
      <c r="AK57" s="7"/>
      <c r="AL57" s="7"/>
      <c r="AM57" s="7"/>
      <c r="AN57" s="7"/>
      <c r="AO57" s="7"/>
      <c r="AP57" s="7"/>
      <c r="AQ57" s="7"/>
      <c r="AR57" s="7"/>
      <c r="AS57" s="6" t="s">
        <v>46</v>
      </c>
      <c r="AT57" s="7"/>
      <c r="AU57" s="12"/>
    </row>
    <row r="58" spans="2:48" x14ac:dyDescent="0.35">
      <c r="AU58" s="12"/>
    </row>
    <row r="59" spans="2:48" x14ac:dyDescent="0.35">
      <c r="B59" s="4" t="str">
        <f>Populations!$C$17</f>
        <v>F50+</v>
      </c>
      <c r="C59" s="4" t="s">
        <v>45</v>
      </c>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6" t="s">
        <v>46</v>
      </c>
      <c r="AT59" s="7"/>
      <c r="AU59" s="12"/>
    </row>
    <row r="60" spans="2:48" x14ac:dyDescent="0.35">
      <c r="B60" s="4" t="str">
        <f>Populations!$C$17</f>
        <v>F50+</v>
      </c>
      <c r="C60" s="4" t="s">
        <v>47</v>
      </c>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7"/>
      <c r="AD60" s="14">
        <v>0.172035696073432</v>
      </c>
      <c r="AE60" s="14"/>
      <c r="AF60" s="7"/>
      <c r="AG60" s="7"/>
      <c r="AH60" s="7"/>
      <c r="AI60" s="7"/>
      <c r="AJ60" s="7"/>
      <c r="AK60" s="7"/>
      <c r="AL60" s="7"/>
      <c r="AM60" s="7"/>
      <c r="AN60" s="7"/>
      <c r="AO60" s="7"/>
      <c r="AP60" s="7"/>
      <c r="AQ60" s="7"/>
      <c r="AR60" s="7"/>
      <c r="AS60" s="6" t="s">
        <v>46</v>
      </c>
      <c r="AT60" s="7"/>
      <c r="AU60" s="12">
        <f>AD60*'Population size'!AE60</f>
        <v>129485.07514941362</v>
      </c>
      <c r="AV60" s="30">
        <f>AU60/$AU$67</f>
        <v>9.9402522137655297E-2</v>
      </c>
    </row>
    <row r="61" spans="2:48" x14ac:dyDescent="0.35">
      <c r="B61" s="4" t="str">
        <f>Populations!$C$17</f>
        <v>F50+</v>
      </c>
      <c r="C61" s="4" t="s">
        <v>48</v>
      </c>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6" t="s">
        <v>46</v>
      </c>
      <c r="AT61" s="7"/>
      <c r="AU61" s="12"/>
    </row>
    <row r="62" spans="2:48" x14ac:dyDescent="0.35">
      <c r="AU62" s="12"/>
    </row>
    <row r="63" spans="2:48" x14ac:dyDescent="0.35">
      <c r="B63" s="4" t="str">
        <f>Populations!$C$18</f>
        <v>M50+</v>
      </c>
      <c r="C63" s="4" t="s">
        <v>45</v>
      </c>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6" t="s">
        <v>46</v>
      </c>
      <c r="AT63" s="7"/>
      <c r="AU63" s="12"/>
    </row>
    <row r="64" spans="2:48" x14ac:dyDescent="0.35">
      <c r="B64" s="4" t="str">
        <f>Populations!$C$18</f>
        <v>M50+</v>
      </c>
      <c r="C64" s="4" t="s">
        <v>47</v>
      </c>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v>0.23032928942807601</v>
      </c>
      <c r="AE64" s="14"/>
      <c r="AF64" s="7"/>
      <c r="AG64" s="7"/>
      <c r="AH64" s="7"/>
      <c r="AI64" s="7"/>
      <c r="AJ64" s="7"/>
      <c r="AK64" s="7"/>
      <c r="AL64" s="7"/>
      <c r="AM64" s="7"/>
      <c r="AN64" s="7"/>
      <c r="AO64" s="7"/>
      <c r="AP64" s="7"/>
      <c r="AQ64" s="7"/>
      <c r="AR64" s="7"/>
      <c r="AS64" s="6" t="s">
        <v>46</v>
      </c>
      <c r="AT64" s="7"/>
      <c r="AU64" s="12">
        <f>AD64*'Population size'!AE64</f>
        <v>118687.30086655097</v>
      </c>
      <c r="AV64" s="19">
        <f>AU64/$AU$67</f>
        <v>9.1113335171889992E-2</v>
      </c>
    </row>
    <row r="65" spans="2:48" x14ac:dyDescent="0.35">
      <c r="B65" s="4" t="str">
        <f>Populations!$C$18</f>
        <v>M50+</v>
      </c>
      <c r="C65" s="4" t="s">
        <v>48</v>
      </c>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6" t="s">
        <v>46</v>
      </c>
      <c r="AT65" s="7"/>
      <c r="AU65" s="12"/>
    </row>
    <row r="67" spans="2:48" x14ac:dyDescent="0.35">
      <c r="D67" s="34"/>
      <c r="E67" s="34"/>
      <c r="F67" s="34"/>
      <c r="G67" s="34"/>
      <c r="H67" s="34"/>
      <c r="I67" s="34"/>
      <c r="J67" s="34"/>
      <c r="K67" s="34"/>
      <c r="L67" s="34"/>
      <c r="M67" s="34"/>
      <c r="N67" s="34"/>
      <c r="O67" s="34">
        <f t="shared" ref="O67:AH67" si="0">AVERAGE(O3:O65)</f>
        <v>0.17849999999999999</v>
      </c>
      <c r="P67" s="34">
        <f t="shared" si="0"/>
        <v>0.69499999999999995</v>
      </c>
      <c r="Q67" s="34"/>
      <c r="R67" s="34"/>
      <c r="S67" s="34">
        <f t="shared" si="0"/>
        <v>0.17226086956521741</v>
      </c>
      <c r="T67" s="34"/>
      <c r="U67" s="34"/>
      <c r="V67" s="34">
        <f t="shared" si="0"/>
        <v>0.61199999999999999</v>
      </c>
      <c r="W67" s="34"/>
      <c r="X67" s="34">
        <f t="shared" si="0"/>
        <v>0.14000000000000001</v>
      </c>
      <c r="Y67" s="34">
        <f t="shared" si="0"/>
        <v>0.1803888888888889</v>
      </c>
      <c r="Z67" s="34">
        <f t="shared" si="0"/>
        <v>0.35599999999999998</v>
      </c>
      <c r="AA67" s="34">
        <f t="shared" si="0"/>
        <v>0.34850000000000003</v>
      </c>
      <c r="AB67" s="34">
        <f t="shared" si="0"/>
        <v>0.57099999999999995</v>
      </c>
      <c r="AC67" s="34">
        <f t="shared" si="0"/>
        <v>0.11866666666666667</v>
      </c>
      <c r="AD67" s="34">
        <f t="shared" si="0"/>
        <v>0.11653041545845899</v>
      </c>
      <c r="AE67" s="34">
        <f>AVERAGE(AE3:AE65)</f>
        <v>0.56100000000000005</v>
      </c>
      <c r="AF67" s="34"/>
      <c r="AG67" s="34">
        <f t="shared" si="0"/>
        <v>0.16325000000000001</v>
      </c>
      <c r="AH67" s="34">
        <f t="shared" si="0"/>
        <v>3.7749999999999999E-2</v>
      </c>
      <c r="AI67" s="34"/>
      <c r="AJ67" s="34"/>
      <c r="AU67" s="12">
        <f>SUM(AU4:AU66)</f>
        <v>1302633.6994759468</v>
      </c>
      <c r="AV67" s="19"/>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N148"/>
  <sheetViews>
    <sheetView zoomScale="90" zoomScaleNormal="90" workbookViewId="0">
      <pane xSplit="2" ySplit="23" topLeftCell="C45" activePane="bottomRight" state="frozen"/>
      <selection pane="topRight" activeCell="C1" sqref="C1"/>
      <selection pane="bottomLeft" activeCell="A3" sqref="A3"/>
      <selection pane="bottomRight" activeCell="M15" sqref="M15"/>
    </sheetView>
  </sheetViews>
  <sheetFormatPr defaultColWidth="8.81640625" defaultRowHeight="14.5" x14ac:dyDescent="0.35"/>
  <cols>
    <col min="1" max="1" width="3.1796875" customWidth="1"/>
    <col min="13" max="13" width="7.26953125" bestFit="1" customWidth="1"/>
    <col min="14" max="33" width="8.7265625" bestFit="1" customWidth="1"/>
    <col min="34" max="43" width="6.453125" bestFit="1" customWidth="1"/>
    <col min="44" max="44" width="3.453125" bestFit="1" customWidth="1"/>
    <col min="45" max="45" width="10.81640625" bestFit="1" customWidth="1"/>
    <col min="46" max="48" width="10.81640625" customWidth="1"/>
    <col min="49" max="49" width="15.7265625" customWidth="1"/>
    <col min="50" max="132" width="10.81640625" customWidth="1"/>
    <col min="170" max="170" width="21" bestFit="1" customWidth="1"/>
  </cols>
  <sheetData>
    <row r="1" spans="1:132" x14ac:dyDescent="0.35">
      <c r="A1" s="2" t="s">
        <v>408</v>
      </c>
    </row>
    <row r="2" spans="1:132" x14ac:dyDescent="0.3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c r="AT2" s="4"/>
      <c r="AU2" s="4"/>
      <c r="AV2" s="25" t="s">
        <v>393</v>
      </c>
      <c r="AW2" s="4"/>
      <c r="AX2" s="4"/>
      <c r="AY2" s="4"/>
      <c r="AZ2" s="4"/>
      <c r="CJ2" s="2" t="s">
        <v>50</v>
      </c>
    </row>
    <row r="3" spans="1:132" x14ac:dyDescent="0.35">
      <c r="B3" s="4" t="str">
        <f>Populations!$C$3</f>
        <v>FSW</v>
      </c>
      <c r="C3" s="7">
        <v>1.127732284760785E-2</v>
      </c>
      <c r="D3" s="7">
        <v>1.1166159069693451E-2</v>
      </c>
      <c r="E3" s="7">
        <v>1.114794104415884E-2</v>
      </c>
      <c r="F3" s="7">
        <v>1.1324233733951611E-2</v>
      </c>
      <c r="G3" s="7">
        <v>1.1490705895813341E-2</v>
      </c>
      <c r="H3" s="7">
        <v>1.1320949752431749E-2</v>
      </c>
      <c r="I3" s="7">
        <v>1.079067643583659E-2</v>
      </c>
      <c r="J3" s="7">
        <v>1.002783197336125E-2</v>
      </c>
      <c r="K3" s="7">
        <v>1.100702438615252E-2</v>
      </c>
      <c r="L3" s="7">
        <v>1.233464769303845E-2</v>
      </c>
      <c r="M3" s="7">
        <v>1.2186831272440361E-2</v>
      </c>
      <c r="N3" s="7">
        <v>1.195211152447396E-2</v>
      </c>
      <c r="O3" s="7">
        <v>1.1729962576175741E-2</v>
      </c>
      <c r="P3" s="7">
        <v>1.151946217403871E-2</v>
      </c>
      <c r="Q3" s="7">
        <v>1.132199543123439E-2</v>
      </c>
      <c r="R3" s="7">
        <v>1.112122516702985E-2</v>
      </c>
      <c r="S3" s="7">
        <v>1.074816300495493E-2</v>
      </c>
      <c r="T3" s="7">
        <v>1.030769488638008E-2</v>
      </c>
      <c r="U3" s="7">
        <v>9.9712649915431224E-3</v>
      </c>
      <c r="V3" s="7">
        <v>9.7046645842652213E-3</v>
      </c>
      <c r="W3" s="7">
        <v>9.5341655521502429E-3</v>
      </c>
      <c r="X3" s="7">
        <v>9.4415334237741844E-3</v>
      </c>
      <c r="Y3" s="7">
        <v>9.3319494655682948E-3</v>
      </c>
      <c r="Z3" s="7">
        <v>9.2693607747345846E-3</v>
      </c>
      <c r="AA3" s="7">
        <v>9.4289315627446978E-3</v>
      </c>
      <c r="AB3" s="7">
        <v>9.7562477041494202E-3</v>
      </c>
      <c r="AC3" s="7">
        <v>1.0157207931067671E-2</v>
      </c>
      <c r="AD3" s="7">
        <v>1.063730767541193E-2</v>
      </c>
      <c r="AE3" s="7">
        <v>1.11960665024979E-2</v>
      </c>
      <c r="AF3" s="7">
        <v>1.1781911088871029E-2</v>
      </c>
      <c r="AG3" s="7">
        <v>1.2304938754963919E-2</v>
      </c>
      <c r="AH3" s="15">
        <v>1.274303236614795E-2</v>
      </c>
      <c r="AI3" s="15">
        <v>1.3207866175378251E-2</v>
      </c>
      <c r="AJ3" s="15">
        <v>1.374373435755361E-2</v>
      </c>
      <c r="AK3" s="15">
        <v>1.4295181049363529E-2</v>
      </c>
      <c r="AL3" s="15">
        <v>1.4778970559163759E-2</v>
      </c>
      <c r="AM3" s="15">
        <v>1.5101079087416921E-2</v>
      </c>
      <c r="AN3" s="15">
        <v>1.526870835093766E-2</v>
      </c>
      <c r="AO3" s="15">
        <v>1.541534316123945E-2</v>
      </c>
      <c r="AP3" s="15">
        <v>1.6119634825172102E-2</v>
      </c>
      <c r="AQ3" s="15">
        <v>1.7644218088430849E-2</v>
      </c>
      <c r="AR3" s="6" t="s">
        <v>46</v>
      </c>
      <c r="AS3" s="7">
        <v>0.02</v>
      </c>
      <c r="AT3" s="143"/>
      <c r="AU3" s="143"/>
      <c r="AV3" s="25" t="s">
        <v>394</v>
      </c>
      <c r="AW3" s="4">
        <v>1990</v>
      </c>
      <c r="AX3" s="4">
        <v>1991</v>
      </c>
      <c r="AY3" s="4">
        <v>1992</v>
      </c>
      <c r="AZ3" s="4">
        <v>1993</v>
      </c>
      <c r="CL3" s="4">
        <v>1990</v>
      </c>
      <c r="CM3" s="4">
        <v>1991</v>
      </c>
      <c r="CN3" s="4">
        <v>1992</v>
      </c>
      <c r="CO3" s="4">
        <v>1993</v>
      </c>
      <c r="CP3" s="4">
        <v>1994</v>
      </c>
      <c r="CQ3" s="4">
        <v>1995</v>
      </c>
      <c r="CR3" s="4">
        <v>1996</v>
      </c>
      <c r="CS3" s="4">
        <v>1997</v>
      </c>
      <c r="CT3" s="4">
        <v>1998</v>
      </c>
      <c r="CU3" s="4">
        <v>1999</v>
      </c>
      <c r="CV3" s="4">
        <v>2000</v>
      </c>
      <c r="CW3" s="4">
        <v>2001</v>
      </c>
      <c r="CX3" s="4">
        <v>2002</v>
      </c>
      <c r="CY3" s="4">
        <v>2003</v>
      </c>
      <c r="CZ3" s="4">
        <v>2004</v>
      </c>
      <c r="DA3" s="4">
        <v>2005</v>
      </c>
      <c r="DB3" s="4">
        <v>2006</v>
      </c>
      <c r="DC3" s="4">
        <v>2007</v>
      </c>
      <c r="DD3" s="4">
        <v>2008</v>
      </c>
      <c r="DE3" s="4">
        <v>2009</v>
      </c>
      <c r="DF3" s="4">
        <v>2010</v>
      </c>
      <c r="DG3" s="4">
        <v>2011</v>
      </c>
      <c r="DH3" s="4">
        <v>2012</v>
      </c>
      <c r="DI3" s="4">
        <v>2013</v>
      </c>
      <c r="DJ3" s="4">
        <v>2014</v>
      </c>
      <c r="DK3" s="4">
        <v>2015</v>
      </c>
      <c r="DL3" s="4">
        <v>2016</v>
      </c>
      <c r="DM3" s="4">
        <v>2017</v>
      </c>
      <c r="DN3" s="4">
        <v>2018</v>
      </c>
      <c r="DO3" s="4">
        <v>2019</v>
      </c>
      <c r="DP3" s="4">
        <v>2020</v>
      </c>
      <c r="DQ3" s="4">
        <v>2021</v>
      </c>
      <c r="DR3" s="4">
        <v>2022</v>
      </c>
      <c r="DS3" s="4"/>
      <c r="DT3" s="4"/>
      <c r="DU3" s="4"/>
      <c r="DV3" s="4"/>
      <c r="DW3" s="4"/>
      <c r="DX3" s="4"/>
      <c r="DY3" s="4"/>
      <c r="DZ3" s="4"/>
      <c r="EB3" s="4" t="s">
        <v>44</v>
      </c>
    </row>
    <row r="4" spans="1:132" x14ac:dyDescent="0.35">
      <c r="B4" s="4" t="str">
        <f>Populations!$C$4</f>
        <v>Clients</v>
      </c>
      <c r="C4" s="7">
        <v>5.6418049886813046E-3</v>
      </c>
      <c r="D4" s="7">
        <v>5.6042105726308708E-3</v>
      </c>
      <c r="E4" s="7">
        <v>5.6613146529783543E-3</v>
      </c>
      <c r="F4" s="7">
        <v>5.8171777561980076E-3</v>
      </c>
      <c r="G4" s="7">
        <v>5.8416842111774087E-3</v>
      </c>
      <c r="H4" s="7">
        <v>5.66273545155E-3</v>
      </c>
      <c r="I4" s="7">
        <v>5.3632061618941783E-3</v>
      </c>
      <c r="J4" s="7">
        <v>5.0467182476052006E-3</v>
      </c>
      <c r="K4" s="7">
        <v>4.7363468081365887E-3</v>
      </c>
      <c r="L4" s="7">
        <v>4.472483270203398E-3</v>
      </c>
      <c r="M4" s="7">
        <v>4.3025819626647558E-3</v>
      </c>
      <c r="N4" s="7">
        <v>4.1824694755981896E-3</v>
      </c>
      <c r="O4" s="7">
        <v>4.0912331300589459E-3</v>
      </c>
      <c r="P4" s="7">
        <v>4.0915814355124329E-3</v>
      </c>
      <c r="Q4" s="7">
        <v>4.2242050703077162E-3</v>
      </c>
      <c r="R4" s="7">
        <v>4.4171486629923304E-3</v>
      </c>
      <c r="S4" s="7">
        <v>4.5023607457361234E-3</v>
      </c>
      <c r="T4" s="7">
        <v>4.5706156258765087E-3</v>
      </c>
      <c r="U4" s="7">
        <v>4.7286704902108501E-3</v>
      </c>
      <c r="V4" s="7">
        <v>4.891417337394263E-3</v>
      </c>
      <c r="W4" s="7">
        <v>5.0373581699657763E-3</v>
      </c>
      <c r="X4" s="7">
        <v>5.1449967966868326E-3</v>
      </c>
      <c r="Y4" s="7">
        <v>5.1193827077559767E-3</v>
      </c>
      <c r="Z4" s="7">
        <v>4.9224031936212428E-3</v>
      </c>
      <c r="AA4" s="7">
        <v>5.3179797935662574E-3</v>
      </c>
      <c r="AB4" s="7">
        <v>5.8387739982229472E-3</v>
      </c>
      <c r="AC4" s="7">
        <v>5.786564000664211E-3</v>
      </c>
      <c r="AD4" s="7">
        <v>5.6570400746689007E-3</v>
      </c>
      <c r="AE4" s="7">
        <v>5.4952713689392241E-3</v>
      </c>
      <c r="AF4" s="7">
        <v>5.298183585056882E-3</v>
      </c>
      <c r="AG4" s="7">
        <v>5.0484162318395892E-3</v>
      </c>
      <c r="AH4" s="15">
        <v>4.7428946905911876E-3</v>
      </c>
      <c r="AI4" s="15">
        <v>4.4338606839195516E-3</v>
      </c>
      <c r="AJ4" s="15">
        <v>4.1702360769277661E-3</v>
      </c>
      <c r="AK4" s="15">
        <v>3.9464701284939738E-3</v>
      </c>
      <c r="AL4" s="15">
        <v>3.7494924324718289E-3</v>
      </c>
      <c r="AM4" s="15">
        <v>3.5831551738968979E-3</v>
      </c>
      <c r="AN4" s="15">
        <v>3.450393051921824E-3</v>
      </c>
      <c r="AO4" s="15">
        <v>3.3577926146246971E-3</v>
      </c>
      <c r="AP4" s="15">
        <v>3.318541833556253E-3</v>
      </c>
      <c r="AQ4" s="15">
        <v>3.350280360702737E-3</v>
      </c>
      <c r="AR4" s="6" t="s">
        <v>46</v>
      </c>
      <c r="AS4" s="7">
        <v>0.02</v>
      </c>
      <c r="AT4" s="143"/>
      <c r="AU4" s="143"/>
      <c r="AV4" s="144" t="s">
        <v>140</v>
      </c>
      <c r="AW4" s="154">
        <f>(CD4*1000)/5</f>
        <v>0</v>
      </c>
      <c r="AX4" s="154">
        <v>16683.599999999999</v>
      </c>
      <c r="AY4" s="154">
        <v>16683.599999999999</v>
      </c>
      <c r="AZ4" s="154">
        <v>16683.599999999999</v>
      </c>
      <c r="CK4" s="4" t="str">
        <f>Populations!$C$3</f>
        <v>FSW</v>
      </c>
      <c r="CL4" s="7">
        <v>3.9769999999999996E-3</v>
      </c>
      <c r="CM4" s="7">
        <v>4.6480000000000002E-3</v>
      </c>
      <c r="CN4" s="7">
        <v>5.4289999999999998E-3</v>
      </c>
      <c r="CO4" s="7">
        <v>6.5250000000000004E-3</v>
      </c>
      <c r="CP4" s="7">
        <v>7.5430000000000002E-3</v>
      </c>
      <c r="CQ4" s="7">
        <v>8.7840000000000001E-3</v>
      </c>
      <c r="CR4" s="7">
        <v>1.005E-2</v>
      </c>
      <c r="CS4" s="7">
        <v>1.0732999999999999E-2</v>
      </c>
      <c r="CT4" s="7">
        <v>1.1620999999999999E-2</v>
      </c>
      <c r="CU4" s="7">
        <v>1.3504E-2</v>
      </c>
      <c r="CV4" s="7">
        <v>1.4318000000000001E-2</v>
      </c>
      <c r="CW4" s="7">
        <v>1.9681000000000001E-2</v>
      </c>
      <c r="CX4" s="7">
        <v>1.5141999999999999E-2</v>
      </c>
      <c r="CY4" s="7">
        <v>1.7925E-2</v>
      </c>
      <c r="CZ4" s="7">
        <v>1.5886000000000001E-2</v>
      </c>
      <c r="DA4" s="7">
        <v>1.5949000000000001E-2</v>
      </c>
      <c r="DB4" s="7">
        <v>1.4937000000000001E-2</v>
      </c>
      <c r="DC4" s="7">
        <v>1.5467E-2</v>
      </c>
      <c r="DD4" s="7">
        <v>1.3814999999999999E-2</v>
      </c>
      <c r="DE4" s="7">
        <v>1.2697E-2</v>
      </c>
      <c r="DF4" s="7">
        <v>1.0655E-2</v>
      </c>
      <c r="DG4" s="7">
        <v>8.5159999999999993E-3</v>
      </c>
      <c r="DH4" s="7">
        <v>7.4310000000000001E-3</v>
      </c>
      <c r="DI4" s="7">
        <v>6.5240000000000003E-3</v>
      </c>
      <c r="DJ4" s="7">
        <v>5.901E-3</v>
      </c>
      <c r="DK4" s="7">
        <v>5.5279999999999999E-3</v>
      </c>
      <c r="DL4" s="7">
        <v>5.2180000000000004E-3</v>
      </c>
      <c r="DM4" s="7">
        <v>5.006E-3</v>
      </c>
      <c r="DN4" s="7">
        <v>4.7879999999999997E-3</v>
      </c>
      <c r="DO4" s="7">
        <v>4.7790000000000003E-3</v>
      </c>
      <c r="DP4" s="7">
        <v>4.4330000000000003E-3</v>
      </c>
      <c r="DQ4" s="15">
        <v>4.9490000000000003E-3</v>
      </c>
      <c r="DR4" s="15">
        <v>5.0429999999999997E-3</v>
      </c>
      <c r="DS4" s="15"/>
      <c r="DT4" s="15"/>
      <c r="DU4" s="15"/>
      <c r="DV4" s="15"/>
      <c r="DW4" s="15"/>
      <c r="DX4" s="15"/>
      <c r="DY4" s="15"/>
      <c r="DZ4" s="15"/>
      <c r="EA4" s="6" t="s">
        <v>46</v>
      </c>
      <c r="EB4" s="7"/>
    </row>
    <row r="5" spans="1:132" x14ac:dyDescent="0.35">
      <c r="B5" s="4" t="str">
        <f>Populations!$C$5</f>
        <v>MSM</v>
      </c>
      <c r="C5" s="7">
        <v>5.6418049886813046E-3</v>
      </c>
      <c r="D5" s="7">
        <v>5.6042105726308708E-3</v>
      </c>
      <c r="E5" s="7">
        <v>5.6613146529783543E-3</v>
      </c>
      <c r="F5" s="7">
        <v>5.8171777561980076E-3</v>
      </c>
      <c r="G5" s="7">
        <v>5.8416842111774087E-3</v>
      </c>
      <c r="H5" s="7">
        <v>5.66273545155E-3</v>
      </c>
      <c r="I5" s="7">
        <v>5.3632061618941783E-3</v>
      </c>
      <c r="J5" s="7">
        <v>5.0467182476052006E-3</v>
      </c>
      <c r="K5" s="7">
        <v>4.7363468081365887E-3</v>
      </c>
      <c r="L5" s="7">
        <v>4.472483270203398E-3</v>
      </c>
      <c r="M5" s="7">
        <v>4.3025819626647558E-3</v>
      </c>
      <c r="N5" s="7">
        <v>4.1824694755981896E-3</v>
      </c>
      <c r="O5" s="7">
        <v>4.0912331300589459E-3</v>
      </c>
      <c r="P5" s="7">
        <v>4.0915814355124329E-3</v>
      </c>
      <c r="Q5" s="7">
        <v>4.2242050703077162E-3</v>
      </c>
      <c r="R5" s="7">
        <v>4.4171486629923304E-3</v>
      </c>
      <c r="S5" s="7">
        <v>4.5023607457361234E-3</v>
      </c>
      <c r="T5" s="7">
        <v>4.5706156258765087E-3</v>
      </c>
      <c r="U5" s="7">
        <v>4.7286704902108501E-3</v>
      </c>
      <c r="V5" s="7">
        <v>4.891417337394263E-3</v>
      </c>
      <c r="W5" s="7">
        <v>5.0373581699657763E-3</v>
      </c>
      <c r="X5" s="7">
        <v>5.1449967966868326E-3</v>
      </c>
      <c r="Y5" s="7">
        <v>5.1193827077559767E-3</v>
      </c>
      <c r="Z5" s="7">
        <v>4.9224031936212428E-3</v>
      </c>
      <c r="AA5" s="7">
        <v>5.3179797935662574E-3</v>
      </c>
      <c r="AB5" s="7">
        <v>5.8387739982229472E-3</v>
      </c>
      <c r="AC5" s="7">
        <v>5.786564000664211E-3</v>
      </c>
      <c r="AD5" s="7">
        <v>5.6570400746689007E-3</v>
      </c>
      <c r="AE5" s="7">
        <v>5.4952713689392241E-3</v>
      </c>
      <c r="AF5" s="7">
        <v>5.298183585056882E-3</v>
      </c>
      <c r="AG5" s="7">
        <v>5.0484162318395892E-3</v>
      </c>
      <c r="AH5" s="15">
        <v>4.7428946905911876E-3</v>
      </c>
      <c r="AI5" s="15">
        <v>4.4338606839195516E-3</v>
      </c>
      <c r="AJ5" s="15">
        <v>4.1702360769277661E-3</v>
      </c>
      <c r="AK5" s="15">
        <v>3.9464701284939738E-3</v>
      </c>
      <c r="AL5" s="15">
        <v>3.7494924324718289E-3</v>
      </c>
      <c r="AM5" s="15">
        <v>3.5831551738968979E-3</v>
      </c>
      <c r="AN5" s="15">
        <v>3.450393051921824E-3</v>
      </c>
      <c r="AO5" s="15">
        <v>3.3577926146246971E-3</v>
      </c>
      <c r="AP5" s="15">
        <v>3.318541833556253E-3</v>
      </c>
      <c r="AQ5" s="15">
        <v>3.350280360702737E-3</v>
      </c>
      <c r="AR5" s="6" t="s">
        <v>46</v>
      </c>
      <c r="AS5" s="7">
        <v>0.02</v>
      </c>
      <c r="AT5" s="143"/>
      <c r="AU5" s="143"/>
      <c r="AV5" s="144" t="s">
        <v>368</v>
      </c>
      <c r="AW5" s="154">
        <f>(CE4*1000)/5</f>
        <v>0</v>
      </c>
      <c r="AX5" s="154">
        <v>1049.2</v>
      </c>
      <c r="AY5" s="154">
        <v>1049.2</v>
      </c>
      <c r="AZ5" s="154">
        <v>1049.2</v>
      </c>
      <c r="CK5" s="4" t="str">
        <f>Populations!$C$4</f>
        <v>Clients</v>
      </c>
      <c r="CL5" s="7">
        <v>8.5719999999999998E-3</v>
      </c>
      <c r="CM5" s="7">
        <v>9.1719999999999996E-3</v>
      </c>
      <c r="CN5" s="7">
        <v>1.0272999999999999E-2</v>
      </c>
      <c r="CO5" s="7">
        <v>1.1878E-2</v>
      </c>
      <c r="CP5" s="7">
        <v>1.3362000000000001E-2</v>
      </c>
      <c r="CQ5" s="7">
        <v>1.5121000000000001E-2</v>
      </c>
      <c r="CR5" s="7">
        <v>1.6050999999999999E-2</v>
      </c>
      <c r="CS5" s="7">
        <v>1.7097999999999999E-2</v>
      </c>
      <c r="CT5" s="7">
        <v>1.8516000000000001E-2</v>
      </c>
      <c r="CU5" s="7">
        <v>2.0337999999999998E-2</v>
      </c>
      <c r="CV5" s="7">
        <v>2.0558E-2</v>
      </c>
      <c r="CW5" s="7">
        <v>2.2953000000000001E-2</v>
      </c>
      <c r="CX5" s="7">
        <v>2.0154999999999999E-2</v>
      </c>
      <c r="CY5" s="7">
        <v>2.0978E-2</v>
      </c>
      <c r="CZ5" s="7">
        <v>2.0181000000000001E-2</v>
      </c>
      <c r="DA5" s="7">
        <v>1.9758000000000001E-2</v>
      </c>
      <c r="DB5" s="7">
        <v>1.9185000000000001E-2</v>
      </c>
      <c r="DC5" s="7">
        <v>1.8556E-2</v>
      </c>
      <c r="DD5" s="7">
        <v>1.7708999999999999E-2</v>
      </c>
      <c r="DE5" s="7">
        <v>1.6892000000000001E-2</v>
      </c>
      <c r="DF5" s="7">
        <v>1.4931E-2</v>
      </c>
      <c r="DG5" s="7">
        <v>1.3198E-2</v>
      </c>
      <c r="DH5" s="7">
        <v>1.1665E-2</v>
      </c>
      <c r="DI5" s="7">
        <v>1.0475E-2</v>
      </c>
      <c r="DJ5" s="7">
        <v>9.5300000000000003E-3</v>
      </c>
      <c r="DK5" s="7">
        <v>9.0760000000000007E-3</v>
      </c>
      <c r="DL5" s="7">
        <v>8.7240000000000009E-3</v>
      </c>
      <c r="DM5" s="7">
        <v>8.5929999999999999E-3</v>
      </c>
      <c r="DN5" s="7">
        <v>8.1620000000000009E-3</v>
      </c>
      <c r="DO5" s="7">
        <v>8.3979999999999992E-3</v>
      </c>
      <c r="DP5" s="7">
        <v>8.5599999999999999E-3</v>
      </c>
      <c r="DQ5" s="15">
        <v>9.7529999999999995E-3</v>
      </c>
      <c r="DR5" s="15">
        <v>9.5619999999999993E-3</v>
      </c>
      <c r="DS5" s="15"/>
      <c r="DT5" s="15"/>
      <c r="DU5" s="15"/>
      <c r="DV5" s="15"/>
      <c r="DW5" s="15"/>
      <c r="DX5" s="15"/>
      <c r="DY5" s="15"/>
      <c r="DZ5" s="15"/>
      <c r="EA5" s="6" t="s">
        <v>46</v>
      </c>
      <c r="EB5" s="7"/>
    </row>
    <row r="6" spans="1:132" x14ac:dyDescent="0.35">
      <c r="B6" s="4" t="str">
        <f>Populations!$C$6</f>
        <v>Prisoners</v>
      </c>
      <c r="C6" s="7">
        <v>5.6418049886813046E-3</v>
      </c>
      <c r="D6" s="7">
        <v>5.6042105726308708E-3</v>
      </c>
      <c r="E6" s="7">
        <v>5.6613146529783543E-3</v>
      </c>
      <c r="F6" s="7">
        <v>5.8171777561980076E-3</v>
      </c>
      <c r="G6" s="7">
        <v>5.8416842111774087E-3</v>
      </c>
      <c r="H6" s="7">
        <v>5.66273545155E-3</v>
      </c>
      <c r="I6" s="7">
        <v>5.3632061618941783E-3</v>
      </c>
      <c r="J6" s="7">
        <v>5.0467182476052006E-3</v>
      </c>
      <c r="K6" s="7">
        <v>4.7363468081365887E-3</v>
      </c>
      <c r="L6" s="7">
        <v>4.472483270203398E-3</v>
      </c>
      <c r="M6" s="7">
        <v>4.3025819626647558E-3</v>
      </c>
      <c r="N6" s="7">
        <v>4.1824694755981896E-3</v>
      </c>
      <c r="O6" s="7">
        <v>4.0912331300589459E-3</v>
      </c>
      <c r="P6" s="7">
        <v>4.0915814355124329E-3</v>
      </c>
      <c r="Q6" s="7">
        <v>4.2242050703077162E-3</v>
      </c>
      <c r="R6" s="7">
        <v>4.4171486629923304E-3</v>
      </c>
      <c r="S6" s="7">
        <v>4.5023607457361234E-3</v>
      </c>
      <c r="T6" s="7">
        <v>4.5706156258765087E-3</v>
      </c>
      <c r="U6" s="7">
        <v>4.7286704902108501E-3</v>
      </c>
      <c r="V6" s="7">
        <v>4.891417337394263E-3</v>
      </c>
      <c r="W6" s="7">
        <v>5.0373581699657763E-3</v>
      </c>
      <c r="X6" s="7">
        <v>5.1449967966868326E-3</v>
      </c>
      <c r="Y6" s="7">
        <v>5.1193827077559767E-3</v>
      </c>
      <c r="Z6" s="7">
        <v>4.9224031936212428E-3</v>
      </c>
      <c r="AA6" s="7">
        <v>5.3179797935662574E-3</v>
      </c>
      <c r="AB6" s="7">
        <v>5.8387739982229472E-3</v>
      </c>
      <c r="AC6" s="7">
        <v>5.786564000664211E-3</v>
      </c>
      <c r="AD6" s="7">
        <v>5.6570400746689007E-3</v>
      </c>
      <c r="AE6" s="7">
        <v>5.4952713689392241E-3</v>
      </c>
      <c r="AF6" s="7">
        <v>5.298183585056882E-3</v>
      </c>
      <c r="AG6" s="7">
        <v>5.0484162318395892E-3</v>
      </c>
      <c r="AH6" s="15">
        <v>4.7428946905911876E-3</v>
      </c>
      <c r="AI6" s="15">
        <v>4.4338606839195516E-3</v>
      </c>
      <c r="AJ6" s="15">
        <v>4.1702360769277661E-3</v>
      </c>
      <c r="AK6" s="15">
        <v>3.9464701284939738E-3</v>
      </c>
      <c r="AL6" s="15">
        <v>3.7494924324718289E-3</v>
      </c>
      <c r="AM6" s="15">
        <v>3.5831551738968979E-3</v>
      </c>
      <c r="AN6" s="15">
        <v>3.450393051921824E-3</v>
      </c>
      <c r="AO6" s="15">
        <v>3.3577926146246971E-3</v>
      </c>
      <c r="AP6" s="15">
        <v>3.318541833556253E-3</v>
      </c>
      <c r="AQ6" s="15">
        <v>3.350280360702737E-3</v>
      </c>
      <c r="AR6" s="6" t="s">
        <v>46</v>
      </c>
      <c r="AS6" s="7">
        <v>0.02</v>
      </c>
      <c r="AT6" s="143"/>
      <c r="AU6" s="143"/>
      <c r="AV6" s="144" t="s">
        <v>369</v>
      </c>
      <c r="AW6" s="154">
        <f>(CF4*1000)/5</f>
        <v>0</v>
      </c>
      <c r="AX6" s="154">
        <v>1776.4</v>
      </c>
      <c r="AY6" s="154">
        <v>1776.4</v>
      </c>
      <c r="AZ6" s="154">
        <v>1776.4</v>
      </c>
      <c r="CK6" s="4" t="str">
        <f>Populations!$C$5</f>
        <v>MSM</v>
      </c>
      <c r="CL6" s="7">
        <v>8.5719999999999998E-3</v>
      </c>
      <c r="CM6" s="7">
        <v>9.1719999999999996E-3</v>
      </c>
      <c r="CN6" s="7">
        <v>1.0272999999999999E-2</v>
      </c>
      <c r="CO6" s="7">
        <v>1.1878E-2</v>
      </c>
      <c r="CP6" s="7">
        <v>1.3362000000000001E-2</v>
      </c>
      <c r="CQ6" s="7">
        <v>1.5121000000000001E-2</v>
      </c>
      <c r="CR6" s="7">
        <v>1.6050999999999999E-2</v>
      </c>
      <c r="CS6" s="7">
        <v>1.7097999999999999E-2</v>
      </c>
      <c r="CT6" s="7">
        <v>1.8516000000000001E-2</v>
      </c>
      <c r="CU6" s="7">
        <v>2.0337999999999998E-2</v>
      </c>
      <c r="CV6" s="7">
        <v>2.0558E-2</v>
      </c>
      <c r="CW6" s="7">
        <v>2.2953000000000001E-2</v>
      </c>
      <c r="CX6" s="7">
        <v>2.0154999999999999E-2</v>
      </c>
      <c r="CY6" s="7">
        <v>2.0978E-2</v>
      </c>
      <c r="CZ6" s="7">
        <v>2.0181000000000001E-2</v>
      </c>
      <c r="DA6" s="7">
        <v>1.9758000000000001E-2</v>
      </c>
      <c r="DB6" s="7">
        <v>1.9185000000000001E-2</v>
      </c>
      <c r="DC6" s="7">
        <v>1.8556E-2</v>
      </c>
      <c r="DD6" s="7">
        <v>1.7708999999999999E-2</v>
      </c>
      <c r="DE6" s="7">
        <v>1.6892000000000001E-2</v>
      </c>
      <c r="DF6" s="7">
        <v>1.4931E-2</v>
      </c>
      <c r="DG6" s="7">
        <v>1.3198E-2</v>
      </c>
      <c r="DH6" s="7">
        <v>1.1665E-2</v>
      </c>
      <c r="DI6" s="7">
        <v>1.0475E-2</v>
      </c>
      <c r="DJ6" s="7">
        <v>9.5300000000000003E-3</v>
      </c>
      <c r="DK6" s="7">
        <v>9.0760000000000007E-3</v>
      </c>
      <c r="DL6" s="7">
        <v>8.7240000000000009E-3</v>
      </c>
      <c r="DM6" s="7">
        <v>8.5929999999999999E-3</v>
      </c>
      <c r="DN6" s="7">
        <v>8.1620000000000009E-3</v>
      </c>
      <c r="DO6" s="7">
        <v>8.3979999999999992E-3</v>
      </c>
      <c r="DP6" s="7">
        <v>8.5599999999999999E-3</v>
      </c>
      <c r="DQ6" s="15">
        <v>9.7529999999999995E-3</v>
      </c>
      <c r="DR6" s="15">
        <v>9.5619999999999993E-3</v>
      </c>
      <c r="DS6" s="15"/>
      <c r="DT6" s="15"/>
      <c r="DU6" s="15"/>
      <c r="DV6" s="15"/>
      <c r="DW6" s="15"/>
      <c r="DX6" s="15"/>
      <c r="DY6" s="15"/>
      <c r="DZ6" s="15"/>
      <c r="EA6" s="6" t="s">
        <v>46</v>
      </c>
      <c r="EB6" s="7"/>
    </row>
    <row r="7" spans="1:132" x14ac:dyDescent="0.35">
      <c r="B7" s="4" t="str">
        <f>Populations!$C$7</f>
        <v>F0-14</v>
      </c>
      <c r="C7" s="7">
        <v>5.7493014896519777E-2</v>
      </c>
      <c r="D7" s="7">
        <v>5.8559685151857929E-2</v>
      </c>
      <c r="E7" s="7">
        <v>5.9062598090252882E-2</v>
      </c>
      <c r="F7" s="7">
        <v>5.9510836476407293E-2</v>
      </c>
      <c r="G7" s="7">
        <v>6.168761352870189E-2</v>
      </c>
      <c r="H7" s="7">
        <v>6.6283038307077144E-2</v>
      </c>
      <c r="I7" s="7">
        <v>7.0112478125673131E-2</v>
      </c>
      <c r="J7" s="7">
        <v>7.1841050501365647E-2</v>
      </c>
      <c r="K7" s="7">
        <v>7.2284212003074583E-2</v>
      </c>
      <c r="L7" s="7">
        <v>7.150171443525738E-2</v>
      </c>
      <c r="M7" s="7">
        <v>6.9921699170509402E-2</v>
      </c>
      <c r="N7" s="7">
        <v>6.7630690483647782E-2</v>
      </c>
      <c r="O7" s="7">
        <v>6.477726621639146E-2</v>
      </c>
      <c r="P7" s="7">
        <v>6.1771238610163343E-2</v>
      </c>
      <c r="Q7" s="7">
        <v>5.946849536605088E-2</v>
      </c>
      <c r="R7" s="7">
        <v>5.8023371336083991E-2</v>
      </c>
      <c r="S7" s="7">
        <v>5.7199597575884643E-2</v>
      </c>
      <c r="T7" s="7">
        <v>5.6557348771036159E-2</v>
      </c>
      <c r="U7" s="7">
        <v>5.5757424646517402E-2</v>
      </c>
      <c r="V7" s="7">
        <v>5.4904869853458813E-2</v>
      </c>
      <c r="W7" s="7">
        <v>5.4931541303797168E-2</v>
      </c>
      <c r="X7" s="7">
        <v>5.5855465156816372E-2</v>
      </c>
      <c r="Y7" s="7">
        <v>5.7009187180676539E-2</v>
      </c>
      <c r="Z7" s="7">
        <v>5.8382989758862157E-2</v>
      </c>
      <c r="AA7" s="7">
        <v>5.9456761474871847E-2</v>
      </c>
      <c r="AB7" s="7">
        <v>5.9979501535260153E-2</v>
      </c>
      <c r="AC7" s="7">
        <v>6.0001024255633542E-2</v>
      </c>
      <c r="AD7" s="7">
        <v>5.9715871125742358E-2</v>
      </c>
      <c r="AE7" s="7">
        <v>5.9164774631764679E-2</v>
      </c>
      <c r="AF7" s="7">
        <v>5.8239302364497668E-2</v>
      </c>
      <c r="AG7" s="7">
        <v>5.7151629308255132E-2</v>
      </c>
      <c r="AH7" s="15">
        <v>5.7002582511833211E-2</v>
      </c>
      <c r="AI7" s="15">
        <v>5.8202870995800508E-2</v>
      </c>
      <c r="AJ7" s="15">
        <v>6.02896279604902E-2</v>
      </c>
      <c r="AK7" s="15">
        <v>6.2325495801248132E-2</v>
      </c>
      <c r="AL7" s="15">
        <v>6.3818679541538526E-2</v>
      </c>
      <c r="AM7" s="15">
        <v>6.4815801055307667E-2</v>
      </c>
      <c r="AN7" s="15">
        <v>6.5249111447988284E-2</v>
      </c>
      <c r="AO7" s="15">
        <v>6.5046462380670148E-2</v>
      </c>
      <c r="AP7" s="15">
        <v>6.41495957435778E-2</v>
      </c>
      <c r="AQ7" s="15">
        <v>6.3413956329911966E-2</v>
      </c>
      <c r="AR7" s="6" t="s">
        <v>46</v>
      </c>
      <c r="AS7" s="7">
        <v>0.02</v>
      </c>
      <c r="AT7" s="143"/>
      <c r="AU7" s="143"/>
      <c r="AV7" s="144" t="s">
        <v>387</v>
      </c>
      <c r="AW7" s="154">
        <f>(CG4*1000)/5</f>
        <v>0</v>
      </c>
      <c r="AX7" s="154">
        <v>6443.2</v>
      </c>
      <c r="AY7" s="154">
        <v>6443.2</v>
      </c>
      <c r="AZ7" s="154">
        <v>6443.2</v>
      </c>
      <c r="CK7" s="4" t="str">
        <f>Populations!$C$6</f>
        <v>Prisoners</v>
      </c>
      <c r="CL7" s="7">
        <v>8.5719999999999998E-3</v>
      </c>
      <c r="CM7" s="7">
        <v>9.1719999999999996E-3</v>
      </c>
      <c r="CN7" s="7">
        <v>1.0272999999999999E-2</v>
      </c>
      <c r="CO7" s="7">
        <v>1.1878E-2</v>
      </c>
      <c r="CP7" s="7">
        <v>1.3362000000000001E-2</v>
      </c>
      <c r="CQ7" s="7">
        <v>1.5121000000000001E-2</v>
      </c>
      <c r="CR7" s="7">
        <v>1.6050999999999999E-2</v>
      </c>
      <c r="CS7" s="7">
        <v>1.7097999999999999E-2</v>
      </c>
      <c r="CT7" s="7">
        <v>1.8516000000000001E-2</v>
      </c>
      <c r="CU7" s="7">
        <v>2.0337999999999998E-2</v>
      </c>
      <c r="CV7" s="7">
        <v>2.0558E-2</v>
      </c>
      <c r="CW7" s="7">
        <v>2.2953000000000001E-2</v>
      </c>
      <c r="CX7" s="7">
        <v>2.0154999999999999E-2</v>
      </c>
      <c r="CY7" s="7">
        <v>2.0978E-2</v>
      </c>
      <c r="CZ7" s="7">
        <v>2.0181000000000001E-2</v>
      </c>
      <c r="DA7" s="7">
        <v>1.9758000000000001E-2</v>
      </c>
      <c r="DB7" s="7">
        <v>1.9185000000000001E-2</v>
      </c>
      <c r="DC7" s="7">
        <v>1.8556E-2</v>
      </c>
      <c r="DD7" s="7">
        <v>1.7708999999999999E-2</v>
      </c>
      <c r="DE7" s="7">
        <v>1.6892000000000001E-2</v>
      </c>
      <c r="DF7" s="7">
        <v>1.4931E-2</v>
      </c>
      <c r="DG7" s="7">
        <v>1.3198E-2</v>
      </c>
      <c r="DH7" s="7">
        <v>1.1665E-2</v>
      </c>
      <c r="DI7" s="7">
        <v>1.0475E-2</v>
      </c>
      <c r="DJ7" s="7">
        <v>9.5300000000000003E-3</v>
      </c>
      <c r="DK7" s="7">
        <v>9.0760000000000007E-3</v>
      </c>
      <c r="DL7" s="7">
        <v>8.7240000000000009E-3</v>
      </c>
      <c r="DM7" s="7">
        <v>8.5929999999999999E-3</v>
      </c>
      <c r="DN7" s="7">
        <v>8.1620000000000009E-3</v>
      </c>
      <c r="DO7" s="7">
        <v>8.3979999999999992E-3</v>
      </c>
      <c r="DP7" s="7">
        <v>8.5599999999999999E-3</v>
      </c>
      <c r="DQ7" s="15">
        <v>9.7529999999999995E-3</v>
      </c>
      <c r="DR7" s="15">
        <v>9.5619999999999993E-3</v>
      </c>
      <c r="DS7" s="15"/>
      <c r="DT7" s="15"/>
      <c r="DU7" s="15"/>
      <c r="DV7" s="15"/>
      <c r="DW7" s="15"/>
      <c r="DX7" s="15"/>
      <c r="DY7" s="15"/>
      <c r="DZ7" s="15"/>
      <c r="EA7" s="6" t="s">
        <v>46</v>
      </c>
      <c r="EB7" s="7"/>
    </row>
    <row r="8" spans="1:132" x14ac:dyDescent="0.35">
      <c r="B8" s="4" t="str">
        <f>Populations!$C$8</f>
        <v>M0-14</v>
      </c>
      <c r="C8" s="7">
        <v>5.565390377359445E-2</v>
      </c>
      <c r="D8" s="7">
        <v>5.6390956342706702E-2</v>
      </c>
      <c r="E8" s="7">
        <v>5.637189754238036E-2</v>
      </c>
      <c r="F8" s="7">
        <v>5.6387062928725293E-2</v>
      </c>
      <c r="G8" s="7">
        <v>5.88188363801357E-2</v>
      </c>
      <c r="H8" s="7">
        <v>6.3103752791902695E-2</v>
      </c>
      <c r="I8" s="7">
        <v>6.6119582946824601E-2</v>
      </c>
      <c r="J8" s="7">
        <v>6.7775733925323184E-2</v>
      </c>
      <c r="K8" s="7">
        <v>6.816294522113403E-2</v>
      </c>
      <c r="L8" s="7">
        <v>6.6986165394875632E-2</v>
      </c>
      <c r="M8" s="7">
        <v>6.4836723878357261E-2</v>
      </c>
      <c r="N8" s="7">
        <v>6.2632600848767331E-2</v>
      </c>
      <c r="O8" s="7">
        <v>6.0698387579425382E-2</v>
      </c>
      <c r="P8" s="7">
        <v>5.8217830427161353E-2</v>
      </c>
      <c r="Q8" s="7">
        <v>5.6026679295669138E-2</v>
      </c>
      <c r="R8" s="7">
        <v>5.4612005827839767E-2</v>
      </c>
      <c r="S8" s="7">
        <v>5.4542281024553822E-2</v>
      </c>
      <c r="T8" s="7">
        <v>5.4903454547951529E-2</v>
      </c>
      <c r="U8" s="7">
        <v>5.4469434300207203E-2</v>
      </c>
      <c r="V8" s="7">
        <v>5.3733247984411439E-2</v>
      </c>
      <c r="W8" s="7">
        <v>5.3676401803759037E-2</v>
      </c>
      <c r="X8" s="7">
        <v>5.4474727667519762E-2</v>
      </c>
      <c r="Y8" s="7">
        <v>5.55329777044061E-2</v>
      </c>
      <c r="Z8" s="7">
        <v>5.6856204531196768E-2</v>
      </c>
      <c r="AA8" s="7">
        <v>5.7892682077495948E-2</v>
      </c>
      <c r="AB8" s="7">
        <v>5.8341413715804043E-2</v>
      </c>
      <c r="AC8" s="7">
        <v>5.8202257763675297E-2</v>
      </c>
      <c r="AD8" s="7">
        <v>5.7747476177952207E-2</v>
      </c>
      <c r="AE8" s="7">
        <v>5.7127559098397819E-2</v>
      </c>
      <c r="AF8" s="7">
        <v>5.6269680627748737E-2</v>
      </c>
      <c r="AG8" s="7">
        <v>5.5200457887279487E-2</v>
      </c>
      <c r="AH8" s="15">
        <v>5.5103639943286341E-2</v>
      </c>
      <c r="AI8" s="15">
        <v>5.6501822126277898E-2</v>
      </c>
      <c r="AJ8" s="15">
        <v>5.8779793450227359E-2</v>
      </c>
      <c r="AK8" s="15">
        <v>6.0983998059800072E-2</v>
      </c>
      <c r="AL8" s="15">
        <v>6.2655438438751834E-2</v>
      </c>
      <c r="AM8" s="15">
        <v>6.3745859370796937E-2</v>
      </c>
      <c r="AN8" s="15">
        <v>6.4201859707693487E-2</v>
      </c>
      <c r="AO8" s="15">
        <v>6.4052143993389793E-2</v>
      </c>
      <c r="AP8" s="15">
        <v>6.3239758900628842E-2</v>
      </c>
      <c r="AQ8" s="15">
        <v>6.261714127166583E-2</v>
      </c>
      <c r="AR8" s="6" t="s">
        <v>46</v>
      </c>
      <c r="AS8" s="7">
        <v>0.02</v>
      </c>
      <c r="AT8" s="143"/>
      <c r="AU8" s="143"/>
      <c r="AV8" s="144" t="s">
        <v>388</v>
      </c>
      <c r="AW8" s="154">
        <f>(CH4*1000)/5</f>
        <v>0</v>
      </c>
      <c r="AX8" s="154">
        <v>8748</v>
      </c>
      <c r="AY8" s="154">
        <v>8748</v>
      </c>
      <c r="AZ8" s="154">
        <v>8748</v>
      </c>
      <c r="CK8" s="4" t="str">
        <f>Populations!$C$7</f>
        <v>F0-14</v>
      </c>
      <c r="CL8" s="7">
        <v>6.1450000000000003E-3</v>
      </c>
      <c r="CM8" s="7">
        <v>6.4000000000000003E-3</v>
      </c>
      <c r="CN8" s="7">
        <v>6.7060000000000002E-3</v>
      </c>
      <c r="CO8" s="7">
        <v>7.0879999999999997E-3</v>
      </c>
      <c r="CP8" s="7">
        <v>7.3559999999999997E-3</v>
      </c>
      <c r="CQ8" s="7">
        <v>7.6420000000000004E-3</v>
      </c>
      <c r="CR8" s="7">
        <v>8.0009999999999994E-3</v>
      </c>
      <c r="CS8" s="7">
        <v>8.1530000000000005E-3</v>
      </c>
      <c r="CT8" s="7">
        <v>8.3899999999999999E-3</v>
      </c>
      <c r="CU8" s="7">
        <v>8.5839999999999996E-3</v>
      </c>
      <c r="CV8" s="7">
        <v>8.7139999999999995E-3</v>
      </c>
      <c r="CW8" s="7">
        <v>8.633E-3</v>
      </c>
      <c r="CX8" s="7">
        <v>8.6770000000000007E-3</v>
      </c>
      <c r="CY8" s="7">
        <v>8.5019999999999991E-3</v>
      </c>
      <c r="CZ8" s="7">
        <v>8.5749999999999993E-3</v>
      </c>
      <c r="DA8" s="7">
        <v>8.5620000000000002E-3</v>
      </c>
      <c r="DB8" s="7">
        <v>8.6230000000000005E-3</v>
      </c>
      <c r="DC8" s="7">
        <v>8.5869999999999991E-3</v>
      </c>
      <c r="DD8" s="7">
        <v>8.7650000000000002E-3</v>
      </c>
      <c r="DE8" s="7">
        <v>8.5009999999999999E-3</v>
      </c>
      <c r="DF8" s="7">
        <v>7.7869999999999997E-3</v>
      </c>
      <c r="DG8" s="7">
        <v>7.2620000000000002E-3</v>
      </c>
      <c r="DH8" s="7">
        <v>6.3769999999999999E-3</v>
      </c>
      <c r="DI8" s="7">
        <v>5.7889999999999999E-3</v>
      </c>
      <c r="DJ8" s="7">
        <v>5.3660000000000001E-3</v>
      </c>
      <c r="DK8" s="7">
        <v>5.1510000000000002E-3</v>
      </c>
      <c r="DL8" s="7">
        <v>4.8529999999999997E-3</v>
      </c>
      <c r="DM8" s="7">
        <v>4.6829999999999997E-3</v>
      </c>
      <c r="DN8" s="7">
        <v>4.444E-3</v>
      </c>
      <c r="DO8" s="7">
        <v>4.4380000000000001E-3</v>
      </c>
      <c r="DP8" s="7">
        <v>4.3030000000000004E-3</v>
      </c>
      <c r="DQ8" s="15">
        <v>4.267E-3</v>
      </c>
      <c r="DR8" s="15">
        <v>4.3359999999999996E-3</v>
      </c>
      <c r="DS8" s="15"/>
      <c r="DT8" s="15"/>
      <c r="DU8" s="15"/>
      <c r="DV8" s="15"/>
      <c r="DW8" s="15"/>
      <c r="DX8" s="15"/>
      <c r="DY8" s="15"/>
      <c r="DZ8" s="15"/>
      <c r="EA8" s="6" t="s">
        <v>46</v>
      </c>
      <c r="EB8" s="7"/>
    </row>
    <row r="9" spans="1:132" x14ac:dyDescent="0.35">
      <c r="B9" s="4" t="str">
        <f>Populations!$C$9</f>
        <v>F15-19</v>
      </c>
      <c r="C9" s="7">
        <v>0.1824791859095829</v>
      </c>
      <c r="D9" s="7">
        <v>0.18246409146898049</v>
      </c>
      <c r="E9" s="7">
        <v>0.1827140117782142</v>
      </c>
      <c r="F9" s="7">
        <v>0.18404633799486861</v>
      </c>
      <c r="G9" s="7">
        <v>0.18665838835952539</v>
      </c>
      <c r="H9" s="7">
        <v>0.18855952847349949</v>
      </c>
      <c r="I9" s="7">
        <v>0.18723049644469481</v>
      </c>
      <c r="J9" s="7">
        <v>0.18317067632211331</v>
      </c>
      <c r="K9" s="7">
        <v>0.17879158790255251</v>
      </c>
      <c r="L9" s="7">
        <v>0.17934790181370619</v>
      </c>
      <c r="M9" s="7">
        <v>0.18776618077593091</v>
      </c>
      <c r="N9" s="7">
        <v>0.19613368290540301</v>
      </c>
      <c r="O9" s="7">
        <v>0.20132837091555911</v>
      </c>
      <c r="P9" s="7">
        <v>0.20530120538932811</v>
      </c>
      <c r="Q9" s="7">
        <v>0.20770032046372261</v>
      </c>
      <c r="R9" s="7">
        <v>0.20872577518145519</v>
      </c>
      <c r="S9" s="7">
        <v>0.207690700077024</v>
      </c>
      <c r="T9" s="7">
        <v>0.20405928619932881</v>
      </c>
      <c r="U9" s="7">
        <v>0.19876489900547631</v>
      </c>
      <c r="V9" s="7">
        <v>0.19491431669082099</v>
      </c>
      <c r="W9" s="7">
        <v>0.1931662655478304</v>
      </c>
      <c r="X9" s="7">
        <v>0.1918916476562128</v>
      </c>
      <c r="Y9" s="7">
        <v>0.18982978830272251</v>
      </c>
      <c r="Z9" s="7">
        <v>0.1865509460484214</v>
      </c>
      <c r="AA9" s="7">
        <v>0.1821462214177948</v>
      </c>
      <c r="AB9" s="7">
        <v>0.18020138656584039</v>
      </c>
      <c r="AC9" s="7">
        <v>0.18142959759496999</v>
      </c>
      <c r="AD9" s="7">
        <v>0.18392160301410479</v>
      </c>
      <c r="AE9" s="7">
        <v>0.1878030295397477</v>
      </c>
      <c r="AF9" s="7">
        <v>0.19168927552081211</v>
      </c>
      <c r="AG9" s="7">
        <v>0.1947560692378103</v>
      </c>
      <c r="AH9" s="15">
        <v>0.19702858374429141</v>
      </c>
      <c r="AI9" s="15">
        <v>0.19827943811969101</v>
      </c>
      <c r="AJ9" s="15">
        <v>0.19759522765192561</v>
      </c>
      <c r="AK9" s="15">
        <v>0.19393724235974311</v>
      </c>
      <c r="AL9" s="15">
        <v>0.18801586754266161</v>
      </c>
      <c r="AM9" s="15">
        <v>0.18396466520500901</v>
      </c>
      <c r="AN9" s="15">
        <v>0.1838706959839212</v>
      </c>
      <c r="AO9" s="15">
        <v>0.18701633243649471</v>
      </c>
      <c r="AP9" s="15">
        <v>0.1910797302701284</v>
      </c>
      <c r="AQ9" s="15">
        <v>0.19486861234124209</v>
      </c>
      <c r="AR9" s="6" t="s">
        <v>46</v>
      </c>
      <c r="AS9" s="7">
        <v>0.02</v>
      </c>
      <c r="AT9" s="143"/>
      <c r="AU9" s="143"/>
      <c r="AV9" s="144" t="s">
        <v>392</v>
      </c>
      <c r="AW9" s="154">
        <f>(CI4*1000)/5</f>
        <v>0</v>
      </c>
      <c r="AX9" s="154">
        <v>16756.8</v>
      </c>
      <c r="AY9" s="154">
        <v>16756.8</v>
      </c>
      <c r="AZ9" s="154">
        <v>16756.8</v>
      </c>
      <c r="CK9" s="4" t="str">
        <f>Populations!$C$8</f>
        <v>M0-14</v>
      </c>
      <c r="CL9" s="7">
        <v>7.7060000000000002E-3</v>
      </c>
      <c r="CM9" s="7">
        <v>7.9719999999999999E-3</v>
      </c>
      <c r="CN9" s="7">
        <v>8.3770000000000008E-3</v>
      </c>
      <c r="CO9" s="7">
        <v>8.7740000000000005E-3</v>
      </c>
      <c r="CP9" s="7">
        <v>9.1199999999999996E-3</v>
      </c>
      <c r="CQ9" s="7">
        <v>9.4009999999999996E-3</v>
      </c>
      <c r="CR9" s="7">
        <v>9.92E-3</v>
      </c>
      <c r="CS9" s="7">
        <v>1.0061E-2</v>
      </c>
      <c r="CT9" s="7">
        <v>1.025E-2</v>
      </c>
      <c r="CU9" s="7">
        <v>1.0404E-2</v>
      </c>
      <c r="CV9" s="7">
        <v>1.0489999999999999E-2</v>
      </c>
      <c r="CW9" s="7">
        <v>1.0436000000000001E-2</v>
      </c>
      <c r="CX9" s="7">
        <v>1.0325000000000001E-2</v>
      </c>
      <c r="CY9" s="7">
        <v>1.0145E-2</v>
      </c>
      <c r="CZ9" s="7">
        <v>1.0123999999999999E-2</v>
      </c>
      <c r="DA9" s="7">
        <v>1.0069E-2</v>
      </c>
      <c r="DB9" s="7">
        <v>1.0137999999999999E-2</v>
      </c>
      <c r="DC9" s="7">
        <v>1.0189E-2</v>
      </c>
      <c r="DD9" s="7">
        <v>1.0314E-2</v>
      </c>
      <c r="DE9" s="7">
        <v>1.0005999999999999E-2</v>
      </c>
      <c r="DF9" s="7">
        <v>9.2540000000000001E-3</v>
      </c>
      <c r="DG9" s="7">
        <v>8.6940000000000003E-3</v>
      </c>
      <c r="DH9" s="7">
        <v>7.6860000000000001E-3</v>
      </c>
      <c r="DI9" s="7">
        <v>6.9210000000000001E-3</v>
      </c>
      <c r="DJ9" s="7">
        <v>6.3870000000000003E-3</v>
      </c>
      <c r="DK9" s="7">
        <v>6.1180000000000002E-3</v>
      </c>
      <c r="DL9" s="7">
        <v>5.7340000000000004E-3</v>
      </c>
      <c r="DM9" s="7">
        <v>5.5189999999999996E-3</v>
      </c>
      <c r="DN9" s="7">
        <v>5.1989999999999996E-3</v>
      </c>
      <c r="DO9" s="7">
        <v>5.1630000000000001E-3</v>
      </c>
      <c r="DP9" s="7">
        <v>5.0080000000000003E-3</v>
      </c>
      <c r="DQ9" s="15">
        <v>4.9610000000000001E-3</v>
      </c>
      <c r="DR9" s="15">
        <v>5.0289999999999996E-3</v>
      </c>
      <c r="DS9" s="15"/>
      <c r="DT9" s="15"/>
      <c r="DU9" s="15"/>
      <c r="DV9" s="15"/>
      <c r="DW9" s="15"/>
      <c r="DX9" s="15"/>
      <c r="DY9" s="15"/>
      <c r="DZ9" s="15"/>
      <c r="EA9" s="6" t="s">
        <v>46</v>
      </c>
      <c r="EB9" s="7"/>
    </row>
    <row r="10" spans="1:132" x14ac:dyDescent="0.35">
      <c r="B10" s="4" t="str">
        <f>Populations!$C$10</f>
        <v>M15-19</v>
      </c>
      <c r="C10" s="7">
        <v>0.17726339766654231</v>
      </c>
      <c r="D10" s="7">
        <v>0.17764500145730111</v>
      </c>
      <c r="E10" s="7">
        <v>0.1785301604108038</v>
      </c>
      <c r="F10" s="7">
        <v>0.17977896489049941</v>
      </c>
      <c r="G10" s="7">
        <v>0.18154927658998279</v>
      </c>
      <c r="H10" s="7">
        <v>0.1822325815030503</v>
      </c>
      <c r="I10" s="7">
        <v>0.18011371772230439</v>
      </c>
      <c r="J10" s="7">
        <v>0.17615042479789181</v>
      </c>
      <c r="K10" s="7">
        <v>0.17283934743078111</v>
      </c>
      <c r="L10" s="7">
        <v>0.17614319058448619</v>
      </c>
      <c r="M10" s="7">
        <v>0.1853235574003288</v>
      </c>
      <c r="N10" s="7">
        <v>0.1925875197220964</v>
      </c>
      <c r="O10" s="7">
        <v>0.19820396510455621</v>
      </c>
      <c r="P10" s="7">
        <v>0.2015460376868658</v>
      </c>
      <c r="Q10" s="7">
        <v>0.20139999354194721</v>
      </c>
      <c r="R10" s="7">
        <v>0.1990329046511288</v>
      </c>
      <c r="S10" s="7">
        <v>0.19682431814124571</v>
      </c>
      <c r="T10" s="7">
        <v>0.19476972243845481</v>
      </c>
      <c r="U10" s="7">
        <v>0.1892380912800479</v>
      </c>
      <c r="V10" s="7">
        <v>0.18380670579498579</v>
      </c>
      <c r="W10" s="7">
        <v>0.18064121162929681</v>
      </c>
      <c r="X10" s="7">
        <v>0.18064116829245541</v>
      </c>
      <c r="Y10" s="7">
        <v>0.1815806497934144</v>
      </c>
      <c r="Z10" s="7">
        <v>0.18008453539464259</v>
      </c>
      <c r="AA10" s="7">
        <v>0.17684174847145631</v>
      </c>
      <c r="AB10" s="7">
        <v>0.17556760266531901</v>
      </c>
      <c r="AC10" s="7">
        <v>0.17737857349337971</v>
      </c>
      <c r="AD10" s="7">
        <v>0.18028700348110679</v>
      </c>
      <c r="AE10" s="7">
        <v>0.1845489315230506</v>
      </c>
      <c r="AF10" s="7">
        <v>0.18883304727955519</v>
      </c>
      <c r="AG10" s="7">
        <v>0.1920999955879519</v>
      </c>
      <c r="AH10" s="15">
        <v>0.1942574520768291</v>
      </c>
      <c r="AI10" s="15">
        <v>0.19533551638831009</v>
      </c>
      <c r="AJ10" s="15">
        <v>0.19467957826938631</v>
      </c>
      <c r="AK10" s="15">
        <v>0.19132393069664991</v>
      </c>
      <c r="AL10" s="15">
        <v>0.18533838613639811</v>
      </c>
      <c r="AM10" s="15">
        <v>0.18116631264359609</v>
      </c>
      <c r="AN10" s="15">
        <v>0.1814190563476232</v>
      </c>
      <c r="AO10" s="15">
        <v>0.18498197655246129</v>
      </c>
      <c r="AP10" s="15">
        <v>0.18943998534603351</v>
      </c>
      <c r="AQ10" s="15">
        <v>0.19366567303422119</v>
      </c>
      <c r="AR10" s="6" t="s">
        <v>46</v>
      </c>
      <c r="AS10" s="7">
        <v>0.02</v>
      </c>
      <c r="AT10" s="143"/>
      <c r="AU10" s="143"/>
      <c r="AV10" s="143"/>
      <c r="AW10" s="150"/>
      <c r="AX10" s="144"/>
      <c r="AY10" s="144"/>
      <c r="AZ10" s="144"/>
      <c r="CK10" s="4" t="str">
        <f>Populations!$C$9</f>
        <v>F15-19</v>
      </c>
      <c r="CL10" s="7">
        <v>1.9629999999999999E-3</v>
      </c>
      <c r="CM10" s="7">
        <v>2.1749999999999999E-3</v>
      </c>
      <c r="CN10" s="7">
        <v>2.4260000000000002E-3</v>
      </c>
      <c r="CO10" s="7">
        <v>2.784E-3</v>
      </c>
      <c r="CP10" s="7">
        <v>3.0330000000000001E-3</v>
      </c>
      <c r="CQ10" s="7">
        <v>3.359E-3</v>
      </c>
      <c r="CR10" s="7">
        <v>3.4659999999999999E-3</v>
      </c>
      <c r="CS10" s="7">
        <v>3.5950000000000001E-3</v>
      </c>
      <c r="CT10" s="7">
        <v>3.8539999999999998E-3</v>
      </c>
      <c r="CU10" s="7">
        <v>4.2659999999999998E-3</v>
      </c>
      <c r="CV10" s="7">
        <v>4.5519999999999996E-3</v>
      </c>
      <c r="CW10" s="7">
        <v>5.0660000000000002E-3</v>
      </c>
      <c r="CX10" s="7">
        <v>4.7730000000000003E-3</v>
      </c>
      <c r="CY10" s="7">
        <v>4.8240000000000002E-3</v>
      </c>
      <c r="CZ10" s="7">
        <v>4.9360000000000003E-3</v>
      </c>
      <c r="DA10" s="7">
        <v>4.8300000000000001E-3</v>
      </c>
      <c r="DB10" s="7">
        <v>4.6870000000000002E-3</v>
      </c>
      <c r="DC10" s="7">
        <v>4.4809999999999997E-3</v>
      </c>
      <c r="DD10" s="7">
        <v>4.3810000000000003E-3</v>
      </c>
      <c r="DE10" s="7">
        <v>4.0159999999999996E-3</v>
      </c>
      <c r="DF10" s="7">
        <v>3.3790000000000001E-3</v>
      </c>
      <c r="DG10" s="7">
        <v>2.9619999999999998E-3</v>
      </c>
      <c r="DH10" s="7">
        <v>2.5149999999999999E-3</v>
      </c>
      <c r="DI10" s="7">
        <v>2.2430000000000002E-3</v>
      </c>
      <c r="DJ10" s="7">
        <v>2.0590000000000001E-3</v>
      </c>
      <c r="DK10" s="7">
        <v>1.9589999999999998E-3</v>
      </c>
      <c r="DL10" s="7">
        <v>1.854E-3</v>
      </c>
      <c r="DM10" s="7">
        <v>1.7899999999999999E-3</v>
      </c>
      <c r="DN10" s="7">
        <v>1.707E-3</v>
      </c>
      <c r="DO10" s="7">
        <v>1.7110000000000001E-3</v>
      </c>
      <c r="DP10" s="7">
        <v>1.531E-3</v>
      </c>
      <c r="DQ10" s="15">
        <v>1.704E-3</v>
      </c>
      <c r="DR10" s="15">
        <v>1.735E-3</v>
      </c>
      <c r="DS10" s="15"/>
      <c r="DT10" s="15"/>
      <c r="DU10" s="15"/>
      <c r="DV10" s="15"/>
      <c r="DW10" s="15"/>
      <c r="DX10" s="15"/>
      <c r="DY10" s="15"/>
      <c r="DZ10" s="15"/>
      <c r="EA10" s="6" t="s">
        <v>46</v>
      </c>
      <c r="EB10" s="7"/>
    </row>
    <row r="11" spans="1:132" x14ac:dyDescent="0.35">
      <c r="B11" s="4" t="str">
        <f>Populations!$C$11</f>
        <v>F20-24</v>
      </c>
      <c r="C11" s="7">
        <v>0.17399182163976751</v>
      </c>
      <c r="D11" s="7">
        <v>0.1749632070720652</v>
      </c>
      <c r="E11" s="7">
        <v>0.17524129851620529</v>
      </c>
      <c r="F11" s="7">
        <v>0.17520556210992741</v>
      </c>
      <c r="G11" s="7">
        <v>0.1758310807400226</v>
      </c>
      <c r="H11" s="7">
        <v>0.17667868381019861</v>
      </c>
      <c r="I11" s="7">
        <v>0.17752352509476099</v>
      </c>
      <c r="J11" s="7">
        <v>0.17893373475563171</v>
      </c>
      <c r="K11" s="7">
        <v>0.1813623280249767</v>
      </c>
      <c r="L11" s="7">
        <v>0.18428048395672231</v>
      </c>
      <c r="M11" s="7">
        <v>0.18586259220440349</v>
      </c>
      <c r="N11" s="7">
        <v>0.18377930033198239</v>
      </c>
      <c r="O11" s="7">
        <v>0.17898313571422361</v>
      </c>
      <c r="P11" s="7">
        <v>0.17408383510493519</v>
      </c>
      <c r="Q11" s="7">
        <v>0.1743822146867417</v>
      </c>
      <c r="R11" s="7">
        <v>0.18301027728715771</v>
      </c>
      <c r="S11" s="7">
        <v>0.1919089548506436</v>
      </c>
      <c r="T11" s="7">
        <v>0.19740661225802661</v>
      </c>
      <c r="U11" s="7">
        <v>0.2015328484446445</v>
      </c>
      <c r="V11" s="7">
        <v>0.20418365591280391</v>
      </c>
      <c r="W11" s="7">
        <v>0.2054737349295146</v>
      </c>
      <c r="X11" s="7">
        <v>0.20445641007993329</v>
      </c>
      <c r="Y11" s="7">
        <v>0.20070588270452891</v>
      </c>
      <c r="Z11" s="7">
        <v>0.19547555353948329</v>
      </c>
      <c r="AA11" s="7">
        <v>0.19187343720665481</v>
      </c>
      <c r="AB11" s="7">
        <v>0.19052869801832731</v>
      </c>
      <c r="AC11" s="7">
        <v>0.18968448701672719</v>
      </c>
      <c r="AD11" s="7">
        <v>0.18785090026776391</v>
      </c>
      <c r="AE11" s="7">
        <v>0.1845696593053858</v>
      </c>
      <c r="AF11" s="7">
        <v>0.18011029043146959</v>
      </c>
      <c r="AG11" s="7">
        <v>0.17827805205126609</v>
      </c>
      <c r="AH11" s="15">
        <v>0.1798122054211703</v>
      </c>
      <c r="AI11" s="15">
        <v>0.18262928497649361</v>
      </c>
      <c r="AJ11" s="15">
        <v>0.18680204910176751</v>
      </c>
      <c r="AK11" s="15">
        <v>0.19092636635677371</v>
      </c>
      <c r="AL11" s="15">
        <v>0.1941267090741961</v>
      </c>
      <c r="AM11" s="15">
        <v>0.19645470008175589</v>
      </c>
      <c r="AN11" s="15">
        <v>0.19773777748665311</v>
      </c>
      <c r="AO11" s="15">
        <v>0.19705919254624499</v>
      </c>
      <c r="AP11" s="15">
        <v>0.19339550838827249</v>
      </c>
      <c r="AQ11" s="15">
        <v>0.18746528749263991</v>
      </c>
      <c r="AR11" s="6" t="s">
        <v>46</v>
      </c>
      <c r="AS11" s="7">
        <v>0.02</v>
      </c>
      <c r="AT11" s="143"/>
      <c r="AU11" s="143"/>
      <c r="AV11" s="25" t="s">
        <v>395</v>
      </c>
      <c r="AW11" s="4">
        <v>1990</v>
      </c>
      <c r="AX11" s="4">
        <v>1991</v>
      </c>
      <c r="AY11" s="4">
        <v>1992</v>
      </c>
      <c r="AZ11" s="4">
        <v>1993</v>
      </c>
      <c r="CK11" s="4" t="str">
        <f>Populations!$C$10</f>
        <v>M15-19</v>
      </c>
      <c r="CL11" s="7">
        <v>2.6159999999999998E-3</v>
      </c>
      <c r="CM11" s="7">
        <v>2.7460000000000002E-3</v>
      </c>
      <c r="CN11" s="7">
        <v>2.9940000000000001E-3</v>
      </c>
      <c r="CO11" s="7">
        <v>3.3050000000000002E-3</v>
      </c>
      <c r="CP11" s="7">
        <v>3.5639999999999999E-3</v>
      </c>
      <c r="CQ11" s="7">
        <v>3.6870000000000002E-3</v>
      </c>
      <c r="CR11" s="7">
        <v>4.084E-3</v>
      </c>
      <c r="CS11" s="7">
        <v>4.1929999999999997E-3</v>
      </c>
      <c r="CT11" s="7">
        <v>4.3689999999999996E-3</v>
      </c>
      <c r="CU11" s="7">
        <v>4.5999999999999999E-3</v>
      </c>
      <c r="CV11" s="7">
        <v>4.8589999999999996E-3</v>
      </c>
      <c r="CW11" s="7">
        <v>5.11E-3</v>
      </c>
      <c r="CX11" s="7">
        <v>4.7860000000000003E-3</v>
      </c>
      <c r="CY11" s="7">
        <v>4.5960000000000003E-3</v>
      </c>
      <c r="CZ11" s="7">
        <v>4.4900000000000001E-3</v>
      </c>
      <c r="DA11" s="7">
        <v>4.4079999999999996E-3</v>
      </c>
      <c r="DB11" s="7">
        <v>4.3530000000000001E-3</v>
      </c>
      <c r="DC11" s="7">
        <v>4.3119999999999999E-3</v>
      </c>
      <c r="DD11" s="7">
        <v>4.2209999999999999E-3</v>
      </c>
      <c r="DE11" s="7">
        <v>3.888E-3</v>
      </c>
      <c r="DF11" s="7">
        <v>3.4749999999999998E-3</v>
      </c>
      <c r="DG11" s="7">
        <v>3.1960000000000001E-3</v>
      </c>
      <c r="DH11" s="7">
        <v>2.8140000000000001E-3</v>
      </c>
      <c r="DI11" s="7">
        <v>2.5600000000000002E-3</v>
      </c>
      <c r="DJ11" s="7">
        <v>2.3839999999999998E-3</v>
      </c>
      <c r="DK11" s="7">
        <v>2.3110000000000001E-3</v>
      </c>
      <c r="DL11" s="7">
        <v>2.2230000000000001E-3</v>
      </c>
      <c r="DM11" s="7">
        <v>2.1919999999999999E-3</v>
      </c>
      <c r="DN11" s="7">
        <v>2.101E-3</v>
      </c>
      <c r="DO11" s="7">
        <v>2.1359999999999999E-3</v>
      </c>
      <c r="DP11" s="7">
        <v>1.8749999999999999E-3</v>
      </c>
      <c r="DQ11" s="15">
        <v>2.189E-3</v>
      </c>
      <c r="DR11" s="15">
        <v>2.209E-3</v>
      </c>
      <c r="DS11" s="15"/>
      <c r="DT11" s="15"/>
      <c r="DU11" s="15"/>
      <c r="DV11" s="15"/>
      <c r="DW11" s="15"/>
      <c r="DX11" s="15"/>
      <c r="DY11" s="15"/>
      <c r="DZ11" s="15"/>
      <c r="EA11" s="6" t="s">
        <v>46</v>
      </c>
      <c r="EB11" s="7"/>
    </row>
    <row r="12" spans="1:132" x14ac:dyDescent="0.35">
      <c r="B12" s="4" t="str">
        <f>Populations!$C$12</f>
        <v>M20-24</v>
      </c>
      <c r="C12" s="7">
        <v>0.1764067297412745</v>
      </c>
      <c r="D12" s="7">
        <v>0.17707967569264191</v>
      </c>
      <c r="E12" s="7">
        <v>0.17726732995781891</v>
      </c>
      <c r="F12" s="7">
        <v>0.17678957719317601</v>
      </c>
      <c r="G12" s="7">
        <v>0.1755826935151038</v>
      </c>
      <c r="H12" s="7">
        <v>0.1746523096207051</v>
      </c>
      <c r="I12" s="7">
        <v>0.17454095013171761</v>
      </c>
      <c r="J12" s="7">
        <v>0.17563910731909199</v>
      </c>
      <c r="K12" s="7">
        <v>0.17762126355763971</v>
      </c>
      <c r="L12" s="7">
        <v>0.179808685647246</v>
      </c>
      <c r="M12" s="7">
        <v>0.18066675644612259</v>
      </c>
      <c r="N12" s="7">
        <v>0.17837476316226239</v>
      </c>
      <c r="O12" s="7">
        <v>0.1739997360508436</v>
      </c>
      <c r="P12" s="7">
        <v>0.17016145659189061</v>
      </c>
      <c r="Q12" s="7">
        <v>0.17348514057931849</v>
      </c>
      <c r="R12" s="7">
        <v>0.18363706680106159</v>
      </c>
      <c r="S12" s="7">
        <v>0.19154879811883491</v>
      </c>
      <c r="T12" s="7">
        <v>0.19738106223888049</v>
      </c>
      <c r="U12" s="7">
        <v>0.20105524029272609</v>
      </c>
      <c r="V12" s="7">
        <v>0.20106996456610851</v>
      </c>
      <c r="W12" s="7">
        <v>0.1986993174140694</v>
      </c>
      <c r="X12" s="7">
        <v>0.19621112480213401</v>
      </c>
      <c r="Y12" s="7">
        <v>0.1934595062288417</v>
      </c>
      <c r="Z12" s="7">
        <v>0.18682715366168601</v>
      </c>
      <c r="AA12" s="7">
        <v>0.1807460769068602</v>
      </c>
      <c r="AB12" s="7">
        <v>0.17767590409492559</v>
      </c>
      <c r="AC12" s="7">
        <v>0.1784436387963482</v>
      </c>
      <c r="AD12" s="7">
        <v>0.17996087913017039</v>
      </c>
      <c r="AE12" s="7">
        <v>0.178466004113423</v>
      </c>
      <c r="AF12" s="7">
        <v>0.17506526790493759</v>
      </c>
      <c r="AG12" s="7">
        <v>0.17377020269539939</v>
      </c>
      <c r="AH12" s="15">
        <v>0.17565874478978011</v>
      </c>
      <c r="AI12" s="15">
        <v>0.17867055074820051</v>
      </c>
      <c r="AJ12" s="15">
        <v>0.18315727604529211</v>
      </c>
      <c r="AK12" s="15">
        <v>0.1877022222572107</v>
      </c>
      <c r="AL12" s="15">
        <v>0.19115083575836139</v>
      </c>
      <c r="AM12" s="15">
        <v>0.19343493758629429</v>
      </c>
      <c r="AN12" s="15">
        <v>0.19459832427478371</v>
      </c>
      <c r="AO12" s="15">
        <v>0.19395124895751109</v>
      </c>
      <c r="AP12" s="15">
        <v>0.1905937363707447</v>
      </c>
      <c r="AQ12" s="15">
        <v>0.18460546409164741</v>
      </c>
      <c r="AR12" s="6" t="s">
        <v>46</v>
      </c>
      <c r="AS12" s="7">
        <v>0.02</v>
      </c>
      <c r="AT12" s="143"/>
      <c r="AU12" s="143"/>
      <c r="AV12" s="144" t="s">
        <v>140</v>
      </c>
      <c r="AW12" s="154">
        <f>(CD12*1000)/5</f>
        <v>0</v>
      </c>
      <c r="AX12" s="154">
        <v>20758.400000000001</v>
      </c>
      <c r="AY12" s="154">
        <v>20758.400000000001</v>
      </c>
      <c r="AZ12" s="154">
        <v>20758.400000000001</v>
      </c>
      <c r="CK12" s="4" t="str">
        <f>Populations!$C$11</f>
        <v>F20-24</v>
      </c>
      <c r="CL12" s="7">
        <v>2.8340000000000001E-3</v>
      </c>
      <c r="CM12" s="7">
        <v>3.2599999999999999E-3</v>
      </c>
      <c r="CN12" s="7">
        <v>3.7929999999999999E-3</v>
      </c>
      <c r="CO12" s="7">
        <v>4.5069999999999997E-3</v>
      </c>
      <c r="CP12" s="7">
        <v>5.11E-3</v>
      </c>
      <c r="CQ12" s="7">
        <v>5.868E-3</v>
      </c>
      <c r="CR12" s="7">
        <v>6.4359999999999999E-3</v>
      </c>
      <c r="CS12" s="7">
        <v>6.842E-3</v>
      </c>
      <c r="CT12" s="7">
        <v>7.4260000000000003E-3</v>
      </c>
      <c r="CU12" s="7">
        <v>8.5400000000000007E-3</v>
      </c>
      <c r="CV12" s="7">
        <v>8.9980000000000008E-3</v>
      </c>
      <c r="CW12" s="7">
        <v>1.1434E-2</v>
      </c>
      <c r="CX12" s="7">
        <v>9.3900000000000008E-3</v>
      </c>
      <c r="CY12" s="7">
        <v>1.0482999999999999E-2</v>
      </c>
      <c r="CZ12" s="7">
        <v>9.8119999999999995E-3</v>
      </c>
      <c r="DA12" s="7">
        <v>9.7549999999999998E-3</v>
      </c>
      <c r="DB12" s="7">
        <v>9.2409999999999992E-3</v>
      </c>
      <c r="DC12" s="7">
        <v>9.2779999999999998E-3</v>
      </c>
      <c r="DD12" s="7">
        <v>8.5240000000000003E-3</v>
      </c>
      <c r="DE12" s="7">
        <v>7.7970000000000001E-3</v>
      </c>
      <c r="DF12" s="7">
        <v>6.4710000000000002E-3</v>
      </c>
      <c r="DG12" s="7">
        <v>5.3140000000000001E-3</v>
      </c>
      <c r="DH12" s="7">
        <v>4.5079999999999999E-3</v>
      </c>
      <c r="DI12" s="7">
        <v>3.9249999999999997E-3</v>
      </c>
      <c r="DJ12" s="7">
        <v>3.529E-3</v>
      </c>
      <c r="DK12" s="7">
        <v>3.3019999999999998E-3</v>
      </c>
      <c r="DL12" s="7">
        <v>3.088E-3</v>
      </c>
      <c r="DM12" s="7">
        <v>2.9380000000000001E-3</v>
      </c>
      <c r="DN12" s="7">
        <v>2.777E-3</v>
      </c>
      <c r="DO12" s="7">
        <v>2.7499999999999998E-3</v>
      </c>
      <c r="DP12" s="7">
        <v>2.454E-3</v>
      </c>
      <c r="DQ12" s="15">
        <v>2.7030000000000001E-3</v>
      </c>
      <c r="DR12" s="15">
        <v>2.761E-3</v>
      </c>
      <c r="DS12" s="15"/>
      <c r="DT12" s="15"/>
      <c r="DU12" s="15"/>
      <c r="DV12" s="15"/>
      <c r="DW12" s="15"/>
      <c r="DX12" s="15"/>
      <c r="DY12" s="15"/>
      <c r="DZ12" s="15"/>
      <c r="EA12" s="6" t="s">
        <v>46</v>
      </c>
      <c r="EB12" s="7"/>
    </row>
    <row r="13" spans="1:132" x14ac:dyDescent="0.35">
      <c r="B13" s="4" t="str">
        <f>Populations!$C$13</f>
        <v>F25-34</v>
      </c>
      <c r="C13" s="7">
        <v>8.5608151804016958E-2</v>
      </c>
      <c r="D13" s="7">
        <v>8.3155492323196398E-2</v>
      </c>
      <c r="E13" s="7">
        <v>8.0383602239051694E-2</v>
      </c>
      <c r="F13" s="7">
        <v>7.7399465477082222E-2</v>
      </c>
      <c r="G13" s="7">
        <v>7.411788088907556E-2</v>
      </c>
      <c r="H13" s="7">
        <v>7.0891091103043632E-2</v>
      </c>
      <c r="I13" s="7">
        <v>6.8120905250297126E-2</v>
      </c>
      <c r="J13" s="7">
        <v>6.5999039066053991E-2</v>
      </c>
      <c r="K13" s="7">
        <v>6.4871467757615625E-2</v>
      </c>
      <c r="L13" s="7">
        <v>6.4995927115358024E-2</v>
      </c>
      <c r="M13" s="7">
        <v>6.5743456554861315E-2</v>
      </c>
      <c r="N13" s="7">
        <v>6.640187489656571E-2</v>
      </c>
      <c r="O13" s="7">
        <v>6.7207508359583487E-2</v>
      </c>
      <c r="P13" s="7">
        <v>6.84670795755523E-2</v>
      </c>
      <c r="Q13" s="7">
        <v>6.9965831162458567E-2</v>
      </c>
      <c r="R13" s="7">
        <v>7.1127839829334363E-2</v>
      </c>
      <c r="S13" s="7">
        <v>7.1483216073899139E-2</v>
      </c>
      <c r="T13" s="7">
        <v>7.1725679653934227E-2</v>
      </c>
      <c r="U13" s="7">
        <v>7.2389252529442366E-2</v>
      </c>
      <c r="V13" s="7">
        <v>7.3360752537758048E-2</v>
      </c>
      <c r="W13" s="7">
        <v>7.4427827754886808E-2</v>
      </c>
      <c r="X13" s="7">
        <v>7.5195621796880538E-2</v>
      </c>
      <c r="Y13" s="7">
        <v>7.5578806216816688E-2</v>
      </c>
      <c r="Z13" s="7">
        <v>7.6149115628620728E-2</v>
      </c>
      <c r="AA13" s="7">
        <v>7.969816026442951E-2</v>
      </c>
      <c r="AB13" s="7">
        <v>8.7582606488760761E-2</v>
      </c>
      <c r="AC13" s="7">
        <v>9.4537752642968542E-2</v>
      </c>
      <c r="AD13" s="7">
        <v>9.843923836108065E-2</v>
      </c>
      <c r="AE13" s="7">
        <v>0.1005603175923014</v>
      </c>
      <c r="AF13" s="7">
        <v>0.1009274949947155</v>
      </c>
      <c r="AG13" s="7">
        <v>0.1000418469651209</v>
      </c>
      <c r="AH13" s="15">
        <v>9.7647877792367846E-2</v>
      </c>
      <c r="AI13" s="15">
        <v>9.3802567084854863E-2</v>
      </c>
      <c r="AJ13" s="15">
        <v>8.9460133245695586E-2</v>
      </c>
      <c r="AK13" s="15">
        <v>8.620887923178519E-2</v>
      </c>
      <c r="AL13" s="15">
        <v>8.4219468846244094E-2</v>
      </c>
      <c r="AM13" s="15">
        <v>8.2911050154266308E-2</v>
      </c>
      <c r="AN13" s="15">
        <v>8.1886541178763414E-2</v>
      </c>
      <c r="AO13" s="15">
        <v>8.0934467075237618E-2</v>
      </c>
      <c r="AP13" s="15">
        <v>8.0144101643055313E-2</v>
      </c>
      <c r="AQ13" s="15">
        <v>8.1028443142347473E-2</v>
      </c>
      <c r="AR13" s="6" t="s">
        <v>46</v>
      </c>
      <c r="AS13" s="7">
        <v>0.02</v>
      </c>
      <c r="AT13" s="143"/>
      <c r="AU13" s="143"/>
      <c r="AV13" s="144" t="s">
        <v>368</v>
      </c>
      <c r="AW13" s="154">
        <f>(CE12*1000)/5</f>
        <v>0</v>
      </c>
      <c r="AX13" s="154">
        <v>1494.4</v>
      </c>
      <c r="AY13" s="154">
        <v>1494.4</v>
      </c>
      <c r="AZ13" s="154">
        <v>1494.4</v>
      </c>
      <c r="CK13" s="4" t="str">
        <f>Populations!$C$12</f>
        <v>M20-24</v>
      </c>
      <c r="CL13" s="7">
        <v>4.2929999999999999E-3</v>
      </c>
      <c r="CM13" s="7">
        <v>4.561E-3</v>
      </c>
      <c r="CN13" s="7">
        <v>5.1370000000000001E-3</v>
      </c>
      <c r="CO13" s="7">
        <v>5.7479999999999996E-3</v>
      </c>
      <c r="CP13" s="7">
        <v>6.3299999999999997E-3</v>
      </c>
      <c r="CQ13" s="7">
        <v>6.8469999999999998E-3</v>
      </c>
      <c r="CR13" s="7">
        <v>7.489E-3</v>
      </c>
      <c r="CS13" s="7">
        <v>7.9070000000000008E-3</v>
      </c>
      <c r="CT13" s="7">
        <v>8.4460000000000004E-3</v>
      </c>
      <c r="CU13" s="7">
        <v>9.1039999999999992E-3</v>
      </c>
      <c r="CV13" s="7">
        <v>9.4029999999999999E-3</v>
      </c>
      <c r="CW13" s="7">
        <v>1.0101000000000001E-2</v>
      </c>
      <c r="CX13" s="7">
        <v>9.1380000000000003E-3</v>
      </c>
      <c r="CY13" s="7">
        <v>9.1210000000000006E-3</v>
      </c>
      <c r="CZ13" s="7">
        <v>8.8800000000000007E-3</v>
      </c>
      <c r="DA13" s="7">
        <v>8.7309999999999992E-3</v>
      </c>
      <c r="DB13" s="7">
        <v>8.5540000000000008E-3</v>
      </c>
      <c r="DC13" s="7">
        <v>8.4220000000000007E-3</v>
      </c>
      <c r="DD13" s="7">
        <v>8.1169999999999992E-3</v>
      </c>
      <c r="DE13" s="7">
        <v>7.5620000000000001E-3</v>
      </c>
      <c r="DF13" s="7">
        <v>6.6649999999999999E-3</v>
      </c>
      <c r="DG13" s="7">
        <v>5.9659999999999999E-3</v>
      </c>
      <c r="DH13" s="7">
        <v>5.1370000000000001E-3</v>
      </c>
      <c r="DI13" s="7">
        <v>4.5779999999999996E-3</v>
      </c>
      <c r="DJ13" s="7">
        <v>4.1790000000000004E-3</v>
      </c>
      <c r="DK13" s="7">
        <v>4.0070000000000001E-3</v>
      </c>
      <c r="DL13" s="7">
        <v>3.8349999999999999E-3</v>
      </c>
      <c r="DM13" s="7">
        <v>3.761E-3</v>
      </c>
      <c r="DN13" s="7">
        <v>3.5669999999999999E-3</v>
      </c>
      <c r="DO13" s="7">
        <v>3.6240000000000001E-3</v>
      </c>
      <c r="DP13" s="7">
        <v>3.241E-3</v>
      </c>
      <c r="DQ13" s="15">
        <v>3.7190000000000001E-3</v>
      </c>
      <c r="DR13" s="15">
        <v>3.7529999999999998E-3</v>
      </c>
      <c r="DS13" s="15"/>
      <c r="DT13" s="15"/>
      <c r="DU13" s="15"/>
      <c r="DV13" s="15"/>
      <c r="DW13" s="15"/>
      <c r="DX13" s="15"/>
      <c r="DY13" s="15"/>
      <c r="DZ13" s="15"/>
      <c r="EA13" s="6" t="s">
        <v>46</v>
      </c>
      <c r="EB13" s="7"/>
    </row>
    <row r="14" spans="1:132" x14ac:dyDescent="0.35">
      <c r="B14" s="4" t="str">
        <f>Populations!$C$14</f>
        <v>M25-34</v>
      </c>
      <c r="C14" s="7">
        <v>8.5958215083314513E-2</v>
      </c>
      <c r="D14" s="7">
        <v>8.4400199272150034E-2</v>
      </c>
      <c r="E14" s="7">
        <v>8.3250280022023199E-2</v>
      </c>
      <c r="F14" s="7">
        <v>8.1968112008982713E-2</v>
      </c>
      <c r="G14" s="7">
        <v>7.9957659096923428E-2</v>
      </c>
      <c r="H14" s="7">
        <v>7.7999098664297203E-2</v>
      </c>
      <c r="I14" s="7">
        <v>7.626331940353745E-2</v>
      </c>
      <c r="J14" s="7">
        <v>7.4820312633378391E-2</v>
      </c>
      <c r="K14" s="7">
        <v>7.375258307018176E-2</v>
      </c>
      <c r="L14" s="7">
        <v>7.324470303536669E-2</v>
      </c>
      <c r="M14" s="7">
        <v>7.284596780919024E-2</v>
      </c>
      <c r="N14" s="7">
        <v>7.1994528400208438E-2</v>
      </c>
      <c r="O14" s="7">
        <v>7.0940430238422794E-2</v>
      </c>
      <c r="P14" s="7">
        <v>7.0418479195203207E-2</v>
      </c>
      <c r="Q14" s="7">
        <v>7.0604598684978412E-2</v>
      </c>
      <c r="R14" s="7">
        <v>7.1093575389860206E-2</v>
      </c>
      <c r="S14" s="7">
        <v>7.1597836570632192E-2</v>
      </c>
      <c r="T14" s="7">
        <v>7.2492943322594636E-2</v>
      </c>
      <c r="U14" s="7">
        <v>7.3764078528638671E-2</v>
      </c>
      <c r="V14" s="7">
        <v>7.5137479355498055E-2</v>
      </c>
      <c r="W14" s="7">
        <v>7.6691689112064101E-2</v>
      </c>
      <c r="X14" s="7">
        <v>7.8032077007312378E-2</v>
      </c>
      <c r="Y14" s="7">
        <v>7.8825267820338371E-2</v>
      </c>
      <c r="Z14" s="7">
        <v>7.9847694520362708E-2</v>
      </c>
      <c r="AA14" s="7">
        <v>8.4883722113092849E-2</v>
      </c>
      <c r="AB14" s="7">
        <v>9.3082149600521941E-2</v>
      </c>
      <c r="AC14" s="7">
        <v>9.8508623394194944E-2</v>
      </c>
      <c r="AD14" s="7">
        <v>0.10127466629652759</v>
      </c>
      <c r="AE14" s="7">
        <v>0.1014436420773929</v>
      </c>
      <c r="AF14" s="7">
        <v>9.8658968812258205E-2</v>
      </c>
      <c r="AG14" s="7">
        <v>9.4316428883794004E-2</v>
      </c>
      <c r="AH14" s="15">
        <v>9.0130893473250762E-2</v>
      </c>
      <c r="AI14" s="15">
        <v>8.6490945451045562E-2</v>
      </c>
      <c r="AJ14" s="15">
        <v>8.1759851289650146E-2</v>
      </c>
      <c r="AK14" s="15">
        <v>7.7779907291852385E-2</v>
      </c>
      <c r="AL14" s="15">
        <v>7.5463465706965591E-2</v>
      </c>
      <c r="AM14" s="15">
        <v>7.5306075398855948E-2</v>
      </c>
      <c r="AN14" s="15">
        <v>7.6026697559608072E-2</v>
      </c>
      <c r="AO14" s="15">
        <v>7.5912989330744016E-2</v>
      </c>
      <c r="AP14" s="15">
        <v>7.5565593376911225E-2</v>
      </c>
      <c r="AQ14" s="15">
        <v>7.6662979259944586E-2</v>
      </c>
      <c r="AR14" s="6" t="s">
        <v>46</v>
      </c>
      <c r="AS14" s="7">
        <v>0.02</v>
      </c>
      <c r="AT14" s="143"/>
      <c r="AU14" s="143"/>
      <c r="AV14" s="144" t="s">
        <v>369</v>
      </c>
      <c r="AW14" s="154">
        <f>(CF12*1000)/5</f>
        <v>0</v>
      </c>
      <c r="AX14" s="154">
        <v>2058.4</v>
      </c>
      <c r="AY14" s="154">
        <v>2058.4</v>
      </c>
      <c r="AZ14" s="154">
        <v>2058.4</v>
      </c>
      <c r="CK14" s="4" t="str">
        <f>Populations!$C$13</f>
        <v>F25-34</v>
      </c>
      <c r="CL14" s="7">
        <v>4.1710000000000002E-3</v>
      </c>
      <c r="CM14" s="7">
        <v>4.9620000000000003E-3</v>
      </c>
      <c r="CN14" s="7">
        <v>5.9940000000000002E-3</v>
      </c>
      <c r="CO14" s="7">
        <v>7.3990000000000002E-3</v>
      </c>
      <c r="CP14" s="7">
        <v>8.6910000000000008E-3</v>
      </c>
      <c r="CQ14" s="7">
        <v>1.0244E-2</v>
      </c>
      <c r="CR14" s="7">
        <v>1.1989E-2</v>
      </c>
      <c r="CS14" s="7">
        <v>1.2947999999999999E-2</v>
      </c>
      <c r="CT14" s="7">
        <v>1.4142E-2</v>
      </c>
      <c r="CU14" s="7">
        <v>1.6851000000000001E-2</v>
      </c>
      <c r="CV14" s="7">
        <v>1.7773000000000001E-2</v>
      </c>
      <c r="CW14" s="7">
        <v>2.5961000000000001E-2</v>
      </c>
      <c r="CX14" s="7">
        <v>1.8915999999999999E-2</v>
      </c>
      <c r="CY14" s="7">
        <v>2.3349000000000002E-2</v>
      </c>
      <c r="CZ14" s="7">
        <v>1.9894999999999999E-2</v>
      </c>
      <c r="DA14" s="7">
        <v>1.9918999999999999E-2</v>
      </c>
      <c r="DB14" s="7">
        <v>1.8206E-2</v>
      </c>
      <c r="DC14" s="7">
        <v>1.8957999999999999E-2</v>
      </c>
      <c r="DD14" s="7">
        <v>1.6354E-2</v>
      </c>
      <c r="DE14" s="7">
        <v>1.4845000000000001E-2</v>
      </c>
      <c r="DF14" s="7">
        <v>1.2168E-2</v>
      </c>
      <c r="DG14" s="7">
        <v>9.4230000000000008E-3</v>
      </c>
      <c r="DH14" s="7">
        <v>8.0879999999999997E-3</v>
      </c>
      <c r="DI14" s="7">
        <v>6.9569999999999996E-3</v>
      </c>
      <c r="DJ14" s="7">
        <v>6.1929999999999997E-3</v>
      </c>
      <c r="DK14" s="7">
        <v>5.7369999999999999E-3</v>
      </c>
      <c r="DL14" s="7">
        <v>5.3460000000000001E-3</v>
      </c>
      <c r="DM14" s="7">
        <v>5.0569999999999999E-3</v>
      </c>
      <c r="DN14" s="7">
        <v>4.764E-3</v>
      </c>
      <c r="DO14" s="7">
        <v>4.6990000000000001E-3</v>
      </c>
      <c r="DP14" s="7">
        <v>4.2199999999999998E-3</v>
      </c>
      <c r="DQ14" s="15">
        <v>4.5649999999999996E-3</v>
      </c>
      <c r="DR14" s="15">
        <v>4.6480000000000002E-3</v>
      </c>
      <c r="DS14" s="15"/>
      <c r="DT14" s="15"/>
      <c r="DU14" s="15"/>
      <c r="DV14" s="15"/>
      <c r="DW14" s="15"/>
      <c r="DX14" s="15"/>
      <c r="DY14" s="15"/>
      <c r="DZ14" s="15"/>
      <c r="EA14" s="6" t="s">
        <v>46</v>
      </c>
      <c r="EB14" s="7"/>
    </row>
    <row r="15" spans="1:132" x14ac:dyDescent="0.35">
      <c r="B15" s="4" t="str">
        <f>Populations!$C$15</f>
        <v>F35-49</v>
      </c>
      <c r="C15" s="7">
        <v>4.5967768419725941E-2</v>
      </c>
      <c r="D15" s="7">
        <v>4.5785234623537348E-2</v>
      </c>
      <c r="E15" s="7">
        <v>4.6106101299883469E-2</v>
      </c>
      <c r="F15" s="7">
        <v>4.7146693383482111E-2</v>
      </c>
      <c r="G15" s="7">
        <v>4.8242566109505877E-2</v>
      </c>
      <c r="H15" s="7">
        <v>4.8469535549905039E-2</v>
      </c>
      <c r="I15" s="7">
        <v>4.7509391159724607E-2</v>
      </c>
      <c r="J15" s="7">
        <v>4.5450851202335621E-2</v>
      </c>
      <c r="K15" s="7">
        <v>5.1206194344274023E-2</v>
      </c>
      <c r="L15" s="7">
        <v>5.8946034608747012E-2</v>
      </c>
      <c r="M15" s="7">
        <v>5.9780067524774473E-2</v>
      </c>
      <c r="N15" s="7">
        <v>5.9953092007940217E-2</v>
      </c>
      <c r="O15" s="7">
        <v>5.9816182969771002E-2</v>
      </c>
      <c r="P15" s="7">
        <v>5.9192702982928072E-2</v>
      </c>
      <c r="Q15" s="7">
        <v>5.8093906847526161E-2</v>
      </c>
      <c r="R15" s="7">
        <v>5.6465290230353501E-2</v>
      </c>
      <c r="S15" s="7">
        <v>5.384959637793605E-2</v>
      </c>
      <c r="T15" s="7">
        <v>5.0739992604199403E-2</v>
      </c>
      <c r="U15" s="7">
        <v>4.7867731980923429E-2</v>
      </c>
      <c r="V15" s="7">
        <v>4.520860346542134E-2</v>
      </c>
      <c r="W15" s="7">
        <v>4.2915046836987887E-2</v>
      </c>
      <c r="X15" s="7">
        <v>4.094776959522687E-2</v>
      </c>
      <c r="Y15" s="7">
        <v>3.9088334631264703E-2</v>
      </c>
      <c r="Z15" s="7">
        <v>3.76588764469774E-2</v>
      </c>
      <c r="AA15" s="7">
        <v>3.724023311429988E-2</v>
      </c>
      <c r="AB15" s="7">
        <v>3.7422981722868759E-2</v>
      </c>
      <c r="AC15" s="7">
        <v>3.7635052072910312E-2</v>
      </c>
      <c r="AD15" s="7">
        <v>3.7971265995215692E-2</v>
      </c>
      <c r="AE15" s="7">
        <v>3.857217986924974E-2</v>
      </c>
      <c r="AF15" s="7">
        <v>3.9318554918599057E-2</v>
      </c>
      <c r="AG15" s="7">
        <v>3.9998400986468348E-2</v>
      </c>
      <c r="AH15" s="15">
        <v>4.0604730966072623E-2</v>
      </c>
      <c r="AI15" s="15">
        <v>4.1506164522092361E-2</v>
      </c>
      <c r="AJ15" s="15">
        <v>4.2848543366301318E-2</v>
      </c>
      <c r="AK15" s="15">
        <v>4.4476549869548992E-2</v>
      </c>
      <c r="AL15" s="15">
        <v>4.6082283148531272E-2</v>
      </c>
      <c r="AM15" s="15">
        <v>4.7287758049818267E-2</v>
      </c>
      <c r="AN15" s="15">
        <v>4.8046576031120891E-2</v>
      </c>
      <c r="AO15" s="15">
        <v>4.8730563082630997E-2</v>
      </c>
      <c r="AP15" s="15">
        <v>5.1155685024243197E-2</v>
      </c>
      <c r="AQ15" s="15">
        <v>5.6218362653870528E-2</v>
      </c>
      <c r="AR15" s="6" t="s">
        <v>46</v>
      </c>
      <c r="AS15" s="7">
        <v>0.02</v>
      </c>
      <c r="AT15" s="143"/>
      <c r="AU15" s="143"/>
      <c r="AV15" s="144" t="s">
        <v>387</v>
      </c>
      <c r="AW15" s="154">
        <f>(CG12*1000)/5</f>
        <v>0</v>
      </c>
      <c r="AX15" s="154">
        <v>6777.7999999999984</v>
      </c>
      <c r="AY15" s="154">
        <v>6777.7999999999984</v>
      </c>
      <c r="AZ15" s="154">
        <v>6777.7999999999984</v>
      </c>
      <c r="CK15" s="4" t="str">
        <f>Populations!$C$14</f>
        <v>M25-34</v>
      </c>
      <c r="CL15" s="7">
        <v>6.587E-3</v>
      </c>
      <c r="CM15" s="7">
        <v>7.1859999999999997E-3</v>
      </c>
      <c r="CN15" s="7">
        <v>8.3940000000000004E-3</v>
      </c>
      <c r="CO15" s="7">
        <v>9.8390000000000005E-3</v>
      </c>
      <c r="CP15" s="7">
        <v>1.125E-2</v>
      </c>
      <c r="CQ15" s="7">
        <v>1.3239000000000001E-2</v>
      </c>
      <c r="CR15" s="7">
        <v>1.41E-2</v>
      </c>
      <c r="CS15" s="7">
        <v>1.5402000000000001E-2</v>
      </c>
      <c r="CT15" s="7">
        <v>1.7118000000000001E-2</v>
      </c>
      <c r="CU15" s="7">
        <v>1.9276000000000001E-2</v>
      </c>
      <c r="CV15" s="7">
        <v>1.9279999999999999E-2</v>
      </c>
      <c r="CW15" s="7">
        <v>2.1856E-2</v>
      </c>
      <c r="CX15" s="7">
        <v>1.8841E-2</v>
      </c>
      <c r="CY15" s="7">
        <v>2.0105000000000001E-2</v>
      </c>
      <c r="CZ15" s="7">
        <v>1.9220000000000001E-2</v>
      </c>
      <c r="DA15" s="7">
        <v>1.8634999999999999E-2</v>
      </c>
      <c r="DB15" s="7">
        <v>1.7788000000000002E-2</v>
      </c>
      <c r="DC15" s="7">
        <v>1.703E-2</v>
      </c>
      <c r="DD15" s="7">
        <v>1.6005999999999999E-2</v>
      </c>
      <c r="DE15" s="7">
        <v>1.5185000000000001E-2</v>
      </c>
      <c r="DF15" s="7">
        <v>1.2989000000000001E-2</v>
      </c>
      <c r="DG15" s="7">
        <v>1.1152E-2</v>
      </c>
      <c r="DH15" s="7">
        <v>9.4500000000000001E-3</v>
      </c>
      <c r="DI15" s="7">
        <v>8.2190000000000006E-3</v>
      </c>
      <c r="DJ15" s="7">
        <v>7.2960000000000004E-3</v>
      </c>
      <c r="DK15" s="7">
        <v>6.8900000000000003E-3</v>
      </c>
      <c r="DL15" s="7">
        <v>6.5459999999999997E-3</v>
      </c>
      <c r="DM15" s="7">
        <v>6.4050000000000001E-3</v>
      </c>
      <c r="DN15" s="7">
        <v>5.9550000000000002E-3</v>
      </c>
      <c r="DO15" s="7">
        <v>6.1240000000000001E-3</v>
      </c>
      <c r="DP15" s="7">
        <v>5.7850000000000002E-3</v>
      </c>
      <c r="DQ15" s="15">
        <v>6.4229999999999999E-3</v>
      </c>
      <c r="DR15" s="15">
        <v>6.3969999999999999E-3</v>
      </c>
      <c r="DS15" s="15"/>
      <c r="DT15" s="15"/>
      <c r="DU15" s="15"/>
      <c r="DV15" s="15"/>
      <c r="DW15" s="15"/>
      <c r="DX15" s="15"/>
      <c r="DY15" s="15"/>
      <c r="DZ15" s="15"/>
      <c r="EA15" s="6" t="s">
        <v>46</v>
      </c>
      <c r="EB15" s="7"/>
    </row>
    <row r="16" spans="1:132" x14ac:dyDescent="0.35">
      <c r="B16" s="4" t="str">
        <f>Populations!$C$16</f>
        <v>M35-49</v>
      </c>
      <c r="C16" s="7">
        <v>4.3102303846824917E-2</v>
      </c>
      <c r="D16" s="7">
        <v>4.3220364460583562E-2</v>
      </c>
      <c r="E16" s="7">
        <v>4.3879150210418418E-2</v>
      </c>
      <c r="F16" s="7">
        <v>4.4989624872979417E-2</v>
      </c>
      <c r="G16" s="7">
        <v>4.6036996431781663E-2</v>
      </c>
      <c r="H16" s="7">
        <v>4.6384341432105958E-2</v>
      </c>
      <c r="I16" s="7">
        <v>4.5848765496975218E-2</v>
      </c>
      <c r="J16" s="7">
        <v>4.4242942028161668E-2</v>
      </c>
      <c r="K16" s="7">
        <v>4.9461338913595491E-2</v>
      </c>
      <c r="L16" s="7">
        <v>5.6531979220605669E-2</v>
      </c>
      <c r="M16" s="7">
        <v>5.7291573900439249E-2</v>
      </c>
      <c r="N16" s="7">
        <v>5.7099988504982192E-2</v>
      </c>
      <c r="O16" s="7">
        <v>5.6428686888564047E-2</v>
      </c>
      <c r="P16" s="7">
        <v>5.5278897279854022E-2</v>
      </c>
      <c r="Q16" s="7">
        <v>5.3802484181258381E-2</v>
      </c>
      <c r="R16" s="7">
        <v>5.2142226108834303E-2</v>
      </c>
      <c r="S16" s="7">
        <v>5.0035523710186991E-2</v>
      </c>
      <c r="T16" s="7">
        <v>4.7714032643172727E-2</v>
      </c>
      <c r="U16" s="7">
        <v>4.5509593200277899E-2</v>
      </c>
      <c r="V16" s="7">
        <v>4.3349109187154143E-2</v>
      </c>
      <c r="W16" s="7">
        <v>4.1340831670395678E-2</v>
      </c>
      <c r="X16" s="7">
        <v>3.9584549606121178E-2</v>
      </c>
      <c r="Y16" s="7">
        <v>3.8077624177329593E-2</v>
      </c>
      <c r="Z16" s="7">
        <v>3.7026632205865842E-2</v>
      </c>
      <c r="AA16" s="7">
        <v>3.6754923142003473E-2</v>
      </c>
      <c r="AB16" s="7">
        <v>3.6788853998677248E-2</v>
      </c>
      <c r="AC16" s="7">
        <v>3.6629249723136831E-2</v>
      </c>
      <c r="AD16" s="7">
        <v>3.6449026256015628E-2</v>
      </c>
      <c r="AE16" s="7">
        <v>3.6498624988274372E-2</v>
      </c>
      <c r="AF16" s="7">
        <v>3.6903816861566227E-2</v>
      </c>
      <c r="AG16" s="7">
        <v>3.7749996263044983E-2</v>
      </c>
      <c r="AH16" s="15">
        <v>3.9057432223196513E-2</v>
      </c>
      <c r="AI16" s="15">
        <v>4.0826092192243577E-2</v>
      </c>
      <c r="AJ16" s="15">
        <v>4.2862854222874128E-2</v>
      </c>
      <c r="AK16" s="15">
        <v>4.4965901743289308E-2</v>
      </c>
      <c r="AL16" s="15">
        <v>4.6954871552010197E-2</v>
      </c>
      <c r="AM16" s="15">
        <v>4.8406621466274863E-2</v>
      </c>
      <c r="AN16" s="15">
        <v>4.9145707773538071E-2</v>
      </c>
      <c r="AO16" s="15">
        <v>4.9766336248112823E-2</v>
      </c>
      <c r="AP16" s="15">
        <v>5.2657756480913767E-2</v>
      </c>
      <c r="AQ16" s="15">
        <v>5.7175319836956312E-2</v>
      </c>
      <c r="AR16" s="6" t="s">
        <v>46</v>
      </c>
      <c r="AS16" s="7">
        <v>0.02</v>
      </c>
      <c r="AT16" s="143"/>
      <c r="AU16" s="143"/>
      <c r="AV16" s="144" t="s">
        <v>388</v>
      </c>
      <c r="AW16" s="154">
        <f>(CH12*1000)/5</f>
        <v>0</v>
      </c>
      <c r="AX16" s="154">
        <v>12431.4</v>
      </c>
      <c r="AY16" s="154">
        <v>12431.4</v>
      </c>
      <c r="AZ16" s="154">
        <v>12431.4</v>
      </c>
      <c r="CK16" s="4" t="str">
        <f>Populations!$C$15</f>
        <v>F35-49</v>
      </c>
      <c r="CL16" s="7">
        <v>6.999E-3</v>
      </c>
      <c r="CM16" s="7">
        <v>8.3059999999999991E-3</v>
      </c>
      <c r="CN16" s="7">
        <v>9.7249999999999993E-3</v>
      </c>
      <c r="CO16" s="7">
        <v>1.1797999999999999E-2</v>
      </c>
      <c r="CP16" s="7">
        <v>1.3897E-2</v>
      </c>
      <c r="CQ16" s="7">
        <v>1.6459999999999999E-2</v>
      </c>
      <c r="CR16" s="7">
        <v>1.9469E-2</v>
      </c>
      <c r="CS16" s="7">
        <v>2.1042999999999999E-2</v>
      </c>
      <c r="CT16" s="7">
        <v>2.2884000000000002E-2</v>
      </c>
      <c r="CU16" s="7">
        <v>2.6672999999999999E-2</v>
      </c>
      <c r="CV16" s="7">
        <v>2.8704E-2</v>
      </c>
      <c r="CW16" s="7">
        <v>4.0152E-2</v>
      </c>
      <c r="CX16" s="7">
        <v>3.0543000000000001E-2</v>
      </c>
      <c r="CY16" s="7">
        <v>3.6194999999999998E-2</v>
      </c>
      <c r="CZ16" s="7">
        <v>3.1261999999999998E-2</v>
      </c>
      <c r="DA16" s="7">
        <v>3.1022000000000001E-2</v>
      </c>
      <c r="DB16" s="7">
        <v>2.8614000000000001E-2</v>
      </c>
      <c r="DC16" s="7">
        <v>2.9286E-2</v>
      </c>
      <c r="DD16" s="7">
        <v>2.5565000000000001E-2</v>
      </c>
      <c r="DE16" s="7">
        <v>2.3102000000000001E-2</v>
      </c>
      <c r="DF16" s="7">
        <v>1.9314000000000001E-2</v>
      </c>
      <c r="DG16" s="7">
        <v>1.5102000000000001E-2</v>
      </c>
      <c r="DH16" s="7">
        <v>1.3252E-2</v>
      </c>
      <c r="DI16" s="7">
        <v>1.1639E-2</v>
      </c>
      <c r="DJ16" s="7">
        <v>1.0518E-2</v>
      </c>
      <c r="DK16" s="7">
        <v>9.8029999999999992E-3</v>
      </c>
      <c r="DL16" s="7">
        <v>9.2350000000000002E-3</v>
      </c>
      <c r="DM16" s="7">
        <v>8.8129999999999997E-3</v>
      </c>
      <c r="DN16" s="7">
        <v>8.4069999999999995E-3</v>
      </c>
      <c r="DO16" s="7">
        <v>8.3379999999999999E-3</v>
      </c>
      <c r="DP16" s="7">
        <v>7.8650000000000005E-3</v>
      </c>
      <c r="DQ16" s="15">
        <v>8.8389999999999996E-3</v>
      </c>
      <c r="DR16" s="15">
        <v>8.9239999999999996E-3</v>
      </c>
      <c r="DS16" s="15"/>
      <c r="DT16" s="15"/>
      <c r="DU16" s="15"/>
      <c r="DV16" s="15"/>
      <c r="DW16" s="15"/>
      <c r="DX16" s="15"/>
      <c r="DY16" s="15"/>
      <c r="DZ16" s="15"/>
      <c r="EA16" s="6" t="s">
        <v>46</v>
      </c>
      <c r="EB16" s="7"/>
    </row>
    <row r="17" spans="1:170" x14ac:dyDescent="0.35">
      <c r="B17" s="4" t="str">
        <f>Populations!$C$17</f>
        <v>F50+</v>
      </c>
      <c r="C17" s="161">
        <v>4.5875866307056768E-5</v>
      </c>
      <c r="D17" s="161">
        <v>4.6835726292015558E-5</v>
      </c>
      <c r="E17" s="161">
        <v>4.8420434633926377E-5</v>
      </c>
      <c r="F17" s="161">
        <v>4.985366483087877E-5</v>
      </c>
      <c r="G17" s="161">
        <v>5.1678350120822067E-5</v>
      </c>
      <c r="H17" s="161">
        <v>5.365700746397214E-5</v>
      </c>
      <c r="I17" s="161">
        <v>5.58185228186121E-5</v>
      </c>
      <c r="J17" s="161">
        <v>5.8114113981148887E-5</v>
      </c>
      <c r="K17" s="161">
        <v>6.0606227565365229E-5</v>
      </c>
      <c r="L17" s="161">
        <v>6.3652334585768779E-5</v>
      </c>
      <c r="M17" s="161">
        <v>6.6173110645912129E-5</v>
      </c>
      <c r="N17" s="161">
        <v>6.88345429386349E-5</v>
      </c>
      <c r="O17" s="161">
        <v>7.1554664709675702E-5</v>
      </c>
      <c r="P17" s="161">
        <v>7.3811886116842502E-5</v>
      </c>
      <c r="Q17" s="161">
        <v>7.7203488254999771E-5</v>
      </c>
      <c r="R17" s="161">
        <v>8.1127525094218565E-5</v>
      </c>
      <c r="S17" s="161">
        <v>8.5384233076401977E-5</v>
      </c>
      <c r="T17" s="161">
        <v>9.0484736256836974E-5</v>
      </c>
      <c r="U17" s="161">
        <v>9.4383186376372012E-5</v>
      </c>
      <c r="V17" s="161">
        <v>9.9749092666907035E-5</v>
      </c>
      <c r="W17" s="7">
        <v>1.055818881812389E-4</v>
      </c>
      <c r="X17" s="7">
        <v>1.131741350500296E-4</v>
      </c>
      <c r="Y17" s="7">
        <v>1.3007095043352139E-4</v>
      </c>
      <c r="Z17" s="7">
        <v>1.481581154860302E-4</v>
      </c>
      <c r="AA17" s="7">
        <v>1.3524727004794241E-4</v>
      </c>
      <c r="AB17" s="7">
        <v>1.196980840695688E-4</v>
      </c>
      <c r="AC17" s="7">
        <v>1.233724329043768E-4</v>
      </c>
      <c r="AD17" s="7">
        <v>1.2783285556079539E-4</v>
      </c>
      <c r="AE17" s="7">
        <v>1.3034881860090551E-4</v>
      </c>
      <c r="AF17" s="7">
        <v>1.2787298952632461E-4</v>
      </c>
      <c r="AG17" s="7">
        <v>1.2536231839959779E-4</v>
      </c>
      <c r="AH17" s="15">
        <v>1.2459070470282441E-4</v>
      </c>
      <c r="AI17" s="15">
        <v>1.2686069594966819E-4</v>
      </c>
      <c r="AJ17" s="15">
        <v>1.2868530262119039E-4</v>
      </c>
      <c r="AK17" s="15">
        <v>1.2845939246837701E-4</v>
      </c>
      <c r="AL17" s="15">
        <v>1.2623990276397571E-4</v>
      </c>
      <c r="AM17" s="15">
        <v>1.2680064432770099E-4</v>
      </c>
      <c r="AN17" s="15">
        <v>1.265415332888433E-4</v>
      </c>
      <c r="AO17" s="15">
        <v>1.2055989678964241E-4</v>
      </c>
      <c r="AP17" s="15">
        <v>1.126575153872869E-4</v>
      </c>
      <c r="AQ17" s="15">
        <v>1.049620266935006E-4</v>
      </c>
      <c r="AR17" s="6" t="s">
        <v>46</v>
      </c>
      <c r="AS17" s="7">
        <v>0.02</v>
      </c>
      <c r="AT17" s="143"/>
      <c r="AU17" s="143"/>
      <c r="AV17" s="144" t="s">
        <v>392</v>
      </c>
      <c r="AW17" s="154">
        <f>(CI12*1000)/5</f>
        <v>0</v>
      </c>
      <c r="AX17" s="154">
        <v>21142.799999999996</v>
      </c>
      <c r="AY17" s="154">
        <v>21142.799999999996</v>
      </c>
      <c r="AZ17" s="154">
        <v>21142.799999999996</v>
      </c>
      <c r="CK17" s="4" t="str">
        <f>Populations!$C$16</f>
        <v>M35-49</v>
      </c>
      <c r="CL17" s="7">
        <v>1.1845E-2</v>
      </c>
      <c r="CM17" s="7">
        <v>1.302E-2</v>
      </c>
      <c r="CN17" s="7">
        <v>1.5051E-2</v>
      </c>
      <c r="CO17" s="7">
        <v>1.7818000000000001E-2</v>
      </c>
      <c r="CP17" s="7">
        <v>2.0604000000000001E-2</v>
      </c>
      <c r="CQ17" s="7">
        <v>2.4761999999999999E-2</v>
      </c>
      <c r="CR17" s="7">
        <v>2.6353999999999999E-2</v>
      </c>
      <c r="CS17" s="7">
        <v>2.9100999999999998E-2</v>
      </c>
      <c r="CT17" s="7">
        <v>3.2743000000000001E-2</v>
      </c>
      <c r="CU17" s="7">
        <v>3.7303000000000003E-2</v>
      </c>
      <c r="CV17" s="7">
        <v>3.7340999999999999E-2</v>
      </c>
      <c r="CW17" s="7">
        <v>4.2952999999999998E-2</v>
      </c>
      <c r="CX17" s="7">
        <v>3.6713999999999997E-2</v>
      </c>
      <c r="CY17" s="7">
        <v>3.9468000000000003E-2</v>
      </c>
      <c r="CZ17" s="7">
        <v>3.7303999999999997E-2</v>
      </c>
      <c r="DA17" s="7">
        <v>3.5858000000000001E-2</v>
      </c>
      <c r="DB17" s="7">
        <v>3.3964000000000001E-2</v>
      </c>
      <c r="DC17" s="7">
        <v>3.2164999999999999E-2</v>
      </c>
      <c r="DD17" s="7">
        <v>2.9916000000000002E-2</v>
      </c>
      <c r="DE17" s="7">
        <v>2.8438000000000001E-2</v>
      </c>
      <c r="DF17" s="7">
        <v>2.4298E-2</v>
      </c>
      <c r="DG17" s="7">
        <v>2.0639000000000001E-2</v>
      </c>
      <c r="DH17" s="7">
        <v>1.772E-2</v>
      </c>
      <c r="DI17" s="7">
        <v>1.5493E-2</v>
      </c>
      <c r="DJ17" s="7">
        <v>1.3749000000000001E-2</v>
      </c>
      <c r="DK17" s="7">
        <v>1.2940999999999999E-2</v>
      </c>
      <c r="DL17" s="7">
        <v>1.2371999999999999E-2</v>
      </c>
      <c r="DM17" s="7">
        <v>1.2189E-2</v>
      </c>
      <c r="DN17" s="7">
        <v>1.1457999999999999E-2</v>
      </c>
      <c r="DO17" s="7">
        <v>1.193E-2</v>
      </c>
      <c r="DP17" s="7">
        <v>1.2335E-2</v>
      </c>
      <c r="DQ17" s="15">
        <v>1.3963E-2</v>
      </c>
      <c r="DR17" s="15">
        <v>1.3823E-2</v>
      </c>
      <c r="DS17" s="15"/>
      <c r="DT17" s="15"/>
      <c r="DU17" s="15"/>
      <c r="DV17" s="15"/>
      <c r="DW17" s="15"/>
      <c r="DX17" s="15"/>
      <c r="DY17" s="15"/>
      <c r="DZ17" s="15"/>
      <c r="EA17" s="6" t="s">
        <v>46</v>
      </c>
      <c r="EB17" s="7"/>
    </row>
    <row r="18" spans="1:170" x14ac:dyDescent="0.35">
      <c r="B18" s="4" t="str">
        <f>Populations!$C$18</f>
        <v>M50+</v>
      </c>
      <c r="C18" s="161">
        <v>2.6286143447239959E-5</v>
      </c>
      <c r="D18" s="161">
        <v>2.7025732182364739E-5</v>
      </c>
      <c r="E18" s="161">
        <v>2.7479026334465149E-5</v>
      </c>
      <c r="F18" s="161">
        <v>2.7831508050263699E-5</v>
      </c>
      <c r="G18" s="161">
        <v>2.7320755919781712E-5</v>
      </c>
      <c r="H18" s="161">
        <v>2.8098980344201269E-5</v>
      </c>
      <c r="I18" s="161">
        <v>2.900510266690763E-5</v>
      </c>
      <c r="J18" s="161">
        <v>2.8889723480900569E-5</v>
      </c>
      <c r="K18" s="161">
        <v>3.0013906443318739E-5</v>
      </c>
      <c r="L18" s="161">
        <v>3.0996115522522557E-5</v>
      </c>
      <c r="M18" s="161">
        <v>3.1726686628952027E-5</v>
      </c>
      <c r="N18" s="161">
        <v>3.3612534222439082E-5</v>
      </c>
      <c r="O18" s="161">
        <v>3.4442637401905752E-5</v>
      </c>
      <c r="P18" s="161">
        <v>3.5134116504730342E-5</v>
      </c>
      <c r="Q18" s="161">
        <v>3.6732410685143418E-5</v>
      </c>
      <c r="R18" s="161">
        <v>3.824234067930799E-5</v>
      </c>
      <c r="S18" s="161">
        <v>4.0956162571391711E-5</v>
      </c>
      <c r="T18" s="161">
        <v>4.3709892361848793E-5</v>
      </c>
      <c r="U18" s="161">
        <v>4.5286299988527468E-5</v>
      </c>
      <c r="V18" s="161">
        <v>4.7841596474074348E-5</v>
      </c>
      <c r="W18" s="161">
        <v>5.1291358589724362E-5</v>
      </c>
      <c r="X18" s="161">
        <v>5.5549383401844262E-5</v>
      </c>
      <c r="Y18" s="161">
        <v>6.5572695529581468E-5</v>
      </c>
      <c r="Z18" s="161">
        <v>7.6475694112518726E-5</v>
      </c>
      <c r="AA18" s="161">
        <v>6.7173336537469972E-5</v>
      </c>
      <c r="AB18" s="161">
        <v>5.5106299116991623E-5</v>
      </c>
      <c r="AC18" s="161">
        <v>5.5181801042016348E-5</v>
      </c>
      <c r="AD18" s="161">
        <v>5.6023168290886762E-5</v>
      </c>
      <c r="AE18" s="161">
        <v>5.6689141549243381E-5</v>
      </c>
      <c r="AF18" s="161">
        <v>5.5452016243974987E-5</v>
      </c>
      <c r="AG18" s="161">
        <v>5.2612775909458493E-5</v>
      </c>
      <c r="AH18" s="162">
        <v>4.9354749390803463E-5</v>
      </c>
      <c r="AI18" s="162">
        <v>4.7858497276191363E-5</v>
      </c>
      <c r="AJ18" s="162">
        <v>4.7470887874567438E-5</v>
      </c>
      <c r="AK18" s="162">
        <v>4.7408982525515358E-5</v>
      </c>
      <c r="AL18" s="162">
        <v>4.6401489637499598E-5</v>
      </c>
      <c r="AM18" s="162">
        <v>4.5297507558572167E-5</v>
      </c>
      <c r="AN18" s="162">
        <v>4.4851125314734163E-5</v>
      </c>
      <c r="AO18" s="162">
        <v>4.3710317158087628E-5</v>
      </c>
      <c r="AP18" s="162">
        <v>4.1323443679642868E-5</v>
      </c>
      <c r="AQ18" s="162">
        <v>3.8317298861550463E-5</v>
      </c>
      <c r="AR18" s="6" t="s">
        <v>46</v>
      </c>
      <c r="AS18" s="7">
        <v>0.02</v>
      </c>
      <c r="AT18" s="143"/>
      <c r="AU18" s="143"/>
      <c r="AV18" s="143" t="s">
        <v>402</v>
      </c>
      <c r="AW18" s="156">
        <f>SUM(AW4:AW17)</f>
        <v>1990</v>
      </c>
      <c r="AX18" s="156">
        <f t="shared" ref="AX18:AZ18" si="0">SUM(AX4:AX17)</f>
        <v>118111.4</v>
      </c>
      <c r="AY18" s="156">
        <f t="shared" si="0"/>
        <v>118112.4</v>
      </c>
      <c r="AZ18" s="156">
        <f t="shared" si="0"/>
        <v>118113.4</v>
      </c>
      <c r="CK18" s="4" t="str">
        <f>Populations!$C$17</f>
        <v>F50+</v>
      </c>
      <c r="CL18" s="7">
        <v>3.3353000000000001E-2</v>
      </c>
      <c r="CM18" s="7">
        <v>3.5265999999999999E-2</v>
      </c>
      <c r="CN18" s="7">
        <v>3.6514999999999999E-2</v>
      </c>
      <c r="CO18" s="7">
        <v>3.8884000000000002E-2</v>
      </c>
      <c r="CP18" s="7">
        <v>4.1037999999999998E-2</v>
      </c>
      <c r="CQ18" s="7">
        <v>4.3671000000000001E-2</v>
      </c>
      <c r="CR18" s="7">
        <v>4.6470999999999998E-2</v>
      </c>
      <c r="CS18" s="7">
        <v>4.8046999999999999E-2</v>
      </c>
      <c r="CT18" s="7">
        <v>4.9949E-2</v>
      </c>
      <c r="CU18" s="7">
        <v>5.2268000000000002E-2</v>
      </c>
      <c r="CV18" s="7">
        <v>5.5716000000000002E-2</v>
      </c>
      <c r="CW18" s="7">
        <v>5.9957999999999997E-2</v>
      </c>
      <c r="CX18" s="7">
        <v>5.7175999999999998E-2</v>
      </c>
      <c r="CY18" s="7">
        <v>5.6770000000000001E-2</v>
      </c>
      <c r="CZ18" s="7">
        <v>5.5814999999999997E-2</v>
      </c>
      <c r="DA18" s="7">
        <v>5.4692999999999999E-2</v>
      </c>
      <c r="DB18" s="7">
        <v>5.3617999999999999E-2</v>
      </c>
      <c r="DC18" s="7">
        <v>5.1950999999999997E-2</v>
      </c>
      <c r="DD18" s="7">
        <v>5.0453999999999999E-2</v>
      </c>
      <c r="DE18" s="7">
        <v>4.7412999999999997E-2</v>
      </c>
      <c r="DF18" s="7">
        <v>4.4006999999999998E-2</v>
      </c>
      <c r="DG18" s="7">
        <v>4.0250000000000001E-2</v>
      </c>
      <c r="DH18" s="7">
        <v>3.7997999999999997E-2</v>
      </c>
      <c r="DI18" s="7">
        <v>3.6634E-2</v>
      </c>
      <c r="DJ18" s="7">
        <v>3.5673999999999997E-2</v>
      </c>
      <c r="DK18" s="7">
        <v>3.5040000000000002E-2</v>
      </c>
      <c r="DL18" s="7">
        <v>3.449E-2</v>
      </c>
      <c r="DM18" s="7">
        <v>3.4047000000000001E-2</v>
      </c>
      <c r="DN18" s="7">
        <v>3.3508999999999997E-2</v>
      </c>
      <c r="DO18" s="7">
        <v>3.3347000000000002E-2</v>
      </c>
      <c r="DP18" s="7">
        <v>3.4733E-2</v>
      </c>
      <c r="DQ18" s="15">
        <v>4.0536999999999997E-2</v>
      </c>
      <c r="DR18" s="15">
        <v>3.9154000000000001E-2</v>
      </c>
      <c r="DS18" s="15"/>
      <c r="DT18" s="15"/>
      <c r="DU18" s="15"/>
      <c r="DV18" s="15"/>
      <c r="DW18" s="15"/>
      <c r="DX18" s="15"/>
      <c r="DY18" s="15"/>
      <c r="DZ18" s="15"/>
      <c r="EA18" s="6" t="s">
        <v>46</v>
      </c>
      <c r="EB18" s="7"/>
    </row>
    <row r="19" spans="1:170" x14ac:dyDescent="0.35">
      <c r="CK19" s="4" t="str">
        <f>Populations!$C$18</f>
        <v>M50+</v>
      </c>
      <c r="CL19" s="7">
        <v>4.2044999999999999E-2</v>
      </c>
      <c r="CM19" s="7">
        <v>4.3462000000000001E-2</v>
      </c>
      <c r="CN19" s="7">
        <v>4.4778999999999999E-2</v>
      </c>
      <c r="CO19" s="7">
        <v>4.7558999999999997E-2</v>
      </c>
      <c r="CP19" s="7">
        <v>5.0298000000000002E-2</v>
      </c>
      <c r="CQ19" s="7">
        <v>5.2592E-2</v>
      </c>
      <c r="CR19" s="7">
        <v>5.6086999999999998E-2</v>
      </c>
      <c r="CS19" s="7">
        <v>5.8321999999999999E-2</v>
      </c>
      <c r="CT19" s="7">
        <v>6.1158999999999998E-2</v>
      </c>
      <c r="CU19" s="7">
        <v>6.4438999999999996E-2</v>
      </c>
      <c r="CV19" s="7">
        <v>6.6613000000000006E-2</v>
      </c>
      <c r="CW19" s="7">
        <v>7.0680000000000007E-2</v>
      </c>
      <c r="CX19" s="7">
        <v>6.5861000000000003E-2</v>
      </c>
      <c r="CY19" s="7">
        <v>6.4817E-2</v>
      </c>
      <c r="CZ19" s="7">
        <v>6.2628000000000003E-2</v>
      </c>
      <c r="DA19" s="7">
        <v>6.1072000000000001E-2</v>
      </c>
      <c r="DB19" s="7">
        <v>6.0122000000000002E-2</v>
      </c>
      <c r="DC19" s="7">
        <v>5.8610000000000002E-2</v>
      </c>
      <c r="DD19" s="7">
        <v>5.6680000000000001E-2</v>
      </c>
      <c r="DE19" s="7">
        <v>5.4186999999999999E-2</v>
      </c>
      <c r="DF19" s="7">
        <v>5.1220000000000002E-2</v>
      </c>
      <c r="DG19" s="7">
        <v>4.8372999999999999E-2</v>
      </c>
      <c r="DH19" s="7">
        <v>4.6567999999999998E-2</v>
      </c>
      <c r="DI19" s="7">
        <v>4.5212000000000002E-2</v>
      </c>
      <c r="DJ19" s="7">
        <v>4.3966999999999999E-2</v>
      </c>
      <c r="DK19" s="7">
        <v>4.3376999999999999E-2</v>
      </c>
      <c r="DL19" s="7">
        <v>4.3085999999999999E-2</v>
      </c>
      <c r="DM19" s="7">
        <v>4.3033000000000002E-2</v>
      </c>
      <c r="DN19" s="7">
        <v>4.2426999999999999E-2</v>
      </c>
      <c r="DO19" s="7">
        <v>4.2845000000000001E-2</v>
      </c>
      <c r="DP19" s="7">
        <v>4.7156000000000003E-2</v>
      </c>
      <c r="DQ19" s="15">
        <v>5.5246999999999997E-2</v>
      </c>
      <c r="DR19" s="15">
        <v>5.2769999999999997E-2</v>
      </c>
      <c r="DS19" s="15"/>
      <c r="DT19" s="15"/>
      <c r="DU19" s="15"/>
      <c r="DV19" s="15"/>
      <c r="DW19" s="15"/>
      <c r="DX19" s="15"/>
      <c r="DY19" s="15"/>
      <c r="DZ19" s="15"/>
      <c r="EA19" s="6" t="s">
        <v>46</v>
      </c>
      <c r="EB19" s="7"/>
    </row>
    <row r="22" spans="1:170" x14ac:dyDescent="0.35">
      <c r="A22" s="2" t="s">
        <v>50</v>
      </c>
      <c r="CL22" t="s">
        <v>389</v>
      </c>
      <c r="EE22" t="s">
        <v>357</v>
      </c>
      <c r="FK22" t="s">
        <v>358</v>
      </c>
      <c r="FM22" t="s">
        <v>359</v>
      </c>
      <c r="FN22" t="s">
        <v>360</v>
      </c>
    </row>
    <row r="23" spans="1:170" x14ac:dyDescent="0.35">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c r="AK23" s="4"/>
      <c r="AL23" s="4"/>
      <c r="AM23" s="4"/>
      <c r="AN23" s="4"/>
      <c r="AO23" s="4"/>
      <c r="AP23" s="4"/>
      <c r="AQ23" s="4"/>
      <c r="AS23" s="4" t="s">
        <v>44</v>
      </c>
      <c r="AT23" s="4"/>
      <c r="AU23" s="4"/>
      <c r="AV23" s="25" t="s">
        <v>393</v>
      </c>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v>1990</v>
      </c>
      <c r="CM23" s="4">
        <v>1991</v>
      </c>
      <c r="CN23" s="4">
        <v>1992</v>
      </c>
      <c r="CO23" s="4">
        <v>1993</v>
      </c>
      <c r="CP23" s="4">
        <v>1994</v>
      </c>
      <c r="CQ23" s="4">
        <v>1995</v>
      </c>
      <c r="CR23" s="4">
        <v>1996</v>
      </c>
      <c r="CS23" s="4">
        <v>1997</v>
      </c>
      <c r="CT23" s="4">
        <v>1998</v>
      </c>
      <c r="CU23" s="4">
        <v>1999</v>
      </c>
      <c r="CV23" s="4">
        <v>2000</v>
      </c>
      <c r="CW23" s="4">
        <v>2001</v>
      </c>
      <c r="CX23" s="4">
        <v>2002</v>
      </c>
      <c r="CY23" s="4">
        <v>2003</v>
      </c>
      <c r="CZ23" s="4">
        <v>2004</v>
      </c>
      <c r="DA23" s="4">
        <v>2005</v>
      </c>
      <c r="DB23" s="4">
        <v>2006</v>
      </c>
      <c r="DC23" s="4">
        <v>2007</v>
      </c>
      <c r="DD23" s="4">
        <v>2008</v>
      </c>
      <c r="DE23" s="4">
        <v>2009</v>
      </c>
      <c r="DF23" s="4">
        <v>2010</v>
      </c>
      <c r="DG23" s="4">
        <v>2011</v>
      </c>
      <c r="DH23" s="4">
        <v>2012</v>
      </c>
      <c r="DI23" s="4">
        <v>2013</v>
      </c>
      <c r="DJ23" s="4">
        <v>2014</v>
      </c>
      <c r="DK23" s="4">
        <v>2015</v>
      </c>
      <c r="DL23" s="4">
        <v>2016</v>
      </c>
      <c r="DM23" s="4">
        <v>2017</v>
      </c>
      <c r="DN23" s="4">
        <v>2018</v>
      </c>
      <c r="DO23" s="4">
        <v>2019</v>
      </c>
      <c r="DP23" s="4">
        <v>2020</v>
      </c>
      <c r="DQ23" s="4">
        <v>2021</v>
      </c>
      <c r="DR23" s="4">
        <v>2022</v>
      </c>
      <c r="DS23" s="4">
        <v>2023</v>
      </c>
      <c r="DT23" s="4">
        <v>2024</v>
      </c>
      <c r="DU23" s="4">
        <v>2025</v>
      </c>
      <c r="DV23" s="4">
        <v>2026</v>
      </c>
      <c r="DW23" s="4">
        <v>2027</v>
      </c>
      <c r="DX23" s="4">
        <v>2028</v>
      </c>
      <c r="DY23" s="4">
        <v>2029</v>
      </c>
      <c r="DZ23" s="4">
        <v>2030</v>
      </c>
      <c r="EA23" s="4"/>
      <c r="EB23" s="4"/>
      <c r="EE23" s="4">
        <v>2000</v>
      </c>
      <c r="EF23" s="4">
        <v>2001</v>
      </c>
      <c r="EG23" s="4">
        <v>2002</v>
      </c>
      <c r="EH23" s="4">
        <v>2003</v>
      </c>
      <c r="EI23" s="4">
        <v>2004</v>
      </c>
      <c r="EJ23" s="4">
        <v>2005</v>
      </c>
      <c r="EK23" s="4">
        <v>2006</v>
      </c>
      <c r="EL23" s="4">
        <v>2007</v>
      </c>
      <c r="EM23" s="4">
        <v>2008</v>
      </c>
      <c r="EN23" s="4">
        <v>2009</v>
      </c>
      <c r="EO23" s="4">
        <v>2010</v>
      </c>
      <c r="EP23" s="4">
        <v>2011</v>
      </c>
      <c r="EQ23" s="4">
        <v>2012</v>
      </c>
      <c r="ER23" s="4">
        <v>2013</v>
      </c>
      <c r="ES23" s="4">
        <v>2014</v>
      </c>
      <c r="ET23" s="4">
        <v>2015</v>
      </c>
      <c r="EU23" s="4">
        <v>2016</v>
      </c>
      <c r="EV23" s="4">
        <v>2017</v>
      </c>
      <c r="EW23" s="4">
        <v>2018</v>
      </c>
      <c r="EX23" s="4">
        <v>2019</v>
      </c>
      <c r="EY23" s="4">
        <v>2020</v>
      </c>
      <c r="EZ23" s="4">
        <v>2021</v>
      </c>
      <c r="FA23" s="4">
        <v>2022</v>
      </c>
      <c r="FB23" s="4">
        <v>2023</v>
      </c>
      <c r="FC23" s="4">
        <v>2024</v>
      </c>
      <c r="FD23" s="4">
        <v>2025</v>
      </c>
      <c r="FE23" s="4">
        <v>2026</v>
      </c>
      <c r="FF23" s="4">
        <v>2027</v>
      </c>
      <c r="FG23" s="4">
        <v>2028</v>
      </c>
      <c r="FH23" s="4">
        <v>2029</v>
      </c>
      <c r="FI23" s="4">
        <v>2030</v>
      </c>
      <c r="FK23" s="4" t="s">
        <v>44</v>
      </c>
    </row>
    <row r="24" spans="1:170" x14ac:dyDescent="0.35">
      <c r="B24" s="4" t="str">
        <f>Populations!$C$3</f>
        <v>FSW</v>
      </c>
      <c r="C24" s="7">
        <v>3.9769999999999996E-3</v>
      </c>
      <c r="D24" s="7">
        <v>4.6480000000000002E-3</v>
      </c>
      <c r="E24" s="7">
        <v>5.4289999999999998E-3</v>
      </c>
      <c r="F24" s="7">
        <v>6.5250000000000004E-3</v>
      </c>
      <c r="G24" s="7">
        <v>7.5430000000000002E-3</v>
      </c>
      <c r="H24" s="7">
        <v>8.7840000000000001E-3</v>
      </c>
      <c r="I24" s="7">
        <v>1.005E-2</v>
      </c>
      <c r="J24" s="7">
        <v>1.0732999999999999E-2</v>
      </c>
      <c r="K24" s="7">
        <v>1.1620999999999999E-2</v>
      </c>
      <c r="L24" s="7">
        <v>1.3504E-2</v>
      </c>
      <c r="M24" s="7">
        <v>1.4318000000000001E-2</v>
      </c>
      <c r="N24" s="7">
        <v>1.9681000000000001E-2</v>
      </c>
      <c r="O24" s="7">
        <v>1.5141999999999999E-2</v>
      </c>
      <c r="P24" s="7">
        <v>1.7925E-2</v>
      </c>
      <c r="Q24" s="7">
        <v>1.5886000000000001E-2</v>
      </c>
      <c r="R24" s="7">
        <v>1.5949000000000001E-2</v>
      </c>
      <c r="S24" s="7">
        <v>1.4937000000000001E-2</v>
      </c>
      <c r="T24" s="7">
        <v>1.5467E-2</v>
      </c>
      <c r="U24" s="7">
        <v>1.3814999999999999E-2</v>
      </c>
      <c r="V24" s="7">
        <v>1.2697E-2</v>
      </c>
      <c r="W24" s="7">
        <v>1.0655E-2</v>
      </c>
      <c r="X24" s="7">
        <v>8.5159999999999993E-3</v>
      </c>
      <c r="Y24" s="7">
        <v>7.4310000000000001E-3</v>
      </c>
      <c r="Z24" s="7">
        <v>6.5240000000000003E-3</v>
      </c>
      <c r="AA24" s="7">
        <v>5.901E-3</v>
      </c>
      <c r="AB24" s="7">
        <v>5.5279999999999999E-3</v>
      </c>
      <c r="AC24" s="7">
        <v>5.2180000000000004E-3</v>
      </c>
      <c r="AD24" s="7">
        <v>5.006E-3</v>
      </c>
      <c r="AE24" s="7">
        <v>4.7879999999999997E-3</v>
      </c>
      <c r="AF24" s="7">
        <v>4.7790000000000003E-3</v>
      </c>
      <c r="AG24" s="7">
        <v>4.4330000000000003E-3</v>
      </c>
      <c r="AH24" s="15">
        <v>4.9490000000000003E-3</v>
      </c>
      <c r="AI24" s="15">
        <v>5.0429999999999997E-3</v>
      </c>
      <c r="AJ24" s="15"/>
      <c r="AK24" s="15"/>
      <c r="AL24" s="15"/>
      <c r="AM24" s="15"/>
      <c r="AN24" s="15"/>
      <c r="AO24" s="15"/>
      <c r="AP24" s="15"/>
      <c r="AQ24" s="15"/>
      <c r="AR24" s="6" t="s">
        <v>46</v>
      </c>
      <c r="AS24" s="7"/>
      <c r="AT24" s="143"/>
      <c r="AU24" s="143"/>
      <c r="AV24" s="25" t="s">
        <v>394</v>
      </c>
      <c r="AW24" s="4">
        <v>1990</v>
      </c>
      <c r="AX24" s="4">
        <v>1991</v>
      </c>
      <c r="AY24" s="4">
        <v>1992</v>
      </c>
      <c r="AZ24" s="4">
        <v>1993</v>
      </c>
      <c r="BA24" s="4">
        <v>1994</v>
      </c>
      <c r="BB24" s="4">
        <v>1995</v>
      </c>
      <c r="BC24" s="4">
        <v>1996</v>
      </c>
      <c r="BD24" s="4">
        <v>1997</v>
      </c>
      <c r="BE24" s="4">
        <v>1998</v>
      </c>
      <c r="BF24" s="4">
        <v>1999</v>
      </c>
      <c r="BG24" s="4">
        <v>2000</v>
      </c>
      <c r="BH24" s="4">
        <v>2001</v>
      </c>
      <c r="BI24" s="4">
        <v>2002</v>
      </c>
      <c r="BJ24" s="4">
        <v>2003</v>
      </c>
      <c r="BK24" s="4">
        <v>2004</v>
      </c>
      <c r="BL24" s="4">
        <v>2005</v>
      </c>
      <c r="BM24" s="4">
        <v>2006</v>
      </c>
      <c r="BN24" s="4">
        <v>2007</v>
      </c>
      <c r="BO24" s="4">
        <v>2008</v>
      </c>
      <c r="BP24" s="4">
        <v>2009</v>
      </c>
      <c r="BQ24" s="4">
        <v>2010</v>
      </c>
      <c r="BR24" s="4">
        <v>2011</v>
      </c>
      <c r="BS24" s="4">
        <v>2012</v>
      </c>
      <c r="BT24" s="4">
        <v>2013</v>
      </c>
      <c r="BU24" s="4">
        <v>2014</v>
      </c>
      <c r="BV24" s="4">
        <v>2015</v>
      </c>
      <c r="BW24" s="4">
        <v>2016</v>
      </c>
      <c r="BX24" s="4">
        <v>2017</v>
      </c>
      <c r="BY24" s="4">
        <v>2018</v>
      </c>
      <c r="BZ24" s="4">
        <v>2019</v>
      </c>
      <c r="CA24" s="4">
        <v>2020</v>
      </c>
      <c r="CC24" s="143" t="s">
        <v>390</v>
      </c>
      <c r="CD24" s="144" t="s">
        <v>140</v>
      </c>
      <c r="CE24" s="144" t="s">
        <v>368</v>
      </c>
      <c r="CF24" s="144" t="s">
        <v>369</v>
      </c>
      <c r="CG24" s="144" t="s">
        <v>387</v>
      </c>
      <c r="CH24" s="144" t="s">
        <v>388</v>
      </c>
      <c r="CI24" s="144" t="s">
        <v>392</v>
      </c>
      <c r="CJ24" s="143"/>
      <c r="CK24" s="145" t="s">
        <v>11</v>
      </c>
      <c r="CL24" s="7">
        <v>1.3200321311476099E-2</v>
      </c>
      <c r="CM24" s="7">
        <v>1.3200321311476099E-2</v>
      </c>
      <c r="CN24" s="7">
        <v>1.3200321311476099E-2</v>
      </c>
      <c r="CO24" s="7">
        <v>1.3200321311476099E-2</v>
      </c>
      <c r="CP24" s="7">
        <v>1.3200321311476099E-2</v>
      </c>
      <c r="CQ24" s="7">
        <v>1.3200321311476099E-2</v>
      </c>
      <c r="CR24" s="7">
        <v>1.3200321311476099E-2</v>
      </c>
      <c r="CS24" s="7">
        <v>1.3200321311476099E-2</v>
      </c>
      <c r="CT24" s="7">
        <v>1.3200321311476099E-2</v>
      </c>
      <c r="CU24" s="7">
        <v>1.3200321311476099E-2</v>
      </c>
      <c r="CV24" s="7">
        <v>1.3200321311476099E-2</v>
      </c>
      <c r="CW24" s="7">
        <v>1.1381342562518E-2</v>
      </c>
      <c r="CX24" s="7">
        <v>9.7684443721794204E-3</v>
      </c>
      <c r="CY24" s="7">
        <v>8.3890292784901104E-3</v>
      </c>
      <c r="CZ24" s="7">
        <v>7.1622910690788402E-3</v>
      </c>
      <c r="DA24" s="7">
        <v>6.3891287108490697E-3</v>
      </c>
      <c r="DB24" s="7">
        <v>5.0674565950727104E-3</v>
      </c>
      <c r="DC24" s="7">
        <v>4.0022197163563601E-3</v>
      </c>
      <c r="DD24" s="7">
        <v>3.2670375524555401E-3</v>
      </c>
      <c r="DE24" s="7">
        <v>2.6467949411930298E-3</v>
      </c>
      <c r="DF24" s="7">
        <v>3.3445110434134652E-3</v>
      </c>
      <c r="DG24" s="7">
        <v>3.5702405976987747E-3</v>
      </c>
      <c r="DH24" s="7">
        <v>3.6371493284690698E-3</v>
      </c>
      <c r="DI24" s="7">
        <v>3.38879558440608E-3</v>
      </c>
      <c r="DJ24" s="7">
        <v>3.3291318054981299E-3</v>
      </c>
      <c r="DK24" s="7">
        <v>3.1904251488515103E-3</v>
      </c>
      <c r="DL24" s="7">
        <v>3.8722831295512202E-3</v>
      </c>
      <c r="DM24" s="7">
        <v>3.9350242998540154E-3</v>
      </c>
      <c r="DN24" s="7">
        <v>3.9904305206376455E-3</v>
      </c>
      <c r="DO24" s="7">
        <v>4.0406407135444647E-3</v>
      </c>
      <c r="DP24" s="7">
        <v>4.08652834299393E-3</v>
      </c>
      <c r="DQ24" s="7">
        <v>4.0342536911520902E-3</v>
      </c>
      <c r="DR24" s="7">
        <v>3.9858100302898655E-3</v>
      </c>
      <c r="DS24" s="7">
        <v>3.9392797425971101E-3</v>
      </c>
      <c r="DT24" s="7">
        <v>3.8924571454531801E-3</v>
      </c>
      <c r="DU24" s="7">
        <v>3.8448582367157551E-3</v>
      </c>
      <c r="DV24" s="7">
        <v>3.7269477106211552E-3</v>
      </c>
      <c r="DW24" s="7">
        <v>3.6125675917714197E-3</v>
      </c>
      <c r="DX24" s="7">
        <v>3.5032347126552899E-3</v>
      </c>
      <c r="DY24" s="7">
        <v>3.4012490578442245E-3</v>
      </c>
      <c r="DZ24" s="7">
        <v>3.3074496374295905E-3</v>
      </c>
      <c r="EA24" s="143"/>
      <c r="EB24" s="143"/>
      <c r="ED24" s="4" t="str">
        <f>Populations!$C$3</f>
        <v>FSW</v>
      </c>
      <c r="EE24" s="7">
        <v>1.3200321311476099E-2</v>
      </c>
      <c r="EF24" s="7">
        <v>1.1381342562518E-2</v>
      </c>
      <c r="EG24" s="7">
        <v>9.7684443721794204E-3</v>
      </c>
      <c r="EH24" s="7">
        <v>8.3890292784901104E-3</v>
      </c>
      <c r="EI24" s="7">
        <v>7.1622910690788402E-3</v>
      </c>
      <c r="EJ24" s="7">
        <v>6.3891287108490697E-3</v>
      </c>
      <c r="EK24" s="7">
        <v>5.0674565950727104E-3</v>
      </c>
      <c r="EL24" s="7">
        <v>4.0022197163563601E-3</v>
      </c>
      <c r="EM24" s="7">
        <v>3.2670375524555401E-3</v>
      </c>
      <c r="EN24" s="7">
        <v>2.6467949411930298E-3</v>
      </c>
      <c r="EO24" s="7">
        <v>2.22967402894231E-3</v>
      </c>
      <c r="EP24" s="7">
        <v>2.3801603984658498E-3</v>
      </c>
      <c r="EQ24" s="7">
        <v>2.4247662189793798E-3</v>
      </c>
      <c r="ER24" s="7">
        <v>2.25919705627072E-3</v>
      </c>
      <c r="ES24" s="7">
        <v>2.2194212036654201E-3</v>
      </c>
      <c r="ET24" s="7">
        <v>2.1269500992343402E-3</v>
      </c>
      <c r="EU24" s="7">
        <v>2.5815220863674802E-3</v>
      </c>
      <c r="EV24" s="7">
        <v>2.6233495332360101E-3</v>
      </c>
      <c r="EW24" s="7">
        <v>2.6602870137584301E-3</v>
      </c>
      <c r="EX24" s="7">
        <v>2.6937604756963099E-3</v>
      </c>
      <c r="EY24" s="7">
        <v>2.7243522286626199E-3</v>
      </c>
      <c r="EZ24" s="7">
        <v>2.6895024607680599E-3</v>
      </c>
      <c r="FA24" s="7">
        <v>2.6572066868599102E-3</v>
      </c>
      <c r="FB24" s="7">
        <v>2.62618649506474E-3</v>
      </c>
      <c r="FC24" s="7">
        <v>2.5949714303021201E-3</v>
      </c>
      <c r="FD24" s="7">
        <v>2.5632388244771699E-3</v>
      </c>
      <c r="FE24" s="7">
        <v>2.48463180708077E-3</v>
      </c>
      <c r="FF24" s="7">
        <v>2.4083783945142798E-3</v>
      </c>
      <c r="FG24" s="7">
        <v>2.33548980843686E-3</v>
      </c>
      <c r="FH24" s="7">
        <v>2.2674993718961498E-3</v>
      </c>
      <c r="FI24" s="7">
        <v>2.2049664249530602E-3</v>
      </c>
      <c r="FK24" s="7">
        <v>3.3074496374295905E-3</v>
      </c>
      <c r="FM24" s="142">
        <f>FK24/FI24</f>
        <v>1.5</v>
      </c>
      <c r="FN24" s="141">
        <f>FK24/EY24</f>
        <v>1.2140315788216607</v>
      </c>
    </row>
    <row r="25" spans="1:170" x14ac:dyDescent="0.35">
      <c r="B25" s="4" t="str">
        <f>Populations!$C$4</f>
        <v>Clients</v>
      </c>
      <c r="C25" s="7">
        <v>8.5719999999999998E-3</v>
      </c>
      <c r="D25" s="7">
        <v>9.1719999999999996E-3</v>
      </c>
      <c r="E25" s="7">
        <v>1.0272999999999999E-2</v>
      </c>
      <c r="F25" s="7">
        <v>1.1878E-2</v>
      </c>
      <c r="G25" s="7">
        <v>1.3362000000000001E-2</v>
      </c>
      <c r="H25" s="7">
        <v>1.5121000000000001E-2</v>
      </c>
      <c r="I25" s="7">
        <v>1.6050999999999999E-2</v>
      </c>
      <c r="J25" s="7">
        <v>1.7097999999999999E-2</v>
      </c>
      <c r="K25" s="7">
        <v>1.8516000000000001E-2</v>
      </c>
      <c r="L25" s="7">
        <v>2.0337999999999998E-2</v>
      </c>
      <c r="M25" s="7">
        <v>2.0558E-2</v>
      </c>
      <c r="N25" s="7">
        <v>2.2953000000000001E-2</v>
      </c>
      <c r="O25" s="7">
        <v>2.0154999999999999E-2</v>
      </c>
      <c r="P25" s="7">
        <v>2.0978E-2</v>
      </c>
      <c r="Q25" s="7">
        <v>2.0181000000000001E-2</v>
      </c>
      <c r="R25" s="7">
        <v>1.9758000000000001E-2</v>
      </c>
      <c r="S25" s="7">
        <v>1.9185000000000001E-2</v>
      </c>
      <c r="T25" s="7">
        <v>1.8556E-2</v>
      </c>
      <c r="U25" s="7">
        <v>1.7708999999999999E-2</v>
      </c>
      <c r="V25" s="7">
        <v>1.6892000000000001E-2</v>
      </c>
      <c r="W25" s="7">
        <v>1.4931E-2</v>
      </c>
      <c r="X25" s="7">
        <v>1.3198E-2</v>
      </c>
      <c r="Y25" s="7">
        <v>1.1665E-2</v>
      </c>
      <c r="Z25" s="7">
        <v>1.0475E-2</v>
      </c>
      <c r="AA25" s="7">
        <v>9.5300000000000003E-3</v>
      </c>
      <c r="AB25" s="7">
        <v>9.0760000000000007E-3</v>
      </c>
      <c r="AC25" s="7">
        <v>8.7240000000000009E-3</v>
      </c>
      <c r="AD25" s="7">
        <v>8.5929999999999999E-3</v>
      </c>
      <c r="AE25" s="7">
        <v>8.1620000000000009E-3</v>
      </c>
      <c r="AF25" s="7">
        <v>8.3979999999999992E-3</v>
      </c>
      <c r="AG25" s="7">
        <v>8.5599999999999999E-3</v>
      </c>
      <c r="AH25" s="15">
        <v>9.7529999999999995E-3</v>
      </c>
      <c r="AI25" s="15">
        <v>9.5619999999999993E-3</v>
      </c>
      <c r="AJ25" s="15"/>
      <c r="AK25" s="15"/>
      <c r="AL25" s="15"/>
      <c r="AM25" s="15"/>
      <c r="AN25" s="15"/>
      <c r="AO25" s="15"/>
      <c r="AP25" s="15"/>
      <c r="AQ25" s="15"/>
      <c r="AR25" s="6" t="s">
        <v>46</v>
      </c>
      <c r="AS25" s="7"/>
      <c r="AT25" s="143"/>
      <c r="AU25" s="143"/>
      <c r="AV25" s="144" t="s">
        <v>140</v>
      </c>
      <c r="AW25" s="154">
        <f>(CD25*1000)/5</f>
        <v>16683.599999999999</v>
      </c>
      <c r="AX25" s="154">
        <v>16683.599999999999</v>
      </c>
      <c r="AY25" s="154">
        <v>16683.599999999999</v>
      </c>
      <c r="AZ25" s="154">
        <v>16683.599999999999</v>
      </c>
      <c r="BA25" s="154">
        <v>16683.599999999999</v>
      </c>
      <c r="BB25" s="154">
        <f>(CD26*1000)/5</f>
        <v>19358.2</v>
      </c>
      <c r="BC25" s="154">
        <v>19358.2</v>
      </c>
      <c r="BD25" s="154">
        <v>19358.2</v>
      </c>
      <c r="BE25" s="154">
        <v>19358.2</v>
      </c>
      <c r="BF25" s="154">
        <v>19358.2</v>
      </c>
      <c r="BG25" s="154">
        <f>(CD27*1000)/5</f>
        <v>20219.599999999999</v>
      </c>
      <c r="BH25" s="154">
        <v>20219.599999999999</v>
      </c>
      <c r="BI25" s="154">
        <v>20219.599999999999</v>
      </c>
      <c r="BJ25" s="154">
        <v>20219.599999999999</v>
      </c>
      <c r="BK25" s="154">
        <v>20219.599999999999</v>
      </c>
      <c r="BL25" s="154">
        <f>(CD28*1000)/5</f>
        <v>21619.8</v>
      </c>
      <c r="BM25" s="154">
        <v>21619.8</v>
      </c>
      <c r="BN25" s="154">
        <v>21619.8</v>
      </c>
      <c r="BO25" s="154">
        <v>21619.8</v>
      </c>
      <c r="BP25" s="154">
        <v>21619.8</v>
      </c>
      <c r="BQ25" s="154">
        <f>(CD29*1000)/5</f>
        <v>17254</v>
      </c>
      <c r="BR25" s="154">
        <v>17254</v>
      </c>
      <c r="BS25" s="154">
        <v>17254</v>
      </c>
      <c r="BT25" s="154">
        <v>17254</v>
      </c>
      <c r="BU25" s="154">
        <v>17254</v>
      </c>
      <c r="BV25" s="154">
        <f>(CD30*1000)/5</f>
        <v>11809.2</v>
      </c>
      <c r="BW25" s="155">
        <v>11809.2</v>
      </c>
      <c r="BX25" s="155">
        <v>11809.2</v>
      </c>
      <c r="BY25" s="155">
        <v>11809.2</v>
      </c>
      <c r="BZ25" s="155">
        <v>11809.2</v>
      </c>
      <c r="CA25" s="155">
        <v>11809.2</v>
      </c>
      <c r="CC25" t="s">
        <v>385</v>
      </c>
      <c r="CD25" s="150">
        <v>83.418000000000006</v>
      </c>
      <c r="CE25" s="150">
        <v>5.2460000000000004</v>
      </c>
      <c r="CF25" s="150">
        <v>8.8819999999999997</v>
      </c>
      <c r="CG25" s="150">
        <v>32.216000000000001</v>
      </c>
      <c r="CH25" s="150">
        <v>43.74</v>
      </c>
      <c r="CI25" s="150">
        <v>83.784000000000006</v>
      </c>
      <c r="CJ25" s="143"/>
      <c r="CK25" s="4" t="str">
        <f>Populations!$C$4</f>
        <v>Clients</v>
      </c>
      <c r="CL25" s="7">
        <v>1.19174603957395E-2</v>
      </c>
      <c r="CM25" s="7">
        <v>1.19174603957395E-2</v>
      </c>
      <c r="CN25" s="7">
        <v>1.19174603957395E-2</v>
      </c>
      <c r="CO25" s="7">
        <v>1.19174603957395E-2</v>
      </c>
      <c r="CP25" s="7">
        <v>1.19174603957395E-2</v>
      </c>
      <c r="CQ25" s="7">
        <v>1.19174603957395E-2</v>
      </c>
      <c r="CR25" s="7">
        <v>1.19174603957395E-2</v>
      </c>
      <c r="CS25" s="7">
        <v>1.19174603957395E-2</v>
      </c>
      <c r="CT25" s="7">
        <v>1.19174603957395E-2</v>
      </c>
      <c r="CU25" s="7">
        <v>1.19174603957395E-2</v>
      </c>
      <c r="CV25" s="7">
        <v>1.19174603957395E-2</v>
      </c>
      <c r="CW25" s="7">
        <v>1.0886084418490601E-2</v>
      </c>
      <c r="CX25" s="7">
        <v>1.00852082300641E-2</v>
      </c>
      <c r="CY25" s="7">
        <v>9.4966895111676403E-3</v>
      </c>
      <c r="CZ25" s="7">
        <v>9.0916369681412305E-3</v>
      </c>
      <c r="DA25" s="7">
        <v>8.8913351322426407E-3</v>
      </c>
      <c r="DB25" s="7">
        <v>8.2149281228267503E-3</v>
      </c>
      <c r="DC25" s="7">
        <v>7.7241432626302996E-3</v>
      </c>
      <c r="DD25" s="7">
        <v>7.3137871875849003E-3</v>
      </c>
      <c r="DE25" s="7">
        <v>7.0175946884781099E-3</v>
      </c>
      <c r="DF25" s="7">
        <v>1.0190622570997517E-2</v>
      </c>
      <c r="DG25" s="7">
        <v>1.041233785495143E-2</v>
      </c>
      <c r="DH25" s="7">
        <v>1.084571059102569E-2</v>
      </c>
      <c r="DI25" s="7">
        <v>1.0736067475602179E-2</v>
      </c>
      <c r="DJ25" s="7">
        <v>1.0519749708410535E-2</v>
      </c>
      <c r="DK25" s="7">
        <v>9.9453490974192003E-3</v>
      </c>
      <c r="DL25" s="7">
        <v>1.0548693418460009E-2</v>
      </c>
      <c r="DM25" s="7">
        <v>1.0547139040957155E-2</v>
      </c>
      <c r="DN25" s="7">
        <v>1.0530596409667799E-2</v>
      </c>
      <c r="DO25" s="7">
        <v>1.0504867578440701E-2</v>
      </c>
      <c r="DP25" s="7">
        <v>1.0472199935366326E-2</v>
      </c>
      <c r="DQ25" s="7">
        <v>1.0424203148949224E-2</v>
      </c>
      <c r="DR25" s="7">
        <v>1.0376537825780009E-2</v>
      </c>
      <c r="DS25" s="7">
        <v>1.0323402644118809E-2</v>
      </c>
      <c r="DT25" s="7">
        <v>1.0257888460525846E-2</v>
      </c>
      <c r="DU25" s="7">
        <v>1.0178455363645259E-2</v>
      </c>
      <c r="DV25" s="7">
        <v>1.0113532571853524E-2</v>
      </c>
      <c r="DW25" s="7">
        <v>1.003789387776402E-2</v>
      </c>
      <c r="DX25" s="7">
        <v>9.9559756933621357E-3</v>
      </c>
      <c r="DY25" s="7">
        <v>9.8745968898490341E-3</v>
      </c>
      <c r="DZ25" s="7">
        <v>9.7977508878285755E-3</v>
      </c>
      <c r="EA25" s="143"/>
      <c r="EB25" s="143"/>
      <c r="ED25" s="4" t="str">
        <f>Populations!$C$4</f>
        <v>Clients</v>
      </c>
      <c r="EE25" s="7">
        <v>1.19174603957395E-2</v>
      </c>
      <c r="EF25" s="7">
        <v>1.0886084418490601E-2</v>
      </c>
      <c r="EG25" s="7">
        <v>1.00852082300641E-2</v>
      </c>
      <c r="EH25" s="7">
        <v>9.4966895111676403E-3</v>
      </c>
      <c r="EI25" s="7">
        <v>9.0916369681412305E-3</v>
      </c>
      <c r="EJ25" s="7">
        <v>8.8913351322426407E-3</v>
      </c>
      <c r="EK25" s="7">
        <v>8.2149281228267503E-3</v>
      </c>
      <c r="EL25" s="7">
        <v>7.7241432626302996E-3</v>
      </c>
      <c r="EM25" s="7">
        <v>7.3137871875849003E-3</v>
      </c>
      <c r="EN25" s="7">
        <v>7.0175946884781099E-3</v>
      </c>
      <c r="EO25" s="7">
        <v>6.7937483806650104E-3</v>
      </c>
      <c r="EP25" s="7">
        <v>6.9415585699676204E-3</v>
      </c>
      <c r="EQ25" s="7">
        <v>7.2304737273504597E-3</v>
      </c>
      <c r="ER25" s="7">
        <v>7.1573783170681199E-3</v>
      </c>
      <c r="ES25" s="7">
        <v>7.0131664722736901E-3</v>
      </c>
      <c r="ET25" s="7">
        <v>6.6302327316127996E-3</v>
      </c>
      <c r="EU25" s="7">
        <v>7.0324622789733398E-3</v>
      </c>
      <c r="EV25" s="7">
        <v>7.0314260273047699E-3</v>
      </c>
      <c r="EW25" s="7">
        <v>7.0203976064451999E-3</v>
      </c>
      <c r="EX25" s="7">
        <v>7.0032450522938003E-3</v>
      </c>
      <c r="EY25" s="7">
        <v>6.9814666235775502E-3</v>
      </c>
      <c r="EZ25" s="7">
        <v>6.9494687659661502E-3</v>
      </c>
      <c r="FA25" s="7">
        <v>6.9176918838533396E-3</v>
      </c>
      <c r="FB25" s="7">
        <v>6.8822684294125398E-3</v>
      </c>
      <c r="FC25" s="7">
        <v>6.8385923070172303E-3</v>
      </c>
      <c r="FD25" s="7">
        <v>6.7856369090968397E-3</v>
      </c>
      <c r="FE25" s="7">
        <v>6.7423550479023498E-3</v>
      </c>
      <c r="FF25" s="7">
        <v>6.6919292518426796E-3</v>
      </c>
      <c r="FG25" s="7">
        <v>6.6373171289080901E-3</v>
      </c>
      <c r="FH25" s="7">
        <v>6.58306459323269E-3</v>
      </c>
      <c r="FI25" s="7">
        <v>6.5318339252190497E-3</v>
      </c>
      <c r="FK25" s="7">
        <v>9.7977508878285755E-3</v>
      </c>
      <c r="FM25" s="142">
        <f t="shared" ref="FM25:FM39" si="1">FK25/FI25</f>
        <v>1.5000000000000002</v>
      </c>
      <c r="FN25" s="141">
        <f t="shared" ref="FN25:FN39" si="2">FK25/EY25</f>
        <v>1.4033943605402301</v>
      </c>
    </row>
    <row r="26" spans="1:170" x14ac:dyDescent="0.35">
      <c r="B26" s="4" t="str">
        <f>Populations!$C$5</f>
        <v>MSM</v>
      </c>
      <c r="C26" s="7">
        <v>8.5719999999999998E-3</v>
      </c>
      <c r="D26" s="7">
        <v>9.1719999999999996E-3</v>
      </c>
      <c r="E26" s="7">
        <v>1.0272999999999999E-2</v>
      </c>
      <c r="F26" s="7">
        <v>1.1878E-2</v>
      </c>
      <c r="G26" s="7">
        <v>1.3362000000000001E-2</v>
      </c>
      <c r="H26" s="7">
        <v>1.5121000000000001E-2</v>
      </c>
      <c r="I26" s="7">
        <v>1.6050999999999999E-2</v>
      </c>
      <c r="J26" s="7">
        <v>1.7097999999999999E-2</v>
      </c>
      <c r="K26" s="7">
        <v>1.8516000000000001E-2</v>
      </c>
      <c r="L26" s="7">
        <v>2.0337999999999998E-2</v>
      </c>
      <c r="M26" s="7">
        <v>2.0558E-2</v>
      </c>
      <c r="N26" s="7">
        <v>2.2953000000000001E-2</v>
      </c>
      <c r="O26" s="7">
        <v>2.0154999999999999E-2</v>
      </c>
      <c r="P26" s="7">
        <v>2.0978E-2</v>
      </c>
      <c r="Q26" s="7">
        <v>2.0181000000000001E-2</v>
      </c>
      <c r="R26" s="7">
        <v>1.9758000000000001E-2</v>
      </c>
      <c r="S26" s="7">
        <v>1.9185000000000001E-2</v>
      </c>
      <c r="T26" s="7">
        <v>1.8556E-2</v>
      </c>
      <c r="U26" s="7">
        <v>1.7708999999999999E-2</v>
      </c>
      <c r="V26" s="7">
        <v>1.6892000000000001E-2</v>
      </c>
      <c r="W26" s="7">
        <v>1.4931E-2</v>
      </c>
      <c r="X26" s="7">
        <v>1.3198E-2</v>
      </c>
      <c r="Y26" s="7">
        <v>1.1665E-2</v>
      </c>
      <c r="Z26" s="7">
        <v>1.0475E-2</v>
      </c>
      <c r="AA26" s="7">
        <v>9.5300000000000003E-3</v>
      </c>
      <c r="AB26" s="7">
        <v>9.0760000000000007E-3</v>
      </c>
      <c r="AC26" s="7">
        <v>8.7240000000000009E-3</v>
      </c>
      <c r="AD26" s="7">
        <v>8.5929999999999999E-3</v>
      </c>
      <c r="AE26" s="7">
        <v>8.1620000000000009E-3</v>
      </c>
      <c r="AF26" s="7">
        <v>8.3979999999999992E-3</v>
      </c>
      <c r="AG26" s="7">
        <v>8.5599999999999999E-3</v>
      </c>
      <c r="AH26" s="15">
        <v>9.7529999999999995E-3</v>
      </c>
      <c r="AI26" s="15">
        <v>9.5619999999999993E-3</v>
      </c>
      <c r="AJ26" s="15"/>
      <c r="AK26" s="15"/>
      <c r="AL26" s="15"/>
      <c r="AM26" s="15"/>
      <c r="AN26" s="15"/>
      <c r="AO26" s="15"/>
      <c r="AP26" s="15"/>
      <c r="AQ26" s="15"/>
      <c r="AR26" s="6" t="s">
        <v>46</v>
      </c>
      <c r="AS26" s="7"/>
      <c r="AT26" s="143"/>
      <c r="AU26" s="143"/>
      <c r="AV26" s="144" t="s">
        <v>368</v>
      </c>
      <c r="AW26" s="154">
        <f>(CE25*1000)/5</f>
        <v>1049.2</v>
      </c>
      <c r="AX26" s="154">
        <v>1049.2</v>
      </c>
      <c r="AY26" s="154">
        <v>1049.2</v>
      </c>
      <c r="AZ26" s="154">
        <v>1049.2</v>
      </c>
      <c r="BA26" s="154">
        <v>1049.2</v>
      </c>
      <c r="BB26" s="154">
        <f>(CE26*1000)/5</f>
        <v>1409</v>
      </c>
      <c r="BC26" s="154">
        <v>1409</v>
      </c>
      <c r="BD26" s="154">
        <v>1409</v>
      </c>
      <c r="BE26" s="154">
        <v>1409</v>
      </c>
      <c r="BF26" s="154">
        <v>1409</v>
      </c>
      <c r="BG26" s="154">
        <f>(CE27*1000)/5</f>
        <v>1847.6</v>
      </c>
      <c r="BH26" s="154">
        <v>1847.6</v>
      </c>
      <c r="BI26" s="154">
        <v>1847.6</v>
      </c>
      <c r="BJ26" s="154">
        <v>1847.6</v>
      </c>
      <c r="BK26" s="154">
        <v>1847.6</v>
      </c>
      <c r="BL26" s="154">
        <f>(CE28*1000)/5</f>
        <v>2034.6</v>
      </c>
      <c r="BM26" s="154">
        <v>2034.6</v>
      </c>
      <c r="BN26" s="154">
        <v>2034.6</v>
      </c>
      <c r="BO26" s="154">
        <v>2034.6</v>
      </c>
      <c r="BP26" s="154">
        <v>2034.6</v>
      </c>
      <c r="BQ26" s="154">
        <f>(CE29*1000)/5</f>
        <v>1353</v>
      </c>
      <c r="BR26" s="154">
        <v>1353</v>
      </c>
      <c r="BS26" s="154">
        <v>1353</v>
      </c>
      <c r="BT26" s="154">
        <v>1353</v>
      </c>
      <c r="BU26" s="154">
        <v>1353</v>
      </c>
      <c r="BV26" s="154">
        <f>(CE30*1000)/5</f>
        <v>1036.5999999999999</v>
      </c>
      <c r="BW26" s="155">
        <v>1036.5999999999999</v>
      </c>
      <c r="BX26" s="155">
        <v>1036.5999999999999</v>
      </c>
      <c r="BY26" s="155">
        <v>1036.5999999999999</v>
      </c>
      <c r="BZ26" s="155">
        <v>1036.5999999999999</v>
      </c>
      <c r="CA26" s="155">
        <v>1036.5999999999999</v>
      </c>
      <c r="CC26" t="s">
        <v>386</v>
      </c>
      <c r="CD26" s="150">
        <v>96.790999999999997</v>
      </c>
      <c r="CE26" s="150">
        <v>7.0449999999999999</v>
      </c>
      <c r="CF26" s="150">
        <v>15.269</v>
      </c>
      <c r="CG26" s="150">
        <v>72.180000000000007</v>
      </c>
      <c r="CH26" s="150">
        <v>102.25</v>
      </c>
      <c r="CI26" s="150">
        <v>104.26300000000001</v>
      </c>
      <c r="CJ26" s="143"/>
      <c r="CK26" s="4" t="str">
        <f>Populations!$C$5</f>
        <v>MSM</v>
      </c>
      <c r="CL26" s="7">
        <v>1.19174603957395E-2</v>
      </c>
      <c r="CM26" s="7">
        <v>1.19174603957395E-2</v>
      </c>
      <c r="CN26" s="7">
        <v>1.19174603957395E-2</v>
      </c>
      <c r="CO26" s="7">
        <v>1.19174603957395E-2</v>
      </c>
      <c r="CP26" s="7">
        <v>1.19174603957395E-2</v>
      </c>
      <c r="CQ26" s="7">
        <v>1.19174603957395E-2</v>
      </c>
      <c r="CR26" s="7">
        <v>1.19174603957395E-2</v>
      </c>
      <c r="CS26" s="7">
        <v>1.19174603957395E-2</v>
      </c>
      <c r="CT26" s="7">
        <v>1.19174603957395E-2</v>
      </c>
      <c r="CU26" s="7">
        <v>1.19174603957395E-2</v>
      </c>
      <c r="CV26" s="7">
        <v>1.19174603957395E-2</v>
      </c>
      <c r="CW26" s="7">
        <v>1.0886084418490601E-2</v>
      </c>
      <c r="CX26" s="7">
        <v>1.00852082300641E-2</v>
      </c>
      <c r="CY26" s="7">
        <v>9.4966895111676403E-3</v>
      </c>
      <c r="CZ26" s="7">
        <v>9.0916369681412305E-3</v>
      </c>
      <c r="DA26" s="7">
        <v>8.8913351322426407E-3</v>
      </c>
      <c r="DB26" s="7">
        <v>8.2149281228267503E-3</v>
      </c>
      <c r="DC26" s="7">
        <v>7.7241432626302996E-3</v>
      </c>
      <c r="DD26" s="7">
        <v>7.3137871875849003E-3</v>
      </c>
      <c r="DE26" s="7">
        <v>7.0175946884781099E-3</v>
      </c>
      <c r="DF26" s="7">
        <v>1.0190622570997517E-2</v>
      </c>
      <c r="DG26" s="7">
        <v>1.041233785495143E-2</v>
      </c>
      <c r="DH26" s="7">
        <v>1.084571059102569E-2</v>
      </c>
      <c r="DI26" s="7">
        <v>1.0736067475602179E-2</v>
      </c>
      <c r="DJ26" s="7">
        <v>1.0519749708410535E-2</v>
      </c>
      <c r="DK26" s="7">
        <v>9.9453490974192003E-3</v>
      </c>
      <c r="DL26" s="7">
        <v>1.0548693418460009E-2</v>
      </c>
      <c r="DM26" s="7">
        <v>1.0547139040957155E-2</v>
      </c>
      <c r="DN26" s="7">
        <v>1.0530596409667799E-2</v>
      </c>
      <c r="DO26" s="7">
        <v>1.0504867578440701E-2</v>
      </c>
      <c r="DP26" s="7">
        <v>1.0472199935366326E-2</v>
      </c>
      <c r="DQ26" s="7">
        <v>1.0424203148949224E-2</v>
      </c>
      <c r="DR26" s="7">
        <v>1.0376537825780009E-2</v>
      </c>
      <c r="DS26" s="7">
        <v>1.0323402644118809E-2</v>
      </c>
      <c r="DT26" s="7">
        <v>1.0257888460525846E-2</v>
      </c>
      <c r="DU26" s="7">
        <v>1.0178455363645259E-2</v>
      </c>
      <c r="DV26" s="7">
        <v>1.0113532571853524E-2</v>
      </c>
      <c r="DW26" s="7">
        <v>1.003789387776402E-2</v>
      </c>
      <c r="DX26" s="7">
        <v>9.9559756933621357E-3</v>
      </c>
      <c r="DY26" s="7">
        <v>9.8745968898490341E-3</v>
      </c>
      <c r="DZ26" s="7">
        <v>9.7977508878285755E-3</v>
      </c>
      <c r="EA26" s="143"/>
      <c r="EB26" s="143"/>
      <c r="ED26" s="4" t="str">
        <f>Populations!$C$5</f>
        <v>MSM</v>
      </c>
      <c r="EE26" s="7">
        <v>1.19174603957395E-2</v>
      </c>
      <c r="EF26" s="7">
        <v>1.0886084418490601E-2</v>
      </c>
      <c r="EG26" s="7">
        <v>1.00852082300641E-2</v>
      </c>
      <c r="EH26" s="7">
        <v>9.4966895111676403E-3</v>
      </c>
      <c r="EI26" s="7">
        <v>9.0916369681412305E-3</v>
      </c>
      <c r="EJ26" s="7">
        <v>8.8913351322426407E-3</v>
      </c>
      <c r="EK26" s="7">
        <v>8.2149281228267503E-3</v>
      </c>
      <c r="EL26" s="7">
        <v>7.7241432626302996E-3</v>
      </c>
      <c r="EM26" s="7">
        <v>7.3137871875849003E-3</v>
      </c>
      <c r="EN26" s="7">
        <v>7.0175946884781099E-3</v>
      </c>
      <c r="EO26" s="7">
        <v>6.7937483806650104E-3</v>
      </c>
      <c r="EP26" s="7">
        <v>6.9415585699676204E-3</v>
      </c>
      <c r="EQ26" s="7">
        <v>7.2304737273504597E-3</v>
      </c>
      <c r="ER26" s="7">
        <v>7.1573783170681199E-3</v>
      </c>
      <c r="ES26" s="7">
        <v>7.0131664722736901E-3</v>
      </c>
      <c r="ET26" s="7">
        <v>6.6302327316127996E-3</v>
      </c>
      <c r="EU26" s="7">
        <v>7.0324622789733398E-3</v>
      </c>
      <c r="EV26" s="7">
        <v>7.0314260273047699E-3</v>
      </c>
      <c r="EW26" s="7">
        <v>7.0203976064451999E-3</v>
      </c>
      <c r="EX26" s="7">
        <v>7.0032450522938003E-3</v>
      </c>
      <c r="EY26" s="7">
        <v>6.9814666235775502E-3</v>
      </c>
      <c r="EZ26" s="7">
        <v>6.9494687659661502E-3</v>
      </c>
      <c r="FA26" s="7">
        <v>6.9176918838533396E-3</v>
      </c>
      <c r="FB26" s="7">
        <v>6.8822684294125398E-3</v>
      </c>
      <c r="FC26" s="7">
        <v>6.8385923070172303E-3</v>
      </c>
      <c r="FD26" s="7">
        <v>6.7856369090968397E-3</v>
      </c>
      <c r="FE26" s="7">
        <v>6.7423550479023498E-3</v>
      </c>
      <c r="FF26" s="7">
        <v>6.6919292518426796E-3</v>
      </c>
      <c r="FG26" s="7">
        <v>6.6373171289080901E-3</v>
      </c>
      <c r="FH26" s="7">
        <v>6.58306459323269E-3</v>
      </c>
      <c r="FI26" s="7">
        <v>6.5318339252190497E-3</v>
      </c>
      <c r="FK26" s="7">
        <v>9.7977508878285755E-3</v>
      </c>
      <c r="FM26" s="142">
        <f t="shared" si="1"/>
        <v>1.5000000000000002</v>
      </c>
      <c r="FN26" s="141">
        <f t="shared" si="2"/>
        <v>1.4033943605402301</v>
      </c>
    </row>
    <row r="27" spans="1:170" x14ac:dyDescent="0.35">
      <c r="B27" s="4" t="str">
        <f>Populations!$C$6</f>
        <v>Prisoners</v>
      </c>
      <c r="C27" s="7">
        <v>8.5719999999999998E-3</v>
      </c>
      <c r="D27" s="7">
        <v>9.1719999999999996E-3</v>
      </c>
      <c r="E27" s="7">
        <v>1.0272999999999999E-2</v>
      </c>
      <c r="F27" s="7">
        <v>1.1878E-2</v>
      </c>
      <c r="G27" s="7">
        <v>1.3362000000000001E-2</v>
      </c>
      <c r="H27" s="7">
        <v>1.5121000000000001E-2</v>
      </c>
      <c r="I27" s="7">
        <v>1.6050999999999999E-2</v>
      </c>
      <c r="J27" s="7">
        <v>1.7097999999999999E-2</v>
      </c>
      <c r="K27" s="7">
        <v>1.8516000000000001E-2</v>
      </c>
      <c r="L27" s="7">
        <v>2.0337999999999998E-2</v>
      </c>
      <c r="M27" s="7">
        <v>2.0558E-2</v>
      </c>
      <c r="N27" s="7">
        <v>2.2953000000000001E-2</v>
      </c>
      <c r="O27" s="7">
        <v>2.0154999999999999E-2</v>
      </c>
      <c r="P27" s="7">
        <v>2.0978E-2</v>
      </c>
      <c r="Q27" s="7">
        <v>2.0181000000000001E-2</v>
      </c>
      <c r="R27" s="7">
        <v>1.9758000000000001E-2</v>
      </c>
      <c r="S27" s="7">
        <v>1.9185000000000001E-2</v>
      </c>
      <c r="T27" s="7">
        <v>1.8556E-2</v>
      </c>
      <c r="U27" s="7">
        <v>1.7708999999999999E-2</v>
      </c>
      <c r="V27" s="7">
        <v>1.6892000000000001E-2</v>
      </c>
      <c r="W27" s="7">
        <v>1.4931E-2</v>
      </c>
      <c r="X27" s="7">
        <v>1.3198E-2</v>
      </c>
      <c r="Y27" s="7">
        <v>1.1665E-2</v>
      </c>
      <c r="Z27" s="7">
        <v>1.0475E-2</v>
      </c>
      <c r="AA27" s="7">
        <v>9.5300000000000003E-3</v>
      </c>
      <c r="AB27" s="7">
        <v>9.0760000000000007E-3</v>
      </c>
      <c r="AC27" s="7">
        <v>8.7240000000000009E-3</v>
      </c>
      <c r="AD27" s="7">
        <v>8.5929999999999999E-3</v>
      </c>
      <c r="AE27" s="7">
        <v>8.1620000000000009E-3</v>
      </c>
      <c r="AF27" s="7">
        <v>8.3979999999999992E-3</v>
      </c>
      <c r="AG27" s="7">
        <v>8.5599999999999999E-3</v>
      </c>
      <c r="AH27" s="15">
        <v>9.7529999999999995E-3</v>
      </c>
      <c r="AI27" s="15">
        <v>9.5619999999999993E-3</v>
      </c>
      <c r="AJ27" s="15"/>
      <c r="AK27" s="15"/>
      <c r="AL27" s="15"/>
      <c r="AM27" s="15"/>
      <c r="AN27" s="15"/>
      <c r="AO27" s="15"/>
      <c r="AP27" s="15"/>
      <c r="AQ27" s="15"/>
      <c r="AR27" s="6" t="s">
        <v>46</v>
      </c>
      <c r="AS27" s="7"/>
      <c r="AT27" s="143"/>
      <c r="AU27" s="143"/>
      <c r="AV27" s="144" t="s">
        <v>369</v>
      </c>
      <c r="AW27" s="154">
        <f>(CF25*1000)/5</f>
        <v>1776.4</v>
      </c>
      <c r="AX27" s="154">
        <v>1776.4</v>
      </c>
      <c r="AY27" s="154">
        <v>1776.4</v>
      </c>
      <c r="AZ27" s="154">
        <v>1776.4</v>
      </c>
      <c r="BA27" s="154">
        <v>1776.4</v>
      </c>
      <c r="BB27" s="154">
        <f>(CF26*1000)/5</f>
        <v>3053.8</v>
      </c>
      <c r="BC27" s="154">
        <v>3053.8</v>
      </c>
      <c r="BD27" s="154">
        <v>3053.8</v>
      </c>
      <c r="BE27" s="154">
        <v>3053.8</v>
      </c>
      <c r="BF27" s="154">
        <v>3053.8</v>
      </c>
      <c r="BG27" s="154">
        <f>(CF27*1000)/5</f>
        <v>4285.2</v>
      </c>
      <c r="BH27" s="154">
        <v>4285.2</v>
      </c>
      <c r="BI27" s="154">
        <v>4285.2</v>
      </c>
      <c r="BJ27" s="154">
        <v>4285.2</v>
      </c>
      <c r="BK27" s="154">
        <v>4285.2</v>
      </c>
      <c r="BL27" s="154">
        <f>(CF28*1000)/5</f>
        <v>4598.3999999999996</v>
      </c>
      <c r="BM27" s="154">
        <v>4598.3999999999996</v>
      </c>
      <c r="BN27" s="154">
        <v>4598.3999999999996</v>
      </c>
      <c r="BO27" s="154">
        <v>4598.3999999999996</v>
      </c>
      <c r="BP27" s="154">
        <v>4598.3999999999996</v>
      </c>
      <c r="BQ27" s="154">
        <f>(CF29*1000)/5</f>
        <v>2571.6</v>
      </c>
      <c r="BR27" s="154">
        <v>2571.6</v>
      </c>
      <c r="BS27" s="154">
        <v>2571.6</v>
      </c>
      <c r="BT27" s="154">
        <v>2571.6</v>
      </c>
      <c r="BU27" s="154">
        <v>2571.6</v>
      </c>
      <c r="BV27" s="154">
        <f>(CF30*1000)/5</f>
        <v>1940.8</v>
      </c>
      <c r="BW27" s="155">
        <v>1940.8</v>
      </c>
      <c r="BX27" s="155">
        <v>1940.8</v>
      </c>
      <c r="BY27" s="155">
        <v>1940.8</v>
      </c>
      <c r="BZ27" s="155">
        <v>1940.8</v>
      </c>
      <c r="CA27" s="155">
        <v>1940.8</v>
      </c>
      <c r="CC27" t="s">
        <v>351</v>
      </c>
      <c r="CD27" s="150">
        <v>101.098</v>
      </c>
      <c r="CE27" s="150">
        <v>9.2379999999999995</v>
      </c>
      <c r="CF27" s="150">
        <v>21.425999999999998</v>
      </c>
      <c r="CG27" s="150">
        <v>105.214</v>
      </c>
      <c r="CH27" s="150">
        <v>143.072</v>
      </c>
      <c r="CI27" s="150">
        <v>127.245</v>
      </c>
      <c r="CJ27" s="143"/>
      <c r="CK27" s="4" t="str">
        <f>Populations!$C$6</f>
        <v>Prisoners</v>
      </c>
      <c r="CL27" s="7">
        <v>1.19174603957395E-2</v>
      </c>
      <c r="CM27" s="7">
        <v>1.19174603957395E-2</v>
      </c>
      <c r="CN27" s="7">
        <v>1.19174603957395E-2</v>
      </c>
      <c r="CO27" s="7">
        <v>1.19174603957395E-2</v>
      </c>
      <c r="CP27" s="7">
        <v>1.19174603957395E-2</v>
      </c>
      <c r="CQ27" s="7">
        <v>1.19174603957395E-2</v>
      </c>
      <c r="CR27" s="7">
        <v>1.19174603957395E-2</v>
      </c>
      <c r="CS27" s="7">
        <v>1.19174603957395E-2</v>
      </c>
      <c r="CT27" s="7">
        <v>1.19174603957395E-2</v>
      </c>
      <c r="CU27" s="7">
        <v>1.19174603957395E-2</v>
      </c>
      <c r="CV27" s="7">
        <v>1.19174603957395E-2</v>
      </c>
      <c r="CW27" s="7">
        <v>1.0886084418490601E-2</v>
      </c>
      <c r="CX27" s="7">
        <v>1.00852082300641E-2</v>
      </c>
      <c r="CY27" s="7">
        <v>9.4966895111676403E-3</v>
      </c>
      <c r="CZ27" s="7">
        <v>9.0916369681412305E-3</v>
      </c>
      <c r="DA27" s="7">
        <v>8.8913351322426407E-3</v>
      </c>
      <c r="DB27" s="7">
        <v>8.2149281228267503E-3</v>
      </c>
      <c r="DC27" s="7">
        <v>7.7241432626302996E-3</v>
      </c>
      <c r="DD27" s="7">
        <v>7.3137871875849003E-3</v>
      </c>
      <c r="DE27" s="7">
        <v>7.0175946884781099E-3</v>
      </c>
      <c r="DF27" s="7">
        <v>1.0190622570997517E-2</v>
      </c>
      <c r="DG27" s="7">
        <v>1.041233785495143E-2</v>
      </c>
      <c r="DH27" s="7">
        <v>1.084571059102569E-2</v>
      </c>
      <c r="DI27" s="7">
        <v>1.0736067475602179E-2</v>
      </c>
      <c r="DJ27" s="7">
        <v>1.0519749708410535E-2</v>
      </c>
      <c r="DK27" s="7">
        <v>9.9453490974192003E-3</v>
      </c>
      <c r="DL27" s="7">
        <v>1.0548693418460009E-2</v>
      </c>
      <c r="DM27" s="7">
        <v>1.0547139040957155E-2</v>
      </c>
      <c r="DN27" s="7">
        <v>1.0530596409667799E-2</v>
      </c>
      <c r="DO27" s="7">
        <v>1.0504867578440701E-2</v>
      </c>
      <c r="DP27" s="7">
        <v>1.0472199935366326E-2</v>
      </c>
      <c r="DQ27" s="7">
        <v>1.0424203148949224E-2</v>
      </c>
      <c r="DR27" s="7">
        <v>1.0376537825780009E-2</v>
      </c>
      <c r="DS27" s="7">
        <v>1.0323402644118809E-2</v>
      </c>
      <c r="DT27" s="7">
        <v>1.0257888460525846E-2</v>
      </c>
      <c r="DU27" s="7">
        <v>1.0178455363645259E-2</v>
      </c>
      <c r="DV27" s="7">
        <v>1.0113532571853524E-2</v>
      </c>
      <c r="DW27" s="7">
        <v>1.003789387776402E-2</v>
      </c>
      <c r="DX27" s="7">
        <v>9.9559756933621357E-3</v>
      </c>
      <c r="DY27" s="7">
        <v>9.8745968898490341E-3</v>
      </c>
      <c r="DZ27" s="7">
        <v>9.7977508878285755E-3</v>
      </c>
      <c r="EA27" s="143"/>
      <c r="EB27" s="143"/>
      <c r="ED27" s="4" t="str">
        <f>Populations!$C$6</f>
        <v>Prisoners</v>
      </c>
      <c r="EE27" s="7">
        <v>1.19174603957395E-2</v>
      </c>
      <c r="EF27" s="7">
        <v>1.0886084418490601E-2</v>
      </c>
      <c r="EG27" s="7">
        <v>1.00852082300641E-2</v>
      </c>
      <c r="EH27" s="7">
        <v>9.4966895111676403E-3</v>
      </c>
      <c r="EI27" s="7">
        <v>9.0916369681412305E-3</v>
      </c>
      <c r="EJ27" s="7">
        <v>8.8913351322426407E-3</v>
      </c>
      <c r="EK27" s="7">
        <v>8.2149281228267503E-3</v>
      </c>
      <c r="EL27" s="7">
        <v>7.7241432626302996E-3</v>
      </c>
      <c r="EM27" s="7">
        <v>7.3137871875849003E-3</v>
      </c>
      <c r="EN27" s="7">
        <v>7.0175946884781099E-3</v>
      </c>
      <c r="EO27" s="7">
        <v>6.7937483806650104E-3</v>
      </c>
      <c r="EP27" s="7">
        <v>6.9415585699676204E-3</v>
      </c>
      <c r="EQ27" s="7">
        <v>7.2304737273504597E-3</v>
      </c>
      <c r="ER27" s="7">
        <v>7.1573783170681199E-3</v>
      </c>
      <c r="ES27" s="7">
        <v>7.0131664722736901E-3</v>
      </c>
      <c r="ET27" s="7">
        <v>6.6302327316127996E-3</v>
      </c>
      <c r="EU27" s="7">
        <v>7.0324622789733398E-3</v>
      </c>
      <c r="EV27" s="7">
        <v>7.0314260273047699E-3</v>
      </c>
      <c r="EW27" s="7">
        <v>7.0203976064451999E-3</v>
      </c>
      <c r="EX27" s="7">
        <v>7.0032450522938003E-3</v>
      </c>
      <c r="EY27" s="7">
        <v>6.9814666235775502E-3</v>
      </c>
      <c r="EZ27" s="7">
        <v>6.9494687659661502E-3</v>
      </c>
      <c r="FA27" s="7">
        <v>6.9176918838533396E-3</v>
      </c>
      <c r="FB27" s="7">
        <v>6.8822684294125398E-3</v>
      </c>
      <c r="FC27" s="7">
        <v>6.8385923070172303E-3</v>
      </c>
      <c r="FD27" s="7">
        <v>6.7856369090968397E-3</v>
      </c>
      <c r="FE27" s="7">
        <v>6.7423550479023498E-3</v>
      </c>
      <c r="FF27" s="7">
        <v>6.6919292518426796E-3</v>
      </c>
      <c r="FG27" s="7">
        <v>6.6373171289080901E-3</v>
      </c>
      <c r="FH27" s="7">
        <v>6.58306459323269E-3</v>
      </c>
      <c r="FI27" s="7">
        <v>6.5318339252190497E-3</v>
      </c>
      <c r="FK27" s="7">
        <v>9.7977508878285755E-3</v>
      </c>
      <c r="FM27" s="142">
        <f t="shared" si="1"/>
        <v>1.5000000000000002</v>
      </c>
      <c r="FN27" s="141">
        <f t="shared" si="2"/>
        <v>1.4033943605402301</v>
      </c>
    </row>
    <row r="28" spans="1:170" x14ac:dyDescent="0.35">
      <c r="B28" s="4" t="str">
        <f>Populations!$C$7</f>
        <v>F0-14</v>
      </c>
      <c r="C28" s="7">
        <v>6.1450000000000003E-3</v>
      </c>
      <c r="D28" s="7">
        <v>6.4000000000000003E-3</v>
      </c>
      <c r="E28" s="7">
        <v>6.7060000000000002E-3</v>
      </c>
      <c r="F28" s="7">
        <v>7.0879999999999997E-3</v>
      </c>
      <c r="G28" s="7">
        <v>7.3559999999999997E-3</v>
      </c>
      <c r="H28" s="7">
        <v>7.6420000000000004E-3</v>
      </c>
      <c r="I28" s="7">
        <v>8.0009999999999994E-3</v>
      </c>
      <c r="J28" s="7">
        <v>8.1530000000000005E-3</v>
      </c>
      <c r="K28" s="7">
        <v>8.3899999999999999E-3</v>
      </c>
      <c r="L28" s="7">
        <v>8.5839999999999996E-3</v>
      </c>
      <c r="M28" s="7">
        <v>8.7139999999999995E-3</v>
      </c>
      <c r="N28" s="7">
        <v>8.633E-3</v>
      </c>
      <c r="O28" s="7">
        <v>8.6770000000000007E-3</v>
      </c>
      <c r="P28" s="7">
        <v>8.5019999999999991E-3</v>
      </c>
      <c r="Q28" s="7">
        <v>8.5749999999999993E-3</v>
      </c>
      <c r="R28" s="7">
        <v>8.5620000000000002E-3</v>
      </c>
      <c r="S28" s="7">
        <v>8.6230000000000005E-3</v>
      </c>
      <c r="T28" s="7">
        <v>8.5869999999999991E-3</v>
      </c>
      <c r="U28" s="7">
        <v>8.7650000000000002E-3</v>
      </c>
      <c r="V28" s="7">
        <v>8.5009999999999999E-3</v>
      </c>
      <c r="W28" s="7">
        <v>7.7869999999999997E-3</v>
      </c>
      <c r="X28" s="7">
        <v>7.2620000000000002E-3</v>
      </c>
      <c r="Y28" s="7">
        <v>6.3769999999999999E-3</v>
      </c>
      <c r="Z28" s="7">
        <v>5.7889999999999999E-3</v>
      </c>
      <c r="AA28" s="7">
        <v>5.3660000000000001E-3</v>
      </c>
      <c r="AB28" s="7">
        <v>5.1510000000000002E-3</v>
      </c>
      <c r="AC28" s="7">
        <v>4.8529999999999997E-3</v>
      </c>
      <c r="AD28" s="7">
        <v>4.6829999999999997E-3</v>
      </c>
      <c r="AE28" s="7">
        <v>4.444E-3</v>
      </c>
      <c r="AF28" s="7">
        <v>4.4380000000000001E-3</v>
      </c>
      <c r="AG28" s="7">
        <v>4.3030000000000004E-3</v>
      </c>
      <c r="AH28" s="15">
        <v>4.267E-3</v>
      </c>
      <c r="AI28" s="15">
        <v>4.3359999999999996E-3</v>
      </c>
      <c r="AJ28" s="15"/>
      <c r="AK28" s="15"/>
      <c r="AL28" s="15"/>
      <c r="AM28" s="15"/>
      <c r="AN28" s="15"/>
      <c r="AO28" s="15"/>
      <c r="AP28" s="15"/>
      <c r="AQ28" s="15"/>
      <c r="AR28" s="6" t="s">
        <v>46</v>
      </c>
      <c r="AS28" s="7"/>
      <c r="AT28" s="143"/>
      <c r="AU28" s="143"/>
      <c r="AV28" s="144" t="s">
        <v>387</v>
      </c>
      <c r="AW28" s="154">
        <f>(CG25*1000)/5</f>
        <v>6443.2</v>
      </c>
      <c r="AX28" s="154">
        <v>6443.2</v>
      </c>
      <c r="AY28" s="154">
        <v>6443.2</v>
      </c>
      <c r="AZ28" s="154">
        <v>6443.2</v>
      </c>
      <c r="BA28" s="154">
        <v>6443.2</v>
      </c>
      <c r="BB28" s="154">
        <f>(CG26*1000)/5</f>
        <v>14436</v>
      </c>
      <c r="BC28" s="154">
        <v>14436</v>
      </c>
      <c r="BD28" s="154">
        <v>14436</v>
      </c>
      <c r="BE28" s="154">
        <v>14436</v>
      </c>
      <c r="BF28" s="154">
        <v>14436</v>
      </c>
      <c r="BG28" s="154">
        <f>(CG27*1000)/5</f>
        <v>21042.799999999999</v>
      </c>
      <c r="BH28" s="154">
        <v>21042.799999999999</v>
      </c>
      <c r="BI28" s="154">
        <v>21042.799999999999</v>
      </c>
      <c r="BJ28" s="154">
        <v>21042.799999999999</v>
      </c>
      <c r="BK28" s="154">
        <v>21042.799999999999</v>
      </c>
      <c r="BL28" s="154">
        <f>(CG28*1000)/5</f>
        <v>21302.6</v>
      </c>
      <c r="BM28" s="154">
        <v>21302.6</v>
      </c>
      <c r="BN28" s="154">
        <v>21302.6</v>
      </c>
      <c r="BO28" s="154">
        <v>21302.6</v>
      </c>
      <c r="BP28" s="154">
        <v>21302.6</v>
      </c>
      <c r="BQ28" s="154">
        <f>(CG29*1000)/5</f>
        <v>9194</v>
      </c>
      <c r="BR28" s="154">
        <v>9194</v>
      </c>
      <c r="BS28" s="154">
        <v>9194</v>
      </c>
      <c r="BT28" s="154">
        <v>9194</v>
      </c>
      <c r="BU28" s="154">
        <v>9194</v>
      </c>
      <c r="BV28" s="154">
        <f>(CG30*1000)/5</f>
        <v>7410.2</v>
      </c>
      <c r="BW28" s="155">
        <v>7410.2</v>
      </c>
      <c r="BX28" s="155">
        <v>7410.2</v>
      </c>
      <c r="BY28" s="155">
        <v>7410.2</v>
      </c>
      <c r="BZ28" s="155">
        <v>7410.2</v>
      </c>
      <c r="CA28" s="155">
        <v>7410.2</v>
      </c>
      <c r="CC28" t="s">
        <v>352</v>
      </c>
      <c r="CD28" s="150">
        <v>108.099</v>
      </c>
      <c r="CE28" s="150">
        <v>10.173</v>
      </c>
      <c r="CF28" s="150">
        <v>22.992000000000001</v>
      </c>
      <c r="CG28" s="150">
        <v>106.51300000000001</v>
      </c>
      <c r="CH28" s="150">
        <v>133.58599999999998</v>
      </c>
      <c r="CI28" s="150">
        <v>144.99199999999999</v>
      </c>
      <c r="CJ28" s="143"/>
      <c r="CK28" s="4" t="str">
        <f>Populations!$C$7</f>
        <v>F0-14</v>
      </c>
      <c r="CL28" s="7">
        <v>7.4065235312894603E-3</v>
      </c>
      <c r="CM28" s="7">
        <v>7.4065235312894603E-3</v>
      </c>
      <c r="CN28" s="7">
        <v>7.4065235312894603E-3</v>
      </c>
      <c r="CO28" s="7">
        <v>7.4065235312894603E-3</v>
      </c>
      <c r="CP28" s="7">
        <v>7.4065235312894603E-3</v>
      </c>
      <c r="CQ28" s="7">
        <v>7.4065235312894603E-3</v>
      </c>
      <c r="CR28" s="7">
        <v>7.4065235312894603E-3</v>
      </c>
      <c r="CS28" s="7">
        <v>7.4065235312894603E-3</v>
      </c>
      <c r="CT28" s="7">
        <v>7.4065235312894603E-3</v>
      </c>
      <c r="CU28" s="7">
        <v>7.4065235312894603E-3</v>
      </c>
      <c r="CV28" s="7">
        <v>7.4065235312894603E-3</v>
      </c>
      <c r="CW28" s="7">
        <v>7.3750170531270897E-3</v>
      </c>
      <c r="CX28" s="7">
        <v>7.3840565596814903E-3</v>
      </c>
      <c r="CY28" s="7">
        <v>7.4334386119607196E-3</v>
      </c>
      <c r="CZ28" s="7">
        <v>7.48756102973306E-3</v>
      </c>
      <c r="DA28" s="7">
        <v>7.5462607593019997E-3</v>
      </c>
      <c r="DB28" s="7">
        <v>7.2767898767054501E-3</v>
      </c>
      <c r="DC28" s="7">
        <v>7.0128122856759302E-3</v>
      </c>
      <c r="DD28" s="7">
        <v>6.7728721909556698E-3</v>
      </c>
      <c r="DE28" s="7">
        <v>6.5714069386481801E-3</v>
      </c>
      <c r="DF28" s="7">
        <v>9.594178658417836E-3</v>
      </c>
      <c r="DG28" s="7">
        <v>9.2778381628886696E-3</v>
      </c>
      <c r="DH28" s="7">
        <v>8.9321584666655837E-3</v>
      </c>
      <c r="DI28" s="7">
        <v>8.4364654338957897E-3</v>
      </c>
      <c r="DJ28" s="7">
        <v>7.9543280623646847E-3</v>
      </c>
      <c r="DK28" s="7">
        <v>7.5075462717032401E-3</v>
      </c>
      <c r="DL28" s="7">
        <v>7.1819862865460694E-3</v>
      </c>
      <c r="DM28" s="7">
        <v>6.7706657588271144E-3</v>
      </c>
      <c r="DN28" s="7">
        <v>6.3838351512218398E-3</v>
      </c>
      <c r="DO28" s="7">
        <v>6.01629682594443E-3</v>
      </c>
      <c r="DP28" s="7">
        <v>5.6660836214298604E-3</v>
      </c>
      <c r="DQ28" s="7">
        <v>5.4018898257419097E-3</v>
      </c>
      <c r="DR28" s="7">
        <v>5.1456288566848049E-3</v>
      </c>
      <c r="DS28" s="7">
        <v>4.9002671947418995E-3</v>
      </c>
      <c r="DT28" s="7">
        <v>4.6689299922392999E-3</v>
      </c>
      <c r="DU28" s="7">
        <v>4.45117112696673E-3</v>
      </c>
      <c r="DV28" s="7">
        <v>4.3175448803869651E-3</v>
      </c>
      <c r="DW28" s="7">
        <v>4.1935802518258654E-3</v>
      </c>
      <c r="DX28" s="7">
        <v>4.0760829290023646E-3</v>
      </c>
      <c r="DY28" s="7">
        <v>3.9602050130592599E-3</v>
      </c>
      <c r="DZ28" s="7">
        <v>3.8431467166038904E-3</v>
      </c>
      <c r="EA28" s="143"/>
      <c r="EB28" s="143"/>
      <c r="ED28" s="4" t="str">
        <f>Populations!$C$7</f>
        <v>F0-14</v>
      </c>
      <c r="EE28" s="7">
        <v>7.4065235312894603E-3</v>
      </c>
      <c r="EF28" s="7">
        <v>7.3750170531270897E-3</v>
      </c>
      <c r="EG28" s="7">
        <v>7.3840565596814903E-3</v>
      </c>
      <c r="EH28" s="7">
        <v>7.4334386119607196E-3</v>
      </c>
      <c r="EI28" s="7">
        <v>7.48756102973306E-3</v>
      </c>
      <c r="EJ28" s="7">
        <v>7.5462607593019997E-3</v>
      </c>
      <c r="EK28" s="7">
        <v>7.2767898767054501E-3</v>
      </c>
      <c r="EL28" s="7">
        <v>7.0128122856759302E-3</v>
      </c>
      <c r="EM28" s="7">
        <v>6.7728721909556698E-3</v>
      </c>
      <c r="EN28" s="7">
        <v>6.5714069386481801E-3</v>
      </c>
      <c r="EO28" s="7">
        <v>6.3961191056118904E-3</v>
      </c>
      <c r="EP28" s="7">
        <v>6.1852254419257797E-3</v>
      </c>
      <c r="EQ28" s="7">
        <v>5.9547723111103897E-3</v>
      </c>
      <c r="ER28" s="7">
        <v>5.6243102892638598E-3</v>
      </c>
      <c r="ES28" s="7">
        <v>5.3028853749097901E-3</v>
      </c>
      <c r="ET28" s="7">
        <v>5.0050308478021598E-3</v>
      </c>
      <c r="EU28" s="7">
        <v>4.7879908576973799E-3</v>
      </c>
      <c r="EV28" s="7">
        <v>4.5137771725514099E-3</v>
      </c>
      <c r="EW28" s="7">
        <v>4.2558901008145598E-3</v>
      </c>
      <c r="EX28" s="7">
        <v>4.0108645506296203E-3</v>
      </c>
      <c r="EY28" s="7">
        <v>3.7773890809532401E-3</v>
      </c>
      <c r="EZ28" s="7">
        <v>3.60125988382794E-3</v>
      </c>
      <c r="FA28" s="7">
        <v>3.4304192377898699E-3</v>
      </c>
      <c r="FB28" s="7">
        <v>3.2668447964946E-3</v>
      </c>
      <c r="FC28" s="7">
        <v>3.1126199948262002E-3</v>
      </c>
      <c r="FD28" s="7">
        <v>2.9674474179778201E-3</v>
      </c>
      <c r="FE28" s="7">
        <v>2.8783632535913099E-3</v>
      </c>
      <c r="FF28" s="7">
        <v>2.7957201678839101E-3</v>
      </c>
      <c r="FG28" s="7">
        <v>2.71738861933491E-3</v>
      </c>
      <c r="FH28" s="7">
        <v>2.6401366753728401E-3</v>
      </c>
      <c r="FI28" s="7">
        <v>2.5620978110692601E-3</v>
      </c>
      <c r="FK28" s="7">
        <v>1E-3</v>
      </c>
      <c r="FM28" s="142">
        <f t="shared" si="1"/>
        <v>0.39030516152803013</v>
      </c>
      <c r="FN28" s="141">
        <f t="shared" si="2"/>
        <v>0.26473312083266937</v>
      </c>
    </row>
    <row r="29" spans="1:170" x14ac:dyDescent="0.35">
      <c r="B29" s="4" t="str">
        <f>Populations!$C$8</f>
        <v>M0-14</v>
      </c>
      <c r="C29" s="7">
        <v>7.7060000000000002E-3</v>
      </c>
      <c r="D29" s="7">
        <v>7.9719999999999999E-3</v>
      </c>
      <c r="E29" s="7">
        <v>8.3770000000000008E-3</v>
      </c>
      <c r="F29" s="7">
        <v>8.7740000000000005E-3</v>
      </c>
      <c r="G29" s="7">
        <v>9.1199999999999996E-3</v>
      </c>
      <c r="H29" s="7">
        <v>9.4009999999999996E-3</v>
      </c>
      <c r="I29" s="7">
        <v>9.92E-3</v>
      </c>
      <c r="J29" s="7">
        <v>1.0061E-2</v>
      </c>
      <c r="K29" s="7">
        <v>1.025E-2</v>
      </c>
      <c r="L29" s="7">
        <v>1.0404E-2</v>
      </c>
      <c r="M29" s="7">
        <v>1.0489999999999999E-2</v>
      </c>
      <c r="N29" s="7">
        <v>1.0436000000000001E-2</v>
      </c>
      <c r="O29" s="7">
        <v>1.0325000000000001E-2</v>
      </c>
      <c r="P29" s="7">
        <v>1.0145E-2</v>
      </c>
      <c r="Q29" s="7">
        <v>1.0123999999999999E-2</v>
      </c>
      <c r="R29" s="7">
        <v>1.0069E-2</v>
      </c>
      <c r="S29" s="7">
        <v>1.0137999999999999E-2</v>
      </c>
      <c r="T29" s="7">
        <v>1.0189E-2</v>
      </c>
      <c r="U29" s="7">
        <v>1.0314E-2</v>
      </c>
      <c r="V29" s="7">
        <v>1.0005999999999999E-2</v>
      </c>
      <c r="W29" s="7">
        <v>9.2540000000000001E-3</v>
      </c>
      <c r="X29" s="7">
        <v>8.6940000000000003E-3</v>
      </c>
      <c r="Y29" s="7">
        <v>7.6860000000000001E-3</v>
      </c>
      <c r="Z29" s="7">
        <v>6.9210000000000001E-3</v>
      </c>
      <c r="AA29" s="7">
        <v>6.3870000000000003E-3</v>
      </c>
      <c r="AB29" s="7">
        <v>6.1180000000000002E-3</v>
      </c>
      <c r="AC29" s="7">
        <v>5.7340000000000004E-3</v>
      </c>
      <c r="AD29" s="7">
        <v>5.5189999999999996E-3</v>
      </c>
      <c r="AE29" s="7">
        <v>5.1989999999999996E-3</v>
      </c>
      <c r="AF29" s="7">
        <v>5.1630000000000001E-3</v>
      </c>
      <c r="AG29" s="7">
        <v>5.0080000000000003E-3</v>
      </c>
      <c r="AH29" s="15">
        <v>4.9610000000000001E-3</v>
      </c>
      <c r="AI29" s="15">
        <v>5.0289999999999996E-3</v>
      </c>
      <c r="AJ29" s="15"/>
      <c r="AK29" s="15"/>
      <c r="AL29" s="15"/>
      <c r="AM29" s="15"/>
      <c r="AN29" s="15"/>
      <c r="AO29" s="15"/>
      <c r="AP29" s="15"/>
      <c r="AQ29" s="15"/>
      <c r="AR29" s="6" t="s">
        <v>46</v>
      </c>
      <c r="AS29" s="7"/>
      <c r="AT29" s="143"/>
      <c r="AU29" s="143"/>
      <c r="AV29" s="144" t="s">
        <v>388</v>
      </c>
      <c r="AW29" s="154">
        <f>(CH25*1000)/5</f>
        <v>8748</v>
      </c>
      <c r="AX29" s="154">
        <v>8748</v>
      </c>
      <c r="AY29" s="154">
        <v>8748</v>
      </c>
      <c r="AZ29" s="154">
        <v>8748</v>
      </c>
      <c r="BA29" s="154">
        <v>8748</v>
      </c>
      <c r="BB29" s="154">
        <f>(CH26*1000)/5</f>
        <v>20450</v>
      </c>
      <c r="BC29" s="154">
        <v>20450</v>
      </c>
      <c r="BD29" s="154">
        <v>20450</v>
      </c>
      <c r="BE29" s="154">
        <v>20450</v>
      </c>
      <c r="BF29" s="154">
        <v>20450</v>
      </c>
      <c r="BG29" s="154">
        <f>(CH27*1000)/5</f>
        <v>28614.400000000001</v>
      </c>
      <c r="BH29" s="154">
        <v>28614.400000000001</v>
      </c>
      <c r="BI29" s="154">
        <v>28614.400000000001</v>
      </c>
      <c r="BJ29" s="154">
        <v>28614.400000000001</v>
      </c>
      <c r="BK29" s="154">
        <v>28614.400000000001</v>
      </c>
      <c r="BL29" s="154">
        <f>(CH28*1000)/5</f>
        <v>26717.199999999993</v>
      </c>
      <c r="BM29" s="154">
        <v>26717.199999999993</v>
      </c>
      <c r="BN29" s="154">
        <v>26717.199999999993</v>
      </c>
      <c r="BO29" s="154">
        <v>26717.199999999993</v>
      </c>
      <c r="BP29" s="154">
        <v>26717.199999999993</v>
      </c>
      <c r="BQ29" s="154">
        <f>(CH29*1000)/5</f>
        <v>12340.4</v>
      </c>
      <c r="BR29" s="154">
        <v>12340.4</v>
      </c>
      <c r="BS29" s="154">
        <v>12340.4</v>
      </c>
      <c r="BT29" s="154">
        <v>12340.4</v>
      </c>
      <c r="BU29" s="154">
        <v>12340.4</v>
      </c>
      <c r="BV29" s="154">
        <f>(CH30*1000)/5</f>
        <v>12110.8</v>
      </c>
      <c r="BW29" s="155">
        <v>12110.8</v>
      </c>
      <c r="BX29" s="155">
        <v>12110.8</v>
      </c>
      <c r="BY29" s="155">
        <v>12110.8</v>
      </c>
      <c r="BZ29" s="155">
        <v>12110.8</v>
      </c>
      <c r="CA29" s="155">
        <v>12110.8</v>
      </c>
      <c r="CC29" t="s">
        <v>353</v>
      </c>
      <c r="CD29" s="150">
        <v>86.27</v>
      </c>
      <c r="CE29" s="150">
        <v>6.7649999999999997</v>
      </c>
      <c r="CF29" s="150">
        <v>12.858000000000001</v>
      </c>
      <c r="CG29" s="150">
        <v>45.97</v>
      </c>
      <c r="CH29" s="150">
        <v>61.701999999999998</v>
      </c>
      <c r="CI29" s="150">
        <v>138.99100000000001</v>
      </c>
      <c r="CJ29" s="143"/>
      <c r="CK29" s="4" t="str">
        <f>Populations!$C$8</f>
        <v>M0-14</v>
      </c>
      <c r="CL29" s="7">
        <v>8.6636962912728099E-3</v>
      </c>
      <c r="CM29" s="7">
        <v>8.6636962912728099E-3</v>
      </c>
      <c r="CN29" s="7">
        <v>8.6636962912728099E-3</v>
      </c>
      <c r="CO29" s="7">
        <v>8.6636962912728099E-3</v>
      </c>
      <c r="CP29" s="7">
        <v>8.6636962912728099E-3</v>
      </c>
      <c r="CQ29" s="7">
        <v>8.6636962912728099E-3</v>
      </c>
      <c r="CR29" s="7">
        <v>8.6636962912728099E-3</v>
      </c>
      <c r="CS29" s="7">
        <v>8.6636962912728099E-3</v>
      </c>
      <c r="CT29" s="7">
        <v>8.6636962912728099E-3</v>
      </c>
      <c r="CU29" s="7">
        <v>8.6636962912728099E-3</v>
      </c>
      <c r="CV29" s="7">
        <v>8.6636962912728099E-3</v>
      </c>
      <c r="CW29" s="7">
        <v>8.6766179292399603E-3</v>
      </c>
      <c r="CX29" s="7">
        <v>8.7334436630691504E-3</v>
      </c>
      <c r="CY29" s="7">
        <v>8.8315610242421395E-3</v>
      </c>
      <c r="CZ29" s="7">
        <v>8.9300376727033705E-3</v>
      </c>
      <c r="DA29" s="7">
        <v>9.0273176167926707E-3</v>
      </c>
      <c r="DB29" s="7">
        <v>8.8192177620311698E-3</v>
      </c>
      <c r="DC29" s="7">
        <v>8.6053452928752695E-3</v>
      </c>
      <c r="DD29" s="7">
        <v>8.4107959356133303E-3</v>
      </c>
      <c r="DE29" s="7">
        <v>8.2451945144042006E-3</v>
      </c>
      <c r="DF29" s="7">
        <v>1.214896683000681E-2</v>
      </c>
      <c r="DG29" s="7">
        <v>1.1777584862880421E-2</v>
      </c>
      <c r="DH29" s="7">
        <v>1.1369564139594886E-2</v>
      </c>
      <c r="DI29" s="7">
        <v>1.080319519036671E-2</v>
      </c>
      <c r="DJ29" s="7">
        <v>1.0248853458773206E-2</v>
      </c>
      <c r="DK29" s="7">
        <v>9.7283092616159694E-3</v>
      </c>
      <c r="DL29" s="7">
        <v>9.3427405296174909E-3</v>
      </c>
      <c r="DM29" s="7">
        <v>8.87247396807927E-3</v>
      </c>
      <c r="DN29" s="7">
        <v>8.429530082314951E-3</v>
      </c>
      <c r="DO29" s="7">
        <v>8.0095298286779991E-3</v>
      </c>
      <c r="DP29" s="7">
        <v>7.6110902789861996E-3</v>
      </c>
      <c r="DQ29" s="7">
        <v>7.2807654130928549E-3</v>
      </c>
      <c r="DR29" s="7">
        <v>6.9617567123969847E-3</v>
      </c>
      <c r="DS29" s="7">
        <v>6.6573886641734404E-3</v>
      </c>
      <c r="DT29" s="7">
        <v>6.3709619534182502E-3</v>
      </c>
      <c r="DU29" s="7">
        <v>6.1015524302404801E-3</v>
      </c>
      <c r="DV29" s="7">
        <v>5.9291730529894048E-3</v>
      </c>
      <c r="DW29" s="7">
        <v>5.7688475626664548E-3</v>
      </c>
      <c r="DX29" s="7">
        <v>5.6169155694857104E-3</v>
      </c>
      <c r="DY29" s="7">
        <v>5.4675334148092947E-3</v>
      </c>
      <c r="DZ29" s="7">
        <v>5.3171656421442904E-3</v>
      </c>
      <c r="EA29" s="143"/>
      <c r="EB29" s="143"/>
      <c r="ED29" s="4" t="str">
        <f>Populations!$C$8</f>
        <v>M0-14</v>
      </c>
      <c r="EE29" s="7">
        <v>8.6636962912728099E-3</v>
      </c>
      <c r="EF29" s="7">
        <v>8.6766179292399603E-3</v>
      </c>
      <c r="EG29" s="7">
        <v>8.7334436630691504E-3</v>
      </c>
      <c r="EH29" s="7">
        <v>8.8315610242421395E-3</v>
      </c>
      <c r="EI29" s="7">
        <v>8.9300376727033705E-3</v>
      </c>
      <c r="EJ29" s="7">
        <v>9.0273176167926707E-3</v>
      </c>
      <c r="EK29" s="7">
        <v>8.8192177620311698E-3</v>
      </c>
      <c r="EL29" s="7">
        <v>8.6053452928752695E-3</v>
      </c>
      <c r="EM29" s="7">
        <v>8.4107959356133303E-3</v>
      </c>
      <c r="EN29" s="7">
        <v>8.2451945144042006E-3</v>
      </c>
      <c r="EO29" s="7">
        <v>8.0993112200045403E-3</v>
      </c>
      <c r="EP29" s="7">
        <v>7.8517232419202804E-3</v>
      </c>
      <c r="EQ29" s="7">
        <v>7.5797094263965904E-3</v>
      </c>
      <c r="ER29" s="7">
        <v>7.2021301269111397E-3</v>
      </c>
      <c r="ES29" s="7">
        <v>6.8325689725154699E-3</v>
      </c>
      <c r="ET29" s="7">
        <v>6.4855395077439799E-3</v>
      </c>
      <c r="EU29" s="7">
        <v>6.22849368641166E-3</v>
      </c>
      <c r="EV29" s="7">
        <v>5.9149826453861803E-3</v>
      </c>
      <c r="EW29" s="7">
        <v>5.6196867215433004E-3</v>
      </c>
      <c r="EX29" s="7">
        <v>5.3396865524519997E-3</v>
      </c>
      <c r="EY29" s="7">
        <v>5.0740601859908E-3</v>
      </c>
      <c r="EZ29" s="7">
        <v>4.8538436087285702E-3</v>
      </c>
      <c r="FA29" s="7">
        <v>4.6411711415979898E-3</v>
      </c>
      <c r="FB29" s="7">
        <v>4.4382591094489603E-3</v>
      </c>
      <c r="FC29" s="7">
        <v>4.2473079689454999E-3</v>
      </c>
      <c r="FD29" s="7">
        <v>4.0677016201603198E-3</v>
      </c>
      <c r="FE29" s="7">
        <v>3.9527820353262699E-3</v>
      </c>
      <c r="FF29" s="7">
        <v>3.84589837511097E-3</v>
      </c>
      <c r="FG29" s="7">
        <v>3.7446103796571401E-3</v>
      </c>
      <c r="FH29" s="7">
        <v>3.6450222765395299E-3</v>
      </c>
      <c r="FI29" s="7">
        <v>3.5447770947628601E-3</v>
      </c>
      <c r="FK29" s="7">
        <v>1E-3</v>
      </c>
      <c r="FM29" s="142">
        <f t="shared" si="1"/>
        <v>0.28210518553548103</v>
      </c>
      <c r="FN29" s="141">
        <f t="shared" si="2"/>
        <v>0.19708083139434271</v>
      </c>
    </row>
    <row r="30" spans="1:170" x14ac:dyDescent="0.35">
      <c r="B30" s="4" t="str">
        <f>Populations!$C$9</f>
        <v>F15-19</v>
      </c>
      <c r="C30" s="7">
        <v>1.9629999999999999E-3</v>
      </c>
      <c r="D30" s="7">
        <v>2.1749999999999999E-3</v>
      </c>
      <c r="E30" s="7">
        <v>2.4260000000000002E-3</v>
      </c>
      <c r="F30" s="7">
        <v>2.784E-3</v>
      </c>
      <c r="G30" s="7">
        <v>3.0330000000000001E-3</v>
      </c>
      <c r="H30" s="7">
        <v>3.359E-3</v>
      </c>
      <c r="I30" s="7">
        <v>3.4659999999999999E-3</v>
      </c>
      <c r="J30" s="7">
        <v>3.5950000000000001E-3</v>
      </c>
      <c r="K30" s="7">
        <v>3.8539999999999998E-3</v>
      </c>
      <c r="L30" s="7">
        <v>4.2659999999999998E-3</v>
      </c>
      <c r="M30" s="7">
        <v>4.5519999999999996E-3</v>
      </c>
      <c r="N30" s="7">
        <v>5.0660000000000002E-3</v>
      </c>
      <c r="O30" s="7">
        <v>4.7730000000000003E-3</v>
      </c>
      <c r="P30" s="7">
        <v>4.8240000000000002E-3</v>
      </c>
      <c r="Q30" s="7">
        <v>4.9360000000000003E-3</v>
      </c>
      <c r="R30" s="7">
        <v>4.8300000000000001E-3</v>
      </c>
      <c r="S30" s="7">
        <v>4.6870000000000002E-3</v>
      </c>
      <c r="T30" s="7">
        <v>4.4809999999999997E-3</v>
      </c>
      <c r="U30" s="7">
        <v>4.3810000000000003E-3</v>
      </c>
      <c r="V30" s="7">
        <v>4.0159999999999996E-3</v>
      </c>
      <c r="W30" s="7">
        <v>3.3790000000000001E-3</v>
      </c>
      <c r="X30" s="7">
        <v>2.9619999999999998E-3</v>
      </c>
      <c r="Y30" s="7">
        <v>2.5149999999999999E-3</v>
      </c>
      <c r="Z30" s="7">
        <v>2.2430000000000002E-3</v>
      </c>
      <c r="AA30" s="7">
        <v>2.0590000000000001E-3</v>
      </c>
      <c r="AB30" s="7">
        <v>1.9589999999999998E-3</v>
      </c>
      <c r="AC30" s="7">
        <v>1.854E-3</v>
      </c>
      <c r="AD30" s="7">
        <v>1.7899999999999999E-3</v>
      </c>
      <c r="AE30" s="7">
        <v>1.707E-3</v>
      </c>
      <c r="AF30" s="7">
        <v>1.7110000000000001E-3</v>
      </c>
      <c r="AG30" s="7">
        <v>1.531E-3</v>
      </c>
      <c r="AH30" s="15">
        <v>1.704E-3</v>
      </c>
      <c r="AI30" s="15">
        <v>1.735E-3</v>
      </c>
      <c r="AJ30" s="15"/>
      <c r="AK30" s="15"/>
      <c r="AL30" s="15"/>
      <c r="AM30" s="15"/>
      <c r="AN30" s="15"/>
      <c r="AO30" s="15"/>
      <c r="AP30" s="15"/>
      <c r="AQ30" s="15"/>
      <c r="AR30" s="6" t="s">
        <v>46</v>
      </c>
      <c r="AS30" s="7"/>
      <c r="AT30" s="143"/>
      <c r="AU30" s="143"/>
      <c r="AV30" s="144" t="s">
        <v>392</v>
      </c>
      <c r="AW30" s="154">
        <f>(CI25*1000)/5</f>
        <v>16756.8</v>
      </c>
      <c r="AX30" s="154">
        <v>16756.8</v>
      </c>
      <c r="AY30" s="154">
        <v>16756.8</v>
      </c>
      <c r="AZ30" s="154">
        <v>16756.8</v>
      </c>
      <c r="BA30" s="154">
        <v>16756.8</v>
      </c>
      <c r="BB30" s="154">
        <f>(CI26*1000)/5</f>
        <v>20852.599999999999</v>
      </c>
      <c r="BC30" s="154">
        <v>20852.599999999999</v>
      </c>
      <c r="BD30" s="154">
        <v>20852.599999999999</v>
      </c>
      <c r="BE30" s="154">
        <v>20852.599999999999</v>
      </c>
      <c r="BF30" s="154">
        <v>20852.599999999999</v>
      </c>
      <c r="BG30" s="154">
        <f>(CI27*1000)/5</f>
        <v>25449</v>
      </c>
      <c r="BH30" s="154">
        <v>25449</v>
      </c>
      <c r="BI30" s="154">
        <v>25449</v>
      </c>
      <c r="BJ30" s="154">
        <v>25449</v>
      </c>
      <c r="BK30" s="154">
        <v>25449</v>
      </c>
      <c r="BL30" s="154">
        <f>(CI28*1000)/5</f>
        <v>28998.400000000001</v>
      </c>
      <c r="BM30" s="154">
        <v>28998.400000000001</v>
      </c>
      <c r="BN30" s="154">
        <v>28998.400000000001</v>
      </c>
      <c r="BO30" s="154">
        <v>28998.400000000001</v>
      </c>
      <c r="BP30" s="154">
        <v>28998.400000000001</v>
      </c>
      <c r="BQ30" s="154">
        <f>(CI29*1000)/5</f>
        <v>27798.2</v>
      </c>
      <c r="BR30" s="154">
        <v>27798.2</v>
      </c>
      <c r="BS30" s="154">
        <v>27798.2</v>
      </c>
      <c r="BT30" s="154">
        <v>27798.2</v>
      </c>
      <c r="BU30" s="154">
        <v>27798.2</v>
      </c>
      <c r="BV30" s="154">
        <f>(CI30*1000)/5</f>
        <v>26735.599999999999</v>
      </c>
      <c r="BW30" s="155">
        <v>26735.599999999999</v>
      </c>
      <c r="BX30" s="155">
        <v>26735.599999999999</v>
      </c>
      <c r="BY30" s="155">
        <v>26735.599999999999</v>
      </c>
      <c r="BZ30" s="155">
        <v>26735.599999999999</v>
      </c>
      <c r="CA30" s="155">
        <v>26735.599999999999</v>
      </c>
      <c r="CC30" t="s">
        <v>354</v>
      </c>
      <c r="CD30" s="150">
        <v>59.045999999999999</v>
      </c>
      <c r="CE30" s="150">
        <v>5.1829999999999998</v>
      </c>
      <c r="CF30" s="150">
        <v>9.7040000000000006</v>
      </c>
      <c r="CG30" s="150">
        <v>37.051000000000002</v>
      </c>
      <c r="CH30" s="150">
        <v>60.554000000000002</v>
      </c>
      <c r="CI30" s="150">
        <v>133.678</v>
      </c>
      <c r="CJ30" s="143"/>
      <c r="CK30" s="4" t="str">
        <f>Populations!$C$9</f>
        <v>F15-19</v>
      </c>
      <c r="CL30" s="7">
        <v>2.0546386107964101E-3</v>
      </c>
      <c r="CM30" s="7">
        <v>2.0546386107964101E-3</v>
      </c>
      <c r="CN30" s="7">
        <v>2.0546386107964101E-3</v>
      </c>
      <c r="CO30" s="7">
        <v>2.0546386107964101E-3</v>
      </c>
      <c r="CP30" s="7">
        <v>2.0546386107964101E-3</v>
      </c>
      <c r="CQ30" s="7">
        <v>2.0546386107964101E-3</v>
      </c>
      <c r="CR30" s="7">
        <v>2.0546386107964101E-3</v>
      </c>
      <c r="CS30" s="7">
        <v>2.0546386107964101E-3</v>
      </c>
      <c r="CT30" s="7">
        <v>2.0546386107964101E-3</v>
      </c>
      <c r="CU30" s="7">
        <v>2.0546386107964101E-3</v>
      </c>
      <c r="CV30" s="7">
        <v>2.0546386107964101E-3</v>
      </c>
      <c r="CW30" s="7">
        <v>2.1245625019160699E-3</v>
      </c>
      <c r="CX30" s="7">
        <v>2.1647248104346901E-3</v>
      </c>
      <c r="CY30" s="7">
        <v>2.1746706463872398E-3</v>
      </c>
      <c r="CZ30" s="7">
        <v>2.15211611854044E-3</v>
      </c>
      <c r="DA30" s="7">
        <v>2.1159268232927401E-3</v>
      </c>
      <c r="DB30" s="7">
        <v>1.9408570515374801E-3</v>
      </c>
      <c r="DC30" s="7">
        <v>1.77662282458559E-3</v>
      </c>
      <c r="DD30" s="7">
        <v>1.62765412071615E-3</v>
      </c>
      <c r="DE30" s="7">
        <v>1.4964503197950701E-3</v>
      </c>
      <c r="DF30" s="7">
        <v>2.0951809461924901E-3</v>
      </c>
      <c r="DG30" s="7">
        <v>1.850802567935505E-3</v>
      </c>
      <c r="DH30" s="7">
        <v>1.7745942789891599E-3</v>
      </c>
      <c r="DI30" s="7">
        <v>1.7818599811756349E-3</v>
      </c>
      <c r="DJ30" s="7">
        <v>1.9332881258161501E-3</v>
      </c>
      <c r="DK30" s="7">
        <v>2.0260277420390549E-3</v>
      </c>
      <c r="DL30" s="7">
        <v>2.2536200412833851E-3</v>
      </c>
      <c r="DM30" s="7">
        <v>2.1788258646893398E-3</v>
      </c>
      <c r="DN30" s="7">
        <v>2.0968738042648799E-3</v>
      </c>
      <c r="DO30" s="7">
        <v>2.0092072647939748E-3</v>
      </c>
      <c r="DP30" s="7">
        <v>1.91689528763811E-3</v>
      </c>
      <c r="DQ30" s="7">
        <v>1.72692690962469E-3</v>
      </c>
      <c r="DR30" s="7">
        <v>1.5424213976977948E-3</v>
      </c>
      <c r="DS30" s="7">
        <v>1.3646220316187504E-3</v>
      </c>
      <c r="DT30" s="7">
        <v>1.194288334808865E-3</v>
      </c>
      <c r="DU30" s="7">
        <v>1.032243308979279E-3</v>
      </c>
      <c r="DV30" s="7">
        <v>9.0425502271749148E-4</v>
      </c>
      <c r="DW30" s="7">
        <v>7.8284442057936299E-4</v>
      </c>
      <c r="DX30" s="7">
        <v>6.6963312127323298E-4</v>
      </c>
      <c r="DY30" s="7">
        <v>5.6563317418020895E-4</v>
      </c>
      <c r="DZ30" s="7">
        <v>4.6985715829222943E-4</v>
      </c>
      <c r="EA30" s="143"/>
      <c r="EB30" s="143"/>
      <c r="ED30" s="4" t="str">
        <f>Populations!$C$9</f>
        <v>F15-19</v>
      </c>
      <c r="EE30" s="7">
        <v>2.0546386107964101E-3</v>
      </c>
      <c r="EF30" s="7">
        <v>2.1245625019160699E-3</v>
      </c>
      <c r="EG30" s="7">
        <v>2.1647248104346901E-3</v>
      </c>
      <c r="EH30" s="7">
        <v>2.1746706463872398E-3</v>
      </c>
      <c r="EI30" s="7">
        <v>2.15211611854044E-3</v>
      </c>
      <c r="EJ30" s="7">
        <v>2.1159268232927401E-3</v>
      </c>
      <c r="EK30" s="7">
        <v>1.9408570515374801E-3</v>
      </c>
      <c r="EL30" s="7">
        <v>1.77662282458559E-3</v>
      </c>
      <c r="EM30" s="7">
        <v>1.62765412071615E-3</v>
      </c>
      <c r="EN30" s="7">
        <v>1.4964503197950701E-3</v>
      </c>
      <c r="EO30" s="7">
        <v>1.3967872974616599E-3</v>
      </c>
      <c r="EP30" s="7">
        <v>1.2338683786236699E-3</v>
      </c>
      <c r="EQ30" s="7">
        <v>1.1830628526594399E-3</v>
      </c>
      <c r="ER30" s="7">
        <v>1.18790665411709E-3</v>
      </c>
      <c r="ES30" s="7">
        <v>1.2888587505441001E-3</v>
      </c>
      <c r="ET30" s="7">
        <v>1.35068516135937E-3</v>
      </c>
      <c r="EU30" s="7">
        <v>1.50241336085559E-3</v>
      </c>
      <c r="EV30" s="7">
        <v>1.4525505764595599E-3</v>
      </c>
      <c r="EW30" s="7">
        <v>1.39791586950992E-3</v>
      </c>
      <c r="EX30" s="7">
        <v>1.33947150986265E-3</v>
      </c>
      <c r="EY30" s="7">
        <v>1.27793019175874E-3</v>
      </c>
      <c r="EZ30" s="7">
        <v>1.15128460641646E-3</v>
      </c>
      <c r="FA30" s="7">
        <v>1.02828093179853E-3</v>
      </c>
      <c r="FB30" s="7">
        <v>9.0974802107916699E-4</v>
      </c>
      <c r="FC30" s="7">
        <v>7.9619222320590996E-4</v>
      </c>
      <c r="FD30" s="7">
        <v>6.8816220598618598E-4</v>
      </c>
      <c r="FE30" s="7">
        <v>6.0283668181166099E-4</v>
      </c>
      <c r="FF30" s="7">
        <v>5.2189628038624199E-4</v>
      </c>
      <c r="FG30" s="7">
        <v>4.4642208084882202E-4</v>
      </c>
      <c r="FH30" s="7">
        <v>3.77088782786806E-4</v>
      </c>
      <c r="FI30" s="7">
        <v>3.1323810552815297E-4</v>
      </c>
      <c r="FK30" s="7">
        <v>8.9999999999999993E-3</v>
      </c>
      <c r="FM30" s="142">
        <f t="shared" si="1"/>
        <v>28.732136483921828</v>
      </c>
      <c r="FN30" s="141">
        <f t="shared" si="2"/>
        <v>7.0426382114142161</v>
      </c>
    </row>
    <row r="31" spans="1:170" x14ac:dyDescent="0.35">
      <c r="B31" s="4" t="str">
        <f>Populations!$C$10</f>
        <v>M15-19</v>
      </c>
      <c r="C31" s="7">
        <v>2.6159999999999998E-3</v>
      </c>
      <c r="D31" s="7">
        <v>2.7460000000000002E-3</v>
      </c>
      <c r="E31" s="7">
        <v>2.9940000000000001E-3</v>
      </c>
      <c r="F31" s="7">
        <v>3.3050000000000002E-3</v>
      </c>
      <c r="G31" s="7">
        <v>3.5639999999999999E-3</v>
      </c>
      <c r="H31" s="7">
        <v>3.6870000000000002E-3</v>
      </c>
      <c r="I31" s="7">
        <v>4.084E-3</v>
      </c>
      <c r="J31" s="7">
        <v>4.1929999999999997E-3</v>
      </c>
      <c r="K31" s="7">
        <v>4.3689999999999996E-3</v>
      </c>
      <c r="L31" s="7">
        <v>4.5999999999999999E-3</v>
      </c>
      <c r="M31" s="7">
        <v>4.8589999999999996E-3</v>
      </c>
      <c r="N31" s="7">
        <v>5.11E-3</v>
      </c>
      <c r="O31" s="7">
        <v>4.7860000000000003E-3</v>
      </c>
      <c r="P31" s="7">
        <v>4.5960000000000003E-3</v>
      </c>
      <c r="Q31" s="7">
        <v>4.4900000000000001E-3</v>
      </c>
      <c r="R31" s="7">
        <v>4.4079999999999996E-3</v>
      </c>
      <c r="S31" s="7">
        <v>4.3530000000000001E-3</v>
      </c>
      <c r="T31" s="7">
        <v>4.3119999999999999E-3</v>
      </c>
      <c r="U31" s="7">
        <v>4.2209999999999999E-3</v>
      </c>
      <c r="V31" s="7">
        <v>3.888E-3</v>
      </c>
      <c r="W31" s="7">
        <v>3.4749999999999998E-3</v>
      </c>
      <c r="X31" s="7">
        <v>3.1960000000000001E-3</v>
      </c>
      <c r="Y31" s="7">
        <v>2.8140000000000001E-3</v>
      </c>
      <c r="Z31" s="7">
        <v>2.5600000000000002E-3</v>
      </c>
      <c r="AA31" s="7">
        <v>2.3839999999999998E-3</v>
      </c>
      <c r="AB31" s="7">
        <v>2.3110000000000001E-3</v>
      </c>
      <c r="AC31" s="7">
        <v>2.2230000000000001E-3</v>
      </c>
      <c r="AD31" s="7">
        <v>2.1919999999999999E-3</v>
      </c>
      <c r="AE31" s="7">
        <v>2.101E-3</v>
      </c>
      <c r="AF31" s="7">
        <v>2.1359999999999999E-3</v>
      </c>
      <c r="AG31" s="7">
        <v>1.8749999999999999E-3</v>
      </c>
      <c r="AH31" s="15">
        <v>2.189E-3</v>
      </c>
      <c r="AI31" s="15">
        <v>2.209E-3</v>
      </c>
      <c r="AJ31" s="15"/>
      <c r="AK31" s="15"/>
      <c r="AL31" s="15"/>
      <c r="AM31" s="15"/>
      <c r="AN31" s="15"/>
      <c r="AO31" s="15"/>
      <c r="AP31" s="15"/>
      <c r="AQ31" s="15"/>
      <c r="AR31" s="6" t="s">
        <v>46</v>
      </c>
      <c r="AS31" s="7"/>
      <c r="AT31" s="143"/>
      <c r="AU31" s="143"/>
      <c r="AV31" s="143"/>
      <c r="AW31" s="150"/>
      <c r="AX31" s="144"/>
      <c r="AY31" s="144"/>
      <c r="AZ31" s="144"/>
      <c r="BA31" s="144"/>
      <c r="BB31" s="144"/>
      <c r="BC31" s="144"/>
      <c r="BD31" s="144"/>
      <c r="BE31" s="144"/>
      <c r="BF31" s="144"/>
      <c r="BG31" s="144"/>
      <c r="BH31" s="144"/>
      <c r="BI31" s="144"/>
      <c r="BJ31" s="144"/>
      <c r="BK31" s="144"/>
      <c r="BL31" s="144"/>
      <c r="BM31" s="144"/>
      <c r="BN31" s="144"/>
      <c r="BO31" s="144"/>
      <c r="BP31" s="144"/>
      <c r="BQ31" s="144"/>
      <c r="BR31" s="144"/>
      <c r="BS31" s="144"/>
      <c r="BT31" s="144"/>
      <c r="BU31" s="144"/>
      <c r="BV31" s="144"/>
      <c r="BX31" s="143"/>
      <c r="BY31" s="143"/>
      <c r="BZ31" s="143"/>
      <c r="CA31" s="143"/>
      <c r="CB31" s="143"/>
      <c r="CC31" s="143"/>
      <c r="CD31" s="143"/>
      <c r="CE31" s="143"/>
      <c r="CF31" s="143"/>
      <c r="CG31" s="143"/>
      <c r="CH31" s="143"/>
      <c r="CI31" s="143"/>
      <c r="CJ31" s="143"/>
      <c r="CK31" s="4" t="str">
        <f>Populations!$C$10</f>
        <v>M15-19</v>
      </c>
      <c r="CL31" s="7">
        <v>2.6415754258504402E-3</v>
      </c>
      <c r="CM31" s="7">
        <v>2.6415754258504402E-3</v>
      </c>
      <c r="CN31" s="7">
        <v>2.6415754258504402E-3</v>
      </c>
      <c r="CO31" s="7">
        <v>2.6415754258504402E-3</v>
      </c>
      <c r="CP31" s="7">
        <v>2.6415754258504402E-3</v>
      </c>
      <c r="CQ31" s="7">
        <v>2.6415754258504402E-3</v>
      </c>
      <c r="CR31" s="7">
        <v>2.6415754258504402E-3</v>
      </c>
      <c r="CS31" s="7">
        <v>2.6415754258504402E-3</v>
      </c>
      <c r="CT31" s="7">
        <v>2.6415754258504402E-3</v>
      </c>
      <c r="CU31" s="7">
        <v>2.6415754258504402E-3</v>
      </c>
      <c r="CV31" s="7">
        <v>2.6415754258504402E-3</v>
      </c>
      <c r="CW31" s="7">
        <v>2.8076427244287201E-3</v>
      </c>
      <c r="CX31" s="7">
        <v>2.9452057719507999E-3</v>
      </c>
      <c r="CY31" s="7">
        <v>3.04971318466147E-3</v>
      </c>
      <c r="CZ31" s="7">
        <v>3.1257553719485302E-3</v>
      </c>
      <c r="DA31" s="7">
        <v>3.1750163385549099E-3</v>
      </c>
      <c r="DB31" s="7">
        <v>2.9935766680055098E-3</v>
      </c>
      <c r="DC31" s="7">
        <v>2.8157771383550902E-3</v>
      </c>
      <c r="DD31" s="7">
        <v>2.6437403719230899E-3</v>
      </c>
      <c r="DE31" s="7">
        <v>2.4949495673392001E-3</v>
      </c>
      <c r="DF31" s="7">
        <v>3.5552031931894352E-3</v>
      </c>
      <c r="DG31" s="7">
        <v>3.3992288636586453E-3</v>
      </c>
      <c r="DH31" s="7">
        <v>3.3120957723278702E-3</v>
      </c>
      <c r="DI31" s="7">
        <v>3.2075829801029398E-3</v>
      </c>
      <c r="DJ31" s="7">
        <v>3.0975413079702449E-3</v>
      </c>
      <c r="DK31" s="7">
        <v>3.1550493695191649E-3</v>
      </c>
      <c r="DL31" s="7">
        <v>3.488193169480275E-3</v>
      </c>
      <c r="DM31" s="7">
        <v>3.3808120011749555E-3</v>
      </c>
      <c r="DN31" s="7">
        <v>3.2623274657919451E-3</v>
      </c>
      <c r="DO31" s="7">
        <v>3.1339103887781999E-3</v>
      </c>
      <c r="DP31" s="7">
        <v>2.9970232841011351E-3</v>
      </c>
      <c r="DQ31" s="7">
        <v>2.8129640618573251E-3</v>
      </c>
      <c r="DR31" s="7">
        <v>2.6298456001953002E-3</v>
      </c>
      <c r="DS31" s="7">
        <v>2.4495036047221348E-3</v>
      </c>
      <c r="DT31" s="7">
        <v>2.273928970442895E-3</v>
      </c>
      <c r="DU31" s="7">
        <v>2.1053829168073798E-3</v>
      </c>
      <c r="DV31" s="7">
        <v>1.9427751161924102E-3</v>
      </c>
      <c r="DW31" s="7">
        <v>1.78740787427073E-3</v>
      </c>
      <c r="DX31" s="7">
        <v>1.6426892274415351E-3</v>
      </c>
      <c r="DY31" s="7">
        <v>1.5121979084975249E-3</v>
      </c>
      <c r="DZ31" s="7">
        <v>1.3962278773683194E-3</v>
      </c>
      <c r="EA31" s="143"/>
      <c r="EB31" s="143"/>
      <c r="ED31" s="4" t="str">
        <f>Populations!$C$10</f>
        <v>M15-19</v>
      </c>
      <c r="EE31" s="7">
        <v>2.6415754258504402E-3</v>
      </c>
      <c r="EF31" s="7">
        <v>2.8076427244287201E-3</v>
      </c>
      <c r="EG31" s="7">
        <v>2.9452057719507999E-3</v>
      </c>
      <c r="EH31" s="7">
        <v>3.04971318466147E-3</v>
      </c>
      <c r="EI31" s="7">
        <v>3.1257553719485302E-3</v>
      </c>
      <c r="EJ31" s="7">
        <v>3.1750163385549099E-3</v>
      </c>
      <c r="EK31" s="7">
        <v>2.9935766680055098E-3</v>
      </c>
      <c r="EL31" s="7">
        <v>2.8157771383550902E-3</v>
      </c>
      <c r="EM31" s="7">
        <v>2.6437403719230899E-3</v>
      </c>
      <c r="EN31" s="7">
        <v>2.4949495673392001E-3</v>
      </c>
      <c r="EO31" s="7">
        <v>2.3701354621262901E-3</v>
      </c>
      <c r="EP31" s="7">
        <v>2.2661525757724302E-3</v>
      </c>
      <c r="EQ31" s="7">
        <v>2.2080638482185801E-3</v>
      </c>
      <c r="ER31" s="7">
        <v>2.1383886534019599E-3</v>
      </c>
      <c r="ES31" s="7">
        <v>2.0650275386468299E-3</v>
      </c>
      <c r="ET31" s="7">
        <v>2.1033662463461099E-3</v>
      </c>
      <c r="EU31" s="7">
        <v>2.3254621129868498E-3</v>
      </c>
      <c r="EV31" s="7">
        <v>2.2538746674499702E-3</v>
      </c>
      <c r="EW31" s="7">
        <v>2.1748849771946301E-3</v>
      </c>
      <c r="EX31" s="7">
        <v>2.0892735925188001E-3</v>
      </c>
      <c r="EY31" s="7">
        <v>1.9980155227340901E-3</v>
      </c>
      <c r="EZ31" s="7">
        <v>1.8753093745715499E-3</v>
      </c>
      <c r="FA31" s="7">
        <v>1.7532304001302E-3</v>
      </c>
      <c r="FB31" s="7">
        <v>1.6330024031480899E-3</v>
      </c>
      <c r="FC31" s="7">
        <v>1.5159526469619301E-3</v>
      </c>
      <c r="FD31" s="7">
        <v>1.4035886112049199E-3</v>
      </c>
      <c r="FE31" s="7">
        <v>1.29518341079494E-3</v>
      </c>
      <c r="FF31" s="7">
        <v>1.1916052495138201E-3</v>
      </c>
      <c r="FG31" s="7">
        <v>1.0951261516276901E-3</v>
      </c>
      <c r="FH31" s="7">
        <v>1.00813193899835E-3</v>
      </c>
      <c r="FI31" s="7">
        <v>9.3081858491221299E-4</v>
      </c>
      <c r="FK31" s="7">
        <v>0.02</v>
      </c>
      <c r="FM31" s="142">
        <f t="shared" si="1"/>
        <v>21.486463983619572</v>
      </c>
      <c r="FN31" s="141">
        <f t="shared" si="2"/>
        <v>10.009932241483261</v>
      </c>
    </row>
    <row r="32" spans="1:170" x14ac:dyDescent="0.35">
      <c r="B32" s="4" t="str">
        <f>Populations!$C$11</f>
        <v>F20-24</v>
      </c>
      <c r="C32" s="7">
        <v>2.8340000000000001E-3</v>
      </c>
      <c r="D32" s="7">
        <v>3.2599999999999999E-3</v>
      </c>
      <c r="E32" s="7">
        <v>3.7929999999999999E-3</v>
      </c>
      <c r="F32" s="7">
        <v>4.5069999999999997E-3</v>
      </c>
      <c r="G32" s="7">
        <v>5.11E-3</v>
      </c>
      <c r="H32" s="7">
        <v>5.868E-3</v>
      </c>
      <c r="I32" s="7">
        <v>6.4359999999999999E-3</v>
      </c>
      <c r="J32" s="7">
        <v>6.842E-3</v>
      </c>
      <c r="K32" s="7">
        <v>7.4260000000000003E-3</v>
      </c>
      <c r="L32" s="7">
        <v>8.5400000000000007E-3</v>
      </c>
      <c r="M32" s="7">
        <v>8.9980000000000008E-3</v>
      </c>
      <c r="N32" s="7">
        <v>1.1434E-2</v>
      </c>
      <c r="O32" s="7">
        <v>9.3900000000000008E-3</v>
      </c>
      <c r="P32" s="7">
        <v>1.0482999999999999E-2</v>
      </c>
      <c r="Q32" s="7">
        <v>9.8119999999999995E-3</v>
      </c>
      <c r="R32" s="7">
        <v>9.7549999999999998E-3</v>
      </c>
      <c r="S32" s="7">
        <v>9.2409999999999992E-3</v>
      </c>
      <c r="T32" s="7">
        <v>9.2779999999999998E-3</v>
      </c>
      <c r="U32" s="7">
        <v>8.5240000000000003E-3</v>
      </c>
      <c r="V32" s="7">
        <v>7.7970000000000001E-3</v>
      </c>
      <c r="W32" s="7">
        <v>6.4710000000000002E-3</v>
      </c>
      <c r="X32" s="7">
        <v>5.3140000000000001E-3</v>
      </c>
      <c r="Y32" s="7">
        <v>4.5079999999999999E-3</v>
      </c>
      <c r="Z32" s="7">
        <v>3.9249999999999997E-3</v>
      </c>
      <c r="AA32" s="7">
        <v>3.529E-3</v>
      </c>
      <c r="AB32" s="7">
        <v>3.3019999999999998E-3</v>
      </c>
      <c r="AC32" s="7">
        <v>3.088E-3</v>
      </c>
      <c r="AD32" s="7">
        <v>2.9380000000000001E-3</v>
      </c>
      <c r="AE32" s="7">
        <v>2.777E-3</v>
      </c>
      <c r="AF32" s="7">
        <v>2.7499999999999998E-3</v>
      </c>
      <c r="AG32" s="7">
        <v>2.454E-3</v>
      </c>
      <c r="AH32" s="15">
        <v>2.7030000000000001E-3</v>
      </c>
      <c r="AI32" s="15">
        <v>2.761E-3</v>
      </c>
      <c r="AJ32" s="15"/>
      <c r="AK32" s="15"/>
      <c r="AL32" s="15"/>
      <c r="AM32" s="15"/>
      <c r="AN32" s="15"/>
      <c r="AO32" s="15"/>
      <c r="AP32" s="15"/>
      <c r="AQ32" s="15"/>
      <c r="AR32" s="6" t="s">
        <v>46</v>
      </c>
      <c r="AS32" s="7"/>
      <c r="AT32" s="143"/>
      <c r="AU32" s="143"/>
      <c r="AV32" s="25" t="s">
        <v>395</v>
      </c>
      <c r="AW32" s="4">
        <v>1990</v>
      </c>
      <c r="AX32" s="4">
        <v>1991</v>
      </c>
      <c r="AY32" s="4">
        <v>1992</v>
      </c>
      <c r="AZ32" s="4">
        <v>1993</v>
      </c>
      <c r="BA32" s="4">
        <v>1994</v>
      </c>
      <c r="BB32" s="4">
        <v>1995</v>
      </c>
      <c r="BC32" s="4">
        <v>1996</v>
      </c>
      <c r="BD32" s="4">
        <v>1997</v>
      </c>
      <c r="BE32" s="4">
        <v>1998</v>
      </c>
      <c r="BF32" s="4">
        <v>1999</v>
      </c>
      <c r="BG32" s="4">
        <v>2000</v>
      </c>
      <c r="BH32" s="4">
        <v>2001</v>
      </c>
      <c r="BI32" s="4">
        <v>2002</v>
      </c>
      <c r="BJ32" s="4">
        <v>2003</v>
      </c>
      <c r="BK32" s="4">
        <v>2004</v>
      </c>
      <c r="BL32" s="4">
        <v>2005</v>
      </c>
      <c r="BM32" s="4">
        <v>2006</v>
      </c>
      <c r="BN32" s="4">
        <v>2007</v>
      </c>
      <c r="BO32" s="4">
        <v>2008</v>
      </c>
      <c r="BP32" s="4">
        <v>2009</v>
      </c>
      <c r="BQ32" s="4">
        <v>2010</v>
      </c>
      <c r="BR32" s="4">
        <v>2011</v>
      </c>
      <c r="BS32" s="4">
        <v>2012</v>
      </c>
      <c r="BT32" s="4">
        <v>2013</v>
      </c>
      <c r="BU32" s="4">
        <v>2014</v>
      </c>
      <c r="BV32" s="4">
        <v>2015</v>
      </c>
      <c r="BW32" s="4">
        <v>2016</v>
      </c>
      <c r="BX32" s="4">
        <v>2017</v>
      </c>
      <c r="BY32" s="4">
        <v>2018</v>
      </c>
      <c r="BZ32" s="4">
        <v>2019</v>
      </c>
      <c r="CA32" s="4">
        <v>2020</v>
      </c>
      <c r="CC32" s="143" t="s">
        <v>391</v>
      </c>
      <c r="CD32" s="144" t="s">
        <v>140</v>
      </c>
      <c r="CE32" s="144" t="s">
        <v>368</v>
      </c>
      <c r="CF32" s="144" t="s">
        <v>369</v>
      </c>
      <c r="CG32" s="144" t="s">
        <v>387</v>
      </c>
      <c r="CH32" s="144" t="s">
        <v>388</v>
      </c>
      <c r="CI32" s="144" t="s">
        <v>392</v>
      </c>
      <c r="CJ32" s="143"/>
      <c r="CK32" s="4" t="str">
        <f>Populations!$C$11</f>
        <v>F20-24</v>
      </c>
      <c r="CL32" s="7">
        <v>3.9071652387585197E-3</v>
      </c>
      <c r="CM32" s="7">
        <v>3.9071652387585197E-3</v>
      </c>
      <c r="CN32" s="7">
        <v>3.9071652387585197E-3</v>
      </c>
      <c r="CO32" s="7">
        <v>3.9071652387585197E-3</v>
      </c>
      <c r="CP32" s="7">
        <v>3.9071652387585197E-3</v>
      </c>
      <c r="CQ32" s="7">
        <v>3.9071652387585197E-3</v>
      </c>
      <c r="CR32" s="7">
        <v>3.9071652387585197E-3</v>
      </c>
      <c r="CS32" s="7">
        <v>3.9071652387585197E-3</v>
      </c>
      <c r="CT32" s="7">
        <v>3.9071652387585197E-3</v>
      </c>
      <c r="CU32" s="7">
        <v>3.9071652387585197E-3</v>
      </c>
      <c r="CV32" s="7">
        <v>3.9071652387585197E-3</v>
      </c>
      <c r="CW32" s="7">
        <v>3.5317052350793002E-3</v>
      </c>
      <c r="CX32" s="7">
        <v>3.1918836211857599E-3</v>
      </c>
      <c r="CY32" s="7">
        <v>2.8966141149095099E-3</v>
      </c>
      <c r="CZ32" s="7">
        <v>2.61233828763659E-3</v>
      </c>
      <c r="DA32" s="7">
        <v>2.38834407569666E-3</v>
      </c>
      <c r="DB32" s="7">
        <v>2.1952373987702799E-3</v>
      </c>
      <c r="DC32" s="7">
        <v>2.0070708752237799E-3</v>
      </c>
      <c r="DD32" s="7">
        <v>1.79141918805783E-3</v>
      </c>
      <c r="DE32" s="7">
        <v>1.5151490279528099E-3</v>
      </c>
      <c r="DF32" s="7">
        <v>1.76475655103727E-3</v>
      </c>
      <c r="DG32" s="7">
        <v>1.5935707480281601E-3</v>
      </c>
      <c r="DH32" s="7">
        <v>1.5602777789975549E-3</v>
      </c>
      <c r="DI32" s="7">
        <v>1.4974005524033447E-3</v>
      </c>
      <c r="DJ32" s="7">
        <v>1.4998624514554995E-3</v>
      </c>
      <c r="DK32" s="7">
        <v>1.6381270329193349E-3</v>
      </c>
      <c r="DL32" s="7">
        <v>1.96659639499137E-3</v>
      </c>
      <c r="DM32" s="7">
        <v>1.9939434215428199E-3</v>
      </c>
      <c r="DN32" s="7">
        <v>2.0180597611701751E-3</v>
      </c>
      <c r="DO32" s="7">
        <v>2.03751537169191E-3</v>
      </c>
      <c r="DP32" s="7">
        <v>2.0510844275773948E-3</v>
      </c>
      <c r="DQ32" s="7">
        <v>2.0481277242924449E-3</v>
      </c>
      <c r="DR32" s="7">
        <v>2.040420741078255E-3</v>
      </c>
      <c r="DS32" s="7">
        <v>2.02578123288426E-3</v>
      </c>
      <c r="DT32" s="7">
        <v>2.0020981280137497E-3</v>
      </c>
      <c r="DU32" s="7">
        <v>1.9694038228942798E-3</v>
      </c>
      <c r="DV32" s="7">
        <v>1.8974797760401498E-3</v>
      </c>
      <c r="DW32" s="7">
        <v>1.8220035139599E-3</v>
      </c>
      <c r="DX32" s="7">
        <v>1.744877954586705E-3</v>
      </c>
      <c r="DY32" s="7">
        <v>1.6682226158214301E-3</v>
      </c>
      <c r="DZ32" s="7">
        <v>1.593795712247925E-3</v>
      </c>
      <c r="EA32" s="143"/>
      <c r="EB32" s="143"/>
      <c r="ED32" s="4" t="str">
        <f>Populations!$C$11</f>
        <v>F20-24</v>
      </c>
      <c r="EE32" s="7">
        <v>3.9071652387585197E-3</v>
      </c>
      <c r="EF32" s="7">
        <v>3.5317052350793002E-3</v>
      </c>
      <c r="EG32" s="7">
        <v>3.1918836211857599E-3</v>
      </c>
      <c r="EH32" s="7">
        <v>2.8966141149095099E-3</v>
      </c>
      <c r="EI32" s="7">
        <v>2.61233828763659E-3</v>
      </c>
      <c r="EJ32" s="7">
        <v>2.38834407569666E-3</v>
      </c>
      <c r="EK32" s="7">
        <v>2.1952373987702799E-3</v>
      </c>
      <c r="EL32" s="7">
        <v>2.0070708752237799E-3</v>
      </c>
      <c r="EM32" s="7">
        <v>1.79141918805783E-3</v>
      </c>
      <c r="EN32" s="7">
        <v>1.5151490279528099E-3</v>
      </c>
      <c r="EO32" s="7">
        <v>1.17650436735818E-3</v>
      </c>
      <c r="EP32" s="7">
        <v>1.0623804986854401E-3</v>
      </c>
      <c r="EQ32" s="7">
        <v>1.04018518599837E-3</v>
      </c>
      <c r="ER32" s="7">
        <v>9.9826703493556307E-4</v>
      </c>
      <c r="ES32" s="7">
        <v>9.9990830097033295E-4</v>
      </c>
      <c r="ET32" s="7">
        <v>1.0920846886128899E-3</v>
      </c>
      <c r="EU32" s="7">
        <v>1.31106426332758E-3</v>
      </c>
      <c r="EV32" s="7">
        <v>1.32929561436188E-3</v>
      </c>
      <c r="EW32" s="7">
        <v>1.34537317411345E-3</v>
      </c>
      <c r="EX32" s="7">
        <v>1.35834358112794E-3</v>
      </c>
      <c r="EY32" s="7">
        <v>1.36738961838493E-3</v>
      </c>
      <c r="EZ32" s="7">
        <v>1.36541848286163E-3</v>
      </c>
      <c r="FA32" s="7">
        <v>1.36028049405217E-3</v>
      </c>
      <c r="FB32" s="7">
        <v>1.3505208219228399E-3</v>
      </c>
      <c r="FC32" s="7">
        <v>1.3347320853424999E-3</v>
      </c>
      <c r="FD32" s="7">
        <v>1.31293588192952E-3</v>
      </c>
      <c r="FE32" s="7">
        <v>1.2649865173600999E-3</v>
      </c>
      <c r="FF32" s="7">
        <v>1.2146690093066E-3</v>
      </c>
      <c r="FG32" s="7">
        <v>1.1632519697244699E-3</v>
      </c>
      <c r="FH32" s="7">
        <v>1.1121484105476201E-3</v>
      </c>
      <c r="FI32" s="7">
        <v>1.0625304748319499E-3</v>
      </c>
      <c r="FK32" s="7">
        <v>0.01</v>
      </c>
      <c r="FM32" s="142">
        <f t="shared" si="1"/>
        <v>9.4114947635564086</v>
      </c>
      <c r="FN32" s="141">
        <f t="shared" si="2"/>
        <v>7.3132045655073332</v>
      </c>
    </row>
    <row r="33" spans="1:170" x14ac:dyDescent="0.35">
      <c r="B33" s="4" t="str">
        <f>Populations!$C$12</f>
        <v>M20-24</v>
      </c>
      <c r="C33" s="7">
        <f t="shared" ref="C33:M33" si="3">CL12*1.5</f>
        <v>4.2510000000000004E-3</v>
      </c>
      <c r="D33" s="7">
        <f t="shared" si="3"/>
        <v>4.8900000000000002E-3</v>
      </c>
      <c r="E33" s="7">
        <f t="shared" si="3"/>
        <v>5.6895000000000001E-3</v>
      </c>
      <c r="F33" s="7">
        <f t="shared" si="3"/>
        <v>6.7604999999999991E-3</v>
      </c>
      <c r="G33" s="7">
        <f t="shared" si="3"/>
        <v>7.6649999999999999E-3</v>
      </c>
      <c r="H33" s="7">
        <f t="shared" si="3"/>
        <v>8.8020000000000008E-3</v>
      </c>
      <c r="I33" s="7">
        <f t="shared" si="3"/>
        <v>9.6539999999999994E-3</v>
      </c>
      <c r="J33" s="7">
        <f t="shared" si="3"/>
        <v>1.0263E-2</v>
      </c>
      <c r="K33" s="7">
        <f t="shared" si="3"/>
        <v>1.1139E-2</v>
      </c>
      <c r="L33" s="7">
        <f t="shared" si="3"/>
        <v>1.2810000000000002E-2</v>
      </c>
      <c r="M33" s="7">
        <f t="shared" si="3"/>
        <v>1.3497000000000002E-2</v>
      </c>
      <c r="N33" s="7">
        <f>CW12*2</f>
        <v>2.2867999999999999E-2</v>
      </c>
      <c r="O33" s="7">
        <f t="shared" ref="O33:AI33" si="4">CX12*2</f>
        <v>1.8780000000000002E-2</v>
      </c>
      <c r="P33" s="7">
        <f t="shared" si="4"/>
        <v>2.0965999999999999E-2</v>
      </c>
      <c r="Q33" s="7">
        <f t="shared" si="4"/>
        <v>1.9623999999999999E-2</v>
      </c>
      <c r="R33" s="7">
        <f t="shared" si="4"/>
        <v>1.951E-2</v>
      </c>
      <c r="S33" s="7">
        <f t="shared" si="4"/>
        <v>1.8481999999999998E-2</v>
      </c>
      <c r="T33" s="7">
        <f t="shared" si="4"/>
        <v>1.8556E-2</v>
      </c>
      <c r="U33" s="7">
        <f t="shared" si="4"/>
        <v>1.7048000000000001E-2</v>
      </c>
      <c r="V33" s="7">
        <f t="shared" si="4"/>
        <v>1.5594E-2</v>
      </c>
      <c r="W33" s="7">
        <f t="shared" si="4"/>
        <v>1.2942E-2</v>
      </c>
      <c r="X33" s="7">
        <f t="shared" si="4"/>
        <v>1.0628E-2</v>
      </c>
      <c r="Y33" s="7">
        <f t="shared" si="4"/>
        <v>9.0159999999999997E-3</v>
      </c>
      <c r="Z33" s="7">
        <f t="shared" si="4"/>
        <v>7.8499999999999993E-3</v>
      </c>
      <c r="AA33" s="7">
        <f t="shared" si="4"/>
        <v>7.058E-3</v>
      </c>
      <c r="AB33" s="7">
        <f t="shared" si="4"/>
        <v>6.6039999999999996E-3</v>
      </c>
      <c r="AC33" s="7">
        <f t="shared" si="4"/>
        <v>6.1760000000000001E-3</v>
      </c>
      <c r="AD33" s="7">
        <f t="shared" si="4"/>
        <v>5.8760000000000001E-3</v>
      </c>
      <c r="AE33" s="7">
        <f t="shared" si="4"/>
        <v>5.5539999999999999E-3</v>
      </c>
      <c r="AF33" s="7">
        <f t="shared" si="4"/>
        <v>5.4999999999999997E-3</v>
      </c>
      <c r="AG33" s="7">
        <f t="shared" si="4"/>
        <v>4.908E-3</v>
      </c>
      <c r="AH33" s="7">
        <f t="shared" si="4"/>
        <v>5.4060000000000002E-3</v>
      </c>
      <c r="AI33" s="7">
        <f t="shared" si="4"/>
        <v>5.522E-3</v>
      </c>
      <c r="AJ33" s="15"/>
      <c r="AK33" s="15"/>
      <c r="AL33" s="15"/>
      <c r="AM33" s="15"/>
      <c r="AN33" s="15"/>
      <c r="AO33" s="15"/>
      <c r="AP33" s="15"/>
      <c r="AQ33" s="15"/>
      <c r="AR33" s="6" t="s">
        <v>46</v>
      </c>
      <c r="AS33" s="7"/>
      <c r="AT33" s="143"/>
      <c r="AU33" s="143"/>
      <c r="AV33" s="144" t="s">
        <v>140</v>
      </c>
      <c r="AW33" s="154">
        <f>(CD33*1000)/5</f>
        <v>20758.400000000001</v>
      </c>
      <c r="AX33" s="154">
        <v>20758.400000000001</v>
      </c>
      <c r="AY33" s="154">
        <v>20758.400000000001</v>
      </c>
      <c r="AZ33" s="154">
        <v>20758.400000000001</v>
      </c>
      <c r="BA33" s="154">
        <v>20758.400000000001</v>
      </c>
      <c r="BB33" s="154">
        <f>(CD34*1000)/5</f>
        <v>24845.599999999999</v>
      </c>
      <c r="BC33" s="154">
        <v>24845.599999999999</v>
      </c>
      <c r="BD33" s="154">
        <v>24845.599999999999</v>
      </c>
      <c r="BE33" s="154">
        <v>24845.599999999999</v>
      </c>
      <c r="BF33" s="154">
        <v>24845.599999999999</v>
      </c>
      <c r="BG33" s="154">
        <f>(CD35*1000)/5</f>
        <v>27033</v>
      </c>
      <c r="BH33" s="154">
        <v>27033</v>
      </c>
      <c r="BI33" s="154">
        <v>27033</v>
      </c>
      <c r="BJ33" s="154">
        <v>27033</v>
      </c>
      <c r="BK33" s="154">
        <v>27033</v>
      </c>
      <c r="BL33" s="154">
        <f>(CD36*1000)/5</f>
        <v>28609.600000000006</v>
      </c>
      <c r="BM33" s="154">
        <v>28609.600000000006</v>
      </c>
      <c r="BN33" s="154">
        <v>28609.600000000006</v>
      </c>
      <c r="BO33" s="154">
        <v>28609.600000000006</v>
      </c>
      <c r="BP33" s="154">
        <v>28609.600000000006</v>
      </c>
      <c r="BQ33" s="154">
        <f>(CD37*1000)/5</f>
        <v>21244.6</v>
      </c>
      <c r="BR33" s="154">
        <v>21244.6</v>
      </c>
      <c r="BS33" s="154">
        <v>21244.6</v>
      </c>
      <c r="BT33" s="154">
        <v>21244.6</v>
      </c>
      <c r="BU33" s="154">
        <v>21244.6</v>
      </c>
      <c r="BV33" s="154">
        <f>(CD38*1000)/5</f>
        <v>14878.2</v>
      </c>
      <c r="BW33" s="155">
        <v>14878.2</v>
      </c>
      <c r="BX33" s="155">
        <v>14878.2</v>
      </c>
      <c r="BY33" s="155">
        <v>14878.2</v>
      </c>
      <c r="BZ33" s="155">
        <v>14878.2</v>
      </c>
      <c r="CA33" s="155">
        <v>14878.2</v>
      </c>
      <c r="CC33" t="s">
        <v>385</v>
      </c>
      <c r="CD33" s="150">
        <v>103.792</v>
      </c>
      <c r="CE33" s="150">
        <v>7.4720000000000004</v>
      </c>
      <c r="CF33" s="150">
        <v>10.292</v>
      </c>
      <c r="CG33" s="150">
        <v>33.888999999999996</v>
      </c>
      <c r="CH33" s="150">
        <v>62.156999999999996</v>
      </c>
      <c r="CI33" s="150">
        <v>105.71399999999998</v>
      </c>
      <c r="CJ33" s="143"/>
      <c r="CK33" s="4" t="str">
        <f>Populations!$C$12</f>
        <v>M20-24</v>
      </c>
      <c r="CL33" s="7">
        <v>4.0246148877778202E-3</v>
      </c>
      <c r="CM33" s="7">
        <v>4.0246148877778202E-3</v>
      </c>
      <c r="CN33" s="7">
        <v>4.0246148877778202E-3</v>
      </c>
      <c r="CO33" s="7">
        <v>4.0246148877778202E-3</v>
      </c>
      <c r="CP33" s="7">
        <v>4.0246148877778202E-3</v>
      </c>
      <c r="CQ33" s="7">
        <v>4.0246148877778202E-3</v>
      </c>
      <c r="CR33" s="7">
        <v>4.0246148877778202E-3</v>
      </c>
      <c r="CS33" s="7">
        <v>4.0246148877778202E-3</v>
      </c>
      <c r="CT33" s="7">
        <v>4.0246148877778202E-3</v>
      </c>
      <c r="CU33" s="7">
        <v>4.0246148877778202E-3</v>
      </c>
      <c r="CV33" s="7">
        <v>4.0246148877778202E-3</v>
      </c>
      <c r="CW33" s="7">
        <v>3.95636768809243E-3</v>
      </c>
      <c r="CX33" s="7">
        <v>3.8724781797630698E-3</v>
      </c>
      <c r="CY33" s="7">
        <v>3.7742381853334101E-3</v>
      </c>
      <c r="CZ33" s="7">
        <v>3.6583477651736E-3</v>
      </c>
      <c r="DA33" s="7">
        <v>3.5322786706459999E-3</v>
      </c>
      <c r="DB33" s="7">
        <v>3.5014750784908301E-3</v>
      </c>
      <c r="DC33" s="7">
        <v>3.4581841137229698E-3</v>
      </c>
      <c r="DD33" s="7">
        <v>3.3872907002373402E-3</v>
      </c>
      <c r="DE33" s="7">
        <v>3.2863440416032101E-3</v>
      </c>
      <c r="DF33" s="7">
        <v>4.7376872047194298E-3</v>
      </c>
      <c r="DG33" s="7">
        <v>4.5247575077924998E-3</v>
      </c>
      <c r="DH33" s="7">
        <v>4.33197470616393E-3</v>
      </c>
      <c r="DI33" s="7">
        <v>4.1548079029630498E-3</v>
      </c>
      <c r="DJ33" s="7">
        <v>3.97157056138515E-3</v>
      </c>
      <c r="DK33" s="7">
        <v>3.892137476601045E-3</v>
      </c>
      <c r="DL33" s="7">
        <v>4.1146729096846347E-3</v>
      </c>
      <c r="DM33" s="7">
        <v>4.1610777103014149E-3</v>
      </c>
      <c r="DN33" s="7">
        <v>4.2016350159208796E-3</v>
      </c>
      <c r="DO33" s="7">
        <v>4.2345359767697096E-3</v>
      </c>
      <c r="DP33" s="7">
        <v>4.2577191195230096E-3</v>
      </c>
      <c r="DQ33" s="7">
        <v>4.23213260361552E-3</v>
      </c>
      <c r="DR33" s="7">
        <v>4.2013052474859751E-3</v>
      </c>
      <c r="DS33" s="7">
        <v>4.1597070995409149E-3</v>
      </c>
      <c r="DT33" s="7">
        <v>4.1006658044665202E-3</v>
      </c>
      <c r="DU33" s="7">
        <v>4.0222064700333755E-3</v>
      </c>
      <c r="DV33" s="7">
        <v>3.9158315754070196E-3</v>
      </c>
      <c r="DW33" s="7">
        <v>3.79953180200766E-3</v>
      </c>
      <c r="DX33" s="7">
        <v>3.6779526314098952E-3</v>
      </c>
      <c r="DY33" s="7">
        <v>3.5563328509821751E-3</v>
      </c>
      <c r="DZ33" s="7">
        <v>3.4382378369888999E-3</v>
      </c>
      <c r="EA33" s="143"/>
      <c r="EB33" s="143"/>
      <c r="ED33" s="4" t="str">
        <f>Populations!$C$12</f>
        <v>M20-24</v>
      </c>
      <c r="EE33" s="7">
        <v>4.0246148877778202E-3</v>
      </c>
      <c r="EF33" s="7">
        <v>3.95636768809243E-3</v>
      </c>
      <c r="EG33" s="7">
        <v>3.8724781797630698E-3</v>
      </c>
      <c r="EH33" s="7">
        <v>3.7742381853334101E-3</v>
      </c>
      <c r="EI33" s="7">
        <v>3.6583477651736E-3</v>
      </c>
      <c r="EJ33" s="7">
        <v>3.5322786706459999E-3</v>
      </c>
      <c r="EK33" s="7">
        <v>3.5014750784908301E-3</v>
      </c>
      <c r="EL33" s="7">
        <v>3.4581841137229698E-3</v>
      </c>
      <c r="EM33" s="7">
        <v>3.3872907002373402E-3</v>
      </c>
      <c r="EN33" s="7">
        <v>3.2863440416032101E-3</v>
      </c>
      <c r="EO33" s="7">
        <v>3.15845813647962E-3</v>
      </c>
      <c r="EP33" s="7">
        <v>3.0165050051949999E-3</v>
      </c>
      <c r="EQ33" s="7">
        <v>2.88798313744262E-3</v>
      </c>
      <c r="ER33" s="7">
        <v>2.7698719353087E-3</v>
      </c>
      <c r="ES33" s="7">
        <v>2.6477137075901001E-3</v>
      </c>
      <c r="ET33" s="7">
        <v>2.59475831773403E-3</v>
      </c>
      <c r="EU33" s="7">
        <v>2.7431152731230901E-3</v>
      </c>
      <c r="EV33" s="7">
        <v>2.7740518068676101E-3</v>
      </c>
      <c r="EW33" s="7">
        <v>2.8010900106139199E-3</v>
      </c>
      <c r="EX33" s="7">
        <v>2.8230239845131399E-3</v>
      </c>
      <c r="EY33" s="7">
        <v>2.8384794130153399E-3</v>
      </c>
      <c r="EZ33" s="7">
        <v>2.8214217357436801E-3</v>
      </c>
      <c r="FA33" s="7">
        <v>2.8008701649906501E-3</v>
      </c>
      <c r="FB33" s="7">
        <v>2.7731380663606098E-3</v>
      </c>
      <c r="FC33" s="7">
        <v>2.73377720297768E-3</v>
      </c>
      <c r="FD33" s="7">
        <v>2.68147098002225E-3</v>
      </c>
      <c r="FE33" s="7">
        <v>2.6105543836046799E-3</v>
      </c>
      <c r="FF33" s="7">
        <v>2.5330212013384402E-3</v>
      </c>
      <c r="FG33" s="7">
        <v>2.4519684209399302E-3</v>
      </c>
      <c r="FH33" s="7">
        <v>2.37088856732145E-3</v>
      </c>
      <c r="FI33" s="7">
        <v>2.2921585579925999E-3</v>
      </c>
      <c r="FK33" s="7">
        <v>3.7999999999999999E-2</v>
      </c>
      <c r="FM33" s="142">
        <f t="shared" si="1"/>
        <v>16.578259766322272</v>
      </c>
      <c r="FN33" s="141">
        <f t="shared" si="2"/>
        <v>13.38744957097726</v>
      </c>
    </row>
    <row r="34" spans="1:170" x14ac:dyDescent="0.35">
      <c r="B34" s="4" t="str">
        <f>Populations!$C$13</f>
        <v>F25-34</v>
      </c>
      <c r="C34" s="7">
        <v>4.1710000000000002E-3</v>
      </c>
      <c r="D34" s="7">
        <v>4.9620000000000003E-3</v>
      </c>
      <c r="E34" s="7">
        <v>5.9940000000000002E-3</v>
      </c>
      <c r="F34" s="7">
        <v>7.3990000000000002E-3</v>
      </c>
      <c r="G34" s="7">
        <v>8.6910000000000008E-3</v>
      </c>
      <c r="H34" s="7">
        <v>1.0244E-2</v>
      </c>
      <c r="I34" s="7">
        <v>1.1989E-2</v>
      </c>
      <c r="J34" s="7">
        <v>1.2947999999999999E-2</v>
      </c>
      <c r="K34" s="7">
        <v>1.4142E-2</v>
      </c>
      <c r="L34" s="7">
        <v>1.6851000000000001E-2</v>
      </c>
      <c r="M34" s="7">
        <v>1.7773000000000001E-2</v>
      </c>
      <c r="N34" s="7">
        <v>2.5961000000000001E-2</v>
      </c>
      <c r="O34" s="7">
        <v>1.8915999999999999E-2</v>
      </c>
      <c r="P34" s="7">
        <v>2.3349000000000002E-2</v>
      </c>
      <c r="Q34" s="7">
        <v>1.9894999999999999E-2</v>
      </c>
      <c r="R34" s="7">
        <v>1.9918999999999999E-2</v>
      </c>
      <c r="S34" s="7">
        <v>1.8206E-2</v>
      </c>
      <c r="T34" s="7">
        <v>1.8957999999999999E-2</v>
      </c>
      <c r="U34" s="7">
        <v>1.6354E-2</v>
      </c>
      <c r="V34" s="7">
        <v>1.4845000000000001E-2</v>
      </c>
      <c r="W34" s="7">
        <v>1.2168E-2</v>
      </c>
      <c r="X34" s="7">
        <v>9.4230000000000008E-3</v>
      </c>
      <c r="Y34" s="7">
        <v>8.0879999999999997E-3</v>
      </c>
      <c r="Z34" s="7">
        <v>6.9569999999999996E-3</v>
      </c>
      <c r="AA34" s="7">
        <v>6.1929999999999997E-3</v>
      </c>
      <c r="AB34" s="7">
        <v>5.7369999999999999E-3</v>
      </c>
      <c r="AC34" s="7">
        <v>5.3460000000000001E-3</v>
      </c>
      <c r="AD34" s="7">
        <v>5.0569999999999999E-3</v>
      </c>
      <c r="AE34" s="7">
        <v>4.764E-3</v>
      </c>
      <c r="AF34" s="7">
        <v>4.6990000000000001E-3</v>
      </c>
      <c r="AG34" s="7">
        <v>4.2199999999999998E-3</v>
      </c>
      <c r="AH34" s="15">
        <v>4.5649999999999996E-3</v>
      </c>
      <c r="AI34" s="15">
        <v>4.6480000000000002E-3</v>
      </c>
      <c r="AJ34" s="15"/>
      <c r="AK34" s="15"/>
      <c r="AL34" s="15"/>
      <c r="AM34" s="15"/>
      <c r="AN34" s="15"/>
      <c r="AO34" s="15"/>
      <c r="AP34" s="15"/>
      <c r="AQ34" s="15"/>
      <c r="AR34" s="6" t="s">
        <v>46</v>
      </c>
      <c r="AS34" s="7"/>
      <c r="AT34" s="143"/>
      <c r="AU34" s="143"/>
      <c r="AV34" s="144" t="s">
        <v>368</v>
      </c>
      <c r="AW34" s="154">
        <f>(CE33*1000)/5</f>
        <v>1494.4</v>
      </c>
      <c r="AX34" s="154">
        <v>1494.4</v>
      </c>
      <c r="AY34" s="154">
        <v>1494.4</v>
      </c>
      <c r="AZ34" s="154">
        <v>1494.4</v>
      </c>
      <c r="BA34" s="154">
        <v>1494.4</v>
      </c>
      <c r="BB34" s="154">
        <f>(CE34*1000)/5</f>
        <v>2195.8000000000002</v>
      </c>
      <c r="BC34" s="154">
        <v>2195.8000000000002</v>
      </c>
      <c r="BD34" s="154">
        <v>2195.8000000000002</v>
      </c>
      <c r="BE34" s="154">
        <v>2195.8000000000002</v>
      </c>
      <c r="BF34" s="154">
        <v>2195.8000000000002</v>
      </c>
      <c r="BG34" s="154">
        <f>(CE35*1000)/5</f>
        <v>3137.6</v>
      </c>
      <c r="BH34" s="154">
        <v>3137.6</v>
      </c>
      <c r="BI34" s="154">
        <v>3137.6</v>
      </c>
      <c r="BJ34" s="154">
        <v>3137.6</v>
      </c>
      <c r="BK34" s="154">
        <v>3137.6</v>
      </c>
      <c r="BL34" s="154">
        <f>(CE36*1000)/5</f>
        <v>3389.4</v>
      </c>
      <c r="BM34" s="154">
        <v>3389.4</v>
      </c>
      <c r="BN34" s="154">
        <v>3389.4</v>
      </c>
      <c r="BO34" s="154">
        <v>3389.4</v>
      </c>
      <c r="BP34" s="154">
        <v>3389.4</v>
      </c>
      <c r="BQ34" s="154">
        <f>(CE37*1000)/5</f>
        <v>1799.6</v>
      </c>
      <c r="BR34" s="154">
        <v>1799.6</v>
      </c>
      <c r="BS34" s="154">
        <v>1799.6</v>
      </c>
      <c r="BT34" s="154">
        <v>1799.6</v>
      </c>
      <c r="BU34" s="154">
        <v>1799.6</v>
      </c>
      <c r="BV34" s="154">
        <f>(CE38*1000)/5</f>
        <v>1443.4</v>
      </c>
      <c r="BW34" s="155">
        <v>1443.4</v>
      </c>
      <c r="BX34" s="155">
        <v>1443.4</v>
      </c>
      <c r="BY34" s="155">
        <v>1443.4</v>
      </c>
      <c r="BZ34" s="155">
        <v>1443.4</v>
      </c>
      <c r="CA34" s="155">
        <v>1443.4</v>
      </c>
      <c r="CC34" t="s">
        <v>386</v>
      </c>
      <c r="CD34" s="150">
        <v>124.22799999999999</v>
      </c>
      <c r="CE34" s="150">
        <v>10.978999999999999</v>
      </c>
      <c r="CF34" s="150">
        <v>15.653</v>
      </c>
      <c r="CG34" s="150">
        <v>58.515000000000001</v>
      </c>
      <c r="CH34" s="150">
        <v>116.49900000000001</v>
      </c>
      <c r="CI34" s="150">
        <v>139.51800000000003</v>
      </c>
      <c r="CJ34" s="143"/>
      <c r="CK34" s="4" t="str">
        <f>Populations!$C$13</f>
        <v>F25-34</v>
      </c>
      <c r="CL34" s="7">
        <v>1.6857536536036E-2</v>
      </c>
      <c r="CM34" s="7">
        <v>1.6857536536036E-2</v>
      </c>
      <c r="CN34" s="7">
        <v>1.6857536536036E-2</v>
      </c>
      <c r="CO34" s="7">
        <v>1.6857536536036E-2</v>
      </c>
      <c r="CP34" s="7">
        <v>1.6857536536036E-2</v>
      </c>
      <c r="CQ34" s="7">
        <v>1.6857536536036E-2</v>
      </c>
      <c r="CR34" s="7">
        <v>1.6857536536036E-2</v>
      </c>
      <c r="CS34" s="7">
        <v>1.6857536536036E-2</v>
      </c>
      <c r="CT34" s="7">
        <v>1.6857536536036E-2</v>
      </c>
      <c r="CU34" s="7">
        <v>1.6857536536036E-2</v>
      </c>
      <c r="CV34" s="7">
        <v>1.6857536536036E-2</v>
      </c>
      <c r="CW34" s="7">
        <v>1.3908562374481801E-2</v>
      </c>
      <c r="CX34" s="7">
        <v>1.12701423530222E-2</v>
      </c>
      <c r="CY34" s="7">
        <v>9.0252345255358597E-3</v>
      </c>
      <c r="CZ34" s="7">
        <v>7.1039710413365502E-3</v>
      </c>
      <c r="DA34" s="7">
        <v>6.1047115693473901E-3</v>
      </c>
      <c r="DB34" s="7">
        <v>4.6577553415932098E-3</v>
      </c>
      <c r="DC34" s="7">
        <v>3.5157771167564499E-3</v>
      </c>
      <c r="DD34" s="7">
        <v>2.9914143352028598E-3</v>
      </c>
      <c r="DE34" s="7">
        <v>2.5083131100637999E-3</v>
      </c>
      <c r="DF34" s="7">
        <v>3.0975626220376496E-3</v>
      </c>
      <c r="DG34" s="7">
        <v>2.743720088516385E-3</v>
      </c>
      <c r="DH34" s="7">
        <v>2.4210911584649402E-3</v>
      </c>
      <c r="DI34" s="7">
        <v>2.1268568312166748E-3</v>
      </c>
      <c r="DJ34" s="7">
        <v>1.8577550462181001E-3</v>
      </c>
      <c r="DK34" s="7">
        <v>1.6880974497993151E-3</v>
      </c>
      <c r="DL34" s="7">
        <v>2.5343816083229697E-3</v>
      </c>
      <c r="DM34" s="7">
        <v>2.570471737382265E-3</v>
      </c>
      <c r="DN34" s="7">
        <v>2.6136994416644998E-3</v>
      </c>
      <c r="DO34" s="7">
        <v>2.6633682556218598E-3</v>
      </c>
      <c r="DP34" s="7">
        <v>2.7182385032913899E-3</v>
      </c>
      <c r="DQ34" s="7">
        <v>2.6877491304684751E-3</v>
      </c>
      <c r="DR34" s="7">
        <v>2.6639841742553847E-3</v>
      </c>
      <c r="DS34" s="7">
        <v>2.6431835134168953E-3</v>
      </c>
      <c r="DT34" s="7">
        <v>2.6209861163613152E-3</v>
      </c>
      <c r="DU34" s="7">
        <v>2.5947224443323151E-3</v>
      </c>
      <c r="DV34" s="7">
        <v>2.54799215969778E-3</v>
      </c>
      <c r="DW34" s="7">
        <v>2.497095277828485E-3</v>
      </c>
      <c r="DX34" s="7">
        <v>2.4405350063547901E-3</v>
      </c>
      <c r="DY34" s="7">
        <v>2.3769855722227651E-3</v>
      </c>
      <c r="DZ34" s="7">
        <v>2.3061147323418601E-3</v>
      </c>
      <c r="EA34" s="143"/>
      <c r="EB34" s="143"/>
      <c r="ED34" s="4" t="str">
        <f>Populations!$C$13</f>
        <v>F25-34</v>
      </c>
      <c r="EE34" s="7">
        <v>1.6857536536036E-2</v>
      </c>
      <c r="EF34" s="7">
        <v>1.3908562374481801E-2</v>
      </c>
      <c r="EG34" s="7">
        <v>1.12701423530222E-2</v>
      </c>
      <c r="EH34" s="7">
        <v>9.0252345255358597E-3</v>
      </c>
      <c r="EI34" s="7">
        <v>7.1039710413365502E-3</v>
      </c>
      <c r="EJ34" s="7">
        <v>6.1047115693473901E-3</v>
      </c>
      <c r="EK34" s="7">
        <v>4.6577553415932098E-3</v>
      </c>
      <c r="EL34" s="7">
        <v>3.5157771167564499E-3</v>
      </c>
      <c r="EM34" s="7">
        <v>2.9914143352028598E-3</v>
      </c>
      <c r="EN34" s="7">
        <v>2.5083131100637999E-3</v>
      </c>
      <c r="EO34" s="7">
        <v>2.0650417480250999E-3</v>
      </c>
      <c r="EP34" s="7">
        <v>1.8291467256775901E-3</v>
      </c>
      <c r="EQ34" s="7">
        <v>1.61406077230996E-3</v>
      </c>
      <c r="ER34" s="7">
        <v>1.4179045541444499E-3</v>
      </c>
      <c r="ES34" s="7">
        <v>1.2385033641454E-3</v>
      </c>
      <c r="ET34" s="7">
        <v>1.1253982998662101E-3</v>
      </c>
      <c r="EU34" s="7">
        <v>1.6895877388819799E-3</v>
      </c>
      <c r="EV34" s="7">
        <v>1.71364782492151E-3</v>
      </c>
      <c r="EW34" s="7">
        <v>1.742466294443E-3</v>
      </c>
      <c r="EX34" s="7">
        <v>1.7755788370812399E-3</v>
      </c>
      <c r="EY34" s="7">
        <v>1.81215900219426E-3</v>
      </c>
      <c r="EZ34" s="7">
        <v>1.7918327536456499E-3</v>
      </c>
      <c r="FA34" s="7">
        <v>1.7759894495035899E-3</v>
      </c>
      <c r="FB34" s="7">
        <v>1.76212234227793E-3</v>
      </c>
      <c r="FC34" s="7">
        <v>1.74732407757421E-3</v>
      </c>
      <c r="FD34" s="7">
        <v>1.72981496288821E-3</v>
      </c>
      <c r="FE34" s="7">
        <v>1.69866143979852E-3</v>
      </c>
      <c r="FF34" s="7">
        <v>1.66473018521899E-3</v>
      </c>
      <c r="FG34" s="7">
        <v>1.6270233375698601E-3</v>
      </c>
      <c r="FH34" s="7">
        <v>1.5846570481485101E-3</v>
      </c>
      <c r="FI34" s="7">
        <v>1.53740982156124E-3</v>
      </c>
      <c r="FK34" s="7">
        <v>5.0000000000000001E-3</v>
      </c>
      <c r="FM34" s="142">
        <f t="shared" si="1"/>
        <v>3.2522232718160335</v>
      </c>
      <c r="FN34" s="141">
        <f t="shared" si="2"/>
        <v>2.7591397851655013</v>
      </c>
    </row>
    <row r="35" spans="1:170" x14ac:dyDescent="0.35">
      <c r="B35" s="4" t="str">
        <f>Populations!$C$14</f>
        <v>M25-34</v>
      </c>
      <c r="C35" s="7">
        <f t="shared" ref="C35" si="5">CL14*1.5</f>
        <v>6.2564999999999999E-3</v>
      </c>
      <c r="D35" s="7">
        <f t="shared" ref="D35" si="6">CM14*1.5</f>
        <v>7.443E-3</v>
      </c>
      <c r="E35" s="7">
        <f t="shared" ref="E35" si="7">CN14*1.5</f>
        <v>8.9910000000000007E-3</v>
      </c>
      <c r="F35" s="7">
        <f t="shared" ref="F35" si="8">CO14*1.5</f>
        <v>1.1098500000000001E-2</v>
      </c>
      <c r="G35" s="7">
        <f t="shared" ref="G35" si="9">CP14*1.5</f>
        <v>1.3036500000000001E-2</v>
      </c>
      <c r="H35" s="7">
        <f t="shared" ref="H35" si="10">CQ14*1.5</f>
        <v>1.5365999999999999E-2</v>
      </c>
      <c r="I35" s="7">
        <f t="shared" ref="I35" si="11">CR14*1.5</f>
        <v>1.7983499999999999E-2</v>
      </c>
      <c r="J35" s="7">
        <f t="shared" ref="J35" si="12">CS14*1.5</f>
        <v>1.9421999999999998E-2</v>
      </c>
      <c r="K35" s="7">
        <f t="shared" ref="K35" si="13">CT14*1.5</f>
        <v>2.1212999999999999E-2</v>
      </c>
      <c r="L35" s="7">
        <f t="shared" ref="L35" si="14">CU14*1.5</f>
        <v>2.52765E-2</v>
      </c>
      <c r="M35" s="7">
        <f t="shared" ref="M35" si="15">CV14*1.5</f>
        <v>2.6659500000000003E-2</v>
      </c>
      <c r="N35" s="7">
        <f>CW14*2</f>
        <v>5.1922000000000003E-2</v>
      </c>
      <c r="O35" s="7">
        <f t="shared" ref="O35:AI35" si="16">CX14*2</f>
        <v>3.7831999999999998E-2</v>
      </c>
      <c r="P35" s="7">
        <f t="shared" si="16"/>
        <v>4.6698000000000003E-2</v>
      </c>
      <c r="Q35" s="7">
        <f t="shared" si="16"/>
        <v>3.9789999999999999E-2</v>
      </c>
      <c r="R35" s="7">
        <f t="shared" si="16"/>
        <v>3.9837999999999998E-2</v>
      </c>
      <c r="S35" s="7">
        <f t="shared" si="16"/>
        <v>3.6412E-2</v>
      </c>
      <c r="T35" s="7">
        <f t="shared" si="16"/>
        <v>3.7915999999999998E-2</v>
      </c>
      <c r="U35" s="7">
        <f t="shared" si="16"/>
        <v>3.2708000000000001E-2</v>
      </c>
      <c r="V35" s="7">
        <f t="shared" si="16"/>
        <v>2.9690000000000001E-2</v>
      </c>
      <c r="W35" s="7">
        <f t="shared" si="16"/>
        <v>2.4336E-2</v>
      </c>
      <c r="X35" s="7">
        <f t="shared" si="16"/>
        <v>1.8846000000000002E-2</v>
      </c>
      <c r="Y35" s="7">
        <f t="shared" si="16"/>
        <v>1.6175999999999999E-2</v>
      </c>
      <c r="Z35" s="7">
        <f t="shared" si="16"/>
        <v>1.3913999999999999E-2</v>
      </c>
      <c r="AA35" s="7">
        <f t="shared" si="16"/>
        <v>1.2385999999999999E-2</v>
      </c>
      <c r="AB35" s="7">
        <f t="shared" si="16"/>
        <v>1.1474E-2</v>
      </c>
      <c r="AC35" s="7">
        <f t="shared" si="16"/>
        <v>1.0692E-2</v>
      </c>
      <c r="AD35" s="7">
        <f t="shared" si="16"/>
        <v>1.0114E-2</v>
      </c>
      <c r="AE35" s="7">
        <f t="shared" si="16"/>
        <v>9.528E-3</v>
      </c>
      <c r="AF35" s="7">
        <f t="shared" si="16"/>
        <v>9.3980000000000001E-3</v>
      </c>
      <c r="AG35" s="7">
        <f t="shared" si="16"/>
        <v>8.4399999999999996E-3</v>
      </c>
      <c r="AH35" s="7">
        <f t="shared" si="16"/>
        <v>9.1299999999999992E-3</v>
      </c>
      <c r="AI35" s="7">
        <f t="shared" si="16"/>
        <v>9.2960000000000004E-3</v>
      </c>
      <c r="AJ35" s="15"/>
      <c r="AK35" s="15"/>
      <c r="AL35" s="15"/>
      <c r="AM35" s="15"/>
      <c r="AN35" s="15"/>
      <c r="AO35" s="15"/>
      <c r="AP35" s="15"/>
      <c r="AQ35" s="15"/>
      <c r="AR35" s="6" t="s">
        <v>46</v>
      </c>
      <c r="AS35" s="7"/>
      <c r="AT35" s="143"/>
      <c r="AU35" s="143"/>
      <c r="AV35" s="144" t="s">
        <v>369</v>
      </c>
      <c r="AW35" s="154">
        <f>(CF33*1000)/5</f>
        <v>2058.4</v>
      </c>
      <c r="AX35" s="154">
        <v>2058.4</v>
      </c>
      <c r="AY35" s="154">
        <v>2058.4</v>
      </c>
      <c r="AZ35" s="154">
        <v>2058.4</v>
      </c>
      <c r="BA35" s="154">
        <v>2058.4</v>
      </c>
      <c r="BB35" s="154">
        <f>(CF34*1000)/5</f>
        <v>3130.6</v>
      </c>
      <c r="BC35" s="154">
        <v>3130.6</v>
      </c>
      <c r="BD35" s="154">
        <v>3130.6</v>
      </c>
      <c r="BE35" s="154">
        <v>3130.6</v>
      </c>
      <c r="BF35" s="154">
        <v>3130.6</v>
      </c>
      <c r="BG35" s="154">
        <f>(CF35*1000)/5</f>
        <v>4368.2</v>
      </c>
      <c r="BH35" s="154">
        <v>4368.2</v>
      </c>
      <c r="BI35" s="154">
        <v>4368.2</v>
      </c>
      <c r="BJ35" s="154">
        <v>4368.2</v>
      </c>
      <c r="BK35" s="154">
        <v>4368.2</v>
      </c>
      <c r="BL35" s="154">
        <f>(CF36*1000)/5</f>
        <v>4647.8</v>
      </c>
      <c r="BM35" s="154">
        <v>4647.8</v>
      </c>
      <c r="BN35" s="154">
        <v>4647.8</v>
      </c>
      <c r="BO35" s="154">
        <v>4647.8</v>
      </c>
      <c r="BP35" s="154">
        <v>4647.8</v>
      </c>
      <c r="BQ35" s="154">
        <f>(CF37*1000)/5</f>
        <v>2467.6</v>
      </c>
      <c r="BR35" s="154">
        <v>2467.6</v>
      </c>
      <c r="BS35" s="154">
        <v>2467.6</v>
      </c>
      <c r="BT35" s="154">
        <v>2467.6</v>
      </c>
      <c r="BU35" s="154">
        <v>2467.6</v>
      </c>
      <c r="BV35" s="154">
        <f>(CF38*1000)/5</f>
        <v>1900.8</v>
      </c>
      <c r="BW35" s="155">
        <v>1900.8</v>
      </c>
      <c r="BX35" s="155">
        <v>1900.8</v>
      </c>
      <c r="BY35" s="155">
        <v>1900.8</v>
      </c>
      <c r="BZ35" s="155">
        <v>1900.8</v>
      </c>
      <c r="CA35" s="155">
        <v>1900.8</v>
      </c>
      <c r="CC35" t="s">
        <v>351</v>
      </c>
      <c r="CD35" s="150">
        <v>135.16499999999999</v>
      </c>
      <c r="CE35" s="150">
        <v>15.688000000000001</v>
      </c>
      <c r="CF35" s="150">
        <v>21.841000000000001</v>
      </c>
      <c r="CG35" s="150">
        <v>73.287000000000006</v>
      </c>
      <c r="CH35" s="150">
        <v>137.09399999999999</v>
      </c>
      <c r="CI35" s="150">
        <v>156.93399999999997</v>
      </c>
      <c r="CJ35" s="143"/>
      <c r="CK35" s="4" t="str">
        <f>Populations!$C$14</f>
        <v>M25-34</v>
      </c>
      <c r="CL35" s="7">
        <v>7.8035567312439097E-3</v>
      </c>
      <c r="CM35" s="7">
        <v>7.8035567312439097E-3</v>
      </c>
      <c r="CN35" s="7">
        <v>7.8035567312439097E-3</v>
      </c>
      <c r="CO35" s="7">
        <v>7.8035567312439097E-3</v>
      </c>
      <c r="CP35" s="7">
        <v>7.8035567312439097E-3</v>
      </c>
      <c r="CQ35" s="7">
        <v>7.8035567312439097E-3</v>
      </c>
      <c r="CR35" s="7">
        <v>7.8035567312439097E-3</v>
      </c>
      <c r="CS35" s="7">
        <v>7.8035567312439097E-3</v>
      </c>
      <c r="CT35" s="7">
        <v>7.8035567312439097E-3</v>
      </c>
      <c r="CU35" s="7">
        <v>7.8035567312439097E-3</v>
      </c>
      <c r="CV35" s="7">
        <v>7.8035567312439097E-3</v>
      </c>
      <c r="CW35" s="7">
        <v>6.6066846973997801E-3</v>
      </c>
      <c r="CX35" s="7">
        <v>5.7123664721837001E-3</v>
      </c>
      <c r="CY35" s="7">
        <v>5.0990195936299904E-3</v>
      </c>
      <c r="CZ35" s="7">
        <v>4.7116176018231299E-3</v>
      </c>
      <c r="DA35" s="7">
        <v>4.5210763568358098E-3</v>
      </c>
      <c r="DB35" s="7">
        <v>4.0157471817785801E-3</v>
      </c>
      <c r="DC35" s="7">
        <v>3.5496411540406601E-3</v>
      </c>
      <c r="DD35" s="7">
        <v>3.0581737847025902E-3</v>
      </c>
      <c r="DE35" s="7">
        <v>2.5889992184150801E-3</v>
      </c>
      <c r="DF35" s="7">
        <v>3.3124263295242302E-3</v>
      </c>
      <c r="DG35" s="7">
        <v>3.1050349427174549E-3</v>
      </c>
      <c r="DH35" s="7">
        <v>3.0092781066553796E-3</v>
      </c>
      <c r="DI35" s="7">
        <v>2.8889571799723202E-3</v>
      </c>
      <c r="DJ35" s="7">
        <v>2.6980524986388449E-3</v>
      </c>
      <c r="DK35" s="7">
        <v>2.4742596512126701E-3</v>
      </c>
      <c r="DL35" s="7">
        <v>3.3701026562144697E-3</v>
      </c>
      <c r="DM35" s="7">
        <v>3.3635741898819455E-3</v>
      </c>
      <c r="DN35" s="7">
        <v>3.3642807606174599E-3</v>
      </c>
      <c r="DO35" s="7">
        <v>3.3726903250819351E-3</v>
      </c>
      <c r="DP35" s="7">
        <v>3.3880665451475403E-3</v>
      </c>
      <c r="DQ35" s="7">
        <v>3.3592776413800198E-3</v>
      </c>
      <c r="DR35" s="7">
        <v>3.3383701164666599E-3</v>
      </c>
      <c r="DS35" s="7">
        <v>3.3215190025220704E-3</v>
      </c>
      <c r="DT35" s="7">
        <v>3.3042274490082597E-3</v>
      </c>
      <c r="DU35" s="7">
        <v>3.2837875954394098E-3</v>
      </c>
      <c r="DV35" s="7">
        <v>3.2575888097048098E-3</v>
      </c>
      <c r="DW35" s="7">
        <v>3.2278768720729652E-3</v>
      </c>
      <c r="DX35" s="7">
        <v>3.1922068938923997E-3</v>
      </c>
      <c r="DY35" s="7">
        <v>3.1479638744715752E-3</v>
      </c>
      <c r="DZ35" s="7">
        <v>3.0940410871460851E-3</v>
      </c>
      <c r="EA35" s="143"/>
      <c r="EB35" s="143"/>
      <c r="ED35" s="4" t="str">
        <f>Populations!$C$14</f>
        <v>M25-34</v>
      </c>
      <c r="EE35" s="7">
        <v>7.8035567312439097E-3</v>
      </c>
      <c r="EF35" s="7">
        <v>6.6066846973997801E-3</v>
      </c>
      <c r="EG35" s="7">
        <v>5.7123664721837001E-3</v>
      </c>
      <c r="EH35" s="7">
        <v>5.0990195936299904E-3</v>
      </c>
      <c r="EI35" s="7">
        <v>4.7116176018231299E-3</v>
      </c>
      <c r="EJ35" s="7">
        <v>4.5210763568358098E-3</v>
      </c>
      <c r="EK35" s="7">
        <v>4.0157471817785801E-3</v>
      </c>
      <c r="EL35" s="7">
        <v>3.5496411540406601E-3</v>
      </c>
      <c r="EM35" s="7">
        <v>3.0581737847025902E-3</v>
      </c>
      <c r="EN35" s="7">
        <v>2.5889992184150801E-3</v>
      </c>
      <c r="EO35" s="7">
        <v>2.2082842196828201E-3</v>
      </c>
      <c r="EP35" s="7">
        <v>2.0700232951449699E-3</v>
      </c>
      <c r="EQ35" s="7">
        <v>2.0061854044369199E-3</v>
      </c>
      <c r="ER35" s="7">
        <v>1.9259714533148801E-3</v>
      </c>
      <c r="ES35" s="7">
        <v>1.7987016657592301E-3</v>
      </c>
      <c r="ET35" s="7">
        <v>1.6495064341417801E-3</v>
      </c>
      <c r="EU35" s="7">
        <v>2.24673510414298E-3</v>
      </c>
      <c r="EV35" s="7">
        <v>2.2423827932546302E-3</v>
      </c>
      <c r="EW35" s="7">
        <v>2.24285384041164E-3</v>
      </c>
      <c r="EX35" s="7">
        <v>2.2484602167212901E-3</v>
      </c>
      <c r="EY35" s="7">
        <v>2.2587110300983601E-3</v>
      </c>
      <c r="EZ35" s="7">
        <v>2.2395184275866798E-3</v>
      </c>
      <c r="FA35" s="7">
        <v>2.2255800776444399E-3</v>
      </c>
      <c r="FB35" s="7">
        <v>2.2143460016813801E-3</v>
      </c>
      <c r="FC35" s="7">
        <v>2.2028182993388398E-3</v>
      </c>
      <c r="FD35" s="7">
        <v>2.1891917302929399E-3</v>
      </c>
      <c r="FE35" s="7">
        <v>2.1717258731365398E-3</v>
      </c>
      <c r="FF35" s="7">
        <v>2.1519179147153102E-3</v>
      </c>
      <c r="FG35" s="7">
        <v>2.1281379292616E-3</v>
      </c>
      <c r="FH35" s="7">
        <v>2.0986425829810501E-3</v>
      </c>
      <c r="FI35" s="7">
        <v>2.0626940580973901E-3</v>
      </c>
      <c r="FK35" s="7">
        <v>3.5000000000000003E-2</v>
      </c>
      <c r="FM35" s="142">
        <f t="shared" si="1"/>
        <v>16.96810046191905</v>
      </c>
      <c r="FN35" s="141">
        <f t="shared" si="2"/>
        <v>15.495563413650068</v>
      </c>
    </row>
    <row r="36" spans="1:170" x14ac:dyDescent="0.35">
      <c r="B36" s="4" t="str">
        <f>Populations!$C$15</f>
        <v>F35-49</v>
      </c>
      <c r="C36" s="7">
        <v>6.999E-3</v>
      </c>
      <c r="D36" s="7">
        <v>8.3059999999999991E-3</v>
      </c>
      <c r="E36" s="7">
        <v>9.7249999999999993E-3</v>
      </c>
      <c r="F36" s="7">
        <v>1.1797999999999999E-2</v>
      </c>
      <c r="G36" s="7">
        <v>1.3897E-2</v>
      </c>
      <c r="H36" s="7">
        <v>1.6459999999999999E-2</v>
      </c>
      <c r="I36" s="7">
        <v>1.9469E-2</v>
      </c>
      <c r="J36" s="7">
        <v>2.1042999999999999E-2</v>
      </c>
      <c r="K36" s="7">
        <v>2.2884000000000002E-2</v>
      </c>
      <c r="L36" s="7">
        <v>2.6672999999999999E-2</v>
      </c>
      <c r="M36" s="7">
        <v>2.8704E-2</v>
      </c>
      <c r="N36" s="7">
        <v>4.0152E-2</v>
      </c>
      <c r="O36" s="7">
        <v>3.0543000000000001E-2</v>
      </c>
      <c r="P36" s="7">
        <v>3.6194999999999998E-2</v>
      </c>
      <c r="Q36" s="7">
        <v>3.1261999999999998E-2</v>
      </c>
      <c r="R36" s="7">
        <v>3.1022000000000001E-2</v>
      </c>
      <c r="S36" s="7">
        <v>2.8614000000000001E-2</v>
      </c>
      <c r="T36" s="7">
        <v>2.9286E-2</v>
      </c>
      <c r="U36" s="7">
        <v>2.5565000000000001E-2</v>
      </c>
      <c r="V36" s="7">
        <v>2.3102000000000001E-2</v>
      </c>
      <c r="W36" s="7">
        <v>1.9314000000000001E-2</v>
      </c>
      <c r="X36" s="7">
        <v>1.5102000000000001E-2</v>
      </c>
      <c r="Y36" s="7">
        <v>1.3252E-2</v>
      </c>
      <c r="Z36" s="7">
        <v>1.1639E-2</v>
      </c>
      <c r="AA36" s="7">
        <v>1.0518E-2</v>
      </c>
      <c r="AB36" s="7">
        <v>9.8029999999999992E-3</v>
      </c>
      <c r="AC36" s="7">
        <v>9.2350000000000002E-3</v>
      </c>
      <c r="AD36" s="7">
        <v>8.8129999999999997E-3</v>
      </c>
      <c r="AE36" s="7">
        <v>8.4069999999999995E-3</v>
      </c>
      <c r="AF36" s="7">
        <v>8.3379999999999999E-3</v>
      </c>
      <c r="AG36" s="7">
        <v>7.8650000000000005E-3</v>
      </c>
      <c r="AH36" s="15">
        <v>8.8389999999999996E-3</v>
      </c>
      <c r="AI36" s="15">
        <v>8.9239999999999996E-3</v>
      </c>
      <c r="AJ36" s="15"/>
      <c r="AK36" s="15"/>
      <c r="AL36" s="15"/>
      <c r="AM36" s="15"/>
      <c r="AN36" s="15"/>
      <c r="AO36" s="15"/>
      <c r="AP36" s="15"/>
      <c r="AQ36" s="15"/>
      <c r="AR36" s="6" t="s">
        <v>46</v>
      </c>
      <c r="AS36" s="7"/>
      <c r="AT36" s="143"/>
      <c r="AU36" s="143"/>
      <c r="AV36" s="144" t="s">
        <v>387</v>
      </c>
      <c r="AW36" s="154">
        <f>(CG33*1000)/5</f>
        <v>6777.7999999999984</v>
      </c>
      <c r="AX36" s="154">
        <v>6777.7999999999984</v>
      </c>
      <c r="AY36" s="154">
        <v>6777.7999999999984</v>
      </c>
      <c r="AZ36" s="154">
        <v>6777.7999999999984</v>
      </c>
      <c r="BA36" s="154">
        <v>6777.7999999999984</v>
      </c>
      <c r="BB36" s="154">
        <f>(CG34*1000)/5</f>
        <v>11703</v>
      </c>
      <c r="BC36" s="154">
        <v>11703</v>
      </c>
      <c r="BD36" s="154">
        <v>11703</v>
      </c>
      <c r="BE36" s="154">
        <v>11703</v>
      </c>
      <c r="BF36" s="154">
        <v>11703</v>
      </c>
      <c r="BG36" s="154">
        <f>(CG35*1000)/5</f>
        <v>14657.4</v>
      </c>
      <c r="BH36" s="154">
        <v>14657.4</v>
      </c>
      <c r="BI36" s="154">
        <v>14657.4</v>
      </c>
      <c r="BJ36" s="154">
        <v>14657.4</v>
      </c>
      <c r="BK36" s="154">
        <v>14657.4</v>
      </c>
      <c r="BL36" s="154">
        <f>(CG36*1000)/5</f>
        <v>14083.8</v>
      </c>
      <c r="BM36" s="154">
        <v>14083.8</v>
      </c>
      <c r="BN36" s="154">
        <v>14083.8</v>
      </c>
      <c r="BO36" s="154">
        <v>14083.8</v>
      </c>
      <c r="BP36" s="154">
        <v>14083.8</v>
      </c>
      <c r="BQ36" s="154">
        <f>(CG37*1000)/5</f>
        <v>6537.9999999999991</v>
      </c>
      <c r="BR36" s="154">
        <v>6537.9999999999991</v>
      </c>
      <c r="BS36" s="154">
        <v>6537.9999999999991</v>
      </c>
      <c r="BT36" s="154">
        <v>6537.9999999999991</v>
      </c>
      <c r="BU36" s="154">
        <v>6537.9999999999991</v>
      </c>
      <c r="BV36" s="154">
        <f>(CG38*1000)/5</f>
        <v>4904.3999999999996</v>
      </c>
      <c r="BW36" s="155">
        <v>4904.3999999999996</v>
      </c>
      <c r="BX36" s="155">
        <v>4904.3999999999996</v>
      </c>
      <c r="BY36" s="155">
        <v>4904.3999999999996</v>
      </c>
      <c r="BZ36" s="155">
        <v>4904.3999999999996</v>
      </c>
      <c r="CA36" s="155">
        <v>4904.3999999999996</v>
      </c>
      <c r="CC36" t="s">
        <v>352</v>
      </c>
      <c r="CD36" s="150">
        <v>143.04800000000003</v>
      </c>
      <c r="CE36" s="150">
        <v>16.946999999999999</v>
      </c>
      <c r="CF36" s="150">
        <v>23.239000000000001</v>
      </c>
      <c r="CG36" s="150">
        <v>70.418999999999997</v>
      </c>
      <c r="CH36" s="150">
        <v>118.94999999999999</v>
      </c>
      <c r="CI36" s="150">
        <v>148.69</v>
      </c>
      <c r="CJ36" s="143"/>
      <c r="CK36" s="4" t="str">
        <f>Populations!$C$15</f>
        <v>F35-49</v>
      </c>
      <c r="CL36" s="7">
        <v>2.9681324396496699E-2</v>
      </c>
      <c r="CM36" s="7">
        <v>2.9681324396496699E-2</v>
      </c>
      <c r="CN36" s="7">
        <v>2.9681324396496699E-2</v>
      </c>
      <c r="CO36" s="7">
        <v>2.9681324396496699E-2</v>
      </c>
      <c r="CP36" s="7">
        <v>2.9681324396496699E-2</v>
      </c>
      <c r="CQ36" s="7">
        <v>2.9681324396496699E-2</v>
      </c>
      <c r="CR36" s="7">
        <v>2.9681324396496699E-2</v>
      </c>
      <c r="CS36" s="7">
        <v>2.9681324396496699E-2</v>
      </c>
      <c r="CT36" s="7">
        <v>2.9681324396496699E-2</v>
      </c>
      <c r="CU36" s="7">
        <v>2.9681324396496699E-2</v>
      </c>
      <c r="CV36" s="7">
        <v>2.9681324396496699E-2</v>
      </c>
      <c r="CW36" s="7">
        <v>2.6131639195891499E-2</v>
      </c>
      <c r="CX36" s="7">
        <v>2.3069925203677601E-2</v>
      </c>
      <c r="CY36" s="7">
        <v>2.04928331337496E-2</v>
      </c>
      <c r="CZ36" s="7">
        <v>1.8153990492183199E-2</v>
      </c>
      <c r="DA36" s="7">
        <v>1.6555242256433102E-2</v>
      </c>
      <c r="DB36" s="7">
        <v>1.2766351645076999E-2</v>
      </c>
      <c r="DC36" s="7">
        <v>9.7402256968852803E-3</v>
      </c>
      <c r="DD36" s="7">
        <v>7.3742512539480502E-3</v>
      </c>
      <c r="DE36" s="7">
        <v>5.5356567414051698E-3</v>
      </c>
      <c r="DF36" s="7">
        <v>7.0069102176915001E-3</v>
      </c>
      <c r="DG36" s="7">
        <v>9.0017491626168001E-3</v>
      </c>
      <c r="DH36" s="7">
        <v>9.7407395705983949E-3</v>
      </c>
      <c r="DI36" s="7">
        <v>8.8652984012243391E-3</v>
      </c>
      <c r="DJ36" s="7">
        <v>8.6217390774307647E-3</v>
      </c>
      <c r="DK36" s="7">
        <v>7.825598059340879E-3</v>
      </c>
      <c r="DL36" s="7">
        <v>8.6637858503954106E-3</v>
      </c>
      <c r="DM36" s="7">
        <v>8.6061467000174401E-3</v>
      </c>
      <c r="DN36" s="7">
        <v>8.5236686803031106E-3</v>
      </c>
      <c r="DO36" s="7">
        <v>8.4413694522026111E-3</v>
      </c>
      <c r="DP36" s="7">
        <v>8.3723155458107559E-3</v>
      </c>
      <c r="DQ36" s="7">
        <v>8.1616158441138002E-3</v>
      </c>
      <c r="DR36" s="7">
        <v>7.9866215561131201E-3</v>
      </c>
      <c r="DS36" s="7">
        <v>7.8454902498193806E-3</v>
      </c>
      <c r="DT36" s="7">
        <v>7.7366551656156005E-3</v>
      </c>
      <c r="DU36" s="7">
        <v>7.6589846921229152E-3</v>
      </c>
      <c r="DV36" s="7">
        <v>7.4098207425092556E-3</v>
      </c>
      <c r="DW36" s="7">
        <v>7.1992147734782847E-3</v>
      </c>
      <c r="DX36" s="7">
        <v>7.0237825907721449E-3</v>
      </c>
      <c r="DY36" s="7">
        <v>6.8820557357932941E-3</v>
      </c>
      <c r="DZ36" s="7">
        <v>6.7711231338863252E-3</v>
      </c>
      <c r="EA36" s="143"/>
      <c r="EB36" s="143"/>
      <c r="ED36" s="4" t="str">
        <f>Populations!$C$15</f>
        <v>F35-49</v>
      </c>
      <c r="EE36" s="7">
        <v>2.9681324396496699E-2</v>
      </c>
      <c r="EF36" s="7">
        <v>2.6131639195891499E-2</v>
      </c>
      <c r="EG36" s="7">
        <v>2.3069925203677601E-2</v>
      </c>
      <c r="EH36" s="7">
        <v>2.04928331337496E-2</v>
      </c>
      <c r="EI36" s="7">
        <v>1.8153990492183199E-2</v>
      </c>
      <c r="EJ36" s="7">
        <v>1.6555242256433102E-2</v>
      </c>
      <c r="EK36" s="7">
        <v>1.2766351645076999E-2</v>
      </c>
      <c r="EL36" s="7">
        <v>9.7402256968852803E-3</v>
      </c>
      <c r="EM36" s="7">
        <v>7.3742512539480502E-3</v>
      </c>
      <c r="EN36" s="7">
        <v>5.5356567414051698E-3</v>
      </c>
      <c r="EO36" s="7">
        <v>4.6712734784610001E-3</v>
      </c>
      <c r="EP36" s="7">
        <v>6.0011661084111998E-3</v>
      </c>
      <c r="EQ36" s="7">
        <v>6.4938263803989297E-3</v>
      </c>
      <c r="ER36" s="7">
        <v>5.91019893414956E-3</v>
      </c>
      <c r="ES36" s="7">
        <v>5.7478260516205101E-3</v>
      </c>
      <c r="ET36" s="7">
        <v>5.2170653728939196E-3</v>
      </c>
      <c r="EU36" s="7">
        <v>5.7758572335969401E-3</v>
      </c>
      <c r="EV36" s="7">
        <v>5.7374311333449604E-3</v>
      </c>
      <c r="EW36" s="7">
        <v>5.6824457868687398E-3</v>
      </c>
      <c r="EX36" s="7">
        <v>5.6275796348017404E-3</v>
      </c>
      <c r="EY36" s="7">
        <v>5.58154369720717E-3</v>
      </c>
      <c r="EZ36" s="7">
        <v>5.4410772294091999E-3</v>
      </c>
      <c r="FA36" s="7">
        <v>5.3244143707420798E-3</v>
      </c>
      <c r="FB36" s="7">
        <v>5.2303268332129201E-3</v>
      </c>
      <c r="FC36" s="7">
        <v>5.1577701104104003E-3</v>
      </c>
      <c r="FD36" s="7">
        <v>5.1059897947486098E-3</v>
      </c>
      <c r="FE36" s="7">
        <v>4.9398804950061704E-3</v>
      </c>
      <c r="FF36" s="7">
        <v>4.7994765156521898E-3</v>
      </c>
      <c r="FG36" s="7">
        <v>4.6825217271814299E-3</v>
      </c>
      <c r="FH36" s="7">
        <v>4.5880371571955297E-3</v>
      </c>
      <c r="FI36" s="7">
        <v>4.5140820892575501E-3</v>
      </c>
      <c r="FK36" s="7">
        <v>8.9999999999999993E-3</v>
      </c>
      <c r="FM36" s="142">
        <f t="shared" si="1"/>
        <v>1.9937608182664368</v>
      </c>
      <c r="FN36" s="141">
        <f t="shared" si="2"/>
        <v>1.6124571423678575</v>
      </c>
    </row>
    <row r="37" spans="1:170" x14ac:dyDescent="0.35">
      <c r="B37" s="4" t="str">
        <f>Populations!$C$16</f>
        <v>M35-49</v>
      </c>
      <c r="C37" s="7">
        <f t="shared" ref="C37" si="17">CL16*1.5</f>
        <v>1.0498500000000001E-2</v>
      </c>
      <c r="D37" s="7">
        <f t="shared" ref="D37" si="18">CM16*1.5</f>
        <v>1.2458999999999998E-2</v>
      </c>
      <c r="E37" s="7">
        <f t="shared" ref="E37" si="19">CN16*1.5</f>
        <v>1.45875E-2</v>
      </c>
      <c r="F37" s="7">
        <f t="shared" ref="F37" si="20">CO16*1.5</f>
        <v>1.7696999999999997E-2</v>
      </c>
      <c r="G37" s="7">
        <f t="shared" ref="G37" si="21">CP16*1.5</f>
        <v>2.0845499999999999E-2</v>
      </c>
      <c r="H37" s="7">
        <f t="shared" ref="H37" si="22">CQ16*1.5</f>
        <v>2.4689999999999997E-2</v>
      </c>
      <c r="I37" s="7">
        <f t="shared" ref="I37" si="23">CR16*1.5</f>
        <v>2.92035E-2</v>
      </c>
      <c r="J37" s="7">
        <f t="shared" ref="J37" si="24">CS16*1.5</f>
        <v>3.1564499999999995E-2</v>
      </c>
      <c r="K37" s="7">
        <f t="shared" ref="K37" si="25">CT16*1.5</f>
        <v>3.4326000000000002E-2</v>
      </c>
      <c r="L37" s="7">
        <f t="shared" ref="L37" si="26">CU16*1.5</f>
        <v>4.0009499999999996E-2</v>
      </c>
      <c r="M37" s="7">
        <f t="shared" ref="M37" si="27">CV16*1.5</f>
        <v>4.3055999999999997E-2</v>
      </c>
      <c r="N37" s="7">
        <f t="shared" ref="N37" si="28">CW16*1.5</f>
        <v>6.0228000000000004E-2</v>
      </c>
      <c r="O37" s="7">
        <f t="shared" ref="O37" si="29">CX16*1.5</f>
        <v>4.5814500000000001E-2</v>
      </c>
      <c r="P37" s="7">
        <f t="shared" ref="P37" si="30">CY16*1.5</f>
        <v>5.4292499999999994E-2</v>
      </c>
      <c r="Q37" s="7">
        <f t="shared" ref="Q37" si="31">CZ16*1.5</f>
        <v>4.6892999999999997E-2</v>
      </c>
      <c r="R37" s="7">
        <f>DA16*1.5</f>
        <v>4.6533000000000005E-2</v>
      </c>
      <c r="S37" s="7">
        <f t="shared" ref="S37" si="32">DB16*1.5</f>
        <v>4.2921000000000001E-2</v>
      </c>
      <c r="T37" s="7">
        <f t="shared" ref="T37" si="33">DC16*1.5</f>
        <v>4.3928999999999996E-2</v>
      </c>
      <c r="U37" s="7">
        <f>DD16*2</f>
        <v>5.1130000000000002E-2</v>
      </c>
      <c r="V37" s="7">
        <f t="shared" ref="V37:AI37" si="34">DE16*2</f>
        <v>4.6204000000000002E-2</v>
      </c>
      <c r="W37" s="7">
        <f t="shared" si="34"/>
        <v>3.8628000000000003E-2</v>
      </c>
      <c r="X37" s="7">
        <f t="shared" si="34"/>
        <v>3.0204000000000002E-2</v>
      </c>
      <c r="Y37" s="7">
        <f t="shared" si="34"/>
        <v>2.6504E-2</v>
      </c>
      <c r="Z37" s="7">
        <f t="shared" si="34"/>
        <v>2.3278E-2</v>
      </c>
      <c r="AA37" s="7">
        <f t="shared" si="34"/>
        <v>2.1035999999999999E-2</v>
      </c>
      <c r="AB37" s="7">
        <f t="shared" si="34"/>
        <v>1.9605999999999998E-2</v>
      </c>
      <c r="AC37" s="7">
        <f t="shared" si="34"/>
        <v>1.847E-2</v>
      </c>
      <c r="AD37" s="7">
        <f t="shared" si="34"/>
        <v>1.7625999999999999E-2</v>
      </c>
      <c r="AE37" s="7">
        <f t="shared" si="34"/>
        <v>1.6813999999999999E-2</v>
      </c>
      <c r="AF37" s="7">
        <f t="shared" si="34"/>
        <v>1.6676E-2</v>
      </c>
      <c r="AG37" s="7">
        <f t="shared" si="34"/>
        <v>1.5730000000000001E-2</v>
      </c>
      <c r="AH37" s="7">
        <f t="shared" si="34"/>
        <v>1.7677999999999999E-2</v>
      </c>
      <c r="AI37" s="7">
        <f t="shared" si="34"/>
        <v>1.7847999999999999E-2</v>
      </c>
      <c r="AJ37" s="15"/>
      <c r="AK37" s="15"/>
      <c r="AL37" s="15"/>
      <c r="AM37" s="15"/>
      <c r="AN37" s="15"/>
      <c r="AO37" s="15"/>
      <c r="AP37" s="15"/>
      <c r="AQ37" s="15"/>
      <c r="AR37" s="6" t="s">
        <v>46</v>
      </c>
      <c r="AS37" s="7"/>
      <c r="AT37" s="143"/>
      <c r="AU37" s="143"/>
      <c r="AV37" s="144" t="s">
        <v>388</v>
      </c>
      <c r="AW37" s="154">
        <f>(CH33*1000)/5</f>
        <v>12431.4</v>
      </c>
      <c r="AX37" s="154">
        <v>12431.4</v>
      </c>
      <c r="AY37" s="154">
        <v>12431.4</v>
      </c>
      <c r="AZ37" s="154">
        <v>12431.4</v>
      </c>
      <c r="BA37" s="154">
        <v>12431.4</v>
      </c>
      <c r="BB37" s="154">
        <f>(CH34*1000)/5</f>
        <v>23299.800000000003</v>
      </c>
      <c r="BC37" s="154">
        <v>23299.800000000003</v>
      </c>
      <c r="BD37" s="154">
        <v>23299.800000000003</v>
      </c>
      <c r="BE37" s="154">
        <v>23299.800000000003</v>
      </c>
      <c r="BF37" s="154">
        <v>23299.800000000003</v>
      </c>
      <c r="BG37" s="154">
        <f>(CH35*1000)/5</f>
        <v>27418.799999999999</v>
      </c>
      <c r="BH37" s="154">
        <v>27418.799999999999</v>
      </c>
      <c r="BI37" s="154">
        <v>27418.799999999999</v>
      </c>
      <c r="BJ37" s="154">
        <v>27418.799999999999</v>
      </c>
      <c r="BK37" s="154">
        <v>27418.799999999999</v>
      </c>
      <c r="BL37" s="154">
        <f>(CH36*1000)/5</f>
        <v>23789.999999999996</v>
      </c>
      <c r="BM37" s="154">
        <v>23789.999999999996</v>
      </c>
      <c r="BN37" s="154">
        <v>23789.999999999996</v>
      </c>
      <c r="BO37" s="154">
        <v>23789.999999999996</v>
      </c>
      <c r="BP37" s="154">
        <v>23789.999999999996</v>
      </c>
      <c r="BQ37" s="154">
        <f>(CH37*1000)/5</f>
        <v>11389.4</v>
      </c>
      <c r="BR37" s="154">
        <v>11389.4</v>
      </c>
      <c r="BS37" s="154">
        <v>11389.4</v>
      </c>
      <c r="BT37" s="154">
        <v>11389.4</v>
      </c>
      <c r="BU37" s="154">
        <v>11389.4</v>
      </c>
      <c r="BV37" s="154">
        <f>(CH38*1000)/5</f>
        <v>10359</v>
      </c>
      <c r="BW37" s="155">
        <v>10359</v>
      </c>
      <c r="BX37" s="155">
        <v>10359</v>
      </c>
      <c r="BY37" s="155">
        <v>10359</v>
      </c>
      <c r="BZ37" s="155">
        <v>10359</v>
      </c>
      <c r="CA37" s="155">
        <v>10359</v>
      </c>
      <c r="CC37" t="s">
        <v>353</v>
      </c>
      <c r="CD37" s="150">
        <v>106.223</v>
      </c>
      <c r="CE37" s="150">
        <v>8.9979999999999993</v>
      </c>
      <c r="CF37" s="150">
        <v>12.337999999999999</v>
      </c>
      <c r="CG37" s="150">
        <v>32.69</v>
      </c>
      <c r="CH37" s="150">
        <v>56.947000000000003</v>
      </c>
      <c r="CI37" s="150">
        <v>105.93200000000002</v>
      </c>
      <c r="CJ37" s="143"/>
      <c r="CK37" s="4" t="str">
        <f>Populations!$C$16</f>
        <v>M35-49</v>
      </c>
      <c r="CL37" s="7">
        <v>1.9501079136603001E-2</v>
      </c>
      <c r="CM37" s="7">
        <v>1.9501079136603001E-2</v>
      </c>
      <c r="CN37" s="7">
        <v>1.9501079136603001E-2</v>
      </c>
      <c r="CO37" s="7">
        <v>1.9501079136603001E-2</v>
      </c>
      <c r="CP37" s="7">
        <v>1.9501079136603001E-2</v>
      </c>
      <c r="CQ37" s="7">
        <v>1.9501079136603001E-2</v>
      </c>
      <c r="CR37" s="7">
        <v>1.9501079136603001E-2</v>
      </c>
      <c r="CS37" s="7">
        <v>1.9501079136603001E-2</v>
      </c>
      <c r="CT37" s="7">
        <v>1.9501079136603001E-2</v>
      </c>
      <c r="CU37" s="7">
        <v>1.9501079136603001E-2</v>
      </c>
      <c r="CV37" s="7">
        <v>1.9501079136603001E-2</v>
      </c>
      <c r="CW37" s="7">
        <v>1.6803554846450099E-2</v>
      </c>
      <c r="CX37" s="7">
        <v>1.46890165661054E-2</v>
      </c>
      <c r="CY37" s="7">
        <v>1.30939023957729E-2</v>
      </c>
      <c r="CZ37" s="7">
        <v>1.19127474011636E-2</v>
      </c>
      <c r="DA37" s="7">
        <v>1.12293996151385E-2</v>
      </c>
      <c r="DB37" s="7">
        <v>8.8942368460353596E-3</v>
      </c>
      <c r="DC37" s="7">
        <v>7.3002374094549502E-3</v>
      </c>
      <c r="DD37" s="7">
        <v>6.1072445241520199E-3</v>
      </c>
      <c r="DE37" s="7">
        <v>5.3660270622596599E-3</v>
      </c>
      <c r="DF37" s="7">
        <v>6.9463653757174948E-3</v>
      </c>
      <c r="DG37" s="7">
        <v>7.2131676158489547E-3</v>
      </c>
      <c r="DH37" s="7">
        <v>8.9569945533013659E-3</v>
      </c>
      <c r="DI37" s="7">
        <v>8.9778455561734805E-3</v>
      </c>
      <c r="DJ37" s="7">
        <v>8.8400763215948711E-3</v>
      </c>
      <c r="DK37" s="7">
        <v>7.0810777661227649E-3</v>
      </c>
      <c r="DL37" s="7">
        <v>8.1685788446039555E-3</v>
      </c>
      <c r="DM37" s="7">
        <v>8.2103886432316649E-3</v>
      </c>
      <c r="DN37" s="7">
        <v>8.2219328110693952E-3</v>
      </c>
      <c r="DO37" s="7">
        <v>8.2244238962310146E-3</v>
      </c>
      <c r="DP37" s="7">
        <v>8.2300382995629893E-3</v>
      </c>
      <c r="DQ37" s="7">
        <v>8.1013758420528902E-3</v>
      </c>
      <c r="DR37" s="7">
        <v>7.996105906291455E-3</v>
      </c>
      <c r="DS37" s="7">
        <v>7.9123282725320401E-3</v>
      </c>
      <c r="DT37" s="7">
        <v>7.8477455580140999E-3</v>
      </c>
      <c r="DU37" s="7">
        <v>7.8015640888365306E-3</v>
      </c>
      <c r="DV37" s="7">
        <v>7.5959531094341101E-3</v>
      </c>
      <c r="DW37" s="7">
        <v>7.4177288100535053E-3</v>
      </c>
      <c r="DX37" s="7">
        <v>7.2657089428477799E-3</v>
      </c>
      <c r="DY37" s="7">
        <v>7.1404308019557897E-3</v>
      </c>
      <c r="DZ37" s="7">
        <v>7.040520306499095E-3</v>
      </c>
      <c r="EA37" s="143"/>
      <c r="EB37" s="143"/>
      <c r="ED37" s="4" t="str">
        <f>Populations!$C$16</f>
        <v>M35-49</v>
      </c>
      <c r="EE37" s="7">
        <v>1.9501079136603001E-2</v>
      </c>
      <c r="EF37" s="7">
        <v>1.6803554846450099E-2</v>
      </c>
      <c r="EG37" s="7">
        <v>1.46890165661054E-2</v>
      </c>
      <c r="EH37" s="7">
        <v>1.30939023957729E-2</v>
      </c>
      <c r="EI37" s="7">
        <v>1.19127474011636E-2</v>
      </c>
      <c r="EJ37" s="7">
        <v>1.12293996151385E-2</v>
      </c>
      <c r="EK37" s="7">
        <v>8.8942368460353596E-3</v>
      </c>
      <c r="EL37" s="7">
        <v>7.3002374094549502E-3</v>
      </c>
      <c r="EM37" s="7">
        <v>6.1072445241520199E-3</v>
      </c>
      <c r="EN37" s="7">
        <v>5.3660270622596599E-3</v>
      </c>
      <c r="EO37" s="7">
        <v>4.6309102504783302E-3</v>
      </c>
      <c r="EP37" s="7">
        <v>4.8087784105659698E-3</v>
      </c>
      <c r="EQ37" s="7">
        <v>5.9713297022009103E-3</v>
      </c>
      <c r="ER37" s="7">
        <v>5.98523037078232E-3</v>
      </c>
      <c r="ES37" s="7">
        <v>5.8933842143965801E-3</v>
      </c>
      <c r="ET37" s="7">
        <v>4.7207185107485099E-3</v>
      </c>
      <c r="EU37" s="7">
        <v>5.4457192297359697E-3</v>
      </c>
      <c r="EV37" s="7">
        <v>5.4735924288211099E-3</v>
      </c>
      <c r="EW37" s="7">
        <v>5.4812885407129301E-3</v>
      </c>
      <c r="EX37" s="7">
        <v>5.4829492641540103E-3</v>
      </c>
      <c r="EY37" s="7">
        <v>5.4866921997086598E-3</v>
      </c>
      <c r="EZ37" s="7">
        <v>5.4009172280352598E-3</v>
      </c>
      <c r="FA37" s="7">
        <v>5.3307372708609703E-3</v>
      </c>
      <c r="FB37" s="7">
        <v>5.2748855150213598E-3</v>
      </c>
      <c r="FC37" s="7">
        <v>5.2318303720093997E-3</v>
      </c>
      <c r="FD37" s="7">
        <v>5.2010427258910204E-3</v>
      </c>
      <c r="FE37" s="7">
        <v>5.0639687396227401E-3</v>
      </c>
      <c r="FF37" s="7">
        <v>4.9451525400356702E-3</v>
      </c>
      <c r="FG37" s="7">
        <v>4.8438059618985197E-3</v>
      </c>
      <c r="FH37" s="7">
        <v>4.7602872013038601E-3</v>
      </c>
      <c r="FI37" s="7">
        <v>4.69368020433273E-3</v>
      </c>
      <c r="FK37" s="7">
        <v>0.01</v>
      </c>
      <c r="FM37" s="142">
        <f t="shared" si="1"/>
        <v>2.1305243571492181</v>
      </c>
      <c r="FN37" s="141">
        <f t="shared" si="2"/>
        <v>1.8225917613040139</v>
      </c>
    </row>
    <row r="38" spans="1:170" x14ac:dyDescent="0.35">
      <c r="B38" s="4" t="str">
        <f>Populations!$C$17</f>
        <v>F50+</v>
      </c>
      <c r="C38" s="7">
        <v>3.3353000000000001E-2</v>
      </c>
      <c r="D38" s="7">
        <v>3.5265999999999999E-2</v>
      </c>
      <c r="E38" s="7">
        <v>3.6514999999999999E-2</v>
      </c>
      <c r="F38" s="7">
        <v>3.8884000000000002E-2</v>
      </c>
      <c r="G38" s="7">
        <v>4.1037999999999998E-2</v>
      </c>
      <c r="H38" s="7">
        <v>4.3671000000000001E-2</v>
      </c>
      <c r="I38" s="7">
        <v>4.6470999999999998E-2</v>
      </c>
      <c r="J38" s="7">
        <v>4.8046999999999999E-2</v>
      </c>
      <c r="K38" s="7">
        <v>4.9949E-2</v>
      </c>
      <c r="L38" s="7">
        <v>5.2268000000000002E-2</v>
      </c>
      <c r="M38" s="7">
        <v>5.5716000000000002E-2</v>
      </c>
      <c r="N38" s="7">
        <v>5.9957999999999997E-2</v>
      </c>
      <c r="O38" s="7">
        <v>5.7175999999999998E-2</v>
      </c>
      <c r="P38" s="7">
        <v>5.6770000000000001E-2</v>
      </c>
      <c r="Q38" s="7">
        <v>5.5814999999999997E-2</v>
      </c>
      <c r="R38" s="7">
        <v>5.4692999999999999E-2</v>
      </c>
      <c r="S38" s="7">
        <v>5.3617999999999999E-2</v>
      </c>
      <c r="T38" s="7">
        <v>5.1950999999999997E-2</v>
      </c>
      <c r="U38" s="7">
        <v>5.0453999999999999E-2</v>
      </c>
      <c r="V38" s="7">
        <v>4.7412999999999997E-2</v>
      </c>
      <c r="W38" s="7">
        <v>4.4006999999999998E-2</v>
      </c>
      <c r="X38" s="7">
        <v>4.0250000000000001E-2</v>
      </c>
      <c r="Y38" s="7">
        <v>3.7997999999999997E-2</v>
      </c>
      <c r="Z38" s="7">
        <v>3.6634E-2</v>
      </c>
      <c r="AA38" s="7">
        <v>3.5673999999999997E-2</v>
      </c>
      <c r="AB38" s="7">
        <v>3.5040000000000002E-2</v>
      </c>
      <c r="AC38" s="7">
        <v>3.449E-2</v>
      </c>
      <c r="AD38" s="7">
        <v>3.4047000000000001E-2</v>
      </c>
      <c r="AE38" s="7">
        <v>3.3508999999999997E-2</v>
      </c>
      <c r="AF38" s="7">
        <v>3.3347000000000002E-2</v>
      </c>
      <c r="AG38" s="7">
        <v>3.4733E-2</v>
      </c>
      <c r="AH38" s="15">
        <v>4.0536999999999997E-2</v>
      </c>
      <c r="AI38" s="15">
        <v>3.9154000000000001E-2</v>
      </c>
      <c r="AJ38" s="15"/>
      <c r="AK38" s="15"/>
      <c r="AL38" s="15"/>
      <c r="AM38" s="15"/>
      <c r="AN38" s="15"/>
      <c r="AO38" s="15"/>
      <c r="AP38" s="15"/>
      <c r="AQ38" s="15"/>
      <c r="AR38" s="6" t="s">
        <v>46</v>
      </c>
      <c r="AS38" s="7"/>
      <c r="AT38" s="143"/>
      <c r="AU38" s="143"/>
      <c r="AV38" s="144" t="s">
        <v>392</v>
      </c>
      <c r="AW38" s="154">
        <f>(CI33*1000)/5</f>
        <v>21142.799999999996</v>
      </c>
      <c r="AX38" s="154">
        <v>21142.799999999996</v>
      </c>
      <c r="AY38" s="154">
        <v>21142.799999999996</v>
      </c>
      <c r="AZ38" s="154">
        <v>21142.799999999996</v>
      </c>
      <c r="BA38" s="154">
        <v>21142.799999999996</v>
      </c>
      <c r="BB38" s="154">
        <f>(CI34*1000)/5</f>
        <v>27903.600000000006</v>
      </c>
      <c r="BC38" s="154">
        <v>27903.600000000006</v>
      </c>
      <c r="BD38" s="154">
        <v>27903.600000000006</v>
      </c>
      <c r="BE38" s="154">
        <v>27903.600000000006</v>
      </c>
      <c r="BF38" s="154">
        <v>27903.600000000006</v>
      </c>
      <c r="BG38" s="154">
        <f>(CI35*1000)/5</f>
        <v>31386.799999999996</v>
      </c>
      <c r="BH38" s="154">
        <v>31386.799999999996</v>
      </c>
      <c r="BI38" s="154">
        <v>31386.799999999996</v>
      </c>
      <c r="BJ38" s="154">
        <v>31386.799999999996</v>
      </c>
      <c r="BK38" s="154">
        <v>31386.799999999996</v>
      </c>
      <c r="BL38" s="154">
        <f>(CI36*1000)/5</f>
        <v>29738</v>
      </c>
      <c r="BM38" s="154">
        <v>29738</v>
      </c>
      <c r="BN38" s="154">
        <v>29738</v>
      </c>
      <c r="BO38" s="154">
        <v>29738</v>
      </c>
      <c r="BP38" s="154">
        <v>29738</v>
      </c>
      <c r="BQ38" s="154">
        <f>(CI37*1000)/5</f>
        <v>21186.400000000001</v>
      </c>
      <c r="BR38" s="154">
        <v>21186.400000000001</v>
      </c>
      <c r="BS38" s="154">
        <v>21186.400000000001</v>
      </c>
      <c r="BT38" s="154">
        <v>21186.400000000001</v>
      </c>
      <c r="BU38" s="154">
        <v>21186.400000000001</v>
      </c>
      <c r="BV38" s="154">
        <f>(CI38*1000)/5</f>
        <v>21239.600000000002</v>
      </c>
      <c r="BW38" s="155">
        <v>21239.600000000002</v>
      </c>
      <c r="BX38" s="155">
        <v>21239.600000000002</v>
      </c>
      <c r="BY38" s="155">
        <v>21239.600000000002</v>
      </c>
      <c r="BZ38" s="155">
        <v>21239.600000000002</v>
      </c>
      <c r="CA38" s="155">
        <v>21239.600000000002</v>
      </c>
      <c r="CC38" t="s">
        <v>354</v>
      </c>
      <c r="CD38" s="150">
        <v>74.391000000000005</v>
      </c>
      <c r="CE38" s="150">
        <v>7.2169999999999996</v>
      </c>
      <c r="CF38" s="150">
        <v>9.5039999999999996</v>
      </c>
      <c r="CG38" s="150">
        <v>24.521999999999998</v>
      </c>
      <c r="CH38" s="150">
        <v>51.795000000000002</v>
      </c>
      <c r="CI38" s="150">
        <v>106.19800000000001</v>
      </c>
      <c r="CJ38" s="143"/>
      <c r="CK38" s="4" t="str">
        <f>Populations!$C$17</f>
        <v>F50+</v>
      </c>
      <c r="CL38" s="7">
        <v>3.7556371853095898E-2</v>
      </c>
      <c r="CM38" s="7">
        <v>3.7556371853095898E-2</v>
      </c>
      <c r="CN38" s="7">
        <v>3.7556371853095898E-2</v>
      </c>
      <c r="CO38" s="7">
        <v>3.7556371853095898E-2</v>
      </c>
      <c r="CP38" s="7">
        <v>3.7556371853095898E-2</v>
      </c>
      <c r="CQ38" s="7">
        <v>3.7556371853095898E-2</v>
      </c>
      <c r="CR38" s="7">
        <v>3.7556371853095898E-2</v>
      </c>
      <c r="CS38" s="7">
        <v>3.7556371853095898E-2</v>
      </c>
      <c r="CT38" s="7">
        <v>3.7556371853095898E-2</v>
      </c>
      <c r="CU38" s="7">
        <v>3.7556371853095898E-2</v>
      </c>
      <c r="CV38" s="7">
        <v>3.7556371853095898E-2</v>
      </c>
      <c r="CW38" s="7">
        <v>3.5513794951062903E-2</v>
      </c>
      <c r="CX38" s="7">
        <v>3.3707235968303002E-2</v>
      </c>
      <c r="CY38" s="7">
        <v>3.2242380290294297E-2</v>
      </c>
      <c r="CZ38" s="7">
        <v>3.1135386811045E-2</v>
      </c>
      <c r="DA38" s="7">
        <v>3.0691642199071001E-2</v>
      </c>
      <c r="DB38" s="7">
        <v>2.97205190375384E-2</v>
      </c>
      <c r="DC38" s="7">
        <v>2.9060400520025401E-2</v>
      </c>
      <c r="DD38" s="7">
        <v>2.8636505812914902E-2</v>
      </c>
      <c r="DE38" s="7">
        <v>2.8464871167153599E-2</v>
      </c>
      <c r="DF38" s="7">
        <v>4.3886215073352303E-2</v>
      </c>
      <c r="DG38" s="7">
        <v>4.6882878703971453E-2</v>
      </c>
      <c r="DH38" s="7">
        <v>4.7188365887257347E-2</v>
      </c>
      <c r="DI38" s="7">
        <v>4.6596057087517503E-2</v>
      </c>
      <c r="DJ38" s="7">
        <v>4.6175555591842804E-2</v>
      </c>
      <c r="DK38" s="7">
        <v>4.5243864610488002E-2</v>
      </c>
      <c r="DL38" s="7">
        <v>4.5153014731394554E-2</v>
      </c>
      <c r="DM38" s="7">
        <v>4.4899397275073701E-2</v>
      </c>
      <c r="DN38" s="7">
        <v>4.4561743145505602E-2</v>
      </c>
      <c r="DO38" s="7">
        <v>4.4148178660520399E-2</v>
      </c>
      <c r="DP38" s="7">
        <v>4.3654171084941747E-2</v>
      </c>
      <c r="DQ38" s="7">
        <v>4.3350068069004002E-2</v>
      </c>
      <c r="DR38" s="7">
        <v>4.2959641138000049E-2</v>
      </c>
      <c r="DS38" s="7">
        <v>4.24279312361013E-2</v>
      </c>
      <c r="DT38" s="7">
        <v>4.1690845884230998E-2</v>
      </c>
      <c r="DU38" s="7">
        <v>4.0736771232214197E-2</v>
      </c>
      <c r="DV38" s="7">
        <v>4.0035979392572703E-2</v>
      </c>
      <c r="DW38" s="7">
        <v>3.9162440293475098E-2</v>
      </c>
      <c r="DX38" s="7">
        <v>3.8146502149700848E-2</v>
      </c>
      <c r="DY38" s="7">
        <v>3.7022547625998152E-2</v>
      </c>
      <c r="DZ38" s="7">
        <v>3.5827993775265299E-2</v>
      </c>
      <c r="EA38" s="143"/>
      <c r="EB38" s="143"/>
      <c r="ED38" s="4" t="str">
        <f>Populations!$C$17</f>
        <v>F50+</v>
      </c>
      <c r="EE38" s="7">
        <v>3.7556371853095898E-2</v>
      </c>
      <c r="EF38" s="7">
        <v>3.5513794951062903E-2</v>
      </c>
      <c r="EG38" s="7">
        <v>3.3707235968303002E-2</v>
      </c>
      <c r="EH38" s="7">
        <v>3.2242380290294297E-2</v>
      </c>
      <c r="EI38" s="7">
        <v>3.1135386811045E-2</v>
      </c>
      <c r="EJ38" s="7">
        <v>3.0691642199071001E-2</v>
      </c>
      <c r="EK38" s="7">
        <v>2.97205190375384E-2</v>
      </c>
      <c r="EL38" s="7">
        <v>2.9060400520025401E-2</v>
      </c>
      <c r="EM38" s="7">
        <v>2.8636505812914902E-2</v>
      </c>
      <c r="EN38" s="7">
        <v>2.8464871167153599E-2</v>
      </c>
      <c r="EO38" s="7">
        <v>2.9257476715568199E-2</v>
      </c>
      <c r="EP38" s="7">
        <v>3.12552524693143E-2</v>
      </c>
      <c r="EQ38" s="7">
        <v>3.14589105915049E-2</v>
      </c>
      <c r="ER38" s="7">
        <v>3.1064038058345001E-2</v>
      </c>
      <c r="ES38" s="7">
        <v>3.0783703727895202E-2</v>
      </c>
      <c r="ET38" s="7">
        <v>3.0162576406991999E-2</v>
      </c>
      <c r="EU38" s="7">
        <v>3.0102009820929702E-2</v>
      </c>
      <c r="EV38" s="7">
        <v>2.9932931516715802E-2</v>
      </c>
      <c r="EW38" s="7">
        <v>2.97078287636704E-2</v>
      </c>
      <c r="EX38" s="7">
        <v>2.9432119107013599E-2</v>
      </c>
      <c r="EY38" s="7">
        <v>2.9102780723294499E-2</v>
      </c>
      <c r="EZ38" s="7">
        <v>2.8900045379335999E-2</v>
      </c>
      <c r="FA38" s="7">
        <v>2.8639760758666699E-2</v>
      </c>
      <c r="FB38" s="7">
        <v>2.8285287490734199E-2</v>
      </c>
      <c r="FC38" s="7">
        <v>2.7793897256153999E-2</v>
      </c>
      <c r="FD38" s="7">
        <v>2.7157847488142799E-2</v>
      </c>
      <c r="FE38" s="7">
        <v>2.6690652928381801E-2</v>
      </c>
      <c r="FF38" s="7">
        <v>2.61082935289834E-2</v>
      </c>
      <c r="FG38" s="7">
        <v>2.5431001433133898E-2</v>
      </c>
      <c r="FH38" s="7">
        <v>2.4681698417332101E-2</v>
      </c>
      <c r="FI38" s="7">
        <v>2.38853291835102E-2</v>
      </c>
      <c r="FK38" s="7">
        <v>5.2999999999999999E-2</v>
      </c>
      <c r="FM38" s="142">
        <f t="shared" si="1"/>
        <v>2.2189352967590583</v>
      </c>
      <c r="FN38" s="141">
        <f t="shared" si="2"/>
        <v>1.8211318191178083</v>
      </c>
    </row>
    <row r="39" spans="1:170" x14ac:dyDescent="0.35">
      <c r="B39" s="4" t="str">
        <f>Populations!$C$18</f>
        <v>M50+</v>
      </c>
      <c r="C39" s="7">
        <v>4.2044999999999999E-2</v>
      </c>
      <c r="D39" s="7">
        <v>4.3462000000000001E-2</v>
      </c>
      <c r="E39" s="7">
        <v>4.4778999999999999E-2</v>
      </c>
      <c r="F39" s="7">
        <v>4.7558999999999997E-2</v>
      </c>
      <c r="G39" s="7">
        <v>5.0298000000000002E-2</v>
      </c>
      <c r="H39" s="7">
        <v>5.2592E-2</v>
      </c>
      <c r="I39" s="7">
        <v>5.6086999999999998E-2</v>
      </c>
      <c r="J39" s="7">
        <v>5.8321999999999999E-2</v>
      </c>
      <c r="K39" s="7">
        <v>6.1158999999999998E-2</v>
      </c>
      <c r="L39" s="7">
        <v>6.4438999999999996E-2</v>
      </c>
      <c r="M39" s="7">
        <v>6.6613000000000006E-2</v>
      </c>
      <c r="N39" s="7">
        <v>7.0680000000000007E-2</v>
      </c>
      <c r="O39" s="7">
        <v>6.5861000000000003E-2</v>
      </c>
      <c r="P39" s="7">
        <v>6.4817E-2</v>
      </c>
      <c r="Q39" s="7">
        <v>6.2628000000000003E-2</v>
      </c>
      <c r="R39" s="7">
        <v>6.1072000000000001E-2</v>
      </c>
      <c r="S39" s="7">
        <v>6.0122000000000002E-2</v>
      </c>
      <c r="T39" s="7">
        <v>5.8610000000000002E-2</v>
      </c>
      <c r="U39" s="7">
        <v>5.6680000000000001E-2</v>
      </c>
      <c r="V39" s="7">
        <v>5.4186999999999999E-2</v>
      </c>
      <c r="W39" s="7">
        <v>5.1220000000000002E-2</v>
      </c>
      <c r="X39" s="7">
        <v>4.8372999999999999E-2</v>
      </c>
      <c r="Y39" s="7">
        <v>4.6567999999999998E-2</v>
      </c>
      <c r="Z39" s="7">
        <v>4.5212000000000002E-2</v>
      </c>
      <c r="AA39" s="7">
        <v>4.3966999999999999E-2</v>
      </c>
      <c r="AB39" s="7">
        <v>4.3376999999999999E-2</v>
      </c>
      <c r="AC39" s="7">
        <v>4.3085999999999999E-2</v>
      </c>
      <c r="AD39" s="7">
        <v>4.3033000000000002E-2</v>
      </c>
      <c r="AE39" s="7">
        <v>4.2426999999999999E-2</v>
      </c>
      <c r="AF39" s="7">
        <v>4.2845000000000001E-2</v>
      </c>
      <c r="AG39" s="7">
        <v>4.7156000000000003E-2</v>
      </c>
      <c r="AH39" s="15">
        <v>5.5246999999999997E-2</v>
      </c>
      <c r="AI39" s="15">
        <v>5.2769999999999997E-2</v>
      </c>
      <c r="AJ39" s="15"/>
      <c r="AK39" s="15"/>
      <c r="AL39" s="15"/>
      <c r="AM39" s="15"/>
      <c r="AN39" s="15"/>
      <c r="AO39" s="15"/>
      <c r="AP39" s="15"/>
      <c r="AQ39" s="15"/>
      <c r="AR39" s="6" t="s">
        <v>46</v>
      </c>
      <c r="AS39" s="7"/>
      <c r="AT39" s="143"/>
      <c r="AU39" s="143"/>
      <c r="AV39" s="143" t="s">
        <v>402</v>
      </c>
      <c r="AW39" s="156">
        <f>SUM(AW25:AW38)</f>
        <v>118110.39999999999</v>
      </c>
      <c r="AX39" s="156">
        <f t="shared" ref="AX39:CA39" si="35">SUM(AX25:AX38)</f>
        <v>118111.4</v>
      </c>
      <c r="AY39" s="156">
        <f t="shared" si="35"/>
        <v>118112.4</v>
      </c>
      <c r="AZ39" s="156">
        <f t="shared" si="35"/>
        <v>118113.4</v>
      </c>
      <c r="BA39" s="156">
        <f t="shared" si="35"/>
        <v>118114.4</v>
      </c>
      <c r="BB39" s="156">
        <f t="shared" si="35"/>
        <v>174633.00000000003</v>
      </c>
      <c r="BC39" s="156">
        <f t="shared" si="35"/>
        <v>174634.00000000003</v>
      </c>
      <c r="BD39" s="156">
        <f t="shared" si="35"/>
        <v>174635.00000000003</v>
      </c>
      <c r="BE39" s="156">
        <f t="shared" si="35"/>
        <v>174636.00000000003</v>
      </c>
      <c r="BF39" s="156">
        <f t="shared" si="35"/>
        <v>174637.00000000003</v>
      </c>
      <c r="BG39" s="156">
        <f t="shared" si="35"/>
        <v>211460.4</v>
      </c>
      <c r="BH39" s="156">
        <f t="shared" si="35"/>
        <v>211461.4</v>
      </c>
      <c r="BI39" s="156">
        <f t="shared" si="35"/>
        <v>211462.39999999999</v>
      </c>
      <c r="BJ39" s="156">
        <f t="shared" si="35"/>
        <v>211463.4</v>
      </c>
      <c r="BK39" s="156">
        <f t="shared" si="35"/>
        <v>211464.4</v>
      </c>
      <c r="BL39" s="156">
        <f t="shared" si="35"/>
        <v>211534.59999999998</v>
      </c>
      <c r="BM39" s="156">
        <f t="shared" si="35"/>
        <v>211535.59999999998</v>
      </c>
      <c r="BN39" s="156">
        <f t="shared" si="35"/>
        <v>211536.59999999998</v>
      </c>
      <c r="BO39" s="156">
        <f t="shared" si="35"/>
        <v>211537.59999999998</v>
      </c>
      <c r="BP39" s="156">
        <f t="shared" si="35"/>
        <v>211538.59999999998</v>
      </c>
      <c r="BQ39" s="156">
        <f t="shared" si="35"/>
        <v>137146.79999999999</v>
      </c>
      <c r="BR39" s="156">
        <f t="shared" si="35"/>
        <v>137147.79999999999</v>
      </c>
      <c r="BS39" s="156">
        <f t="shared" si="35"/>
        <v>137148.79999999999</v>
      </c>
      <c r="BT39" s="156">
        <f t="shared" si="35"/>
        <v>137149.79999999999</v>
      </c>
      <c r="BU39" s="156">
        <f t="shared" si="35"/>
        <v>137150.79999999999</v>
      </c>
      <c r="BV39" s="156">
        <f t="shared" si="35"/>
        <v>117783.59999999999</v>
      </c>
      <c r="BW39" s="156">
        <f t="shared" si="35"/>
        <v>117784.59999999999</v>
      </c>
      <c r="BX39" s="156">
        <f t="shared" si="35"/>
        <v>117785.59999999999</v>
      </c>
      <c r="BY39" s="156">
        <f t="shared" si="35"/>
        <v>117786.59999999999</v>
      </c>
      <c r="BZ39" s="156">
        <f t="shared" si="35"/>
        <v>117787.59999999999</v>
      </c>
      <c r="CA39" s="156">
        <f t="shared" si="35"/>
        <v>117788.59999999999</v>
      </c>
      <c r="CB39" s="143"/>
      <c r="CC39" s="143"/>
      <c r="CD39" s="143"/>
      <c r="CE39" s="143"/>
      <c r="CF39" s="143"/>
      <c r="CG39" s="143"/>
      <c r="CH39" s="143"/>
      <c r="CI39" s="143"/>
      <c r="CJ39" s="143"/>
      <c r="CK39" s="4" t="str">
        <f>Populations!$C$18</f>
        <v>M50+</v>
      </c>
      <c r="CL39" s="7">
        <v>3.34123896913276E-2</v>
      </c>
      <c r="CM39" s="7">
        <v>3.34123896913276E-2</v>
      </c>
      <c r="CN39" s="7">
        <v>3.34123896913276E-2</v>
      </c>
      <c r="CO39" s="7">
        <v>3.34123896913276E-2</v>
      </c>
      <c r="CP39" s="7">
        <v>3.34123896913276E-2</v>
      </c>
      <c r="CQ39" s="7">
        <v>3.34123896913276E-2</v>
      </c>
      <c r="CR39" s="7">
        <v>3.34123896913276E-2</v>
      </c>
      <c r="CS39" s="7">
        <v>3.34123896913276E-2</v>
      </c>
      <c r="CT39" s="7">
        <v>3.34123896913276E-2</v>
      </c>
      <c r="CU39" s="7">
        <v>3.34123896913276E-2</v>
      </c>
      <c r="CV39" s="7">
        <v>3.34123896913276E-2</v>
      </c>
      <c r="CW39" s="7">
        <v>3.2043900877801797E-2</v>
      </c>
      <c r="CX39" s="7">
        <v>3.1022140277601001E-2</v>
      </c>
      <c r="CY39" s="7">
        <v>3.0381212629903301E-2</v>
      </c>
      <c r="CZ39" s="7">
        <v>3.0203369808099199E-2</v>
      </c>
      <c r="DA39" s="7">
        <v>3.0623334322404501E-2</v>
      </c>
      <c r="DB39" s="7">
        <v>3.01798796340116E-2</v>
      </c>
      <c r="DC39" s="7">
        <v>3.0088437109784899E-2</v>
      </c>
      <c r="DD39" s="7">
        <v>3.0199861179371099E-2</v>
      </c>
      <c r="DE39" s="7">
        <v>3.05922060350198E-2</v>
      </c>
      <c r="DF39" s="7">
        <v>4.7131808049833704E-2</v>
      </c>
      <c r="DG39" s="7">
        <v>4.9597203889601094E-2</v>
      </c>
      <c r="DH39" s="7">
        <v>5.1126132398169453E-2</v>
      </c>
      <c r="DI39" s="7">
        <v>5.0975264204055293E-2</v>
      </c>
      <c r="DJ39" s="7">
        <v>5.0396982973519654E-2</v>
      </c>
      <c r="DK39" s="7">
        <v>4.9335160053989545E-2</v>
      </c>
      <c r="DL39" s="7">
        <v>4.9306986340148101E-2</v>
      </c>
      <c r="DM39" s="7">
        <v>4.9155620014496845E-2</v>
      </c>
      <c r="DN39" s="7">
        <v>4.8873395190744753E-2</v>
      </c>
      <c r="DO39" s="7">
        <v>4.8474074378730456E-2</v>
      </c>
      <c r="DP39" s="7">
        <v>4.7961117673494896E-2</v>
      </c>
      <c r="DQ39" s="7">
        <v>4.7674180794609153E-2</v>
      </c>
      <c r="DR39" s="7">
        <v>4.7273691178504204E-2</v>
      </c>
      <c r="DS39" s="7">
        <v>4.6724626226522098E-2</v>
      </c>
      <c r="DT39" s="7">
        <v>4.5985425701322601E-2</v>
      </c>
      <c r="DU39" s="7">
        <v>4.5054751251546302E-2</v>
      </c>
      <c r="DV39" s="7">
        <v>4.4490578402438551E-2</v>
      </c>
      <c r="DW39" s="7">
        <v>4.3761291468248399E-2</v>
      </c>
      <c r="DX39" s="7">
        <v>4.2890169964140148E-2</v>
      </c>
      <c r="DY39" s="7">
        <v>4.19038172815221E-2</v>
      </c>
      <c r="DZ39" s="7">
        <v>4.0833254929058399E-2</v>
      </c>
      <c r="EA39" s="143"/>
      <c r="EB39" s="143"/>
      <c r="ED39" s="4" t="str">
        <f>Populations!$C$18</f>
        <v>M50+</v>
      </c>
      <c r="EE39" s="7">
        <v>3.34123896913276E-2</v>
      </c>
      <c r="EF39" s="7">
        <v>3.2043900877801797E-2</v>
      </c>
      <c r="EG39" s="7">
        <v>3.1022140277601001E-2</v>
      </c>
      <c r="EH39" s="7">
        <v>3.0381212629903301E-2</v>
      </c>
      <c r="EI39" s="7">
        <v>3.0203369808099199E-2</v>
      </c>
      <c r="EJ39" s="7">
        <v>3.0623334322404501E-2</v>
      </c>
      <c r="EK39" s="7">
        <v>3.01798796340116E-2</v>
      </c>
      <c r="EL39" s="7">
        <v>3.0088437109784899E-2</v>
      </c>
      <c r="EM39" s="7">
        <v>3.0199861179371099E-2</v>
      </c>
      <c r="EN39" s="7">
        <v>3.05922060350198E-2</v>
      </c>
      <c r="EO39" s="7">
        <v>3.14212053665558E-2</v>
      </c>
      <c r="EP39" s="7">
        <v>3.3064802593067398E-2</v>
      </c>
      <c r="EQ39" s="7">
        <v>3.4084088265446302E-2</v>
      </c>
      <c r="ER39" s="7">
        <v>3.3983509469370198E-2</v>
      </c>
      <c r="ES39" s="7">
        <v>3.3597988649013102E-2</v>
      </c>
      <c r="ET39" s="7">
        <v>3.2890106702659697E-2</v>
      </c>
      <c r="EU39" s="7">
        <v>3.2871324226765399E-2</v>
      </c>
      <c r="EV39" s="7">
        <v>3.2770413342997899E-2</v>
      </c>
      <c r="EW39" s="7">
        <v>3.2582263460496502E-2</v>
      </c>
      <c r="EX39" s="7">
        <v>3.2316049585820301E-2</v>
      </c>
      <c r="EY39" s="7">
        <v>3.19740784489966E-2</v>
      </c>
      <c r="EZ39" s="7">
        <v>3.17827871964061E-2</v>
      </c>
      <c r="FA39" s="7">
        <v>3.15157941190028E-2</v>
      </c>
      <c r="FB39" s="7">
        <v>3.1149750817681399E-2</v>
      </c>
      <c r="FC39" s="7">
        <v>3.0656950467548402E-2</v>
      </c>
      <c r="FD39" s="7">
        <v>3.00365008343642E-2</v>
      </c>
      <c r="FE39" s="7">
        <v>2.9660385601625702E-2</v>
      </c>
      <c r="FF39" s="7">
        <v>2.9174194312165599E-2</v>
      </c>
      <c r="FG39" s="7">
        <v>2.85934466427601E-2</v>
      </c>
      <c r="FH39" s="7">
        <v>2.7935878187681399E-2</v>
      </c>
      <c r="FI39" s="7">
        <v>2.7222169952705599E-2</v>
      </c>
      <c r="FK39" s="7">
        <v>7.2999999999999995E-2</v>
      </c>
      <c r="FM39" s="142">
        <f t="shared" si="1"/>
        <v>2.6816378020865512</v>
      </c>
      <c r="FN39" s="141">
        <f t="shared" si="2"/>
        <v>2.2830994211903817</v>
      </c>
    </row>
    <row r="40" spans="1:170" x14ac:dyDescent="0.35">
      <c r="AW40" s="12">
        <f>AW27+AW28+AW29+AW35+AW36+AW37</f>
        <v>38235.199999999997</v>
      </c>
      <c r="BW40" s="147"/>
      <c r="CA40" s="4">
        <v>2020</v>
      </c>
    </row>
    <row r="41" spans="1:170" x14ac:dyDescent="0.35">
      <c r="AV41" s="144" t="s">
        <v>11</v>
      </c>
      <c r="BW41" s="147"/>
      <c r="CA41">
        <f>(CA26+CA27+CA28+CA29)*0.3%</f>
        <v>67.495199999999997</v>
      </c>
      <c r="EE41" s="4">
        <v>2000</v>
      </c>
      <c r="EF41" s="4">
        <v>2001</v>
      </c>
      <c r="EG41" s="4">
        <v>2002</v>
      </c>
      <c r="EH41" s="4">
        <v>2003</v>
      </c>
      <c r="EI41" s="4">
        <v>2004</v>
      </c>
      <c r="EJ41" s="4">
        <v>2005</v>
      </c>
      <c r="EK41" s="4">
        <v>2006</v>
      </c>
      <c r="EL41" s="4">
        <v>2007</v>
      </c>
      <c r="EM41" s="4">
        <v>2008</v>
      </c>
      <c r="EN41" s="4">
        <v>2009</v>
      </c>
      <c r="EO41" s="4">
        <v>2010</v>
      </c>
      <c r="EP41" s="4">
        <v>2011</v>
      </c>
      <c r="EQ41" s="4">
        <v>2012</v>
      </c>
      <c r="ER41" s="4">
        <v>2013</v>
      </c>
      <c r="ES41" s="4">
        <v>2014</v>
      </c>
      <c r="ET41" s="4">
        <v>2015</v>
      </c>
      <c r="EU41" s="4">
        <v>2016</v>
      </c>
      <c r="EV41" s="4">
        <v>2017</v>
      </c>
      <c r="EW41" s="4">
        <v>2018</v>
      </c>
      <c r="EX41" s="4">
        <v>2019</v>
      </c>
      <c r="EY41" s="4">
        <v>2020</v>
      </c>
      <c r="EZ41" s="4">
        <v>2021</v>
      </c>
      <c r="FA41" s="4">
        <v>2022</v>
      </c>
      <c r="FB41" s="4">
        <v>2023</v>
      </c>
      <c r="FC41" s="4">
        <v>2024</v>
      </c>
      <c r="FD41" s="4">
        <v>2025</v>
      </c>
      <c r="FE41" s="4">
        <v>2026</v>
      </c>
      <c r="FF41" s="4">
        <v>2027</v>
      </c>
      <c r="FG41" s="4">
        <v>2028</v>
      </c>
      <c r="FH41" s="4">
        <v>2029</v>
      </c>
      <c r="FI41" s="4">
        <v>2030</v>
      </c>
    </row>
    <row r="42" spans="1:170" x14ac:dyDescent="0.35">
      <c r="AV42" s="144" t="s">
        <v>13</v>
      </c>
      <c r="CA42">
        <f>(CA34+CA35+CA36+CA37)*10%</f>
        <v>1860.76</v>
      </c>
      <c r="ED42" s="4" t="str">
        <f>Populations!$C$3</f>
        <v>FSW</v>
      </c>
      <c r="EE42" s="23">
        <v>1.3200321311476099E-2</v>
      </c>
      <c r="EF42" s="23">
        <v>1.1381342562518E-2</v>
      </c>
      <c r="EG42" s="23">
        <v>9.7684443721794204E-3</v>
      </c>
      <c r="EH42" s="23">
        <v>8.3890292784901104E-3</v>
      </c>
      <c r="EI42" s="23">
        <v>7.1622910690788402E-3</v>
      </c>
      <c r="EJ42" s="23">
        <v>6.3891287108490697E-3</v>
      </c>
      <c r="EK42" s="23">
        <v>5.0674565950727104E-3</v>
      </c>
      <c r="EL42" s="23">
        <v>4.0022197163563601E-3</v>
      </c>
      <c r="EM42" s="23">
        <v>3.2670375524555401E-3</v>
      </c>
      <c r="EN42" s="23">
        <v>2.6467949411930298E-3</v>
      </c>
      <c r="EO42" s="23">
        <f>EO24*1.5</f>
        <v>3.3445110434134652E-3</v>
      </c>
      <c r="EP42" s="23">
        <f t="shared" ref="EP42:FI55" si="36">EP24*1.5</f>
        <v>3.5702405976987747E-3</v>
      </c>
      <c r="EQ42" s="23">
        <f t="shared" si="36"/>
        <v>3.6371493284690698E-3</v>
      </c>
      <c r="ER42" s="23">
        <f t="shared" si="36"/>
        <v>3.38879558440608E-3</v>
      </c>
      <c r="ES42" s="23">
        <f t="shared" si="36"/>
        <v>3.3291318054981299E-3</v>
      </c>
      <c r="ET42" s="23">
        <f t="shared" si="36"/>
        <v>3.1904251488515103E-3</v>
      </c>
      <c r="EU42" s="23">
        <f t="shared" si="36"/>
        <v>3.8722831295512202E-3</v>
      </c>
      <c r="EV42" s="23">
        <f t="shared" si="36"/>
        <v>3.9350242998540154E-3</v>
      </c>
      <c r="EW42" s="23">
        <f t="shared" si="36"/>
        <v>3.9904305206376455E-3</v>
      </c>
      <c r="EX42" s="23">
        <f t="shared" si="36"/>
        <v>4.0406407135444647E-3</v>
      </c>
      <c r="EY42" s="23">
        <f t="shared" si="36"/>
        <v>4.08652834299393E-3</v>
      </c>
      <c r="EZ42" s="23">
        <f t="shared" si="36"/>
        <v>4.0342536911520902E-3</v>
      </c>
      <c r="FA42" s="23">
        <f t="shared" si="36"/>
        <v>3.9858100302898655E-3</v>
      </c>
      <c r="FB42" s="23">
        <f t="shared" si="36"/>
        <v>3.9392797425971101E-3</v>
      </c>
      <c r="FC42" s="23">
        <f t="shared" si="36"/>
        <v>3.8924571454531801E-3</v>
      </c>
      <c r="FD42" s="23">
        <f t="shared" si="36"/>
        <v>3.8448582367157551E-3</v>
      </c>
      <c r="FE42" s="23">
        <f t="shared" si="36"/>
        <v>3.7269477106211552E-3</v>
      </c>
      <c r="FF42" s="23">
        <f t="shared" si="36"/>
        <v>3.6125675917714197E-3</v>
      </c>
      <c r="FG42" s="23">
        <f t="shared" si="36"/>
        <v>3.5032347126552899E-3</v>
      </c>
      <c r="FH42" s="23">
        <f t="shared" si="36"/>
        <v>3.4012490578442245E-3</v>
      </c>
      <c r="FI42" s="23">
        <f t="shared" si="36"/>
        <v>3.3074496374295905E-3</v>
      </c>
    </row>
    <row r="43" spans="1:170" x14ac:dyDescent="0.35">
      <c r="A43" s="2" t="s">
        <v>51</v>
      </c>
      <c r="AV43" s="144" t="s">
        <v>15</v>
      </c>
      <c r="CA43">
        <f>(CA34+CA35+CA36+CA37)*0.01%</f>
        <v>1.86076</v>
      </c>
      <c r="ED43" s="4" t="str">
        <f>Populations!$C$4</f>
        <v>Clients</v>
      </c>
      <c r="EE43" s="23">
        <v>1.19174603957395E-2</v>
      </c>
      <c r="EF43" s="23">
        <v>1.0886084418490601E-2</v>
      </c>
      <c r="EG43" s="23">
        <v>1.00852082300641E-2</v>
      </c>
      <c r="EH43" s="23">
        <v>9.4966895111676403E-3</v>
      </c>
      <c r="EI43" s="23">
        <v>9.0916369681412305E-3</v>
      </c>
      <c r="EJ43" s="23">
        <v>8.8913351322426407E-3</v>
      </c>
      <c r="EK43" s="23">
        <v>8.2149281228267503E-3</v>
      </c>
      <c r="EL43" s="23">
        <v>7.7241432626302996E-3</v>
      </c>
      <c r="EM43" s="23">
        <v>7.3137871875849003E-3</v>
      </c>
      <c r="EN43" s="23">
        <v>7.0175946884781099E-3</v>
      </c>
      <c r="EO43" s="23">
        <f t="shared" ref="EO43:FD57" si="37">EO25*1.5</f>
        <v>1.0190622570997517E-2</v>
      </c>
      <c r="EP43" s="23">
        <f t="shared" si="37"/>
        <v>1.041233785495143E-2</v>
      </c>
      <c r="EQ43" s="23">
        <f t="shared" si="37"/>
        <v>1.084571059102569E-2</v>
      </c>
      <c r="ER43" s="23">
        <f t="shared" si="37"/>
        <v>1.0736067475602179E-2</v>
      </c>
      <c r="ES43" s="23">
        <f t="shared" si="37"/>
        <v>1.0519749708410535E-2</v>
      </c>
      <c r="ET43" s="23">
        <f t="shared" si="37"/>
        <v>9.9453490974192003E-3</v>
      </c>
      <c r="EU43" s="23">
        <f t="shared" si="37"/>
        <v>1.0548693418460009E-2</v>
      </c>
      <c r="EV43" s="23">
        <f t="shared" si="37"/>
        <v>1.0547139040957155E-2</v>
      </c>
      <c r="EW43" s="23">
        <f t="shared" si="37"/>
        <v>1.0530596409667799E-2</v>
      </c>
      <c r="EX43" s="23">
        <f t="shared" si="37"/>
        <v>1.0504867578440701E-2</v>
      </c>
      <c r="EY43" s="23">
        <f t="shared" si="37"/>
        <v>1.0472199935366326E-2</v>
      </c>
      <c r="EZ43" s="23">
        <f t="shared" si="37"/>
        <v>1.0424203148949224E-2</v>
      </c>
      <c r="FA43" s="23">
        <f t="shared" si="37"/>
        <v>1.0376537825780009E-2</v>
      </c>
      <c r="FB43" s="23">
        <f t="shared" si="37"/>
        <v>1.0323402644118809E-2</v>
      </c>
      <c r="FC43" s="23">
        <f t="shared" si="37"/>
        <v>1.0257888460525846E-2</v>
      </c>
      <c r="FD43" s="23">
        <f t="shared" si="37"/>
        <v>1.0178455363645259E-2</v>
      </c>
      <c r="FE43" s="23">
        <f t="shared" si="36"/>
        <v>1.0113532571853524E-2</v>
      </c>
      <c r="FF43" s="23">
        <f t="shared" si="36"/>
        <v>1.003789387776402E-2</v>
      </c>
      <c r="FG43" s="23">
        <f t="shared" si="36"/>
        <v>9.9559756933621357E-3</v>
      </c>
      <c r="FH43" s="23">
        <f t="shared" si="36"/>
        <v>9.8745968898490341E-3</v>
      </c>
      <c r="FI43" s="23">
        <f t="shared" si="36"/>
        <v>9.7977508878285755E-3</v>
      </c>
    </row>
    <row r="44" spans="1:170" x14ac:dyDescent="0.35">
      <c r="C44" s="4">
        <v>1990</v>
      </c>
      <c r="D44" s="4">
        <v>1991</v>
      </c>
      <c r="E44" s="4">
        <v>1992</v>
      </c>
      <c r="F44" s="4">
        <v>1993</v>
      </c>
      <c r="G44" s="4">
        <v>1994</v>
      </c>
      <c r="H44" s="4">
        <v>1995</v>
      </c>
      <c r="I44" s="4">
        <v>1996</v>
      </c>
      <c r="J44" s="4">
        <v>1997</v>
      </c>
      <c r="K44" s="4">
        <v>1998</v>
      </c>
      <c r="L44" s="4">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H44" s="4">
        <v>2021</v>
      </c>
      <c r="AI44" s="4">
        <v>2022</v>
      </c>
      <c r="AJ44" s="4">
        <v>2023</v>
      </c>
      <c r="AK44" s="4">
        <v>2024</v>
      </c>
      <c r="AL44" s="4">
        <v>2025</v>
      </c>
      <c r="AM44" s="4">
        <v>2026</v>
      </c>
      <c r="AN44" s="4">
        <v>2027</v>
      </c>
      <c r="AO44" s="4">
        <v>2028</v>
      </c>
      <c r="AP44" s="4">
        <v>2029</v>
      </c>
      <c r="AQ44" s="4">
        <v>2030</v>
      </c>
      <c r="AS44" s="4" t="s">
        <v>44</v>
      </c>
      <c r="AT44" s="4"/>
      <c r="AU44" s="4"/>
      <c r="AV44" s="25" t="s">
        <v>17</v>
      </c>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148">
        <f>(CA34+CA35+CA36+CA37)*0.01%</f>
        <v>1.86076</v>
      </c>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146"/>
      <c r="EB44" s="4"/>
      <c r="ED44" s="4" t="str">
        <f>Populations!$C$5</f>
        <v>MSM</v>
      </c>
      <c r="EE44" s="23">
        <v>1.19174603957395E-2</v>
      </c>
      <c r="EF44" s="23">
        <v>1.0886084418490601E-2</v>
      </c>
      <c r="EG44" s="23">
        <v>1.00852082300641E-2</v>
      </c>
      <c r="EH44" s="23">
        <v>9.4966895111676403E-3</v>
      </c>
      <c r="EI44" s="23">
        <v>9.0916369681412305E-3</v>
      </c>
      <c r="EJ44" s="23">
        <v>8.8913351322426407E-3</v>
      </c>
      <c r="EK44" s="23">
        <v>8.2149281228267503E-3</v>
      </c>
      <c r="EL44" s="23">
        <v>7.7241432626302996E-3</v>
      </c>
      <c r="EM44" s="23">
        <v>7.3137871875849003E-3</v>
      </c>
      <c r="EN44" s="23">
        <v>7.0175946884781099E-3</v>
      </c>
      <c r="EO44" s="23">
        <f t="shared" si="37"/>
        <v>1.0190622570997517E-2</v>
      </c>
      <c r="EP44" s="23">
        <f t="shared" si="36"/>
        <v>1.041233785495143E-2</v>
      </c>
      <c r="EQ44" s="23">
        <f t="shared" si="36"/>
        <v>1.084571059102569E-2</v>
      </c>
      <c r="ER44" s="23">
        <f t="shared" si="36"/>
        <v>1.0736067475602179E-2</v>
      </c>
      <c r="ES44" s="23">
        <f t="shared" si="36"/>
        <v>1.0519749708410535E-2</v>
      </c>
      <c r="ET44" s="23">
        <f t="shared" si="36"/>
        <v>9.9453490974192003E-3</v>
      </c>
      <c r="EU44" s="23">
        <f t="shared" si="36"/>
        <v>1.0548693418460009E-2</v>
      </c>
      <c r="EV44" s="23">
        <f t="shared" si="36"/>
        <v>1.0547139040957155E-2</v>
      </c>
      <c r="EW44" s="23">
        <f t="shared" si="36"/>
        <v>1.0530596409667799E-2</v>
      </c>
      <c r="EX44" s="23">
        <f t="shared" si="36"/>
        <v>1.0504867578440701E-2</v>
      </c>
      <c r="EY44" s="23">
        <f t="shared" si="36"/>
        <v>1.0472199935366326E-2</v>
      </c>
      <c r="EZ44" s="23">
        <f t="shared" si="36"/>
        <v>1.0424203148949224E-2</v>
      </c>
      <c r="FA44" s="23">
        <f t="shared" si="36"/>
        <v>1.0376537825780009E-2</v>
      </c>
      <c r="FB44" s="23">
        <f t="shared" si="36"/>
        <v>1.0323402644118809E-2</v>
      </c>
      <c r="FC44" s="23">
        <f t="shared" si="36"/>
        <v>1.0257888460525846E-2</v>
      </c>
      <c r="FD44" s="23">
        <f t="shared" si="36"/>
        <v>1.0178455363645259E-2</v>
      </c>
      <c r="FE44" s="23">
        <f t="shared" si="36"/>
        <v>1.0113532571853524E-2</v>
      </c>
      <c r="FF44" s="23">
        <f t="shared" si="36"/>
        <v>1.003789387776402E-2</v>
      </c>
      <c r="FG44" s="23">
        <f t="shared" si="36"/>
        <v>9.9559756933621357E-3</v>
      </c>
      <c r="FH44" s="23">
        <f t="shared" si="36"/>
        <v>9.8745968898490341E-3</v>
      </c>
      <c r="FI44" s="23">
        <f t="shared" si="36"/>
        <v>9.7977508878285755E-3</v>
      </c>
    </row>
    <row r="45" spans="1:170" x14ac:dyDescent="0.35">
      <c r="B45" s="4" t="str">
        <f>Populations!$C$3</f>
        <v>FSW</v>
      </c>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6" t="s">
        <v>46</v>
      </c>
      <c r="AS45" s="7">
        <v>0.2</v>
      </c>
      <c r="AT45" s="143"/>
      <c r="AU45" s="143"/>
      <c r="AV45" s="143"/>
      <c r="AW45" s="143"/>
      <c r="AX45" s="143"/>
      <c r="AY45" s="143"/>
      <c r="AZ45" s="143"/>
      <c r="BA45" s="143"/>
      <c r="BB45" s="143"/>
      <c r="BC45" s="143"/>
      <c r="BD45" s="143"/>
      <c r="BE45" s="143"/>
      <c r="BF45" s="143"/>
      <c r="BG45" s="143"/>
      <c r="BH45" s="143"/>
      <c r="BI45" s="143"/>
      <c r="BJ45" s="143"/>
      <c r="BK45" s="143"/>
      <c r="BL45" s="143"/>
      <c r="BM45" s="143"/>
      <c r="BN45" s="143"/>
      <c r="BO45" s="143"/>
      <c r="BP45" s="143"/>
      <c r="BQ45" s="143"/>
      <c r="BR45" s="143"/>
      <c r="BS45" s="143"/>
      <c r="BT45" s="143"/>
      <c r="BU45" s="143"/>
      <c r="BV45" s="143"/>
      <c r="BW45" s="143"/>
      <c r="BX45" s="143"/>
      <c r="BY45" s="143"/>
      <c r="BZ45" s="143"/>
      <c r="CA45" s="143"/>
      <c r="CB45" s="143"/>
      <c r="CC45" s="143"/>
      <c r="CD45" s="143"/>
      <c r="CE45" s="143"/>
      <c r="CF45" s="143"/>
      <c r="CG45" s="143"/>
      <c r="CH45" s="143"/>
      <c r="CI45" s="143"/>
      <c r="CJ45" s="143"/>
      <c r="CK45" s="143"/>
      <c r="CL45" s="143"/>
      <c r="CM45" s="143"/>
      <c r="CN45" s="143"/>
      <c r="CO45" s="143"/>
      <c r="CP45" s="143"/>
      <c r="CQ45" s="143"/>
      <c r="CR45" s="143"/>
      <c r="CS45" s="143"/>
      <c r="CT45" s="143"/>
      <c r="CU45" s="143"/>
      <c r="CV45" s="143"/>
      <c r="CW45" s="143"/>
      <c r="CX45" s="143"/>
      <c r="CY45" s="143"/>
      <c r="CZ45" s="143"/>
      <c r="DA45" s="143"/>
      <c r="DB45" s="143"/>
      <c r="DC45" s="143"/>
      <c r="DD45" s="143"/>
      <c r="DE45" s="143"/>
      <c r="DF45" s="143"/>
      <c r="DG45" s="143"/>
      <c r="DH45" s="143"/>
      <c r="DI45" s="143"/>
      <c r="DJ45" s="143"/>
      <c r="DK45" s="143"/>
      <c r="DL45" s="143"/>
      <c r="DM45" s="143"/>
      <c r="DN45" s="143"/>
      <c r="DO45" s="143"/>
      <c r="DP45" s="143"/>
      <c r="DQ45" s="143"/>
      <c r="DR45" s="143"/>
      <c r="DS45" s="143"/>
      <c r="DT45" s="143"/>
      <c r="DU45" s="143"/>
      <c r="DV45" s="143"/>
      <c r="DW45" s="143"/>
      <c r="DX45" s="143"/>
      <c r="DY45" s="143"/>
      <c r="DZ45" s="143"/>
      <c r="EA45" s="143"/>
      <c r="EB45" s="143"/>
      <c r="ED45" s="4" t="str">
        <f>Populations!$C$6</f>
        <v>Prisoners</v>
      </c>
      <c r="EE45" s="23">
        <v>1.19174603957395E-2</v>
      </c>
      <c r="EF45" s="23">
        <v>1.0886084418490601E-2</v>
      </c>
      <c r="EG45" s="23">
        <v>1.00852082300641E-2</v>
      </c>
      <c r="EH45" s="23">
        <v>9.4966895111676403E-3</v>
      </c>
      <c r="EI45" s="23">
        <v>9.0916369681412305E-3</v>
      </c>
      <c r="EJ45" s="23">
        <v>8.8913351322426407E-3</v>
      </c>
      <c r="EK45" s="23">
        <v>8.2149281228267503E-3</v>
      </c>
      <c r="EL45" s="23">
        <v>7.7241432626302996E-3</v>
      </c>
      <c r="EM45" s="23">
        <v>7.3137871875849003E-3</v>
      </c>
      <c r="EN45" s="23">
        <v>7.0175946884781099E-3</v>
      </c>
      <c r="EO45" s="23">
        <f t="shared" si="37"/>
        <v>1.0190622570997517E-2</v>
      </c>
      <c r="EP45" s="23">
        <f t="shared" si="36"/>
        <v>1.041233785495143E-2</v>
      </c>
      <c r="EQ45" s="23">
        <f t="shared" si="36"/>
        <v>1.084571059102569E-2</v>
      </c>
      <c r="ER45" s="23">
        <f t="shared" si="36"/>
        <v>1.0736067475602179E-2</v>
      </c>
      <c r="ES45" s="23">
        <f t="shared" si="36"/>
        <v>1.0519749708410535E-2</v>
      </c>
      <c r="ET45" s="23">
        <f t="shared" si="36"/>
        <v>9.9453490974192003E-3</v>
      </c>
      <c r="EU45" s="23">
        <f t="shared" si="36"/>
        <v>1.0548693418460009E-2</v>
      </c>
      <c r="EV45" s="23">
        <f t="shared" si="36"/>
        <v>1.0547139040957155E-2</v>
      </c>
      <c r="EW45" s="23">
        <f t="shared" si="36"/>
        <v>1.0530596409667799E-2</v>
      </c>
      <c r="EX45" s="23">
        <f t="shared" si="36"/>
        <v>1.0504867578440701E-2</v>
      </c>
      <c r="EY45" s="23">
        <f t="shared" si="36"/>
        <v>1.0472199935366326E-2</v>
      </c>
      <c r="EZ45" s="23">
        <f t="shared" si="36"/>
        <v>1.0424203148949224E-2</v>
      </c>
      <c r="FA45" s="23">
        <f t="shared" si="36"/>
        <v>1.0376537825780009E-2</v>
      </c>
      <c r="FB45" s="23">
        <f t="shared" si="36"/>
        <v>1.0323402644118809E-2</v>
      </c>
      <c r="FC45" s="23">
        <f t="shared" si="36"/>
        <v>1.0257888460525846E-2</v>
      </c>
      <c r="FD45" s="23">
        <f t="shared" si="36"/>
        <v>1.0178455363645259E-2</v>
      </c>
      <c r="FE45" s="23">
        <f t="shared" si="36"/>
        <v>1.0113532571853524E-2</v>
      </c>
      <c r="FF45" s="23">
        <f t="shared" si="36"/>
        <v>1.003789387776402E-2</v>
      </c>
      <c r="FG45" s="23">
        <f t="shared" si="36"/>
        <v>9.9559756933621357E-3</v>
      </c>
      <c r="FH45" s="23">
        <f t="shared" si="36"/>
        <v>9.8745968898490341E-3</v>
      </c>
      <c r="FI45" s="23">
        <f t="shared" si="36"/>
        <v>9.7977508878285755E-3</v>
      </c>
    </row>
    <row r="46" spans="1:170" x14ac:dyDescent="0.35">
      <c r="B46" s="4" t="str">
        <f>Populations!$C$4</f>
        <v>Clients</v>
      </c>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6" t="s">
        <v>46</v>
      </c>
      <c r="AS46" s="7">
        <v>0.05</v>
      </c>
      <c r="AT46" s="143"/>
      <c r="AU46" s="143"/>
      <c r="AV46" s="143"/>
      <c r="AW46" s="143"/>
      <c r="AX46" s="143"/>
      <c r="AY46" s="143"/>
      <c r="AZ46" s="143"/>
      <c r="BA46" s="143"/>
      <c r="BB46" s="143"/>
      <c r="BC46" s="143"/>
      <c r="BD46" s="143"/>
      <c r="BE46" s="143"/>
      <c r="BF46" s="143"/>
      <c r="BG46" s="143"/>
      <c r="BH46" s="143"/>
      <c r="BI46" s="143"/>
      <c r="BJ46" s="143"/>
      <c r="BK46" s="143"/>
      <c r="BL46" s="143"/>
      <c r="BM46" s="143"/>
      <c r="BN46" s="143"/>
      <c r="BO46" s="143"/>
      <c r="BP46" s="143"/>
      <c r="BQ46" s="143"/>
      <c r="BR46" s="143"/>
      <c r="BS46" s="143"/>
      <c r="BT46" s="143"/>
      <c r="BU46" s="143"/>
      <c r="BV46" s="143"/>
      <c r="BW46" s="143"/>
      <c r="BX46" s="143"/>
      <c r="BY46" s="143"/>
      <c r="BZ46" s="143"/>
      <c r="CA46" s="143"/>
      <c r="CB46" s="143"/>
      <c r="CC46" s="143"/>
      <c r="CD46" s="143"/>
      <c r="CE46" s="143"/>
      <c r="CF46" s="143"/>
      <c r="CG46" s="143"/>
      <c r="CH46" s="143"/>
      <c r="CI46" s="143"/>
      <c r="CJ46" s="143"/>
      <c r="CK46" s="143"/>
      <c r="CL46" s="143"/>
      <c r="CM46" s="143"/>
      <c r="CN46" s="143"/>
      <c r="CO46" s="143"/>
      <c r="CP46" s="143"/>
      <c r="CQ46" s="143"/>
      <c r="CR46" s="143"/>
      <c r="CS46" s="143"/>
      <c r="CT46" s="143"/>
      <c r="CU46" s="143"/>
      <c r="CV46" s="143"/>
      <c r="CW46" s="143"/>
      <c r="CX46" s="143"/>
      <c r="CY46" s="143"/>
      <c r="CZ46" s="143"/>
      <c r="DA46" s="143"/>
      <c r="DB46" s="143"/>
      <c r="DC46" s="143"/>
      <c r="DD46" s="143"/>
      <c r="DE46" s="143"/>
      <c r="DF46" s="143"/>
      <c r="DG46" s="143"/>
      <c r="DH46" s="143"/>
      <c r="DI46" s="143"/>
      <c r="DJ46" s="143"/>
      <c r="DK46" s="143"/>
      <c r="DL46" s="143"/>
      <c r="DM46" s="143"/>
      <c r="DN46" s="143"/>
      <c r="DO46" s="143"/>
      <c r="DP46" s="143"/>
      <c r="DQ46" s="143"/>
      <c r="DR46" s="143"/>
      <c r="DS46" s="143"/>
      <c r="DT46" s="143"/>
      <c r="DU46" s="143"/>
      <c r="DV46" s="143"/>
      <c r="DW46" s="143"/>
      <c r="DX46" s="143"/>
      <c r="DY46" s="143"/>
      <c r="DZ46" s="143"/>
      <c r="EA46" s="143"/>
      <c r="EB46" s="143"/>
      <c r="ED46" s="4" t="str">
        <f>Populations!$C$7</f>
        <v>F0-14</v>
      </c>
      <c r="EE46" s="23">
        <v>7.4065235312894603E-3</v>
      </c>
      <c r="EF46" s="23">
        <v>7.3750170531270897E-3</v>
      </c>
      <c r="EG46" s="23">
        <v>7.3840565596814903E-3</v>
      </c>
      <c r="EH46" s="23">
        <v>7.4334386119607196E-3</v>
      </c>
      <c r="EI46" s="23">
        <v>7.48756102973306E-3</v>
      </c>
      <c r="EJ46" s="23">
        <v>7.5462607593019997E-3</v>
      </c>
      <c r="EK46" s="23">
        <v>7.2767898767054501E-3</v>
      </c>
      <c r="EL46" s="23">
        <v>7.0128122856759302E-3</v>
      </c>
      <c r="EM46" s="23">
        <v>6.7728721909556698E-3</v>
      </c>
      <c r="EN46" s="23">
        <v>6.5714069386481801E-3</v>
      </c>
      <c r="EO46" s="23">
        <f t="shared" si="37"/>
        <v>9.594178658417836E-3</v>
      </c>
      <c r="EP46" s="23">
        <f t="shared" si="36"/>
        <v>9.2778381628886696E-3</v>
      </c>
      <c r="EQ46" s="23">
        <f t="shared" si="36"/>
        <v>8.9321584666655837E-3</v>
      </c>
      <c r="ER46" s="23">
        <f t="shared" si="36"/>
        <v>8.4364654338957897E-3</v>
      </c>
      <c r="ES46" s="23">
        <f t="shared" si="36"/>
        <v>7.9543280623646847E-3</v>
      </c>
      <c r="ET46" s="23">
        <f t="shared" si="36"/>
        <v>7.5075462717032401E-3</v>
      </c>
      <c r="EU46" s="23">
        <f t="shared" si="36"/>
        <v>7.1819862865460694E-3</v>
      </c>
      <c r="EV46" s="23">
        <f t="shared" si="36"/>
        <v>6.7706657588271144E-3</v>
      </c>
      <c r="EW46" s="23">
        <f t="shared" si="36"/>
        <v>6.3838351512218398E-3</v>
      </c>
      <c r="EX46" s="23">
        <f t="shared" si="36"/>
        <v>6.01629682594443E-3</v>
      </c>
      <c r="EY46" s="23">
        <f t="shared" si="36"/>
        <v>5.6660836214298604E-3</v>
      </c>
      <c r="EZ46" s="23">
        <f t="shared" si="36"/>
        <v>5.4018898257419097E-3</v>
      </c>
      <c r="FA46" s="23">
        <f t="shared" si="36"/>
        <v>5.1456288566848049E-3</v>
      </c>
      <c r="FB46" s="23">
        <f t="shared" si="36"/>
        <v>4.9002671947418995E-3</v>
      </c>
      <c r="FC46" s="23">
        <f t="shared" si="36"/>
        <v>4.6689299922392999E-3</v>
      </c>
      <c r="FD46" s="23">
        <f t="shared" si="36"/>
        <v>4.45117112696673E-3</v>
      </c>
      <c r="FE46" s="23">
        <f t="shared" si="36"/>
        <v>4.3175448803869651E-3</v>
      </c>
      <c r="FF46" s="23">
        <f t="shared" si="36"/>
        <v>4.1935802518258654E-3</v>
      </c>
      <c r="FG46" s="23">
        <f t="shared" si="36"/>
        <v>4.0760829290023646E-3</v>
      </c>
      <c r="FH46" s="23">
        <f t="shared" si="36"/>
        <v>3.9602050130592599E-3</v>
      </c>
      <c r="FI46" s="23">
        <f t="shared" si="36"/>
        <v>3.8431467166038904E-3</v>
      </c>
    </row>
    <row r="47" spans="1:170" x14ac:dyDescent="0.35">
      <c r="B47" s="4" t="str">
        <f>Populations!$C$5</f>
        <v>MSM</v>
      </c>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6" t="s">
        <v>46</v>
      </c>
      <c r="AS47" s="7">
        <v>0.04</v>
      </c>
      <c r="AT47" s="143"/>
      <c r="AU47" s="143"/>
      <c r="AV47" s="25" t="s">
        <v>396</v>
      </c>
      <c r="AW47" s="143"/>
      <c r="AX47" s="143"/>
      <c r="AY47" s="143"/>
      <c r="AZ47" s="143"/>
      <c r="BA47" s="143"/>
      <c r="BB47" s="143"/>
      <c r="BC47" s="143"/>
      <c r="BD47" s="143"/>
      <c r="BE47" s="143"/>
      <c r="BF47" s="143"/>
      <c r="BG47" s="143"/>
      <c r="BH47" s="143"/>
      <c r="BI47" s="143"/>
      <c r="BJ47" s="143"/>
      <c r="BK47" s="143"/>
      <c r="BL47" s="143"/>
      <c r="BM47" s="143"/>
      <c r="BN47" s="143"/>
      <c r="BO47" s="143"/>
      <c r="BP47" s="143"/>
      <c r="BQ47" s="143"/>
      <c r="BR47" s="143"/>
      <c r="BS47" s="143"/>
      <c r="BT47" s="143"/>
      <c r="BU47" s="143"/>
      <c r="BV47" s="143"/>
      <c r="BW47" s="143"/>
      <c r="BX47" s="143"/>
      <c r="BY47" s="143"/>
      <c r="BZ47" s="143"/>
      <c r="CA47" s="143"/>
      <c r="CB47" s="143"/>
      <c r="CC47" s="143"/>
      <c r="CD47" s="143"/>
      <c r="CE47" s="143"/>
      <c r="CF47" s="143"/>
      <c r="CG47" s="143"/>
      <c r="CH47" s="143"/>
      <c r="CI47" s="143"/>
      <c r="CJ47" s="143"/>
      <c r="CK47" s="143"/>
      <c r="CL47" s="143"/>
      <c r="CM47" s="143"/>
      <c r="CN47" s="143"/>
      <c r="CO47" s="143"/>
      <c r="CP47" s="143"/>
      <c r="CQ47" s="143"/>
      <c r="CR47" s="143"/>
      <c r="CS47" s="143"/>
      <c r="CT47" s="143"/>
      <c r="CU47" s="143"/>
      <c r="CV47" s="143"/>
      <c r="CW47" s="143"/>
      <c r="CX47" s="143"/>
      <c r="CY47" s="143"/>
      <c r="CZ47" s="143"/>
      <c r="DA47" s="143"/>
      <c r="DB47" s="143"/>
      <c r="DC47" s="143"/>
      <c r="DD47" s="143"/>
      <c r="DE47" s="143"/>
      <c r="DF47" s="143"/>
      <c r="DG47" s="143"/>
      <c r="DH47" s="143"/>
      <c r="DI47" s="143"/>
      <c r="DJ47" s="143"/>
      <c r="DK47" s="143"/>
      <c r="DL47" s="143"/>
      <c r="DM47" s="143"/>
      <c r="DN47" s="143"/>
      <c r="DO47" s="143"/>
      <c r="DP47" s="143"/>
      <c r="DQ47" s="143"/>
      <c r="DR47" s="143"/>
      <c r="DS47" s="143"/>
      <c r="DT47" s="143"/>
      <c r="DU47" s="143"/>
      <c r="DV47" s="143"/>
      <c r="DW47" s="143"/>
      <c r="DX47" s="143"/>
      <c r="DY47" s="143"/>
      <c r="DZ47" s="143"/>
      <c r="EA47" s="143"/>
      <c r="EB47" s="143"/>
      <c r="ED47" s="4" t="str">
        <f>Populations!$C$8</f>
        <v>M0-14</v>
      </c>
      <c r="EE47" s="23">
        <v>8.6636962912728099E-3</v>
      </c>
      <c r="EF47" s="23">
        <v>8.6766179292399603E-3</v>
      </c>
      <c r="EG47" s="23">
        <v>8.7334436630691504E-3</v>
      </c>
      <c r="EH47" s="23">
        <v>8.8315610242421395E-3</v>
      </c>
      <c r="EI47" s="23">
        <v>8.9300376727033705E-3</v>
      </c>
      <c r="EJ47" s="23">
        <v>9.0273176167926707E-3</v>
      </c>
      <c r="EK47" s="23">
        <v>8.8192177620311698E-3</v>
      </c>
      <c r="EL47" s="23">
        <v>8.6053452928752695E-3</v>
      </c>
      <c r="EM47" s="23">
        <v>8.4107959356133303E-3</v>
      </c>
      <c r="EN47" s="23">
        <v>8.2451945144042006E-3</v>
      </c>
      <c r="EO47" s="23">
        <f t="shared" si="37"/>
        <v>1.214896683000681E-2</v>
      </c>
      <c r="EP47" s="23">
        <f t="shared" si="36"/>
        <v>1.1777584862880421E-2</v>
      </c>
      <c r="EQ47" s="23">
        <f t="shared" si="36"/>
        <v>1.1369564139594886E-2</v>
      </c>
      <c r="ER47" s="23">
        <f t="shared" si="36"/>
        <v>1.080319519036671E-2</v>
      </c>
      <c r="ES47" s="23">
        <f t="shared" si="36"/>
        <v>1.0248853458773206E-2</v>
      </c>
      <c r="ET47" s="23">
        <f t="shared" si="36"/>
        <v>9.7283092616159694E-3</v>
      </c>
      <c r="EU47" s="23">
        <f t="shared" si="36"/>
        <v>9.3427405296174909E-3</v>
      </c>
      <c r="EV47" s="23">
        <f t="shared" si="36"/>
        <v>8.87247396807927E-3</v>
      </c>
      <c r="EW47" s="23">
        <f t="shared" si="36"/>
        <v>8.429530082314951E-3</v>
      </c>
      <c r="EX47" s="23">
        <f t="shared" si="36"/>
        <v>8.0095298286779991E-3</v>
      </c>
      <c r="EY47" s="23">
        <f t="shared" si="36"/>
        <v>7.6110902789861996E-3</v>
      </c>
      <c r="EZ47" s="23">
        <f t="shared" si="36"/>
        <v>7.2807654130928549E-3</v>
      </c>
      <c r="FA47" s="23">
        <f t="shared" si="36"/>
        <v>6.9617567123969847E-3</v>
      </c>
      <c r="FB47" s="23">
        <f t="shared" si="36"/>
        <v>6.6573886641734404E-3</v>
      </c>
      <c r="FC47" s="23">
        <f t="shared" si="36"/>
        <v>6.3709619534182502E-3</v>
      </c>
      <c r="FD47" s="23">
        <f t="shared" si="36"/>
        <v>6.1015524302404801E-3</v>
      </c>
      <c r="FE47" s="23">
        <f t="shared" si="36"/>
        <v>5.9291730529894048E-3</v>
      </c>
      <c r="FF47" s="23">
        <f t="shared" si="36"/>
        <v>5.7688475626664548E-3</v>
      </c>
      <c r="FG47" s="23">
        <f t="shared" si="36"/>
        <v>5.6169155694857104E-3</v>
      </c>
      <c r="FH47" s="23">
        <f t="shared" si="36"/>
        <v>5.4675334148092947E-3</v>
      </c>
      <c r="FI47" s="23">
        <f t="shared" si="36"/>
        <v>5.3171656421442904E-3</v>
      </c>
    </row>
    <row r="48" spans="1:170" x14ac:dyDescent="0.35">
      <c r="B48" s="4" t="str">
        <f>Populations!$C$6</f>
        <v>Prisoners</v>
      </c>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6" t="s">
        <v>46</v>
      </c>
      <c r="AS48" s="7">
        <v>0.04</v>
      </c>
      <c r="AT48" s="143"/>
      <c r="AU48" s="143"/>
      <c r="AV48" s="25" t="s">
        <v>394</v>
      </c>
      <c r="AW48" s="4">
        <v>1990</v>
      </c>
      <c r="AX48" s="4">
        <v>1991</v>
      </c>
      <c r="AY48" s="4">
        <v>1992</v>
      </c>
      <c r="AZ48" s="4">
        <v>1993</v>
      </c>
      <c r="BA48" s="4">
        <v>1994</v>
      </c>
      <c r="BB48" s="4">
        <v>1995</v>
      </c>
      <c r="BC48" s="4">
        <v>1996</v>
      </c>
      <c r="BD48" s="4">
        <v>1997</v>
      </c>
      <c r="BE48" s="4">
        <v>1998</v>
      </c>
      <c r="BF48" s="4">
        <v>1999</v>
      </c>
      <c r="BG48" s="4">
        <v>2000</v>
      </c>
      <c r="BH48" s="4">
        <v>2001</v>
      </c>
      <c r="BI48" s="4">
        <v>2002</v>
      </c>
      <c r="BJ48" s="4">
        <v>2003</v>
      </c>
      <c r="BK48" s="4">
        <v>2004</v>
      </c>
      <c r="BL48" s="4">
        <v>2005</v>
      </c>
      <c r="BM48" s="4">
        <v>2006</v>
      </c>
      <c r="BN48" s="4">
        <v>2007</v>
      </c>
      <c r="BO48" s="4">
        <v>2008</v>
      </c>
      <c r="BP48" s="4">
        <v>2009</v>
      </c>
      <c r="BQ48" s="4">
        <v>2010</v>
      </c>
      <c r="BR48" s="4">
        <v>2011</v>
      </c>
      <c r="BS48" s="4">
        <v>2012</v>
      </c>
      <c r="BT48" s="4">
        <v>2013</v>
      </c>
      <c r="BU48" s="4">
        <v>2014</v>
      </c>
      <c r="BV48" s="4">
        <v>2015</v>
      </c>
      <c r="BW48" s="4">
        <v>2016</v>
      </c>
      <c r="BX48" s="4">
        <v>2017</v>
      </c>
      <c r="BY48" s="4">
        <v>2018</v>
      </c>
      <c r="BZ48" s="4">
        <v>2019</v>
      </c>
      <c r="CA48" s="4">
        <v>2020</v>
      </c>
      <c r="CB48" s="143"/>
      <c r="CC48" s="143"/>
      <c r="CD48" s="143"/>
      <c r="CE48" s="143"/>
      <c r="CF48" s="143"/>
      <c r="CG48" s="143"/>
      <c r="CH48" s="143"/>
      <c r="CI48" s="143"/>
      <c r="CJ48" s="143"/>
      <c r="CK48" s="143"/>
      <c r="CL48" s="143"/>
      <c r="CM48" s="143"/>
      <c r="CN48" s="143"/>
      <c r="CO48" s="143"/>
      <c r="CP48" s="143"/>
      <c r="CQ48" s="143"/>
      <c r="CR48" s="143"/>
      <c r="CS48" s="143"/>
      <c r="CT48" s="143"/>
      <c r="CU48" s="143"/>
      <c r="CV48" s="143"/>
      <c r="CW48" s="143"/>
      <c r="CX48" s="143"/>
      <c r="CY48" s="143"/>
      <c r="CZ48" s="143"/>
      <c r="DA48" s="143"/>
      <c r="DB48" s="143"/>
      <c r="DC48" s="143"/>
      <c r="DD48" s="143"/>
      <c r="DE48" s="143"/>
      <c r="DF48" s="143"/>
      <c r="DG48" s="143"/>
      <c r="DH48" s="143"/>
      <c r="DI48" s="143"/>
      <c r="DJ48" s="143"/>
      <c r="DK48" s="143"/>
      <c r="DL48" s="143"/>
      <c r="DM48" s="143"/>
      <c r="DN48" s="143"/>
      <c r="DO48" s="143"/>
      <c r="DP48" s="143"/>
      <c r="DQ48" s="143"/>
      <c r="DR48" s="143"/>
      <c r="DS48" s="143"/>
      <c r="DT48" s="143"/>
      <c r="DU48" s="143"/>
      <c r="DV48" s="143"/>
      <c r="DW48" s="143"/>
      <c r="DX48" s="143"/>
      <c r="DY48" s="143"/>
      <c r="DZ48" s="143"/>
      <c r="EA48" s="143"/>
      <c r="EB48" s="143"/>
      <c r="ED48" s="4" t="str">
        <f>Populations!$C$9</f>
        <v>F15-19</v>
      </c>
      <c r="EE48" s="23">
        <v>2.0546386107964101E-3</v>
      </c>
      <c r="EF48" s="23">
        <v>2.1245625019160699E-3</v>
      </c>
      <c r="EG48" s="23">
        <v>2.1647248104346901E-3</v>
      </c>
      <c r="EH48" s="23">
        <v>2.1746706463872398E-3</v>
      </c>
      <c r="EI48" s="23">
        <v>2.15211611854044E-3</v>
      </c>
      <c r="EJ48" s="23">
        <v>2.1159268232927401E-3</v>
      </c>
      <c r="EK48" s="23">
        <v>1.9408570515374801E-3</v>
      </c>
      <c r="EL48" s="23">
        <v>1.77662282458559E-3</v>
      </c>
      <c r="EM48" s="23">
        <v>1.62765412071615E-3</v>
      </c>
      <c r="EN48" s="23">
        <v>1.4964503197950701E-3</v>
      </c>
      <c r="EO48" s="23">
        <f t="shared" si="37"/>
        <v>2.0951809461924901E-3</v>
      </c>
      <c r="EP48" s="23">
        <f t="shared" si="36"/>
        <v>1.850802567935505E-3</v>
      </c>
      <c r="EQ48" s="23">
        <f t="shared" si="36"/>
        <v>1.7745942789891599E-3</v>
      </c>
      <c r="ER48" s="23">
        <f t="shared" si="36"/>
        <v>1.7818599811756349E-3</v>
      </c>
      <c r="ES48" s="23">
        <f t="shared" si="36"/>
        <v>1.9332881258161501E-3</v>
      </c>
      <c r="ET48" s="23">
        <f t="shared" si="36"/>
        <v>2.0260277420390549E-3</v>
      </c>
      <c r="EU48" s="23">
        <f t="shared" si="36"/>
        <v>2.2536200412833851E-3</v>
      </c>
      <c r="EV48" s="23">
        <f t="shared" si="36"/>
        <v>2.1788258646893398E-3</v>
      </c>
      <c r="EW48" s="23">
        <f t="shared" si="36"/>
        <v>2.0968738042648799E-3</v>
      </c>
      <c r="EX48" s="23">
        <f t="shared" si="36"/>
        <v>2.0092072647939748E-3</v>
      </c>
      <c r="EY48" s="23">
        <f t="shared" si="36"/>
        <v>1.91689528763811E-3</v>
      </c>
      <c r="EZ48" s="23">
        <f t="shared" si="36"/>
        <v>1.72692690962469E-3</v>
      </c>
      <c r="FA48" s="23">
        <f t="shared" si="36"/>
        <v>1.5424213976977948E-3</v>
      </c>
      <c r="FB48" s="23">
        <f t="shared" si="36"/>
        <v>1.3646220316187504E-3</v>
      </c>
      <c r="FC48" s="23">
        <f t="shared" si="36"/>
        <v>1.194288334808865E-3</v>
      </c>
      <c r="FD48" s="23">
        <f t="shared" si="36"/>
        <v>1.032243308979279E-3</v>
      </c>
      <c r="FE48" s="23">
        <f t="shared" si="36"/>
        <v>9.0425502271749148E-4</v>
      </c>
      <c r="FF48" s="23">
        <f t="shared" si="36"/>
        <v>7.8284442057936299E-4</v>
      </c>
      <c r="FG48" s="23">
        <f t="shared" si="36"/>
        <v>6.6963312127323298E-4</v>
      </c>
      <c r="FH48" s="23">
        <f t="shared" si="36"/>
        <v>5.6563317418020895E-4</v>
      </c>
      <c r="FI48" s="23">
        <f t="shared" si="36"/>
        <v>4.6985715829222943E-4</v>
      </c>
    </row>
    <row r="49" spans="1:165" x14ac:dyDescent="0.35">
      <c r="B49" s="4" t="str">
        <f>Populations!$C$7</f>
        <v>F0-14</v>
      </c>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6" t="s">
        <v>46</v>
      </c>
      <c r="AS49" s="7">
        <v>0</v>
      </c>
      <c r="AT49" s="143"/>
      <c r="AU49" s="143"/>
      <c r="AV49" s="144" t="s">
        <v>140</v>
      </c>
      <c r="AW49" s="143">
        <f>AW25/'Population size'!D20</f>
        <v>7.0431995231246139E-3</v>
      </c>
      <c r="AX49" s="143">
        <f>AX25/'Population size'!E20</f>
        <v>6.9125821624255448E-3</v>
      </c>
      <c r="AY49" s="143">
        <f>AY25/'Population size'!F20</f>
        <v>6.8315353920426506E-3</v>
      </c>
      <c r="AZ49" s="143">
        <f>AZ25/'Population size'!G20</f>
        <v>6.7885051625044502E-3</v>
      </c>
      <c r="BA49" s="143">
        <f>BA25/'Population size'!H20</f>
        <v>6.7659357545127932E-3</v>
      </c>
      <c r="BB49" s="143">
        <f>BB25/'Population size'!I20</f>
        <v>7.8371756338338362E-3</v>
      </c>
      <c r="BC49" s="143">
        <f>BC25/'Population size'!J20</f>
        <v>7.8090793022003403E-3</v>
      </c>
      <c r="BD49" s="143">
        <f>BD25/'Population size'!K20</f>
        <v>7.7841185998221074E-3</v>
      </c>
      <c r="BE49" s="143">
        <f>BE25/'Population size'!L20</f>
        <v>7.7679821833430323E-3</v>
      </c>
      <c r="BF49" s="143">
        <f>BF25/'Population size'!M20</f>
        <v>7.769815473806143E-3</v>
      </c>
      <c r="BG49" s="143">
        <f>BG25/'Population size'!N20</f>
        <v>8.1379076631064966E-3</v>
      </c>
      <c r="BH49" s="143">
        <f>BH25/'Population size'!O20</f>
        <v>8.1323630612879384E-3</v>
      </c>
      <c r="BI49" s="143">
        <f>BI25/'Population size'!P20</f>
        <v>8.1371380370838676E-3</v>
      </c>
      <c r="BJ49" s="143">
        <f>BJ25/'Population size'!Q20</f>
        <v>8.1442536159469399E-3</v>
      </c>
      <c r="BK49" s="143">
        <f>BK25/'Population size'!R20</f>
        <v>8.1392081706063314E-3</v>
      </c>
      <c r="BL49" s="143">
        <f>BL25/'Population size'!S20</f>
        <v>8.6743072426320872E-3</v>
      </c>
      <c r="BM49" s="143">
        <f>BM25/'Population size'!T20</f>
        <v>8.6308447367727682E-3</v>
      </c>
      <c r="BN49" s="143">
        <f>BN25/'Population size'!U20</f>
        <v>8.5608560935288135E-3</v>
      </c>
      <c r="BO49" s="143">
        <f>BO25/'Population size'!V20</f>
        <v>8.4639443206682256E-3</v>
      </c>
      <c r="BP49" s="143">
        <f>BP25/'Population size'!W20</f>
        <v>8.3407888020980998E-3</v>
      </c>
      <c r="BQ49" s="143">
        <f>BQ25/'Population size'!X20</f>
        <v>6.5384963732073986E-3</v>
      </c>
      <c r="BR49" s="143">
        <f>BR25/'Population size'!Y20</f>
        <v>6.4142193883108345E-3</v>
      </c>
      <c r="BS49" s="143">
        <f>BS25/'Population size'!Z20</f>
        <v>6.2738966410617698E-3</v>
      </c>
      <c r="BT49" s="143">
        <f>BT25/'Population size'!AA20</f>
        <v>6.1293355884059148E-3</v>
      </c>
      <c r="BU49" s="143">
        <f>BU25/'Population size'!AB20</f>
        <v>5.9962084945707804E-3</v>
      </c>
      <c r="BV49" s="143">
        <f>BV25/'Population size'!AC20</f>
        <v>4.0275075917351718E-3</v>
      </c>
      <c r="BW49" s="143">
        <f>BW25/'Population size'!AD20</f>
        <v>3.9548334788448956E-3</v>
      </c>
      <c r="BX49" s="143">
        <f>BX25/'Population size'!AE20</f>
        <v>3.9050386347245277E-3</v>
      </c>
      <c r="BY49" s="143">
        <f>BY25/'Population size'!AF20</f>
        <v>3.8703346771722293E-3</v>
      </c>
      <c r="BZ49" s="143">
        <f>BZ25/'Population size'!AG20</f>
        <v>3.8394512951629395E-3</v>
      </c>
      <c r="CA49" s="143">
        <f>CA25/'Population size'!AH20</f>
        <v>3.8064110622250159E-3</v>
      </c>
      <c r="CB49" s="143"/>
      <c r="CC49" s="143"/>
      <c r="CD49" s="143"/>
      <c r="CE49" s="143"/>
      <c r="CF49" s="143"/>
      <c r="CG49" s="143"/>
      <c r="CH49" s="143"/>
      <c r="CI49" s="143"/>
      <c r="CJ49" s="143"/>
      <c r="CK49" s="143"/>
      <c r="CL49" s="143"/>
      <c r="CM49" s="143"/>
      <c r="CN49" s="143"/>
      <c r="CO49" s="143"/>
      <c r="CP49" s="143"/>
      <c r="CQ49" s="143"/>
      <c r="CR49" s="143"/>
      <c r="CS49" s="143"/>
      <c r="CT49" s="143"/>
      <c r="CU49" s="143"/>
      <c r="CV49" s="143"/>
      <c r="CW49" s="143"/>
      <c r="CX49" s="143"/>
      <c r="CY49" s="143"/>
      <c r="CZ49" s="143"/>
      <c r="DA49" s="143"/>
      <c r="DB49" s="143"/>
      <c r="DC49" s="143"/>
      <c r="DD49" s="143"/>
      <c r="DE49" s="143"/>
      <c r="DF49" s="143"/>
      <c r="DG49" s="143"/>
      <c r="DH49" s="143"/>
      <c r="DI49" s="143"/>
      <c r="DJ49" s="143"/>
      <c r="DK49" s="143"/>
      <c r="DL49" s="143"/>
      <c r="DM49" s="143"/>
      <c r="DN49" s="143"/>
      <c r="DO49" s="143"/>
      <c r="DP49" s="143"/>
      <c r="DQ49" s="143"/>
      <c r="DR49" s="143"/>
      <c r="DS49" s="143"/>
      <c r="DT49" s="143"/>
      <c r="DU49" s="143"/>
      <c r="DV49" s="143"/>
      <c r="DW49" s="143"/>
      <c r="DX49" s="143"/>
      <c r="DY49" s="143"/>
      <c r="DZ49" s="143"/>
      <c r="EA49" s="143"/>
      <c r="EB49" s="143"/>
      <c r="ED49" s="4" t="str">
        <f>Populations!$C$10</f>
        <v>M15-19</v>
      </c>
      <c r="EE49" s="23">
        <v>2.6415754258504402E-3</v>
      </c>
      <c r="EF49" s="23">
        <v>2.8076427244287201E-3</v>
      </c>
      <c r="EG49" s="23">
        <v>2.9452057719507999E-3</v>
      </c>
      <c r="EH49" s="23">
        <v>3.04971318466147E-3</v>
      </c>
      <c r="EI49" s="23">
        <v>3.1257553719485302E-3</v>
      </c>
      <c r="EJ49" s="23">
        <v>3.1750163385549099E-3</v>
      </c>
      <c r="EK49" s="23">
        <v>2.9935766680055098E-3</v>
      </c>
      <c r="EL49" s="23">
        <v>2.8157771383550902E-3</v>
      </c>
      <c r="EM49" s="23">
        <v>2.6437403719230899E-3</v>
      </c>
      <c r="EN49" s="23">
        <v>2.4949495673392001E-3</v>
      </c>
      <c r="EO49" s="23">
        <f t="shared" si="37"/>
        <v>3.5552031931894352E-3</v>
      </c>
      <c r="EP49" s="23">
        <f t="shared" si="36"/>
        <v>3.3992288636586453E-3</v>
      </c>
      <c r="EQ49" s="23">
        <f t="shared" si="36"/>
        <v>3.3120957723278702E-3</v>
      </c>
      <c r="ER49" s="23">
        <f t="shared" si="36"/>
        <v>3.2075829801029398E-3</v>
      </c>
      <c r="ES49" s="23">
        <f t="shared" si="36"/>
        <v>3.0975413079702449E-3</v>
      </c>
      <c r="ET49" s="23">
        <f t="shared" si="36"/>
        <v>3.1550493695191649E-3</v>
      </c>
      <c r="EU49" s="23">
        <f t="shared" si="36"/>
        <v>3.488193169480275E-3</v>
      </c>
      <c r="EV49" s="23">
        <f t="shared" si="36"/>
        <v>3.3808120011749555E-3</v>
      </c>
      <c r="EW49" s="23">
        <f t="shared" si="36"/>
        <v>3.2623274657919451E-3</v>
      </c>
      <c r="EX49" s="23">
        <f t="shared" si="36"/>
        <v>3.1339103887781999E-3</v>
      </c>
      <c r="EY49" s="23">
        <f t="shared" si="36"/>
        <v>2.9970232841011351E-3</v>
      </c>
      <c r="EZ49" s="23">
        <f t="shared" si="36"/>
        <v>2.8129640618573251E-3</v>
      </c>
      <c r="FA49" s="23">
        <f t="shared" si="36"/>
        <v>2.6298456001953002E-3</v>
      </c>
      <c r="FB49" s="23">
        <f t="shared" si="36"/>
        <v>2.4495036047221348E-3</v>
      </c>
      <c r="FC49" s="23">
        <f t="shared" si="36"/>
        <v>2.273928970442895E-3</v>
      </c>
      <c r="FD49" s="23">
        <f t="shared" si="36"/>
        <v>2.1053829168073798E-3</v>
      </c>
      <c r="FE49" s="23">
        <f t="shared" si="36"/>
        <v>1.9427751161924102E-3</v>
      </c>
      <c r="FF49" s="23">
        <f t="shared" si="36"/>
        <v>1.78740787427073E-3</v>
      </c>
      <c r="FG49" s="23">
        <f t="shared" si="36"/>
        <v>1.6426892274415351E-3</v>
      </c>
      <c r="FH49" s="23">
        <f t="shared" si="36"/>
        <v>1.5121979084975249E-3</v>
      </c>
      <c r="FI49" s="23">
        <f t="shared" si="36"/>
        <v>1.3962278773683194E-3</v>
      </c>
    </row>
    <row r="50" spans="1:165" x14ac:dyDescent="0.35">
      <c r="B50" s="4" t="str">
        <f>Populations!$C$8</f>
        <v>M0-14</v>
      </c>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6" t="s">
        <v>46</v>
      </c>
      <c r="AS50" s="7">
        <v>0</v>
      </c>
      <c r="AT50" s="143"/>
      <c r="AU50" s="143"/>
      <c r="AV50" s="144" t="s">
        <v>368</v>
      </c>
      <c r="AW50" s="143">
        <f>AW26/'Population size'!D28</f>
        <v>1.7858642705464484E-3</v>
      </c>
      <c r="AX50" s="143">
        <f>AX26/'Population size'!E28</f>
        <v>1.7274293557002049E-3</v>
      </c>
      <c r="AY50" s="143">
        <f>AY26/'Population size'!F28</f>
        <v>1.664585593264001E-3</v>
      </c>
      <c r="AZ50" s="143">
        <f>AZ26/'Population size'!G28</f>
        <v>1.6034145090783505E-3</v>
      </c>
      <c r="BA50" s="143">
        <f>BA26/'Population size'!H28</f>
        <v>1.5516534609074366E-3</v>
      </c>
      <c r="BB50" s="143">
        <f>BB26/'Population size'!I28</f>
        <v>2.0310266600903617E-3</v>
      </c>
      <c r="BC50" s="143">
        <f>BC26/'Population size'!J28</f>
        <v>1.9926451879359649E-3</v>
      </c>
      <c r="BD50" s="143">
        <f>BD26/'Population size'!K28</f>
        <v>1.9669716562305405E-3</v>
      </c>
      <c r="BE50" s="143">
        <f>BE26/'Population size'!L28</f>
        <v>1.9478133645446931E-3</v>
      </c>
      <c r="BF50" s="143">
        <f>BF26/'Population size'!M28</f>
        <v>1.9262664597914675E-3</v>
      </c>
      <c r="BG50" s="143">
        <f>BG26/'Population size'!N28</f>
        <v>2.4894312959241999E-3</v>
      </c>
      <c r="BH50" s="143">
        <f>BH26/'Population size'!O28</f>
        <v>2.4704365860123466E-3</v>
      </c>
      <c r="BI50" s="143">
        <f>BI26/'Population size'!P28</f>
        <v>2.4378158376786208E-3</v>
      </c>
      <c r="BJ50" s="143">
        <f>BJ26/'Population size'!Q28</f>
        <v>2.3988105842167608E-3</v>
      </c>
      <c r="BK50" s="143">
        <f>BK26/'Population size'!R28</f>
        <v>2.3646777880743817E-3</v>
      </c>
      <c r="BL50" s="143">
        <f>BL26/'Population size'!S28</f>
        <v>2.5787603470464743E-3</v>
      </c>
      <c r="BM50" s="143">
        <f>BM26/'Population size'!T28</f>
        <v>2.5945019221573452E-3</v>
      </c>
      <c r="BN50" s="143">
        <f>BN26/'Population size'!U28</f>
        <v>2.6210981985935258E-3</v>
      </c>
      <c r="BO50" s="143">
        <f>BO26/'Population size'!V28</f>
        <v>2.6518042558558736E-3</v>
      </c>
      <c r="BP50" s="143">
        <f>BP26/'Population size'!W28</f>
        <v>2.6758495994185557E-3</v>
      </c>
      <c r="BQ50" s="143">
        <f>BQ26/'Population size'!X28</f>
        <v>1.7862377101022741E-3</v>
      </c>
      <c r="BR50" s="143">
        <f>BR26/'Population size'!Y28</f>
        <v>1.8084306305310857E-3</v>
      </c>
      <c r="BS50" s="143">
        <f>BS26/'Population size'!Z28</f>
        <v>1.8185563671325746E-3</v>
      </c>
      <c r="BT50" s="143">
        <f>BT26/'Population size'!AA28</f>
        <v>1.8172272017427022E-3</v>
      </c>
      <c r="BU50" s="143">
        <f>BU26/'Population size'!AB28</f>
        <v>1.807070929775257E-3</v>
      </c>
      <c r="BV50" s="143">
        <f>BV26/'Population size'!AC28</f>
        <v>1.3718517521460055E-3</v>
      </c>
      <c r="BW50" s="143">
        <f>BW26/'Population size'!AD28</f>
        <v>1.368701442197542E-3</v>
      </c>
      <c r="BX50" s="143">
        <f>BX26/'Population size'!AE28</f>
        <v>1.357104587043832E-3</v>
      </c>
      <c r="BY50" s="143">
        <f>BY26/'Population size'!AF28</f>
        <v>1.3371393357798347E-3</v>
      </c>
      <c r="BZ50" s="143">
        <f>BZ26/'Population size'!AG28</f>
        <v>1.3097155255560277E-3</v>
      </c>
      <c r="CA50" s="143">
        <f>CA26/'Population size'!AH28</f>
        <v>1.2765867026394127E-3</v>
      </c>
      <c r="CB50" s="143"/>
      <c r="CC50" s="143"/>
      <c r="CD50" s="143"/>
      <c r="CE50" s="143"/>
      <c r="CF50" s="143"/>
      <c r="CG50" s="143"/>
      <c r="CH50" s="143"/>
      <c r="CI50" s="143"/>
      <c r="CJ50" s="143"/>
      <c r="CK50" s="143"/>
      <c r="CL50" s="143"/>
      <c r="CM50" s="143"/>
      <c r="CN50" s="143"/>
      <c r="CO50" s="143"/>
      <c r="CP50" s="143"/>
      <c r="CQ50" s="143"/>
      <c r="CR50" s="143"/>
      <c r="CS50" s="143"/>
      <c r="CT50" s="143"/>
      <c r="CU50" s="143"/>
      <c r="CV50" s="143"/>
      <c r="CW50" s="143"/>
      <c r="CX50" s="143"/>
      <c r="CY50" s="143"/>
      <c r="CZ50" s="143"/>
      <c r="DA50" s="143"/>
      <c r="DB50" s="143"/>
      <c r="DC50" s="143"/>
      <c r="DD50" s="143"/>
      <c r="DE50" s="143"/>
      <c r="DF50" s="143"/>
      <c r="DG50" s="143"/>
      <c r="DH50" s="143"/>
      <c r="DI50" s="143"/>
      <c r="DJ50" s="143"/>
      <c r="DK50" s="143"/>
      <c r="DL50" s="143"/>
      <c r="DM50" s="143"/>
      <c r="DN50" s="143"/>
      <c r="DO50" s="143"/>
      <c r="DP50" s="143"/>
      <c r="DQ50" s="143"/>
      <c r="DR50" s="143"/>
      <c r="DS50" s="143"/>
      <c r="DT50" s="143"/>
      <c r="DU50" s="143"/>
      <c r="DV50" s="143"/>
      <c r="DW50" s="143"/>
      <c r="DX50" s="143"/>
      <c r="DY50" s="143"/>
      <c r="DZ50" s="143"/>
      <c r="EA50" s="143"/>
      <c r="EB50" s="143"/>
      <c r="ED50" s="4" t="str">
        <f>Populations!$C$11</f>
        <v>F20-24</v>
      </c>
      <c r="EE50" s="23">
        <v>3.9071652387585197E-3</v>
      </c>
      <c r="EF50" s="23">
        <v>3.5317052350793002E-3</v>
      </c>
      <c r="EG50" s="23">
        <v>3.1918836211857599E-3</v>
      </c>
      <c r="EH50" s="23">
        <v>2.8966141149095099E-3</v>
      </c>
      <c r="EI50" s="23">
        <v>2.61233828763659E-3</v>
      </c>
      <c r="EJ50" s="23">
        <v>2.38834407569666E-3</v>
      </c>
      <c r="EK50" s="23">
        <v>2.1952373987702799E-3</v>
      </c>
      <c r="EL50" s="23">
        <v>2.0070708752237799E-3</v>
      </c>
      <c r="EM50" s="23">
        <v>1.79141918805783E-3</v>
      </c>
      <c r="EN50" s="23">
        <v>1.5151490279528099E-3</v>
      </c>
      <c r="EO50" s="23">
        <f t="shared" si="37"/>
        <v>1.76475655103727E-3</v>
      </c>
      <c r="EP50" s="23">
        <f t="shared" si="36"/>
        <v>1.5935707480281601E-3</v>
      </c>
      <c r="EQ50" s="23">
        <f t="shared" si="36"/>
        <v>1.5602777789975549E-3</v>
      </c>
      <c r="ER50" s="23">
        <f t="shared" si="36"/>
        <v>1.4974005524033447E-3</v>
      </c>
      <c r="ES50" s="23">
        <f t="shared" si="36"/>
        <v>1.4998624514554995E-3</v>
      </c>
      <c r="ET50" s="23">
        <f t="shared" si="36"/>
        <v>1.6381270329193349E-3</v>
      </c>
      <c r="EU50" s="23">
        <f t="shared" si="36"/>
        <v>1.96659639499137E-3</v>
      </c>
      <c r="EV50" s="23">
        <f t="shared" si="36"/>
        <v>1.9939434215428199E-3</v>
      </c>
      <c r="EW50" s="23">
        <f t="shared" si="36"/>
        <v>2.0180597611701751E-3</v>
      </c>
      <c r="EX50" s="23">
        <f t="shared" si="36"/>
        <v>2.03751537169191E-3</v>
      </c>
      <c r="EY50" s="23">
        <f t="shared" si="36"/>
        <v>2.0510844275773948E-3</v>
      </c>
      <c r="EZ50" s="23">
        <f t="shared" si="36"/>
        <v>2.0481277242924449E-3</v>
      </c>
      <c r="FA50" s="23">
        <f t="shared" si="36"/>
        <v>2.040420741078255E-3</v>
      </c>
      <c r="FB50" s="23">
        <f t="shared" si="36"/>
        <v>2.02578123288426E-3</v>
      </c>
      <c r="FC50" s="23">
        <f t="shared" si="36"/>
        <v>2.0020981280137497E-3</v>
      </c>
      <c r="FD50" s="23">
        <f t="shared" si="36"/>
        <v>1.9694038228942798E-3</v>
      </c>
      <c r="FE50" s="23">
        <f t="shared" si="36"/>
        <v>1.8974797760401498E-3</v>
      </c>
      <c r="FF50" s="23">
        <f t="shared" si="36"/>
        <v>1.8220035139599E-3</v>
      </c>
      <c r="FG50" s="23">
        <f t="shared" si="36"/>
        <v>1.744877954586705E-3</v>
      </c>
      <c r="FH50" s="23">
        <f t="shared" si="36"/>
        <v>1.6682226158214301E-3</v>
      </c>
      <c r="FI50" s="23">
        <f t="shared" si="36"/>
        <v>1.593795712247925E-3</v>
      </c>
    </row>
    <row r="51" spans="1:165" x14ac:dyDescent="0.35">
      <c r="B51" s="4" t="str">
        <f>Populations!$C$9</f>
        <v>F15-19</v>
      </c>
      <c r="C51" s="7"/>
      <c r="D51" s="7"/>
      <c r="E51" s="7"/>
      <c r="F51" s="7"/>
      <c r="G51" s="7"/>
      <c r="H51" s="7"/>
      <c r="I51" s="7"/>
      <c r="J51" s="7"/>
      <c r="K51" s="7"/>
      <c r="L51" s="7"/>
      <c r="M51" s="7">
        <v>3.2000000000000001E-2</v>
      </c>
      <c r="N51" s="7"/>
      <c r="O51" s="7"/>
      <c r="P51" s="7"/>
      <c r="Q51" s="7"/>
      <c r="R51" s="7">
        <v>3.5999999999999997E-2</v>
      </c>
      <c r="S51" s="7"/>
      <c r="T51" s="7"/>
      <c r="U51" s="7"/>
      <c r="V51" s="7"/>
      <c r="W51" s="7">
        <v>3.5999999999999997E-2</v>
      </c>
      <c r="X51" s="7"/>
      <c r="Y51" s="7"/>
      <c r="Z51" s="7"/>
      <c r="AA51" s="7"/>
      <c r="AB51" s="7">
        <v>4.4999999999999998E-2</v>
      </c>
      <c r="AC51" s="7"/>
      <c r="AD51" s="7"/>
      <c r="AE51" s="7"/>
      <c r="AF51" s="7"/>
      <c r="AG51" s="7"/>
      <c r="AH51" s="7"/>
      <c r="AI51" s="7"/>
      <c r="AJ51" s="7"/>
      <c r="AK51" s="7"/>
      <c r="AL51" s="7"/>
      <c r="AM51" s="7"/>
      <c r="AN51" s="7"/>
      <c r="AO51" s="7"/>
      <c r="AP51" s="7"/>
      <c r="AQ51" s="7"/>
      <c r="AR51" s="6" t="s">
        <v>46</v>
      </c>
      <c r="AS51" s="7"/>
      <c r="AT51" s="143"/>
      <c r="AU51" s="143"/>
      <c r="AV51" s="144" t="s">
        <v>369</v>
      </c>
      <c r="AW51" s="143">
        <f>AW27/'Population size'!D36</f>
        <v>3.6311756870495001E-3</v>
      </c>
      <c r="AX51" s="143">
        <f>AX27/'Population size'!E36</f>
        <v>3.5509016995705889E-3</v>
      </c>
      <c r="AY51" s="143">
        <f>AY27/'Population size'!F36</f>
        <v>3.4675032020982078E-3</v>
      </c>
      <c r="AZ51" s="143">
        <f>AZ27/'Population size'!G36</f>
        <v>3.3793646155644355E-3</v>
      </c>
      <c r="BA51" s="143">
        <f>BA27/'Population size'!H36</f>
        <v>3.2856624518181072E-3</v>
      </c>
      <c r="BB51" s="143">
        <f>BB27/'Population size'!I36</f>
        <v>5.4778642903372818E-3</v>
      </c>
      <c r="BC51" s="143">
        <f>BC27/'Population size'!J36</f>
        <v>5.3277999098888902E-3</v>
      </c>
      <c r="BD51" s="143">
        <f>BD27/'Population size'!K36</f>
        <v>5.1621725575968754E-3</v>
      </c>
      <c r="BE51" s="143">
        <f>BE27/'Population size'!L36</f>
        <v>4.9939750568144337E-3</v>
      </c>
      <c r="BF51" s="143">
        <f>BF27/'Population size'!M36</f>
        <v>4.8408899637293794E-3</v>
      </c>
      <c r="BG51" s="143">
        <f>BG27/'Population size'!N36</f>
        <v>6.6124165576278643E-3</v>
      </c>
      <c r="BH51" s="143">
        <f>BH27/'Population size'!O36</f>
        <v>6.5627790016821478E-3</v>
      </c>
      <c r="BI51" s="143">
        <f>BI27/'Population size'!P36</f>
        <v>6.5368645266694041E-3</v>
      </c>
      <c r="BJ51" s="143">
        <f>BJ27/'Population size'!Q36</f>
        <v>6.5092979642906879E-3</v>
      </c>
      <c r="BK51" s="143">
        <f>BK27/'Population size'!R36</f>
        <v>6.4526390590951815E-3</v>
      </c>
      <c r="BL51" s="143">
        <f>BL27/'Population size'!S36</f>
        <v>6.8200109663407622E-3</v>
      </c>
      <c r="BM51" s="143">
        <f>BM27/'Population size'!T36</f>
        <v>6.737907083794176E-3</v>
      </c>
      <c r="BN51" s="143">
        <f>BN27/'Population size'!U36</f>
        <v>6.6348920512726761E-3</v>
      </c>
      <c r="BO51" s="143">
        <f>BO27/'Population size'!V36</f>
        <v>6.5263599479196089E-3</v>
      </c>
      <c r="BP51" s="143">
        <f>BP27/'Population size'!W36</f>
        <v>6.436376157408533E-3</v>
      </c>
      <c r="BQ51" s="143">
        <f>BQ27/'Population size'!X36</f>
        <v>3.5661949075693933E-3</v>
      </c>
      <c r="BR51" s="143">
        <f>BR27/'Population size'!Y36</f>
        <v>3.5918642577628568E-3</v>
      </c>
      <c r="BS51" s="143">
        <f>BS27/'Population size'!Z36</f>
        <v>3.634992141549036E-3</v>
      </c>
      <c r="BT51" s="143">
        <f>BT27/'Population size'!AA36</f>
        <v>3.6844420086078267E-3</v>
      </c>
      <c r="BU51" s="143">
        <f>BU27/'Population size'!AB36</f>
        <v>3.7245219698662075E-3</v>
      </c>
      <c r="BV51" s="143">
        <f>BV27/'Population size'!AC36</f>
        <v>2.8258964679010717E-3</v>
      </c>
      <c r="BW51" s="143">
        <f>BW27/'Population size'!AD36</f>
        <v>2.8554777624355716E-3</v>
      </c>
      <c r="BX51" s="143">
        <f>BX27/'Population size'!AE36</f>
        <v>2.8649610663575042E-3</v>
      </c>
      <c r="BY51" s="143">
        <f>BY27/'Population size'!AF36</f>
        <v>2.8526218121356409E-3</v>
      </c>
      <c r="BZ51" s="143">
        <f>BZ27/'Population size'!AG36</f>
        <v>2.8242597479676366E-3</v>
      </c>
      <c r="CA51" s="143">
        <f>CA27/'Population size'!AH36</f>
        <v>2.7847065762510478E-3</v>
      </c>
      <c r="CB51" s="143"/>
      <c r="CC51" s="143"/>
      <c r="CD51" s="143"/>
      <c r="CE51" s="143"/>
      <c r="CF51" s="143"/>
      <c r="CG51" s="143"/>
      <c r="CH51" s="143"/>
      <c r="CI51" s="143"/>
      <c r="CJ51" s="143"/>
      <c r="CK51" s="143"/>
      <c r="CL51" s="143"/>
      <c r="CM51" s="143"/>
      <c r="CN51" s="143"/>
      <c r="CO51" s="143"/>
      <c r="CP51" s="143"/>
      <c r="CQ51" s="143"/>
      <c r="CR51" s="143"/>
      <c r="CS51" s="143"/>
      <c r="CT51" s="143"/>
      <c r="CU51" s="143"/>
      <c r="CV51" s="143"/>
      <c r="CW51" s="143"/>
      <c r="CX51" s="143"/>
      <c r="CY51" s="143"/>
      <c r="CZ51" s="143"/>
      <c r="DA51" s="143"/>
      <c r="DB51" s="143"/>
      <c r="DC51" s="143"/>
      <c r="DD51" s="143"/>
      <c r="DE51" s="143"/>
      <c r="DF51" s="143"/>
      <c r="DG51" s="143"/>
      <c r="DH51" s="143"/>
      <c r="DI51" s="143"/>
      <c r="DJ51" s="143"/>
      <c r="DK51" s="143"/>
      <c r="DL51" s="143"/>
      <c r="DM51" s="143"/>
      <c r="DN51" s="143"/>
      <c r="DO51" s="143"/>
      <c r="DP51" s="143"/>
      <c r="DQ51" s="143"/>
      <c r="DR51" s="143"/>
      <c r="DS51" s="143"/>
      <c r="DT51" s="143"/>
      <c r="DU51" s="143"/>
      <c r="DV51" s="143"/>
      <c r="DW51" s="143"/>
      <c r="DX51" s="143"/>
      <c r="DY51" s="143"/>
      <c r="DZ51" s="143"/>
      <c r="EA51" s="143"/>
      <c r="EB51" s="143"/>
      <c r="ED51" s="4" t="str">
        <f>Populations!$C$12</f>
        <v>M20-24</v>
      </c>
      <c r="EE51" s="23">
        <v>4.0246148877778202E-3</v>
      </c>
      <c r="EF51" s="23">
        <v>3.95636768809243E-3</v>
      </c>
      <c r="EG51" s="23">
        <v>3.8724781797630698E-3</v>
      </c>
      <c r="EH51" s="23">
        <v>3.7742381853334101E-3</v>
      </c>
      <c r="EI51" s="23">
        <v>3.6583477651736E-3</v>
      </c>
      <c r="EJ51" s="23">
        <v>3.5322786706459999E-3</v>
      </c>
      <c r="EK51" s="23">
        <v>3.5014750784908301E-3</v>
      </c>
      <c r="EL51" s="23">
        <v>3.4581841137229698E-3</v>
      </c>
      <c r="EM51" s="23">
        <v>3.3872907002373402E-3</v>
      </c>
      <c r="EN51" s="23">
        <v>3.2863440416032101E-3</v>
      </c>
      <c r="EO51" s="23">
        <f t="shared" si="37"/>
        <v>4.7376872047194298E-3</v>
      </c>
      <c r="EP51" s="23">
        <f t="shared" si="36"/>
        <v>4.5247575077924998E-3</v>
      </c>
      <c r="EQ51" s="23">
        <f t="shared" si="36"/>
        <v>4.33197470616393E-3</v>
      </c>
      <c r="ER51" s="23">
        <f t="shared" si="36"/>
        <v>4.1548079029630498E-3</v>
      </c>
      <c r="ES51" s="23">
        <f t="shared" si="36"/>
        <v>3.97157056138515E-3</v>
      </c>
      <c r="ET51" s="23">
        <f t="shared" si="36"/>
        <v>3.892137476601045E-3</v>
      </c>
      <c r="EU51" s="23">
        <f t="shared" si="36"/>
        <v>4.1146729096846347E-3</v>
      </c>
      <c r="EV51" s="23">
        <f t="shared" si="36"/>
        <v>4.1610777103014149E-3</v>
      </c>
      <c r="EW51" s="23">
        <f t="shared" si="36"/>
        <v>4.2016350159208796E-3</v>
      </c>
      <c r="EX51" s="23">
        <f t="shared" si="36"/>
        <v>4.2345359767697096E-3</v>
      </c>
      <c r="EY51" s="23">
        <f t="shared" si="36"/>
        <v>4.2577191195230096E-3</v>
      </c>
      <c r="EZ51" s="23">
        <f t="shared" si="36"/>
        <v>4.23213260361552E-3</v>
      </c>
      <c r="FA51" s="23">
        <f t="shared" si="36"/>
        <v>4.2013052474859751E-3</v>
      </c>
      <c r="FB51" s="23">
        <f t="shared" si="36"/>
        <v>4.1597070995409149E-3</v>
      </c>
      <c r="FC51" s="23">
        <f t="shared" si="36"/>
        <v>4.1006658044665202E-3</v>
      </c>
      <c r="FD51" s="23">
        <f t="shared" si="36"/>
        <v>4.0222064700333755E-3</v>
      </c>
      <c r="FE51" s="23">
        <f t="shared" si="36"/>
        <v>3.9158315754070196E-3</v>
      </c>
      <c r="FF51" s="23">
        <f t="shared" si="36"/>
        <v>3.79953180200766E-3</v>
      </c>
      <c r="FG51" s="23">
        <f t="shared" si="36"/>
        <v>3.6779526314098952E-3</v>
      </c>
      <c r="FH51" s="23">
        <f t="shared" si="36"/>
        <v>3.5563328509821751E-3</v>
      </c>
      <c r="FI51" s="23">
        <f t="shared" si="36"/>
        <v>3.4382378369888999E-3</v>
      </c>
    </row>
    <row r="52" spans="1:165" x14ac:dyDescent="0.35">
      <c r="B52" s="4" t="str">
        <f>Populations!$C$10</f>
        <v>M15-19</v>
      </c>
      <c r="C52" s="7"/>
      <c r="D52" s="7"/>
      <c r="E52" s="7"/>
      <c r="F52" s="7"/>
      <c r="G52" s="7"/>
      <c r="H52" s="7"/>
      <c r="I52" s="7"/>
      <c r="J52" s="7"/>
      <c r="K52" s="7"/>
      <c r="L52" s="7"/>
      <c r="M52" s="7">
        <v>3.2000000000000001E-2</v>
      </c>
      <c r="N52" s="7"/>
      <c r="O52" s="7"/>
      <c r="P52" s="7"/>
      <c r="Q52" s="7"/>
      <c r="R52" s="7">
        <v>3.1E-2</v>
      </c>
      <c r="S52" s="7"/>
      <c r="T52" s="7"/>
      <c r="U52" s="7"/>
      <c r="V52" s="7"/>
      <c r="W52" s="7">
        <v>0.04</v>
      </c>
      <c r="X52" s="7"/>
      <c r="Y52" s="7"/>
      <c r="Z52" s="7"/>
      <c r="AA52" s="7"/>
      <c r="AB52" s="7">
        <v>5.0999999999999997E-2</v>
      </c>
      <c r="AC52" s="7"/>
      <c r="AD52" s="7"/>
      <c r="AE52" s="7"/>
      <c r="AF52" s="7"/>
      <c r="AG52" s="7"/>
      <c r="AH52" s="7"/>
      <c r="AI52" s="7"/>
      <c r="AJ52" s="7"/>
      <c r="AK52" s="7"/>
      <c r="AL52" s="7"/>
      <c r="AM52" s="7"/>
      <c r="AN52" s="7"/>
      <c r="AO52" s="7"/>
      <c r="AP52" s="7"/>
      <c r="AQ52" s="7"/>
      <c r="AR52" s="6" t="s">
        <v>46</v>
      </c>
      <c r="AS52" s="7"/>
      <c r="AT52" s="143"/>
      <c r="AU52" s="143"/>
      <c r="AV52" s="144" t="s">
        <v>387</v>
      </c>
      <c r="AW52" s="143">
        <f>AW28/'Population size'!D44</f>
        <v>8.7922907788766918E-3</v>
      </c>
      <c r="AX52" s="143">
        <f>AX28/'Population size'!E44</f>
        <v>8.5824404964323989E-3</v>
      </c>
      <c r="AY52" s="143">
        <f>AY28/'Population size'!F44</f>
        <v>8.383063263990442E-3</v>
      </c>
      <c r="AZ52" s="143">
        <f>AZ28/'Population size'!G44</f>
        <v>8.1972787965952695E-3</v>
      </c>
      <c r="BA52" s="143">
        <f>BA28/'Population size'!H44</f>
        <v>8.0309130618829057E-3</v>
      </c>
      <c r="BB52" s="143">
        <f>BB28/'Population size'!I44</f>
        <v>1.7658881000721747E-2</v>
      </c>
      <c r="BC52" s="143">
        <f>BC28/'Population size'!J44</f>
        <v>1.7512621779106573E-2</v>
      </c>
      <c r="BD52" s="143">
        <f>BD28/'Population size'!K44</f>
        <v>1.7402989620839349E-2</v>
      </c>
      <c r="BE52" s="143">
        <f>BE28/'Population size'!L44</f>
        <v>1.7284373469766696E-2</v>
      </c>
      <c r="BF52" s="143">
        <f>BF28/'Population size'!M44</f>
        <v>1.7097702584039261E-2</v>
      </c>
      <c r="BG52" s="143">
        <f>BG28/'Population size'!N44</f>
        <v>2.4504577134841058E-2</v>
      </c>
      <c r="BH52" s="143">
        <f>BH28/'Population size'!O44</f>
        <v>2.4066777922199887E-2</v>
      </c>
      <c r="BI52" s="143">
        <f>BI28/'Population size'!P44</f>
        <v>2.3598571340125649E-2</v>
      </c>
      <c r="BJ52" s="143">
        <f>BJ28/'Population size'!Q44</f>
        <v>2.3131949424984127E-2</v>
      </c>
      <c r="BK52" s="143">
        <f>BK28/'Population size'!R44</f>
        <v>2.2697680010672721E-2</v>
      </c>
      <c r="BL52" s="143">
        <f>BL28/'Population size'!S44</f>
        <v>2.2567225988420647E-2</v>
      </c>
      <c r="BM52" s="143">
        <f>BM28/'Population size'!T44</f>
        <v>2.202671874478274E-2</v>
      </c>
      <c r="BN52" s="143">
        <f>BN28/'Population size'!U44</f>
        <v>2.1533187111861009E-2</v>
      </c>
      <c r="BO52" s="143">
        <f>BO28/'Population size'!V44</f>
        <v>2.1075671662725864E-2</v>
      </c>
      <c r="BP52" s="143">
        <f>BP28/'Population size'!W44</f>
        <v>2.0635179588006057E-2</v>
      </c>
      <c r="BQ52" s="143">
        <f>BQ28/'Population size'!X44</f>
        <v>8.717313272965356E-3</v>
      </c>
      <c r="BR52" s="143">
        <f>BR28/'Population size'!Y44</f>
        <v>8.4826996902485578E-3</v>
      </c>
      <c r="BS52" s="143">
        <f>BS28/'Population size'!Z44</f>
        <v>8.2863461445997991E-3</v>
      </c>
      <c r="BT52" s="143">
        <f>BT28/'Population size'!AA44</f>
        <v>8.1369479314397503E-3</v>
      </c>
      <c r="BU52" s="143">
        <f>BU28/'Population size'!AB44</f>
        <v>8.036081871602473E-3</v>
      </c>
      <c r="BV52" s="143">
        <f>BV28/'Population size'!AC44</f>
        <v>6.4291377230875704E-3</v>
      </c>
      <c r="BW52" s="143">
        <f>BW28/'Population size'!AD44</f>
        <v>6.3853937549229805E-3</v>
      </c>
      <c r="BX52" s="143">
        <f>BX28/'Population size'!AE44</f>
        <v>6.3621874706323647E-3</v>
      </c>
      <c r="BY52" s="143">
        <f>BY28/'Population size'!AF44</f>
        <v>6.3640600037137658E-3</v>
      </c>
      <c r="BZ52" s="143">
        <f>BZ28/'Population size'!AG44</f>
        <v>6.3910775361913112E-3</v>
      </c>
      <c r="CA52" s="143">
        <f>CA28/'Population size'!AH44</f>
        <v>6.4340112807469759E-3</v>
      </c>
      <c r="CB52" s="143"/>
      <c r="CC52" s="143"/>
      <c r="CD52" s="143"/>
      <c r="CE52" s="143"/>
      <c r="CF52" s="143"/>
      <c r="CG52" s="143"/>
      <c r="CH52" s="143"/>
      <c r="CI52" s="143"/>
      <c r="CJ52" s="143"/>
      <c r="CK52" s="143"/>
      <c r="CL52" s="143"/>
      <c r="CM52" s="143"/>
      <c r="CN52" s="143"/>
      <c r="CO52" s="143"/>
      <c r="CP52" s="143"/>
      <c r="CQ52" s="143"/>
      <c r="CR52" s="143"/>
      <c r="CS52" s="143"/>
      <c r="CT52" s="143"/>
      <c r="CU52" s="143"/>
      <c r="CV52" s="143"/>
      <c r="CW52" s="143"/>
      <c r="CX52" s="143"/>
      <c r="CY52" s="143"/>
      <c r="CZ52" s="143"/>
      <c r="DA52" s="143"/>
      <c r="DB52" s="143"/>
      <c r="DC52" s="143"/>
      <c r="DD52" s="143"/>
      <c r="DE52" s="143"/>
      <c r="DF52" s="143"/>
      <c r="DG52" s="143"/>
      <c r="DH52" s="143"/>
      <c r="DI52" s="143"/>
      <c r="DJ52" s="143"/>
      <c r="DK52" s="143"/>
      <c r="DL52" s="143"/>
      <c r="DM52" s="143"/>
      <c r="DN52" s="143"/>
      <c r="DO52" s="143"/>
      <c r="DP52" s="143"/>
      <c r="DQ52" s="143"/>
      <c r="DR52" s="143"/>
      <c r="DS52" s="143"/>
      <c r="DT52" s="143"/>
      <c r="DU52" s="143"/>
      <c r="DV52" s="143"/>
      <c r="DW52" s="143"/>
      <c r="DX52" s="143"/>
      <c r="DY52" s="143"/>
      <c r="DZ52" s="143"/>
      <c r="EA52" s="143"/>
      <c r="EB52" s="143"/>
      <c r="ED52" s="4" t="str">
        <f>Populations!$C$13</f>
        <v>F25-34</v>
      </c>
      <c r="EE52" s="23">
        <v>1.6857536536036E-2</v>
      </c>
      <c r="EF52" s="23">
        <v>1.3908562374481801E-2</v>
      </c>
      <c r="EG52" s="23">
        <v>1.12701423530222E-2</v>
      </c>
      <c r="EH52" s="23">
        <v>9.0252345255358597E-3</v>
      </c>
      <c r="EI52" s="23">
        <v>7.1039710413365502E-3</v>
      </c>
      <c r="EJ52" s="23">
        <v>6.1047115693473901E-3</v>
      </c>
      <c r="EK52" s="23">
        <v>4.6577553415932098E-3</v>
      </c>
      <c r="EL52" s="23">
        <v>3.5157771167564499E-3</v>
      </c>
      <c r="EM52" s="23">
        <v>2.9914143352028598E-3</v>
      </c>
      <c r="EN52" s="23">
        <v>2.5083131100637999E-3</v>
      </c>
      <c r="EO52" s="23">
        <f t="shared" si="37"/>
        <v>3.0975626220376496E-3</v>
      </c>
      <c r="EP52" s="23">
        <f t="shared" si="36"/>
        <v>2.743720088516385E-3</v>
      </c>
      <c r="EQ52" s="23">
        <f t="shared" si="36"/>
        <v>2.4210911584649402E-3</v>
      </c>
      <c r="ER52" s="23">
        <f t="shared" si="36"/>
        <v>2.1268568312166748E-3</v>
      </c>
      <c r="ES52" s="23">
        <f t="shared" si="36"/>
        <v>1.8577550462181001E-3</v>
      </c>
      <c r="ET52" s="23">
        <f t="shared" si="36"/>
        <v>1.6880974497993151E-3</v>
      </c>
      <c r="EU52" s="23">
        <f t="shared" si="36"/>
        <v>2.5343816083229697E-3</v>
      </c>
      <c r="EV52" s="23">
        <f t="shared" si="36"/>
        <v>2.570471737382265E-3</v>
      </c>
      <c r="EW52" s="23">
        <f t="shared" si="36"/>
        <v>2.6136994416644998E-3</v>
      </c>
      <c r="EX52" s="23">
        <f t="shared" si="36"/>
        <v>2.6633682556218598E-3</v>
      </c>
      <c r="EY52" s="23">
        <f t="shared" si="36"/>
        <v>2.7182385032913899E-3</v>
      </c>
      <c r="EZ52" s="23">
        <f t="shared" si="36"/>
        <v>2.6877491304684751E-3</v>
      </c>
      <c r="FA52" s="23">
        <f t="shared" si="36"/>
        <v>2.6639841742553847E-3</v>
      </c>
      <c r="FB52" s="23">
        <f t="shared" si="36"/>
        <v>2.6431835134168953E-3</v>
      </c>
      <c r="FC52" s="23">
        <f t="shared" si="36"/>
        <v>2.6209861163613152E-3</v>
      </c>
      <c r="FD52" s="23">
        <f t="shared" si="36"/>
        <v>2.5947224443323151E-3</v>
      </c>
      <c r="FE52" s="23">
        <f t="shared" si="36"/>
        <v>2.54799215969778E-3</v>
      </c>
      <c r="FF52" s="23">
        <f t="shared" si="36"/>
        <v>2.497095277828485E-3</v>
      </c>
      <c r="FG52" s="23">
        <f t="shared" si="36"/>
        <v>2.4405350063547901E-3</v>
      </c>
      <c r="FH52" s="23">
        <f t="shared" si="36"/>
        <v>2.3769855722227651E-3</v>
      </c>
      <c r="FI52" s="23">
        <f t="shared" si="36"/>
        <v>2.3061147323418601E-3</v>
      </c>
    </row>
    <row r="53" spans="1:165" x14ac:dyDescent="0.35">
      <c r="B53" s="4" t="str">
        <f>Populations!$C$11</f>
        <v>F20-24</v>
      </c>
      <c r="C53" s="7"/>
      <c r="D53" s="7"/>
      <c r="E53" s="7"/>
      <c r="F53" s="7"/>
      <c r="G53" s="7"/>
      <c r="H53" s="7"/>
      <c r="I53" s="7"/>
      <c r="J53" s="7"/>
      <c r="K53" s="7"/>
      <c r="L53" s="7"/>
      <c r="M53" s="7">
        <v>4.2000000000000003E-2</v>
      </c>
      <c r="N53" s="7"/>
      <c r="O53" s="7"/>
      <c r="P53" s="7"/>
      <c r="Q53" s="7"/>
      <c r="R53" s="7">
        <v>5.7000000000000002E-2</v>
      </c>
      <c r="S53" s="7"/>
      <c r="T53" s="7"/>
      <c r="U53" s="7"/>
      <c r="V53" s="7"/>
      <c r="W53" s="7">
        <v>4.1000000000000002E-2</v>
      </c>
      <c r="X53" s="7"/>
      <c r="Y53" s="7"/>
      <c r="Z53" s="7"/>
      <c r="AA53" s="7"/>
      <c r="AB53" s="7">
        <v>4.2999999999999997E-2</v>
      </c>
      <c r="AC53" s="7"/>
      <c r="AD53" s="7"/>
      <c r="AE53" s="7"/>
      <c r="AF53" s="7"/>
      <c r="AG53" s="7"/>
      <c r="AH53" s="7"/>
      <c r="AI53" s="7"/>
      <c r="AJ53" s="7"/>
      <c r="AK53" s="7"/>
      <c r="AL53" s="7"/>
      <c r="AM53" s="7"/>
      <c r="AN53" s="7"/>
      <c r="AO53" s="7"/>
      <c r="AP53" s="7"/>
      <c r="AQ53" s="7"/>
      <c r="AR53" s="6" t="s">
        <v>46</v>
      </c>
      <c r="AS53" s="7"/>
      <c r="AT53" s="143"/>
      <c r="AU53" s="143"/>
      <c r="AV53" s="144" t="s">
        <v>388</v>
      </c>
      <c r="AW53" s="143">
        <f>AW29/'Population size'!D52</f>
        <v>1.5247135783444252E-2</v>
      </c>
      <c r="AX53" s="143">
        <f>AX29/'Population size'!E52</f>
        <v>1.4718262359751929E-2</v>
      </c>
      <c r="AY53" s="143">
        <f>AY29/'Population size'!F52</f>
        <v>1.4258279642055446E-2</v>
      </c>
      <c r="AZ53" s="143">
        <f>AZ29/'Population size'!G52</f>
        <v>1.3846212021600303E-2</v>
      </c>
      <c r="BA53" s="143">
        <f>BA29/'Population size'!H52</f>
        <v>1.3459072085799235E-2</v>
      </c>
      <c r="BB53" s="143">
        <f>BB29/'Population size'!I52</f>
        <v>3.0585985207132717E-2</v>
      </c>
      <c r="BC53" s="143">
        <f>BC29/'Population size'!J52</f>
        <v>2.9834427462551414E-2</v>
      </c>
      <c r="BD53" s="143">
        <f>BD29/'Population size'!K52</f>
        <v>2.9211099535999093E-2</v>
      </c>
      <c r="BE53" s="143">
        <f>BE29/'Population size'!L52</f>
        <v>2.8742008905046721E-2</v>
      </c>
      <c r="BF53" s="143">
        <f>BF29/'Population size'!M52</f>
        <v>2.846104173741924E-2</v>
      </c>
      <c r="BG53" s="143">
        <f>BG29/'Population size'!N52</f>
        <v>3.970765901234901E-2</v>
      </c>
      <c r="BH53" s="143">
        <f>BH29/'Population size'!O52</f>
        <v>3.9363098850359747E-2</v>
      </c>
      <c r="BI53" s="143">
        <f>BI29/'Population size'!P52</f>
        <v>3.9219923494364803E-2</v>
      </c>
      <c r="BJ53" s="143">
        <f>BJ29/'Population size'!Q52</f>
        <v>3.92196049530344E-2</v>
      </c>
      <c r="BK53" s="143">
        <f>BK29/'Population size'!R52</f>
        <v>3.9298282269545418E-2</v>
      </c>
      <c r="BL53" s="143">
        <f>BL29/'Population size'!S52</f>
        <v>3.6805289681740058E-2</v>
      </c>
      <c r="BM53" s="143">
        <f>BM29/'Population size'!T52</f>
        <v>3.6454142914653827E-2</v>
      </c>
      <c r="BN53" s="143">
        <f>BN29/'Population size'!U52</f>
        <v>3.6102790108095209E-2</v>
      </c>
      <c r="BO53" s="143">
        <f>BO29/'Population size'!V52</f>
        <v>3.5713393444711618E-2</v>
      </c>
      <c r="BP53" s="143">
        <f>BP29/'Population size'!W52</f>
        <v>3.5246222638275683E-2</v>
      </c>
      <c r="BQ53" s="143">
        <f>BQ29/'Population size'!X52</f>
        <v>1.6024279115522462E-2</v>
      </c>
      <c r="BR53" s="143">
        <f>BR29/'Population size'!Y52</f>
        <v>1.5412283227582891E-2</v>
      </c>
      <c r="BS53" s="143">
        <f>BS29/'Population size'!Z52</f>
        <v>1.4768705869961943E-2</v>
      </c>
      <c r="BT53" s="143">
        <f>BT29/'Population size'!AA52</f>
        <v>1.4123617499569243E-2</v>
      </c>
      <c r="BU53" s="143">
        <f>BU29/'Population size'!AB52</f>
        <v>1.3507509231834108E-2</v>
      </c>
      <c r="BV53" s="143">
        <f>BV29/'Population size'!AC52</f>
        <v>1.2699163216367694E-2</v>
      </c>
      <c r="BW53" s="143">
        <f>BW29/'Population size'!AD52</f>
        <v>1.2209299261630257E-2</v>
      </c>
      <c r="BX53" s="143">
        <f>BX29/'Population size'!AE52</f>
        <v>1.1744306267974279E-2</v>
      </c>
      <c r="BY53" s="143">
        <f>BY29/'Population size'!AF52</f>
        <v>1.1308539326377882E-2</v>
      </c>
      <c r="BZ53" s="143">
        <f>BZ29/'Population size'!AG52</f>
        <v>1.0908745123524435E-2</v>
      </c>
      <c r="CA53" s="143">
        <f>CA29/'Population size'!AH52</f>
        <v>1.0548643663745099E-2</v>
      </c>
      <c r="CB53" s="143"/>
      <c r="CC53" s="143"/>
      <c r="CD53" s="143"/>
      <c r="CE53" s="143"/>
      <c r="CF53" s="143"/>
      <c r="CG53" s="143"/>
      <c r="CH53" s="143"/>
      <c r="CI53" s="143"/>
      <c r="CJ53" s="143"/>
      <c r="CK53" s="143"/>
      <c r="CL53" s="143"/>
      <c r="CM53" s="143"/>
      <c r="CN53" s="143"/>
      <c r="CO53" s="143"/>
      <c r="CP53" s="143"/>
      <c r="CQ53" s="143"/>
      <c r="CR53" s="143"/>
      <c r="CS53" s="143"/>
      <c r="CT53" s="143"/>
      <c r="CU53" s="143"/>
      <c r="CV53" s="143"/>
      <c r="CW53" s="143"/>
      <c r="CX53" s="143"/>
      <c r="CY53" s="143"/>
      <c r="CZ53" s="143"/>
      <c r="DA53" s="143"/>
      <c r="DB53" s="143"/>
      <c r="DC53" s="143"/>
      <c r="DD53" s="143"/>
      <c r="DE53" s="143"/>
      <c r="DF53" s="143"/>
      <c r="DG53" s="143"/>
      <c r="DH53" s="143"/>
      <c r="DI53" s="143"/>
      <c r="DJ53" s="143"/>
      <c r="DK53" s="143"/>
      <c r="DL53" s="143"/>
      <c r="DM53" s="143"/>
      <c r="DN53" s="143"/>
      <c r="DO53" s="143"/>
      <c r="DP53" s="143"/>
      <c r="DQ53" s="143"/>
      <c r="DR53" s="143"/>
      <c r="DS53" s="143"/>
      <c r="DT53" s="143"/>
      <c r="DU53" s="143"/>
      <c r="DV53" s="143"/>
      <c r="DW53" s="143"/>
      <c r="DX53" s="143"/>
      <c r="DY53" s="143"/>
      <c r="DZ53" s="143"/>
      <c r="EA53" s="143"/>
      <c r="EB53" s="143"/>
      <c r="ED53" s="4" t="str">
        <f>Populations!$C$14</f>
        <v>M25-34</v>
      </c>
      <c r="EE53" s="23">
        <v>7.8035567312439097E-3</v>
      </c>
      <c r="EF53" s="23">
        <v>6.6066846973997801E-3</v>
      </c>
      <c r="EG53" s="23">
        <v>5.7123664721837001E-3</v>
      </c>
      <c r="EH53" s="23">
        <v>5.0990195936299904E-3</v>
      </c>
      <c r="EI53" s="23">
        <v>4.7116176018231299E-3</v>
      </c>
      <c r="EJ53" s="23">
        <v>4.5210763568358098E-3</v>
      </c>
      <c r="EK53" s="23">
        <v>4.0157471817785801E-3</v>
      </c>
      <c r="EL53" s="23">
        <v>3.5496411540406601E-3</v>
      </c>
      <c r="EM53" s="23">
        <v>3.0581737847025902E-3</v>
      </c>
      <c r="EN53" s="23">
        <v>2.5889992184150801E-3</v>
      </c>
      <c r="EO53" s="23">
        <f t="shared" si="37"/>
        <v>3.3124263295242302E-3</v>
      </c>
      <c r="EP53" s="23">
        <f t="shared" si="36"/>
        <v>3.1050349427174549E-3</v>
      </c>
      <c r="EQ53" s="23">
        <f t="shared" si="36"/>
        <v>3.0092781066553796E-3</v>
      </c>
      <c r="ER53" s="23">
        <f t="shared" si="36"/>
        <v>2.8889571799723202E-3</v>
      </c>
      <c r="ES53" s="23">
        <f t="shared" si="36"/>
        <v>2.6980524986388449E-3</v>
      </c>
      <c r="ET53" s="23">
        <f t="shared" si="36"/>
        <v>2.4742596512126701E-3</v>
      </c>
      <c r="EU53" s="23">
        <f t="shared" si="36"/>
        <v>3.3701026562144697E-3</v>
      </c>
      <c r="EV53" s="23">
        <f t="shared" si="36"/>
        <v>3.3635741898819455E-3</v>
      </c>
      <c r="EW53" s="23">
        <f t="shared" si="36"/>
        <v>3.3642807606174599E-3</v>
      </c>
      <c r="EX53" s="23">
        <f t="shared" si="36"/>
        <v>3.3726903250819351E-3</v>
      </c>
      <c r="EY53" s="23">
        <f t="shared" si="36"/>
        <v>3.3880665451475403E-3</v>
      </c>
      <c r="EZ53" s="23">
        <f t="shared" si="36"/>
        <v>3.3592776413800198E-3</v>
      </c>
      <c r="FA53" s="23">
        <f t="shared" si="36"/>
        <v>3.3383701164666599E-3</v>
      </c>
      <c r="FB53" s="23">
        <f t="shared" si="36"/>
        <v>3.3215190025220704E-3</v>
      </c>
      <c r="FC53" s="23">
        <f t="shared" si="36"/>
        <v>3.3042274490082597E-3</v>
      </c>
      <c r="FD53" s="23">
        <f t="shared" si="36"/>
        <v>3.2837875954394098E-3</v>
      </c>
      <c r="FE53" s="23">
        <f t="shared" si="36"/>
        <v>3.2575888097048098E-3</v>
      </c>
      <c r="FF53" s="23">
        <f t="shared" si="36"/>
        <v>3.2278768720729652E-3</v>
      </c>
      <c r="FG53" s="23">
        <f t="shared" si="36"/>
        <v>3.1922068938923997E-3</v>
      </c>
      <c r="FH53" s="23">
        <f t="shared" si="36"/>
        <v>3.1479638744715752E-3</v>
      </c>
      <c r="FI53" s="23">
        <f t="shared" si="36"/>
        <v>3.0940410871460851E-3</v>
      </c>
    </row>
    <row r="54" spans="1:165" x14ac:dyDescent="0.35">
      <c r="B54" s="4" t="str">
        <f>Populations!$C$12</f>
        <v>M20-24</v>
      </c>
      <c r="C54" s="7"/>
      <c r="D54" s="7"/>
      <c r="E54" s="7"/>
      <c r="F54" s="7"/>
      <c r="G54" s="7"/>
      <c r="H54" s="7"/>
      <c r="I54" s="7"/>
      <c r="J54" s="7"/>
      <c r="K54" s="7"/>
      <c r="L54" s="7"/>
      <c r="M54" s="7">
        <v>4.4999999999999998E-2</v>
      </c>
      <c r="N54" s="7"/>
      <c r="O54" s="7"/>
      <c r="P54" s="7"/>
      <c r="Q54" s="7"/>
      <c r="R54" s="7">
        <v>0.04</v>
      </c>
      <c r="S54" s="7"/>
      <c r="T54" s="7"/>
      <c r="U54" s="7"/>
      <c r="V54" s="7"/>
      <c r="W54" s="7">
        <v>4.4999999999999998E-2</v>
      </c>
      <c r="X54" s="7"/>
      <c r="Y54" s="7"/>
      <c r="Z54" s="7"/>
      <c r="AA54" s="7"/>
      <c r="AB54" s="7">
        <v>0.06</v>
      </c>
      <c r="AC54" s="7"/>
      <c r="AD54" s="7"/>
      <c r="AE54" s="7"/>
      <c r="AF54" s="7"/>
      <c r="AG54" s="7"/>
      <c r="AH54" s="7"/>
      <c r="AI54" s="7"/>
      <c r="AJ54" s="7"/>
      <c r="AK54" s="7"/>
      <c r="AL54" s="7"/>
      <c r="AM54" s="7"/>
      <c r="AN54" s="7"/>
      <c r="AO54" s="7"/>
      <c r="AP54" s="7"/>
      <c r="AQ54" s="7"/>
      <c r="AR54" s="6" t="s">
        <v>46</v>
      </c>
      <c r="AS54" s="7"/>
      <c r="AT54" s="143"/>
      <c r="AU54" s="143"/>
      <c r="AV54" s="144" t="s">
        <v>392</v>
      </c>
      <c r="AW54" s="143">
        <f>AW30/'Population size'!D60</f>
        <v>3.646325886241631E-2</v>
      </c>
      <c r="AX54" s="143">
        <f>AX30/'Population size'!E60</f>
        <v>3.5356374224585388E-2</v>
      </c>
      <c r="AY54" s="143">
        <f>AY30/'Population size'!F60</f>
        <v>3.4260058146904755E-2</v>
      </c>
      <c r="AZ54" s="143">
        <f>AZ30/'Population size'!G60</f>
        <v>3.3243133862891502E-2</v>
      </c>
      <c r="BA54" s="143">
        <f>BA30/'Population size'!H60</f>
        <v>3.2395439026559281E-2</v>
      </c>
      <c r="BB54" s="143">
        <f>BB30/'Population size'!I60</f>
        <v>3.9501191518058407E-2</v>
      </c>
      <c r="BC54" s="143">
        <f>BC30/'Population size'!J60</f>
        <v>3.8603487024551346E-2</v>
      </c>
      <c r="BD54" s="143">
        <f>BD30/'Population size'!K60</f>
        <v>3.7937477372252157E-2</v>
      </c>
      <c r="BE54" s="143">
        <f>BE30/'Population size'!L60</f>
        <v>3.7394711594501785E-2</v>
      </c>
      <c r="BF54" s="143">
        <f>BF30/'Population size'!M60</f>
        <v>3.6838664998975375E-2</v>
      </c>
      <c r="BG54" s="143">
        <f>BG30/'Population size'!N60</f>
        <v>4.4201936971987557E-2</v>
      </c>
      <c r="BH54" s="143">
        <f>BH30/'Population size'!O60</f>
        <v>4.3442190596657972E-2</v>
      </c>
      <c r="BI54" s="143">
        <f>BI30/'Population size'!P60</f>
        <v>4.2627141072068671E-2</v>
      </c>
      <c r="BJ54" s="143">
        <f>BJ30/'Population size'!Q60</f>
        <v>4.1818116089679967E-2</v>
      </c>
      <c r="BK54" s="143">
        <f>BK30/'Population size'!R60</f>
        <v>4.1098943336137971E-2</v>
      </c>
      <c r="BL54" s="143">
        <f>BL30/'Population size'!S60</f>
        <v>4.6158596955911332E-2</v>
      </c>
      <c r="BM54" s="143">
        <f>BM30/'Population size'!T60</f>
        <v>4.554827441050998E-2</v>
      </c>
      <c r="BN54" s="143">
        <f>BN30/'Population size'!U60</f>
        <v>4.5002645991206937E-2</v>
      </c>
      <c r="BO54" s="143">
        <f>BO30/'Population size'!V60</f>
        <v>4.450726966600823E-2</v>
      </c>
      <c r="BP54" s="143">
        <f>BP30/'Population size'!W60</f>
        <v>4.404013036597848E-2</v>
      </c>
      <c r="BQ54" s="143">
        <f>BQ30/'Population size'!X60</f>
        <v>4.1795142428424949E-2</v>
      </c>
      <c r="BR54" s="143">
        <f>BR30/'Population size'!Y60</f>
        <v>4.1206143374052977E-2</v>
      </c>
      <c r="BS54" s="143">
        <f>BS30/'Population size'!Z60</f>
        <v>4.056106294375654E-2</v>
      </c>
      <c r="BT54" s="143">
        <f>BT30/'Population size'!AA60</f>
        <v>3.9893285726176571E-2</v>
      </c>
      <c r="BU54" s="143">
        <f>BU30/'Population size'!AB60</f>
        <v>3.9229250545787596E-2</v>
      </c>
      <c r="BV54" s="143">
        <f>BV30/'Population size'!AC60</f>
        <v>3.710381618791999E-2</v>
      </c>
      <c r="BW54" s="143">
        <f>BW30/'Population size'!AD60</f>
        <v>3.6342628463924616E-2</v>
      </c>
      <c r="BX54" s="143">
        <f>BX30/'Population size'!AE60</f>
        <v>3.5521295026731715E-2</v>
      </c>
      <c r="BY54" s="143">
        <f>BY30/'Population size'!AF60</f>
        <v>3.4663351022244458E-2</v>
      </c>
      <c r="BZ54" s="143">
        <f>BZ30/'Population size'!AG60</f>
        <v>3.3796927184331013E-2</v>
      </c>
      <c r="CA54" s="143">
        <f>CA30/'Population size'!AH60</f>
        <v>3.2927846097949985E-2</v>
      </c>
      <c r="CB54" s="143"/>
      <c r="CC54" s="143"/>
      <c r="CD54" s="143"/>
      <c r="CE54" s="143"/>
      <c r="CF54" s="143"/>
      <c r="CG54" s="143"/>
      <c r="CH54" s="143"/>
      <c r="CI54" s="143"/>
      <c r="CJ54" s="143"/>
      <c r="CK54" s="143"/>
      <c r="CL54" s="143"/>
      <c r="CM54" s="143"/>
      <c r="CN54" s="143"/>
      <c r="CO54" s="143"/>
      <c r="CP54" s="143"/>
      <c r="CQ54" s="143"/>
      <c r="CR54" s="143"/>
      <c r="CS54" s="143"/>
      <c r="CT54" s="143"/>
      <c r="CU54" s="143"/>
      <c r="CV54" s="143"/>
      <c r="CW54" s="143"/>
      <c r="CX54" s="143"/>
      <c r="CY54" s="143"/>
      <c r="CZ54" s="143"/>
      <c r="DA54" s="143"/>
      <c r="DB54" s="143"/>
      <c r="DC54" s="143"/>
      <c r="DD54" s="143"/>
      <c r="DE54" s="143"/>
      <c r="DF54" s="143"/>
      <c r="DG54" s="143"/>
      <c r="DH54" s="143"/>
      <c r="DI54" s="143"/>
      <c r="DJ54" s="143"/>
      <c r="DK54" s="143"/>
      <c r="DL54" s="143"/>
      <c r="DM54" s="143"/>
      <c r="DN54" s="143"/>
      <c r="DO54" s="143"/>
      <c r="DP54" s="143"/>
      <c r="DQ54" s="143"/>
      <c r="DR54" s="143"/>
      <c r="DS54" s="143"/>
      <c r="DT54" s="143"/>
      <c r="DU54" s="143"/>
      <c r="DV54" s="143"/>
      <c r="DW54" s="143"/>
      <c r="DX54" s="143"/>
      <c r="DY54" s="143"/>
      <c r="DZ54" s="143"/>
      <c r="EA54" s="143"/>
      <c r="EB54" s="143"/>
      <c r="ED54" s="4" t="str">
        <f>Populations!$C$15</f>
        <v>F35-49</v>
      </c>
      <c r="EE54" s="23">
        <v>2.9681324396496699E-2</v>
      </c>
      <c r="EF54" s="23">
        <v>2.6131639195891499E-2</v>
      </c>
      <c r="EG54" s="23">
        <v>2.3069925203677601E-2</v>
      </c>
      <c r="EH54" s="23">
        <v>2.04928331337496E-2</v>
      </c>
      <c r="EI54" s="23">
        <v>1.8153990492183199E-2</v>
      </c>
      <c r="EJ54" s="23">
        <v>1.6555242256433102E-2</v>
      </c>
      <c r="EK54" s="23">
        <v>1.2766351645076999E-2</v>
      </c>
      <c r="EL54" s="23">
        <v>9.7402256968852803E-3</v>
      </c>
      <c r="EM54" s="23">
        <v>7.3742512539480502E-3</v>
      </c>
      <c r="EN54" s="23">
        <v>5.5356567414051698E-3</v>
      </c>
      <c r="EO54" s="23">
        <f t="shared" si="37"/>
        <v>7.0069102176915001E-3</v>
      </c>
      <c r="EP54" s="23">
        <f t="shared" si="36"/>
        <v>9.0017491626168001E-3</v>
      </c>
      <c r="EQ54" s="23">
        <f t="shared" si="36"/>
        <v>9.7407395705983949E-3</v>
      </c>
      <c r="ER54" s="23">
        <f t="shared" si="36"/>
        <v>8.8652984012243391E-3</v>
      </c>
      <c r="ES54" s="23">
        <f t="shared" si="36"/>
        <v>8.6217390774307647E-3</v>
      </c>
      <c r="ET54" s="23">
        <f t="shared" si="36"/>
        <v>7.825598059340879E-3</v>
      </c>
      <c r="EU54" s="23">
        <f t="shared" si="36"/>
        <v>8.6637858503954106E-3</v>
      </c>
      <c r="EV54" s="23">
        <f t="shared" si="36"/>
        <v>8.6061467000174401E-3</v>
      </c>
      <c r="EW54" s="23">
        <f t="shared" si="36"/>
        <v>8.5236686803031106E-3</v>
      </c>
      <c r="EX54" s="23">
        <f t="shared" si="36"/>
        <v>8.4413694522026111E-3</v>
      </c>
      <c r="EY54" s="23">
        <f t="shared" si="36"/>
        <v>8.3723155458107559E-3</v>
      </c>
      <c r="EZ54" s="23">
        <f t="shared" si="36"/>
        <v>8.1616158441138002E-3</v>
      </c>
      <c r="FA54" s="23">
        <f t="shared" si="36"/>
        <v>7.9866215561131201E-3</v>
      </c>
      <c r="FB54" s="23">
        <f t="shared" si="36"/>
        <v>7.8454902498193806E-3</v>
      </c>
      <c r="FC54" s="23">
        <f t="shared" si="36"/>
        <v>7.7366551656156005E-3</v>
      </c>
      <c r="FD54" s="23">
        <f t="shared" si="36"/>
        <v>7.6589846921229152E-3</v>
      </c>
      <c r="FE54" s="23">
        <f t="shared" si="36"/>
        <v>7.4098207425092556E-3</v>
      </c>
      <c r="FF54" s="23">
        <f t="shared" si="36"/>
        <v>7.1992147734782847E-3</v>
      </c>
      <c r="FG54" s="23">
        <f t="shared" si="36"/>
        <v>7.0237825907721449E-3</v>
      </c>
      <c r="FH54" s="23">
        <f t="shared" si="36"/>
        <v>6.8820557357932941E-3</v>
      </c>
      <c r="FI54" s="23">
        <f t="shared" si="36"/>
        <v>6.7711231338863252E-3</v>
      </c>
    </row>
    <row r="55" spans="1:165" x14ac:dyDescent="0.35">
      <c r="B55" s="4" t="str">
        <f>Populations!$C$13</f>
        <v>F25-34</v>
      </c>
      <c r="C55" s="7"/>
      <c r="D55" s="7"/>
      <c r="E55" s="7"/>
      <c r="F55" s="7"/>
      <c r="G55" s="7"/>
      <c r="H55" s="7"/>
      <c r="I55" s="7"/>
      <c r="J55" s="7"/>
      <c r="K55" s="7"/>
      <c r="L55" s="7"/>
      <c r="M55" s="7">
        <v>4.4999999999999998E-2</v>
      </c>
      <c r="N55" s="7"/>
      <c r="O55" s="7"/>
      <c r="P55" s="7"/>
      <c r="Q55" s="7"/>
      <c r="R55" s="7">
        <v>5.1999999999999998E-2</v>
      </c>
      <c r="S55" s="7"/>
      <c r="T55" s="7"/>
      <c r="U55" s="7"/>
      <c r="V55" s="7"/>
      <c r="W55" s="7">
        <v>4.7E-2</v>
      </c>
      <c r="X55" s="7"/>
      <c r="Y55" s="7"/>
      <c r="Z55" s="7"/>
      <c r="AA55" s="7"/>
      <c r="AB55" s="7">
        <v>3.6999999999999998E-2</v>
      </c>
      <c r="AC55" s="7"/>
      <c r="AD55" s="7"/>
      <c r="AE55" s="7"/>
      <c r="AF55" s="7"/>
      <c r="AG55" s="7"/>
      <c r="AH55" s="7"/>
      <c r="AI55" s="7"/>
      <c r="AJ55" s="7"/>
      <c r="AK55" s="7"/>
      <c r="AL55" s="7"/>
      <c r="AM55" s="7"/>
      <c r="AN55" s="7"/>
      <c r="AO55" s="7"/>
      <c r="AP55" s="7"/>
      <c r="AQ55" s="7"/>
      <c r="AR55" s="6" t="s">
        <v>46</v>
      </c>
      <c r="AS55" s="7"/>
      <c r="AT55" s="143"/>
      <c r="AU55" s="143"/>
      <c r="AV55" s="143"/>
      <c r="AW55" s="143"/>
      <c r="AX55" s="143"/>
      <c r="AY55" s="143"/>
      <c r="AZ55" s="143"/>
      <c r="BA55" s="143"/>
      <c r="BB55" s="143"/>
      <c r="BC55" s="143"/>
      <c r="BD55" s="143"/>
      <c r="BE55" s="143"/>
      <c r="BF55" s="143"/>
      <c r="BG55" s="143"/>
      <c r="BH55" s="143"/>
      <c r="BI55" s="143"/>
      <c r="BJ55" s="143"/>
      <c r="BK55" s="143"/>
      <c r="BL55" s="143"/>
      <c r="BM55" s="143"/>
      <c r="BN55" s="143"/>
      <c r="BO55" s="143"/>
      <c r="BP55" s="143"/>
      <c r="BQ55" s="143"/>
      <c r="BR55" s="143"/>
      <c r="BS55" s="143"/>
      <c r="BT55" s="143"/>
      <c r="BU55" s="143"/>
      <c r="BV55" s="143"/>
      <c r="BW55" s="143"/>
      <c r="BX55" s="143"/>
      <c r="BY55" s="143"/>
      <c r="BZ55" s="143"/>
      <c r="CA55" s="143"/>
      <c r="CB55" s="143"/>
      <c r="CC55" s="143"/>
      <c r="CD55" s="143"/>
      <c r="CE55" s="143"/>
      <c r="CF55" s="143"/>
      <c r="CG55" s="143"/>
      <c r="CH55" s="143"/>
      <c r="CI55" s="143"/>
      <c r="CJ55" s="143"/>
      <c r="CK55" s="143"/>
      <c r="CL55" s="143"/>
      <c r="CM55" s="143"/>
      <c r="CN55" s="143"/>
      <c r="CO55" s="143"/>
      <c r="CP55" s="143"/>
      <c r="CQ55" s="143"/>
      <c r="CR55" s="143"/>
      <c r="CS55" s="143"/>
      <c r="CT55" s="143"/>
      <c r="CU55" s="143"/>
      <c r="CV55" s="143"/>
      <c r="CW55" s="143"/>
      <c r="CX55" s="143"/>
      <c r="CY55" s="143"/>
      <c r="CZ55" s="143"/>
      <c r="DA55" s="143"/>
      <c r="DB55" s="143"/>
      <c r="DC55" s="143"/>
      <c r="DD55" s="143"/>
      <c r="DE55" s="143"/>
      <c r="DF55" s="143"/>
      <c r="DG55" s="143"/>
      <c r="DH55" s="143"/>
      <c r="DI55" s="143"/>
      <c r="DJ55" s="143"/>
      <c r="DK55" s="143"/>
      <c r="DL55" s="143"/>
      <c r="DM55" s="143"/>
      <c r="DN55" s="143"/>
      <c r="DO55" s="143"/>
      <c r="DP55" s="143"/>
      <c r="DQ55" s="143"/>
      <c r="DR55" s="143"/>
      <c r="DS55" s="143"/>
      <c r="DT55" s="143"/>
      <c r="DU55" s="143"/>
      <c r="DV55" s="143"/>
      <c r="DW55" s="143"/>
      <c r="DX55" s="143"/>
      <c r="DY55" s="143"/>
      <c r="DZ55" s="143"/>
      <c r="EA55" s="143"/>
      <c r="EB55" s="143"/>
      <c r="ED55" s="4" t="str">
        <f>Populations!$C$16</f>
        <v>M35-49</v>
      </c>
      <c r="EE55" s="23">
        <v>1.9501079136603001E-2</v>
      </c>
      <c r="EF55" s="23">
        <v>1.6803554846450099E-2</v>
      </c>
      <c r="EG55" s="23">
        <v>1.46890165661054E-2</v>
      </c>
      <c r="EH55" s="23">
        <v>1.30939023957729E-2</v>
      </c>
      <c r="EI55" s="23">
        <v>1.19127474011636E-2</v>
      </c>
      <c r="EJ55" s="23">
        <v>1.12293996151385E-2</v>
      </c>
      <c r="EK55" s="23">
        <v>8.8942368460353596E-3</v>
      </c>
      <c r="EL55" s="23">
        <v>7.3002374094549502E-3</v>
      </c>
      <c r="EM55" s="23">
        <v>6.1072445241520199E-3</v>
      </c>
      <c r="EN55" s="23">
        <v>5.3660270622596599E-3</v>
      </c>
      <c r="EO55" s="23">
        <f t="shared" si="37"/>
        <v>6.9463653757174948E-3</v>
      </c>
      <c r="EP55" s="23">
        <f t="shared" si="36"/>
        <v>7.2131676158489547E-3</v>
      </c>
      <c r="EQ55" s="23">
        <f t="shared" si="36"/>
        <v>8.9569945533013659E-3</v>
      </c>
      <c r="ER55" s="23">
        <f t="shared" si="36"/>
        <v>8.9778455561734805E-3</v>
      </c>
      <c r="ES55" s="23">
        <f t="shared" si="36"/>
        <v>8.8400763215948711E-3</v>
      </c>
      <c r="ET55" s="23">
        <f t="shared" si="36"/>
        <v>7.0810777661227649E-3</v>
      </c>
      <c r="EU55" s="23">
        <f t="shared" si="36"/>
        <v>8.1685788446039555E-3</v>
      </c>
      <c r="EV55" s="23">
        <f t="shared" si="36"/>
        <v>8.2103886432316649E-3</v>
      </c>
      <c r="EW55" s="23">
        <f t="shared" si="36"/>
        <v>8.2219328110693952E-3</v>
      </c>
      <c r="EX55" s="23">
        <f t="shared" si="36"/>
        <v>8.2244238962310146E-3</v>
      </c>
      <c r="EY55" s="23">
        <f t="shared" si="36"/>
        <v>8.2300382995629893E-3</v>
      </c>
      <c r="EZ55" s="23">
        <f t="shared" ref="EP55:FI57" si="38">EZ37*1.5</f>
        <v>8.1013758420528902E-3</v>
      </c>
      <c r="FA55" s="23">
        <f t="shared" si="38"/>
        <v>7.996105906291455E-3</v>
      </c>
      <c r="FB55" s="23">
        <f t="shared" si="38"/>
        <v>7.9123282725320401E-3</v>
      </c>
      <c r="FC55" s="23">
        <f t="shared" si="38"/>
        <v>7.8477455580140999E-3</v>
      </c>
      <c r="FD55" s="23">
        <f t="shared" si="38"/>
        <v>7.8015640888365306E-3</v>
      </c>
      <c r="FE55" s="23">
        <f t="shared" si="38"/>
        <v>7.5959531094341101E-3</v>
      </c>
      <c r="FF55" s="23">
        <f t="shared" si="38"/>
        <v>7.4177288100535053E-3</v>
      </c>
      <c r="FG55" s="23">
        <f t="shared" si="38"/>
        <v>7.2657089428477799E-3</v>
      </c>
      <c r="FH55" s="23">
        <f t="shared" si="38"/>
        <v>7.1404308019557897E-3</v>
      </c>
      <c r="FI55" s="23">
        <f t="shared" si="38"/>
        <v>7.040520306499095E-3</v>
      </c>
    </row>
    <row r="56" spans="1:165" x14ac:dyDescent="0.35">
      <c r="B56" s="4" t="str">
        <f>Populations!$C$14</f>
        <v>M25-34</v>
      </c>
      <c r="C56" s="7"/>
      <c r="D56" s="7"/>
      <c r="E56" s="7"/>
      <c r="F56" s="7"/>
      <c r="G56" s="7"/>
      <c r="H56" s="7"/>
      <c r="I56" s="7"/>
      <c r="J56" s="7"/>
      <c r="K56" s="7"/>
      <c r="L56" s="7"/>
      <c r="M56" s="7">
        <v>3.6999999999999998E-2</v>
      </c>
      <c r="N56" s="7"/>
      <c r="O56" s="7"/>
      <c r="P56" s="7"/>
      <c r="Q56" s="7"/>
      <c r="R56" s="7">
        <v>5.8999999999999997E-2</v>
      </c>
      <c r="S56" s="7"/>
      <c r="T56" s="7"/>
      <c r="U56" s="7"/>
      <c r="V56" s="7"/>
      <c r="W56" s="7">
        <v>3.5999999999999997E-2</v>
      </c>
      <c r="X56" s="7"/>
      <c r="Y56" s="7"/>
      <c r="Z56" s="7"/>
      <c r="AA56" s="7"/>
      <c r="AB56" s="7">
        <v>4.8000000000000001E-2</v>
      </c>
      <c r="AC56" s="7"/>
      <c r="AD56" s="7"/>
      <c r="AE56" s="7"/>
      <c r="AF56" s="7"/>
      <c r="AG56" s="7"/>
      <c r="AH56" s="7"/>
      <c r="AI56" s="7"/>
      <c r="AJ56" s="7"/>
      <c r="AK56" s="7"/>
      <c r="AL56" s="7"/>
      <c r="AM56" s="7"/>
      <c r="AN56" s="7"/>
      <c r="AO56" s="7"/>
      <c r="AP56" s="7"/>
      <c r="AQ56" s="7"/>
      <c r="AR56" s="6" t="s">
        <v>46</v>
      </c>
      <c r="AS56" s="7"/>
      <c r="AT56" s="143"/>
      <c r="AU56" s="143"/>
      <c r="AV56" s="25" t="s">
        <v>395</v>
      </c>
      <c r="AW56" s="4">
        <v>1990</v>
      </c>
      <c r="AX56" s="4">
        <v>1991</v>
      </c>
      <c r="AY56" s="4">
        <v>1992</v>
      </c>
      <c r="AZ56" s="4">
        <v>1993</v>
      </c>
      <c r="BA56" s="4">
        <v>1994</v>
      </c>
      <c r="BB56" s="4">
        <v>1995</v>
      </c>
      <c r="BC56" s="4">
        <v>1996</v>
      </c>
      <c r="BD56" s="4">
        <v>1997</v>
      </c>
      <c r="BE56" s="4">
        <v>1998</v>
      </c>
      <c r="BF56" s="4">
        <v>1999</v>
      </c>
      <c r="BG56" s="4">
        <v>2000</v>
      </c>
      <c r="BH56" s="4">
        <v>2001</v>
      </c>
      <c r="BI56" s="4">
        <v>2002</v>
      </c>
      <c r="BJ56" s="4">
        <v>2003</v>
      </c>
      <c r="BK56" s="4">
        <v>2004</v>
      </c>
      <c r="BL56" s="4">
        <v>2005</v>
      </c>
      <c r="BM56" s="4">
        <v>2006</v>
      </c>
      <c r="BN56" s="4">
        <v>2007</v>
      </c>
      <c r="BO56" s="4">
        <v>2008</v>
      </c>
      <c r="BP56" s="4">
        <v>2009</v>
      </c>
      <c r="BQ56" s="4">
        <v>2010</v>
      </c>
      <c r="BR56" s="4">
        <v>2011</v>
      </c>
      <c r="BS56" s="4">
        <v>2012</v>
      </c>
      <c r="BT56" s="4">
        <v>2013</v>
      </c>
      <c r="BU56" s="4">
        <v>2014</v>
      </c>
      <c r="BV56" s="4">
        <v>2015</v>
      </c>
      <c r="BW56" s="4">
        <v>2016</v>
      </c>
      <c r="BX56" s="4">
        <v>2017</v>
      </c>
      <c r="BY56" s="4">
        <v>2018</v>
      </c>
      <c r="BZ56" s="4">
        <v>2019</v>
      </c>
      <c r="CA56" s="4">
        <v>2020</v>
      </c>
      <c r="CB56" s="143"/>
      <c r="CC56" s="143"/>
      <c r="CD56" s="143"/>
      <c r="CE56" s="143"/>
      <c r="CF56" s="143"/>
      <c r="CG56" s="143"/>
      <c r="CH56" s="143"/>
      <c r="CI56" s="143"/>
      <c r="CJ56" s="143"/>
      <c r="CK56" s="143"/>
      <c r="CL56" s="143"/>
      <c r="CM56" s="143"/>
      <c r="CN56" s="143"/>
      <c r="CO56" s="143"/>
      <c r="CP56" s="143"/>
      <c r="CQ56" s="143"/>
      <c r="CR56" s="143"/>
      <c r="CS56" s="143"/>
      <c r="CT56" s="143"/>
      <c r="CU56" s="143"/>
      <c r="CV56" s="143"/>
      <c r="CW56" s="143"/>
      <c r="CX56" s="143"/>
      <c r="CY56" s="143"/>
      <c r="CZ56" s="143"/>
      <c r="DA56" s="143"/>
      <c r="DB56" s="143"/>
      <c r="DC56" s="143"/>
      <c r="DD56" s="143"/>
      <c r="DE56" s="143"/>
      <c r="DF56" s="143"/>
      <c r="DG56" s="143"/>
      <c r="DH56" s="143"/>
      <c r="DI56" s="143"/>
      <c r="DJ56" s="143"/>
      <c r="DK56" s="143"/>
      <c r="DL56" s="143"/>
      <c r="DM56" s="143"/>
      <c r="DN56" s="143"/>
      <c r="DO56" s="143"/>
      <c r="DP56" s="143"/>
      <c r="DQ56" s="143"/>
      <c r="DR56" s="143"/>
      <c r="DS56" s="143"/>
      <c r="DT56" s="143"/>
      <c r="DU56" s="143"/>
      <c r="DV56" s="143"/>
      <c r="DW56" s="143"/>
      <c r="DX56" s="143"/>
      <c r="DY56" s="143"/>
      <c r="DZ56" s="143"/>
      <c r="EA56" s="143"/>
      <c r="EB56" s="143"/>
      <c r="ED56" s="4" t="str">
        <f>Populations!$C$17</f>
        <v>F50+</v>
      </c>
      <c r="EE56" s="23">
        <v>3.7556371853095898E-2</v>
      </c>
      <c r="EF56" s="23">
        <v>3.5513794951062903E-2</v>
      </c>
      <c r="EG56" s="23">
        <v>3.3707235968303002E-2</v>
      </c>
      <c r="EH56" s="23">
        <v>3.2242380290294297E-2</v>
      </c>
      <c r="EI56" s="23">
        <v>3.1135386811045E-2</v>
      </c>
      <c r="EJ56" s="23">
        <v>3.0691642199071001E-2</v>
      </c>
      <c r="EK56" s="23">
        <v>2.97205190375384E-2</v>
      </c>
      <c r="EL56" s="23">
        <v>2.9060400520025401E-2</v>
      </c>
      <c r="EM56" s="23">
        <v>2.8636505812914902E-2</v>
      </c>
      <c r="EN56" s="23">
        <v>2.8464871167153599E-2</v>
      </c>
      <c r="EO56" s="23">
        <f t="shared" si="37"/>
        <v>4.3886215073352303E-2</v>
      </c>
      <c r="EP56" s="23">
        <f t="shared" si="38"/>
        <v>4.6882878703971453E-2</v>
      </c>
      <c r="EQ56" s="23">
        <f t="shared" si="38"/>
        <v>4.7188365887257347E-2</v>
      </c>
      <c r="ER56" s="23">
        <f t="shared" si="38"/>
        <v>4.6596057087517503E-2</v>
      </c>
      <c r="ES56" s="23">
        <f t="shared" si="38"/>
        <v>4.6175555591842804E-2</v>
      </c>
      <c r="ET56" s="23">
        <f t="shared" si="38"/>
        <v>4.5243864610488002E-2</v>
      </c>
      <c r="EU56" s="23">
        <f t="shared" si="38"/>
        <v>4.5153014731394554E-2</v>
      </c>
      <c r="EV56" s="23">
        <f t="shared" si="38"/>
        <v>4.4899397275073701E-2</v>
      </c>
      <c r="EW56" s="23">
        <f t="shared" si="38"/>
        <v>4.4561743145505602E-2</v>
      </c>
      <c r="EX56" s="23">
        <f t="shared" si="38"/>
        <v>4.4148178660520399E-2</v>
      </c>
      <c r="EY56" s="23">
        <f t="shared" si="38"/>
        <v>4.3654171084941747E-2</v>
      </c>
      <c r="EZ56" s="23">
        <f t="shared" si="38"/>
        <v>4.3350068069004002E-2</v>
      </c>
      <c r="FA56" s="23">
        <f t="shared" si="38"/>
        <v>4.2959641138000049E-2</v>
      </c>
      <c r="FB56" s="23">
        <f t="shared" si="38"/>
        <v>4.24279312361013E-2</v>
      </c>
      <c r="FC56" s="23">
        <f t="shared" si="38"/>
        <v>4.1690845884230998E-2</v>
      </c>
      <c r="FD56" s="23">
        <f t="shared" si="38"/>
        <v>4.0736771232214197E-2</v>
      </c>
      <c r="FE56" s="23">
        <f t="shared" si="38"/>
        <v>4.0035979392572703E-2</v>
      </c>
      <c r="FF56" s="23">
        <f t="shared" si="38"/>
        <v>3.9162440293475098E-2</v>
      </c>
      <c r="FG56" s="23">
        <f t="shared" si="38"/>
        <v>3.8146502149700848E-2</v>
      </c>
      <c r="FH56" s="23">
        <f t="shared" si="38"/>
        <v>3.7022547625998152E-2</v>
      </c>
      <c r="FI56" s="23">
        <f t="shared" si="38"/>
        <v>3.5827993775265299E-2</v>
      </c>
    </row>
    <row r="57" spans="1:165" x14ac:dyDescent="0.35">
      <c r="B57" s="4" t="str">
        <f>Populations!$C$15</f>
        <v>F35-49</v>
      </c>
      <c r="C57" s="7"/>
      <c r="D57" s="7"/>
      <c r="E57" s="7"/>
      <c r="F57" s="7"/>
      <c r="G57" s="7"/>
      <c r="H57" s="7"/>
      <c r="I57" s="7"/>
      <c r="J57" s="7"/>
      <c r="K57" s="7"/>
      <c r="L57" s="7"/>
      <c r="M57" s="7">
        <v>2.9000000000000001E-2</v>
      </c>
      <c r="N57" s="7"/>
      <c r="O57" s="7"/>
      <c r="P57" s="7"/>
      <c r="Q57" s="7"/>
      <c r="R57" s="7">
        <v>5.8999999999999997E-2</v>
      </c>
      <c r="S57" s="7"/>
      <c r="T57" s="7"/>
      <c r="U57" s="7"/>
      <c r="V57" s="7"/>
      <c r="W57" s="7">
        <v>4.9000000000000002E-2</v>
      </c>
      <c r="X57" s="7"/>
      <c r="Y57" s="7"/>
      <c r="Z57" s="7"/>
      <c r="AA57" s="7"/>
      <c r="AB57" s="7">
        <v>4.1000000000000002E-2</v>
      </c>
      <c r="AC57" s="7"/>
      <c r="AD57" s="7"/>
      <c r="AE57" s="7"/>
      <c r="AF57" s="7"/>
      <c r="AG57" s="7"/>
      <c r="AH57" s="7"/>
      <c r="AI57" s="7"/>
      <c r="AJ57" s="7"/>
      <c r="AK57" s="7"/>
      <c r="AL57" s="7"/>
      <c r="AM57" s="7"/>
      <c r="AN57" s="7"/>
      <c r="AO57" s="7"/>
      <c r="AP57" s="7"/>
      <c r="AQ57" s="7"/>
      <c r="AR57" s="6" t="s">
        <v>46</v>
      </c>
      <c r="AS57" s="7"/>
      <c r="AT57" s="143"/>
      <c r="AU57" s="143"/>
      <c r="AV57" s="144" t="s">
        <v>140</v>
      </c>
      <c r="AW57" s="143">
        <f>AW33/'Population size'!D24</f>
        <v>8.6484360580923077E-3</v>
      </c>
      <c r="AX57" s="143">
        <f>AX33/'Population size'!E24</f>
        <v>8.4809199320657006E-3</v>
      </c>
      <c r="AY57" s="143">
        <f>AY33/'Population size'!F24</f>
        <v>8.3790935995905393E-3</v>
      </c>
      <c r="AZ57" s="143">
        <f>AZ33/'Population size'!G24</f>
        <v>8.327489734253974E-3</v>
      </c>
      <c r="BA57" s="143">
        <f>BA33/'Population size'!H24</f>
        <v>8.3030079524628164E-3</v>
      </c>
      <c r="BB57" s="143">
        <f>BB33/'Population size'!I24</f>
        <v>9.926082534112219E-3</v>
      </c>
      <c r="BC57" s="143">
        <f>BC33/'Population size'!J24</f>
        <v>9.8872494769972289E-3</v>
      </c>
      <c r="BD57" s="143">
        <f>BD33/'Population size'!K24</f>
        <v>9.8495507056262591E-3</v>
      </c>
      <c r="BE57" s="143">
        <f>BE33/'Population size'!L24</f>
        <v>9.8263337803755711E-3</v>
      </c>
      <c r="BF57" s="143">
        <f>BF33/'Population size'!M24</f>
        <v>9.8364368135544361E-3</v>
      </c>
      <c r="BG57" s="143">
        <f>BG33/'Population size'!N24</f>
        <v>1.0756526015728331E-2</v>
      </c>
      <c r="BH57" s="143">
        <f>BH33/'Population size'!O24</f>
        <v>1.0776563993049229E-2</v>
      </c>
      <c r="BI57" s="143">
        <f>BI33/'Population size'!P24</f>
        <v>1.0815631353928363E-2</v>
      </c>
      <c r="BJ57" s="143">
        <f>BJ33/'Population size'!Q24</f>
        <v>1.085413310677226E-2</v>
      </c>
      <c r="BK57" s="143">
        <f>BK33/'Population size'!R24</f>
        <v>1.085899455182395E-2</v>
      </c>
      <c r="BL57" s="143">
        <f>BL33/'Population size'!S24</f>
        <v>1.1439488418605565E-2</v>
      </c>
      <c r="BM57" s="143">
        <f>BM33/'Population size'!T24</f>
        <v>1.1422283865888299E-2</v>
      </c>
      <c r="BN57" s="143">
        <f>BN33/'Population size'!U24</f>
        <v>1.1339867027201002E-2</v>
      </c>
      <c r="BO57" s="143">
        <f>BO33/'Population size'!V24</f>
        <v>1.1202699649504488E-2</v>
      </c>
      <c r="BP57" s="143">
        <f>BP33/'Population size'!W24</f>
        <v>1.102526790889248E-2</v>
      </c>
      <c r="BQ57" s="143">
        <f>BQ33/'Population size'!X24</f>
        <v>8.0330022895149285E-3</v>
      </c>
      <c r="BR57" s="143">
        <f>BR33/'Population size'!Y24</f>
        <v>7.8756889272290423E-3</v>
      </c>
      <c r="BS57" s="143">
        <f>BS33/'Population size'!Z24</f>
        <v>7.7028866880226822E-3</v>
      </c>
      <c r="BT57" s="143">
        <f>BT33/'Population size'!AA24</f>
        <v>7.5258681125674265E-3</v>
      </c>
      <c r="BU57" s="143">
        <f>BU33/'Population size'!AB24</f>
        <v>7.3585636312121184E-3</v>
      </c>
      <c r="BV57" s="143">
        <f>BV33/'Population size'!AC24</f>
        <v>5.0497655545995593E-3</v>
      </c>
      <c r="BW57" s="143">
        <f>BW33/'Population size'!AD24</f>
        <v>4.9595653188439616E-3</v>
      </c>
      <c r="BX57" s="143">
        <f>BX33/'Population size'!AE24</f>
        <v>4.8937406812792758E-3</v>
      </c>
      <c r="BY57" s="143">
        <f>BY33/'Population size'!AF24</f>
        <v>4.8448704914947262E-3</v>
      </c>
      <c r="BZ57" s="143">
        <f>BZ33/'Population size'!AG24</f>
        <v>4.8017691237938051E-3</v>
      </c>
      <c r="CA57" s="143">
        <f>CA33/'Population size'!AH24</f>
        <v>4.75832888252094E-3</v>
      </c>
      <c r="CB57" s="143"/>
      <c r="CC57" s="143"/>
      <c r="CD57" s="143"/>
      <c r="CE57" s="143"/>
      <c r="CF57" s="143"/>
      <c r="CG57" s="143"/>
      <c r="CH57" s="143"/>
      <c r="CI57" s="143"/>
      <c r="CJ57" s="143"/>
      <c r="CK57" s="143"/>
      <c r="CL57" s="143"/>
      <c r="CM57" s="143"/>
      <c r="CN57" s="143"/>
      <c r="CO57" s="143"/>
      <c r="CP57" s="143"/>
      <c r="CQ57" s="143"/>
      <c r="CR57" s="143"/>
      <c r="CS57" s="143"/>
      <c r="CT57" s="143"/>
      <c r="CU57" s="143"/>
      <c r="CV57" s="143"/>
      <c r="CW57" s="143"/>
      <c r="CX57" s="143"/>
      <c r="CY57" s="143"/>
      <c r="CZ57" s="143"/>
      <c r="DA57" s="143"/>
      <c r="DB57" s="143"/>
      <c r="DC57" s="143"/>
      <c r="DD57" s="143"/>
      <c r="DE57" s="143"/>
      <c r="DF57" s="143"/>
      <c r="DG57" s="143"/>
      <c r="DH57" s="143"/>
      <c r="DI57" s="143"/>
      <c r="DJ57" s="143"/>
      <c r="DK57" s="143"/>
      <c r="DL57" s="143"/>
      <c r="DM57" s="143"/>
      <c r="DN57" s="143"/>
      <c r="DO57" s="143"/>
      <c r="DP57" s="143"/>
      <c r="DQ57" s="143"/>
      <c r="DR57" s="143"/>
      <c r="DS57" s="143"/>
      <c r="DT57" s="143"/>
      <c r="DU57" s="143"/>
      <c r="DV57" s="143"/>
      <c r="DW57" s="143"/>
      <c r="DX57" s="143"/>
      <c r="DY57" s="143"/>
      <c r="DZ57" s="143"/>
      <c r="EA57" s="143"/>
      <c r="EB57" s="143"/>
      <c r="ED57" s="4" t="str">
        <f>Populations!$C$18</f>
        <v>M50+</v>
      </c>
      <c r="EE57" s="23">
        <v>3.34123896913276E-2</v>
      </c>
      <c r="EF57" s="23">
        <v>3.2043900877801797E-2</v>
      </c>
      <c r="EG57" s="23">
        <v>3.1022140277601001E-2</v>
      </c>
      <c r="EH57" s="23">
        <v>3.0381212629903301E-2</v>
      </c>
      <c r="EI57" s="23">
        <v>3.0203369808099199E-2</v>
      </c>
      <c r="EJ57" s="23">
        <v>3.0623334322404501E-2</v>
      </c>
      <c r="EK57" s="23">
        <v>3.01798796340116E-2</v>
      </c>
      <c r="EL57" s="23">
        <v>3.0088437109784899E-2</v>
      </c>
      <c r="EM57" s="23">
        <v>3.0199861179371099E-2</v>
      </c>
      <c r="EN57" s="23">
        <v>3.05922060350198E-2</v>
      </c>
      <c r="EO57" s="23">
        <f t="shared" si="37"/>
        <v>4.7131808049833704E-2</v>
      </c>
      <c r="EP57" s="23">
        <f t="shared" si="38"/>
        <v>4.9597203889601094E-2</v>
      </c>
      <c r="EQ57" s="23">
        <f t="shared" si="38"/>
        <v>5.1126132398169453E-2</v>
      </c>
      <c r="ER57" s="23">
        <f t="shared" si="38"/>
        <v>5.0975264204055293E-2</v>
      </c>
      <c r="ES57" s="23">
        <f t="shared" si="38"/>
        <v>5.0396982973519654E-2</v>
      </c>
      <c r="ET57" s="23">
        <f t="shared" si="38"/>
        <v>4.9335160053989545E-2</v>
      </c>
      <c r="EU57" s="23">
        <f t="shared" si="38"/>
        <v>4.9306986340148101E-2</v>
      </c>
      <c r="EV57" s="23">
        <f t="shared" si="38"/>
        <v>4.9155620014496845E-2</v>
      </c>
      <c r="EW57" s="23">
        <f t="shared" si="38"/>
        <v>4.8873395190744753E-2</v>
      </c>
      <c r="EX57" s="23">
        <f t="shared" si="38"/>
        <v>4.8474074378730456E-2</v>
      </c>
      <c r="EY57" s="23">
        <f t="shared" si="38"/>
        <v>4.7961117673494896E-2</v>
      </c>
      <c r="EZ57" s="23">
        <f t="shared" si="38"/>
        <v>4.7674180794609153E-2</v>
      </c>
      <c r="FA57" s="23">
        <f t="shared" si="38"/>
        <v>4.7273691178504204E-2</v>
      </c>
      <c r="FB57" s="23">
        <f t="shared" si="38"/>
        <v>4.6724626226522098E-2</v>
      </c>
      <c r="FC57" s="23">
        <f t="shared" si="38"/>
        <v>4.5985425701322601E-2</v>
      </c>
      <c r="FD57" s="23">
        <f t="shared" si="38"/>
        <v>4.5054751251546302E-2</v>
      </c>
      <c r="FE57" s="23">
        <f t="shared" si="38"/>
        <v>4.4490578402438551E-2</v>
      </c>
      <c r="FF57" s="23">
        <f t="shared" si="38"/>
        <v>4.3761291468248399E-2</v>
      </c>
      <c r="FG57" s="23">
        <f t="shared" si="38"/>
        <v>4.2890169964140148E-2</v>
      </c>
      <c r="FH57" s="23">
        <f t="shared" si="38"/>
        <v>4.19038172815221E-2</v>
      </c>
      <c r="FI57" s="23">
        <f t="shared" si="38"/>
        <v>4.0833254929058399E-2</v>
      </c>
    </row>
    <row r="58" spans="1:165" x14ac:dyDescent="0.35">
      <c r="B58" s="4" t="str">
        <f>Populations!$C$16</f>
        <v>M35-49</v>
      </c>
      <c r="C58" s="7"/>
      <c r="D58" s="7"/>
      <c r="E58" s="7"/>
      <c r="F58" s="7"/>
      <c r="G58" s="7"/>
      <c r="H58" s="7"/>
      <c r="I58" s="7"/>
      <c r="J58" s="7"/>
      <c r="K58" s="7"/>
      <c r="L58" s="7"/>
      <c r="M58" s="7">
        <v>4.9000000000000002E-2</v>
      </c>
      <c r="N58" s="7"/>
      <c r="O58" s="7"/>
      <c r="P58" s="7"/>
      <c r="Q58" s="7"/>
      <c r="R58" s="7">
        <v>0.04</v>
      </c>
      <c r="S58" s="7"/>
      <c r="T58" s="7"/>
      <c r="U58" s="7"/>
      <c r="V58" s="7"/>
      <c r="W58" s="7">
        <v>3.6999999999999998E-2</v>
      </c>
      <c r="X58" s="7"/>
      <c r="Y58" s="7"/>
      <c r="Z58" s="7"/>
      <c r="AA58" s="7"/>
      <c r="AB58" s="7">
        <v>4.2999999999999997E-2</v>
      </c>
      <c r="AC58" s="7"/>
      <c r="AD58" s="7"/>
      <c r="AE58" s="7"/>
      <c r="AF58" s="7"/>
      <c r="AG58" s="7"/>
      <c r="AH58" s="7"/>
      <c r="AI58" s="7"/>
      <c r="AJ58" s="7"/>
      <c r="AK58" s="7"/>
      <c r="AL58" s="7"/>
      <c r="AM58" s="7"/>
      <c r="AN58" s="7"/>
      <c r="AO58" s="7"/>
      <c r="AP58" s="7"/>
      <c r="AQ58" s="7"/>
      <c r="AR58" s="6" t="s">
        <v>46</v>
      </c>
      <c r="AS58" s="7"/>
      <c r="AT58" s="143"/>
      <c r="AU58" s="143"/>
      <c r="AV58" s="144" t="s">
        <v>368</v>
      </c>
      <c r="AW58" s="143">
        <f>AW34/'Population size'!D32</f>
        <v>2.8101247062121437E-3</v>
      </c>
      <c r="AX58" s="143">
        <f>AX34/'Population size'!E32</f>
        <v>2.7215449301772172E-3</v>
      </c>
      <c r="AY58" s="143">
        <f>AY34/'Population size'!F32</f>
        <v>2.6258438181724448E-3</v>
      </c>
      <c r="AZ58" s="143">
        <f>AZ34/'Population size'!G32</f>
        <v>2.5321172646570423E-3</v>
      </c>
      <c r="BA58" s="143">
        <f>BA34/'Population size'!H32</f>
        <v>2.4523953875099586E-3</v>
      </c>
      <c r="BB58" s="143">
        <f>BB34/'Population size'!I32</f>
        <v>3.5143722167099074E-3</v>
      </c>
      <c r="BC58" s="143">
        <f>BC34/'Population size'!J32</f>
        <v>3.4613769581103046E-3</v>
      </c>
      <c r="BD58" s="143">
        <f>BD34/'Population size'!K32</f>
        <v>3.4270382148728468E-3</v>
      </c>
      <c r="BE58" s="143">
        <f>BE34/'Population size'!L32</f>
        <v>3.3999670116657177E-3</v>
      </c>
      <c r="BF58" s="143">
        <f>BF34/'Population size'!M32</f>
        <v>3.3668438110448194E-3</v>
      </c>
      <c r="BG58" s="143">
        <f>BG34/'Population size'!N32</f>
        <v>4.7495421406665321E-3</v>
      </c>
      <c r="BH58" s="143">
        <f>BH34/'Population size'!O32</f>
        <v>4.7662910622344769E-3</v>
      </c>
      <c r="BI58" s="143">
        <f>BI34/'Population size'!P32</f>
        <v>4.7541273990039535E-3</v>
      </c>
      <c r="BJ58" s="143">
        <f>BJ34/'Population size'!Q32</f>
        <v>4.7188120500903053E-3</v>
      </c>
      <c r="BK58" s="143">
        <f>BK34/'Population size'!R32</f>
        <v>4.6763604474902099E-3</v>
      </c>
      <c r="BL58" s="143">
        <f>BL34/'Population size'!S32</f>
        <v>5.0089004166369707E-3</v>
      </c>
      <c r="BM58" s="143">
        <f>BM34/'Population size'!T32</f>
        <v>5.0728578106719541E-3</v>
      </c>
      <c r="BN58" s="143">
        <f>BN34/'Population size'!U32</f>
        <v>5.1449413269227017E-3</v>
      </c>
      <c r="BO58" s="143">
        <f>BO34/'Population size'!V32</f>
        <v>5.2062195981773963E-3</v>
      </c>
      <c r="BP58" s="143">
        <f>BP34/'Population size'!W32</f>
        <v>5.2378762485821738E-3</v>
      </c>
      <c r="BQ58" s="143">
        <f>BQ34/'Population size'!X32</f>
        <v>2.7784336201897219E-3</v>
      </c>
      <c r="BR58" s="143">
        <f>BR34/'Population size'!Y32</f>
        <v>2.8076449413551065E-3</v>
      </c>
      <c r="BS58" s="143">
        <f>BS34/'Population size'!Z32</f>
        <v>2.8132652166518012E-3</v>
      </c>
      <c r="BT58" s="143">
        <f>BT34/'Population size'!AA32</f>
        <v>2.7966488872892899E-3</v>
      </c>
      <c r="BU58" s="143">
        <f>BU34/'Population size'!AB32</f>
        <v>2.763305228521893E-3</v>
      </c>
      <c r="BV58" s="143">
        <f>BV34/'Population size'!AC32</f>
        <v>2.1807958083073231E-3</v>
      </c>
      <c r="BW58" s="143">
        <f>BW34/'Population size'!AD32</f>
        <v>2.1664469387108424E-3</v>
      </c>
      <c r="BX58" s="143">
        <f>BX34/'Population size'!AE32</f>
        <v>2.140145496915373E-3</v>
      </c>
      <c r="BY58" s="143">
        <f>BY34/'Population size'!AF32</f>
        <v>2.1015149413617352E-3</v>
      </c>
      <c r="BZ58" s="143">
        <f>BZ34/'Population size'!AG32</f>
        <v>2.0510442820122214E-3</v>
      </c>
      <c r="CA58" s="143">
        <f>CA34/'Population size'!AH32</f>
        <v>1.9916204381798348E-3</v>
      </c>
      <c r="CB58" s="143"/>
      <c r="CC58" s="143"/>
      <c r="CD58" s="143"/>
      <c r="CE58" s="143"/>
      <c r="CF58" s="143"/>
      <c r="CG58" s="143"/>
      <c r="CH58" s="143"/>
      <c r="CI58" s="143"/>
      <c r="CJ58" s="143"/>
      <c r="CK58" s="143"/>
      <c r="CL58" s="143"/>
      <c r="CM58" s="143"/>
      <c r="CN58" s="143"/>
      <c r="CO58" s="143"/>
      <c r="CP58" s="143"/>
      <c r="CQ58" s="143"/>
      <c r="CR58" s="143"/>
      <c r="CS58" s="143"/>
      <c r="CT58" s="143"/>
      <c r="CU58" s="143"/>
      <c r="CV58" s="143"/>
      <c r="CW58" s="143"/>
      <c r="CX58" s="143"/>
      <c r="CY58" s="143"/>
      <c r="CZ58" s="143"/>
      <c r="DA58" s="143"/>
      <c r="DB58" s="143"/>
      <c r="DC58" s="143"/>
      <c r="DD58" s="143"/>
      <c r="DE58" s="143"/>
      <c r="DF58" s="143"/>
      <c r="DG58" s="143"/>
      <c r="DH58" s="143"/>
      <c r="DI58" s="143"/>
      <c r="DJ58" s="143"/>
      <c r="DK58" s="143"/>
      <c r="DL58" s="143"/>
      <c r="DM58" s="143"/>
      <c r="DN58" s="143"/>
      <c r="DO58" s="143"/>
      <c r="DP58" s="143"/>
      <c r="DQ58" s="143"/>
      <c r="DR58" s="143"/>
      <c r="DS58" s="143"/>
      <c r="DT58" s="143"/>
      <c r="DU58" s="143"/>
      <c r="DV58" s="143"/>
      <c r="DW58" s="143"/>
      <c r="DX58" s="143"/>
      <c r="DY58" s="143"/>
      <c r="DZ58" s="143"/>
      <c r="EA58" s="143"/>
      <c r="EB58" s="143"/>
    </row>
    <row r="59" spans="1:165" x14ac:dyDescent="0.35">
      <c r="B59" s="4" t="str">
        <f>Populations!$C$17</f>
        <v>F50+</v>
      </c>
      <c r="C59" s="7"/>
      <c r="D59" s="7"/>
      <c r="E59" s="7"/>
      <c r="F59" s="7"/>
      <c r="G59" s="7"/>
      <c r="H59" s="7"/>
      <c r="I59" s="7"/>
      <c r="J59" s="7"/>
      <c r="K59" s="7"/>
      <c r="L59" s="7"/>
      <c r="M59" s="7">
        <v>2.3E-2</v>
      </c>
      <c r="N59" s="7"/>
      <c r="O59" s="7"/>
      <c r="P59" s="7"/>
      <c r="Q59" s="7"/>
      <c r="R59" s="7">
        <v>4.9000000000000002E-2</v>
      </c>
      <c r="S59" s="7"/>
      <c r="T59" s="7"/>
      <c r="U59" s="7"/>
      <c r="V59" s="7"/>
      <c r="W59" s="7">
        <v>3.5999999999999997E-2</v>
      </c>
      <c r="X59" s="7"/>
      <c r="Y59" s="7"/>
      <c r="Z59" s="7"/>
      <c r="AA59" s="7"/>
      <c r="AB59" s="7">
        <v>2.8000000000000001E-2</v>
      </c>
      <c r="AC59" s="7"/>
      <c r="AD59" s="7"/>
      <c r="AE59" s="7"/>
      <c r="AF59" s="7"/>
      <c r="AG59" s="7"/>
      <c r="AH59" s="7"/>
      <c r="AI59" s="7"/>
      <c r="AJ59" s="7"/>
      <c r="AK59" s="7"/>
      <c r="AL59" s="7"/>
      <c r="AM59" s="7"/>
      <c r="AN59" s="7"/>
      <c r="AO59" s="7"/>
      <c r="AP59" s="7"/>
      <c r="AQ59" s="7"/>
      <c r="AR59" s="6" t="s">
        <v>46</v>
      </c>
      <c r="AS59" s="7"/>
      <c r="AT59" s="143"/>
      <c r="AU59" s="143"/>
      <c r="AV59" s="144" t="s">
        <v>369</v>
      </c>
      <c r="AW59" s="143">
        <f>AW35/'Population size'!D40</f>
        <v>4.6657633534114744E-3</v>
      </c>
      <c r="AX59" s="143">
        <f>AX35/'Population size'!E40</f>
        <v>4.5717184961432192E-3</v>
      </c>
      <c r="AY59" s="143">
        <f>AY35/'Population size'!F40</f>
        <v>4.4751131423027436E-3</v>
      </c>
      <c r="AZ59" s="143">
        <f>AZ35/'Population size'!G40</f>
        <v>4.372468908299721E-3</v>
      </c>
      <c r="BA59" s="143">
        <f>BA35/'Population size'!H40</f>
        <v>4.2611418935282917E-3</v>
      </c>
      <c r="BB59" s="143">
        <f>BB35/'Population size'!I40</f>
        <v>6.2968871347468007E-3</v>
      </c>
      <c r="BC59" s="143">
        <f>BC35/'Population size'!J40</f>
        <v>6.1377939963913756E-3</v>
      </c>
      <c r="BD59" s="143">
        <f>BD35/'Population size'!K40</f>
        <v>5.9700389140030768E-3</v>
      </c>
      <c r="BE59" s="143">
        <f>BE35/'Population size'!L40</f>
        <v>5.8082056906162199E-3</v>
      </c>
      <c r="BF59" s="143">
        <f>BF35/'Population size'!M40</f>
        <v>5.6697830611674221E-3</v>
      </c>
      <c r="BG59" s="143">
        <f>BG35/'Population size'!N40</f>
        <v>7.7586827547593048E-3</v>
      </c>
      <c r="BH59" s="143">
        <f>BH35/'Population size'!O40</f>
        <v>7.8128905367938831E-3</v>
      </c>
      <c r="BI59" s="143">
        <f>BI35/'Population size'!P40</f>
        <v>7.9043348890156604E-3</v>
      </c>
      <c r="BJ59" s="143">
        <f>BJ35/'Population size'!Q40</f>
        <v>7.993516410753328E-3</v>
      </c>
      <c r="BK59" s="143">
        <f>BK35/'Population size'!R40</f>
        <v>8.0328841500334688E-3</v>
      </c>
      <c r="BL59" s="143">
        <f>BL35/'Population size'!S40</f>
        <v>8.5035640731401449E-3</v>
      </c>
      <c r="BM59" s="143">
        <f>BM35/'Population size'!T40</f>
        <v>8.4123427557110924E-3</v>
      </c>
      <c r="BN59" s="143">
        <f>BN35/'Population size'!U40</f>
        <v>8.305201244340343E-3</v>
      </c>
      <c r="BO59" s="143">
        <f>BO35/'Population size'!V40</f>
        <v>8.2044156824965381E-3</v>
      </c>
      <c r="BP59" s="143">
        <f>BP35/'Population size'!W40</f>
        <v>8.1362808036432432E-3</v>
      </c>
      <c r="BQ59" s="143">
        <f>BQ35/'Population size'!X40</f>
        <v>4.3024464523937073E-3</v>
      </c>
      <c r="BR59" s="143">
        <f>BR35/'Population size'!Y40</f>
        <v>4.3560140566652637E-3</v>
      </c>
      <c r="BS59" s="143">
        <f>BS35/'Population size'!Z40</f>
        <v>4.4158145427835591E-3</v>
      </c>
      <c r="BT59" s="143">
        <f>BT35/'Population size'!AA40</f>
        <v>4.4649721115067537E-3</v>
      </c>
      <c r="BU59" s="143">
        <f>BU35/'Population size'!AB40</f>
        <v>4.4871633204648801E-3</v>
      </c>
      <c r="BV59" s="143">
        <f>BV35/'Population size'!AC40</f>
        <v>3.4458222585408171E-3</v>
      </c>
      <c r="BW59" s="143">
        <f>BW35/'Population size'!AD40</f>
        <v>3.4443151566457748E-3</v>
      </c>
      <c r="BX59" s="143">
        <f>BX35/'Population size'!AE40</f>
        <v>3.4127720200362844E-3</v>
      </c>
      <c r="BY59" s="143">
        <f>BY35/'Population size'!AF40</f>
        <v>3.3509945875777616E-3</v>
      </c>
      <c r="BZ59" s="143">
        <f>BZ35/'Population size'!AG40</f>
        <v>3.2720467849317088E-3</v>
      </c>
      <c r="CA59" s="143">
        <f>CA35/'Population size'!AH40</f>
        <v>3.1868454988494901E-3</v>
      </c>
      <c r="CB59" s="143"/>
      <c r="CC59" s="143"/>
      <c r="CD59" s="143"/>
      <c r="CE59" s="143"/>
      <c r="CF59" s="143"/>
      <c r="CG59" s="143"/>
      <c r="CH59" s="143"/>
      <c r="CI59" s="143"/>
      <c r="CJ59" s="143"/>
      <c r="CK59" s="143"/>
      <c r="CL59" s="143"/>
      <c r="CM59" s="143"/>
      <c r="CN59" s="143"/>
      <c r="CO59" s="143"/>
      <c r="CP59" s="143"/>
      <c r="CQ59" s="143"/>
      <c r="CR59" s="143"/>
      <c r="CS59" s="143"/>
      <c r="CT59" s="143"/>
      <c r="CU59" s="143"/>
      <c r="CV59" s="143"/>
      <c r="CW59" s="143"/>
      <c r="CX59" s="143"/>
      <c r="CY59" s="143"/>
      <c r="CZ59" s="143"/>
      <c r="DA59" s="143"/>
      <c r="DB59" s="143"/>
      <c r="DC59" s="143"/>
      <c r="DD59" s="143"/>
      <c r="DE59" s="143"/>
      <c r="DF59" s="143"/>
      <c r="DG59" s="143"/>
      <c r="DH59" s="143"/>
      <c r="DI59" s="143"/>
      <c r="DJ59" s="143"/>
      <c r="DK59" s="143"/>
      <c r="DL59" s="143"/>
      <c r="DM59" s="143"/>
      <c r="DN59" s="143"/>
      <c r="DO59" s="143"/>
      <c r="DP59" s="143"/>
      <c r="DQ59" s="143"/>
      <c r="DR59" s="143"/>
      <c r="DS59" s="143"/>
      <c r="DT59" s="143"/>
      <c r="DU59" s="143"/>
      <c r="DV59" s="143"/>
      <c r="DW59" s="143"/>
      <c r="DX59" s="143"/>
      <c r="DY59" s="143"/>
      <c r="DZ59" s="143"/>
      <c r="EA59" s="143"/>
      <c r="EB59" s="143"/>
    </row>
    <row r="60" spans="1:165" x14ac:dyDescent="0.35">
      <c r="B60" s="4" t="str">
        <f>Populations!$C$18</f>
        <v>M50+</v>
      </c>
      <c r="C60" s="7"/>
      <c r="D60" s="7"/>
      <c r="E60" s="7"/>
      <c r="F60" s="7"/>
      <c r="G60" s="7"/>
      <c r="H60" s="7"/>
      <c r="I60" s="7"/>
      <c r="J60" s="7"/>
      <c r="K60" s="7"/>
      <c r="L60" s="7"/>
      <c r="M60" s="7">
        <v>3.7999999999999999E-2</v>
      </c>
      <c r="N60" s="7"/>
      <c r="O60" s="7"/>
      <c r="P60" s="7"/>
      <c r="Q60" s="7"/>
      <c r="R60" s="7">
        <v>2.5000000000000001E-2</v>
      </c>
      <c r="S60" s="7"/>
      <c r="T60" s="7"/>
      <c r="U60" s="7"/>
      <c r="V60" s="7"/>
      <c r="W60" s="7">
        <v>3.5000000000000003E-2</v>
      </c>
      <c r="X60" s="7"/>
      <c r="Y60" s="7"/>
      <c r="Z60" s="7"/>
      <c r="AA60" s="7"/>
      <c r="AB60" s="7">
        <v>3.9E-2</v>
      </c>
      <c r="AC60" s="7"/>
      <c r="AD60" s="7"/>
      <c r="AE60" s="7"/>
      <c r="AF60" s="7"/>
      <c r="AG60" s="7"/>
      <c r="AH60" s="7"/>
      <c r="AI60" s="7"/>
      <c r="AJ60" s="7"/>
      <c r="AK60" s="7"/>
      <c r="AL60" s="7"/>
      <c r="AM60" s="7"/>
      <c r="AN60" s="7"/>
      <c r="AO60" s="7"/>
      <c r="AP60" s="7"/>
      <c r="AQ60" s="7"/>
      <c r="AR60" s="6" t="s">
        <v>46</v>
      </c>
      <c r="AS60" s="7"/>
      <c r="AT60" s="143"/>
      <c r="AU60" s="143"/>
      <c r="AV60" s="144" t="s">
        <v>387</v>
      </c>
      <c r="AW60" s="143">
        <f>AW36/'Population size'!D48</f>
        <v>1.0403472570464136E-2</v>
      </c>
      <c r="AX60" s="143">
        <f>AX36/'Population size'!E48</f>
        <v>1.0175776153628491E-2</v>
      </c>
      <c r="AY60" s="143">
        <f>AY36/'Population size'!F48</f>
        <v>9.9645496897424208E-3</v>
      </c>
      <c r="AZ60" s="143">
        <f>AZ36/'Population size'!G48</f>
        <v>9.7724681905809081E-3</v>
      </c>
      <c r="BA60" s="143">
        <f>BA36/'Population size'!H48</f>
        <v>9.6043254615615879E-3</v>
      </c>
      <c r="BB60" s="143">
        <f>BB36/'Population size'!I48</f>
        <v>1.632738416301167E-2</v>
      </c>
      <c r="BC60" s="143">
        <f>BC36/'Population size'!J48</f>
        <v>1.6197619519000121E-2</v>
      </c>
      <c r="BD60" s="143">
        <f>BD36/'Population size'!K48</f>
        <v>1.6099956063663615E-2</v>
      </c>
      <c r="BE60" s="143">
        <f>BE36/'Population size'!L48</f>
        <v>1.6004842198121153E-2</v>
      </c>
      <c r="BF60" s="143">
        <f>BF36/'Population size'!M48</f>
        <v>1.5874151424170452E-2</v>
      </c>
      <c r="BG60" s="143">
        <f>BG36/'Population size'!N48</f>
        <v>1.9652895463404811E-2</v>
      </c>
      <c r="BH60" s="143">
        <f>BH36/'Population size'!O48</f>
        <v>1.9530824614297653E-2</v>
      </c>
      <c r="BI60" s="143">
        <f>BI36/'Population size'!P48</f>
        <v>1.9483642421233256E-2</v>
      </c>
      <c r="BJ60" s="143">
        <f>BJ36/'Population size'!Q48</f>
        <v>1.9516217064671437E-2</v>
      </c>
      <c r="BK60" s="143">
        <f>BK36/'Population size'!R48</f>
        <v>1.9615948885365778E-2</v>
      </c>
      <c r="BL60" s="143">
        <f>BL36/'Population size'!S48</f>
        <v>1.8973743376479404E-2</v>
      </c>
      <c r="BM60" s="143">
        <f>BM36/'Population size'!T48</f>
        <v>1.8599081963119792E-2</v>
      </c>
      <c r="BN60" s="143">
        <f>BN36/'Population size'!U48</f>
        <v>1.8230173281051556E-2</v>
      </c>
      <c r="BO60" s="143">
        <f>BO36/'Population size'!V48</f>
        <v>1.787984342600939E-2</v>
      </c>
      <c r="BP60" s="143">
        <f>BP36/'Population size'!W48</f>
        <v>1.7556327569473722E-2</v>
      </c>
      <c r="BQ60" s="143">
        <f>BQ36/'Population size'!X48</f>
        <v>8.0174854630986284E-3</v>
      </c>
      <c r="BR60" s="143">
        <f>BR36/'Population size'!Y48</f>
        <v>7.8718358848831761E-3</v>
      </c>
      <c r="BS60" s="143">
        <f>BS36/'Population size'!Z48</f>
        <v>7.7843573648242615E-3</v>
      </c>
      <c r="BT60" s="143">
        <f>BT36/'Population size'!AA48</f>
        <v>7.7635473254731501E-3</v>
      </c>
      <c r="BU60" s="143">
        <f>BU36/'Population size'!AB48</f>
        <v>7.8007753301286929E-3</v>
      </c>
      <c r="BV60" s="143">
        <f>BV36/'Population size'!AC48</f>
        <v>5.9081798840038792E-3</v>
      </c>
      <c r="BW60" s="143">
        <f>BW36/'Population size'!AD48</f>
        <v>5.8834684661067801E-3</v>
      </c>
      <c r="BX60" s="143">
        <f>BX36/'Population size'!AE48</f>
        <v>5.8677648416552344E-3</v>
      </c>
      <c r="BY60" s="143">
        <f>BY36/'Population size'!AF48</f>
        <v>5.8706444203331376E-3</v>
      </c>
      <c r="BZ60" s="143">
        <f>BZ36/'Population size'!AG48</f>
        <v>5.8920866902972433E-3</v>
      </c>
      <c r="CA60" s="143">
        <f>CA36/'Population size'!AH48</f>
        <v>5.9181125327529456E-3</v>
      </c>
      <c r="CB60" s="143"/>
      <c r="CC60" s="143"/>
      <c r="CD60" s="143"/>
      <c r="CE60" s="143"/>
      <c r="CF60" s="143"/>
      <c r="CG60" s="143"/>
      <c r="CH60" s="143"/>
      <c r="CI60" s="143"/>
      <c r="CJ60" s="143"/>
      <c r="CK60" s="143"/>
      <c r="CL60" s="143"/>
      <c r="CM60" s="143"/>
      <c r="CN60" s="143"/>
      <c r="CO60" s="143"/>
      <c r="CP60" s="143"/>
      <c r="CQ60" s="143"/>
      <c r="CR60" s="143"/>
      <c r="CS60" s="143"/>
      <c r="CT60" s="143"/>
      <c r="CU60" s="143"/>
      <c r="CV60" s="143"/>
      <c r="CW60" s="143"/>
      <c r="CX60" s="143"/>
      <c r="CY60" s="143"/>
      <c r="CZ60" s="143"/>
      <c r="DA60" s="143"/>
      <c r="DB60" s="143"/>
      <c r="DC60" s="143"/>
      <c r="DD60" s="143"/>
      <c r="DE60" s="143"/>
      <c r="DF60" s="143"/>
      <c r="DG60" s="143"/>
      <c r="DH60" s="143"/>
      <c r="DI60" s="143"/>
      <c r="DJ60" s="143"/>
      <c r="DK60" s="143"/>
      <c r="DL60" s="143"/>
      <c r="DM60" s="143"/>
      <c r="DN60" s="143"/>
      <c r="DO60" s="143"/>
      <c r="DP60" s="143"/>
      <c r="DQ60" s="143"/>
      <c r="DR60" s="143"/>
      <c r="DS60" s="143"/>
      <c r="DT60" s="143"/>
      <c r="DU60" s="143"/>
      <c r="DV60" s="143"/>
      <c r="DW60" s="143"/>
      <c r="DX60" s="143"/>
      <c r="DY60" s="143"/>
      <c r="DZ60" s="143"/>
      <c r="EA60" s="143"/>
      <c r="EB60" s="143"/>
    </row>
    <row r="61" spans="1:165" x14ac:dyDescent="0.35">
      <c r="AV61" s="144" t="s">
        <v>388</v>
      </c>
      <c r="AW61" s="149">
        <f>AW37/'Population size'!D56</f>
        <v>2.5088653967324025E-2</v>
      </c>
      <c r="AX61" s="149">
        <f>AX37/'Population size'!E56</f>
        <v>2.442843889550517E-2</v>
      </c>
      <c r="AY61" s="149">
        <f>AY37/'Population size'!F56</f>
        <v>2.3878801206415289E-2</v>
      </c>
      <c r="AZ61" s="149">
        <f>AZ37/'Population size'!G56</f>
        <v>2.3400124317180509E-2</v>
      </c>
      <c r="BA61" s="149">
        <f>BA37/'Population size'!H56</f>
        <v>2.2947852265989683E-2</v>
      </c>
      <c r="BB61" s="149">
        <f>BB37/'Population size'!I56</f>
        <v>4.2161398756258212E-2</v>
      </c>
      <c r="BC61" s="149">
        <f>BC37/'Population size'!J56</f>
        <v>4.1469139937430614E-2</v>
      </c>
      <c r="BD61" s="149">
        <f>BD37/'Population size'!K56</f>
        <v>4.0955162061820816E-2</v>
      </c>
      <c r="BE61" s="149">
        <f>BE37/'Population size'!L56</f>
        <v>4.0672783110440661E-2</v>
      </c>
      <c r="BF61" s="149">
        <f>BF37/'Population size'!M56</f>
        <v>4.0679714761023597E-2</v>
      </c>
      <c r="BG61" s="149">
        <f>BG37/'Population size'!N56</f>
        <v>4.8229778406009984E-2</v>
      </c>
      <c r="BH61" s="149">
        <f>BH37/'Population size'!O56</f>
        <v>4.7864359412575365E-2</v>
      </c>
      <c r="BI61" s="149">
        <f>BI37/'Population size'!P56</f>
        <v>4.7775844236540951E-2</v>
      </c>
      <c r="BJ61" s="149">
        <f>BJ37/'Population size'!Q56</f>
        <v>4.7887652732190804E-2</v>
      </c>
      <c r="BK61" s="149">
        <f>BK37/'Population size'!R56</f>
        <v>4.8133083535807537E-2</v>
      </c>
      <c r="BL61" s="149">
        <f>BL37/'Population size'!S56</f>
        <v>4.2070900062983127E-2</v>
      </c>
      <c r="BM61" s="149">
        <f>BM37/'Population size'!T56</f>
        <v>4.1660203507043241E-2</v>
      </c>
      <c r="BN61" s="149">
        <f>BN37/'Population size'!U56</f>
        <v>4.1208236216127826E-2</v>
      </c>
      <c r="BO61" s="149">
        <f>BO37/'Population size'!V56</f>
        <v>4.0689989602987787E-2</v>
      </c>
      <c r="BP61" s="149">
        <f>BP37/'Population size'!W56</f>
        <v>4.0083438158086633E-2</v>
      </c>
      <c r="BQ61" s="149">
        <f>BQ37/'Population size'!X56</f>
        <v>1.8858589070901505E-2</v>
      </c>
      <c r="BR61" s="149">
        <f>BR37/'Population size'!Y56</f>
        <v>1.8145617634652212E-2</v>
      </c>
      <c r="BS61" s="149">
        <f>BS37/'Population size'!Z56</f>
        <v>1.7397728654763755E-2</v>
      </c>
      <c r="BT61" s="149">
        <f>BT37/'Population size'!AA56</f>
        <v>1.6652077531607763E-2</v>
      </c>
      <c r="BU61" s="149">
        <f>BU37/'Population size'!AB56</f>
        <v>1.5954813366416642E-2</v>
      </c>
      <c r="BV61" s="149">
        <f>BV37/'Population size'!AC56</f>
        <v>1.3951293620926369E-2</v>
      </c>
      <c r="BW61" s="149">
        <f>BW37/'Population size'!AD56</f>
        <v>1.3506394859294141E-2</v>
      </c>
      <c r="BX61" s="149">
        <f>BX37/'Population size'!AE56</f>
        <v>1.3087702963390358E-2</v>
      </c>
      <c r="BY61" s="149">
        <f>BY37/'Population size'!AF56</f>
        <v>1.2699561112795842E-2</v>
      </c>
      <c r="BZ61" s="149">
        <f>BZ37/'Population size'!AG56</f>
        <v>1.2353944722119052E-2</v>
      </c>
      <c r="CA61" s="149">
        <f>CA37/'Population size'!AH56</f>
        <v>1.206021403237088E-2</v>
      </c>
    </row>
    <row r="62" spans="1:165" x14ac:dyDescent="0.35">
      <c r="AV62" s="144" t="s">
        <v>392</v>
      </c>
      <c r="AW62" s="149">
        <f>AW38/'Population size'!D64</f>
        <v>5.2631343116388479E-2</v>
      </c>
      <c r="AX62" s="149">
        <f>AX38/'Population size'!E64</f>
        <v>5.1296558684808133E-2</v>
      </c>
      <c r="AY62" s="149">
        <f>AY38/'Population size'!F64</f>
        <v>5.0028394570958028E-2</v>
      </c>
      <c r="AZ62" s="149">
        <f>AZ38/'Population size'!G64</f>
        <v>4.8929321074080837E-2</v>
      </c>
      <c r="BA62" s="149">
        <f>BA38/'Population size'!H64</f>
        <v>4.8137481017355883E-2</v>
      </c>
      <c r="BB62" s="149">
        <f>BB38/'Population size'!I64</f>
        <v>6.2954414701005129E-2</v>
      </c>
      <c r="BC62" s="149">
        <f>BC38/'Population size'!J64</f>
        <v>6.2400429366907463E-2</v>
      </c>
      <c r="BD62" s="149">
        <f>BD38/'Population size'!K64</f>
        <v>6.2295111246054059E-2</v>
      </c>
      <c r="BE62" s="149">
        <f>BE38/'Population size'!L64</f>
        <v>6.2497844214543789E-2</v>
      </c>
      <c r="BF62" s="149">
        <f>BF38/'Population size'!M64</f>
        <v>6.2831370200156278E-2</v>
      </c>
      <c r="BG62" s="149">
        <f>BG38/'Population size'!N64</f>
        <v>7.1151069188377991E-2</v>
      </c>
      <c r="BH62" s="149">
        <f>BH38/'Population size'!O64</f>
        <v>7.1270141146978147E-2</v>
      </c>
      <c r="BI62" s="149">
        <f>BI38/'Population size'!P64</f>
        <v>7.1457224882125678E-2</v>
      </c>
      <c r="BJ62" s="149">
        <f>BJ38/'Population size'!Q64</f>
        <v>7.1749293063680289E-2</v>
      </c>
      <c r="BK62" s="149">
        <f>BK38/'Population size'!R64</f>
        <v>7.2215818234109858E-2</v>
      </c>
      <c r="BL62" s="149">
        <f>BL38/'Population size'!S64</f>
        <v>6.9069634027095497E-2</v>
      </c>
      <c r="BM62" s="149">
        <f>BM38/'Population size'!T64</f>
        <v>6.9092100341301671E-2</v>
      </c>
      <c r="BN62" s="149">
        <f>BN38/'Population size'!U64</f>
        <v>6.9112171904268327E-2</v>
      </c>
      <c r="BO62" s="149">
        <f>BO38/'Population size'!V64</f>
        <v>6.9141577715105429E-2</v>
      </c>
      <c r="BP62" s="149">
        <f>BP38/'Population size'!W64</f>
        <v>6.9211416229702394E-2</v>
      </c>
      <c r="BQ62" s="149">
        <f>BQ38/'Population size'!X64</f>
        <v>4.9429561987597348E-2</v>
      </c>
      <c r="BR62" s="149">
        <f>BR38/'Population size'!Y64</f>
        <v>4.8406030876368869E-2</v>
      </c>
      <c r="BS62" s="149">
        <f>BS38/'Population size'!Z64</f>
        <v>4.7317581948815073E-2</v>
      </c>
      <c r="BT62" s="149">
        <f>BT38/'Population size'!AA64</f>
        <v>4.6193561891139968E-2</v>
      </c>
      <c r="BU62" s="149">
        <f>BU38/'Population size'!AB64</f>
        <v>4.5045627344088859E-2</v>
      </c>
      <c r="BV62" s="149">
        <f>BV38/'Population size'!AC64</f>
        <v>4.3992907977696588E-2</v>
      </c>
      <c r="BW62" s="149">
        <f>BW38/'Population size'!AD64</f>
        <v>4.2655280999967869E-2</v>
      </c>
      <c r="BX62" s="149">
        <f>BX38/'Population size'!AE64</f>
        <v>4.1218411237080206E-2</v>
      </c>
      <c r="BY62" s="149">
        <f>BY38/'Population size'!AF64</f>
        <v>3.9748405074567103E-2</v>
      </c>
      <c r="BZ62" s="149">
        <f>BZ38/'Population size'!AG64</f>
        <v>3.8320574602939764E-2</v>
      </c>
      <c r="CA62" s="149">
        <f>CA38/'Population size'!AH64</f>
        <v>3.6965564292402435E-2</v>
      </c>
    </row>
    <row r="64" spans="1:165" x14ac:dyDescent="0.35">
      <c r="A64" s="2" t="s">
        <v>52</v>
      </c>
      <c r="AV64" s="25" t="s">
        <v>397</v>
      </c>
    </row>
    <row r="65" spans="2:132" x14ac:dyDescent="0.35">
      <c r="C65" s="4">
        <v>1990</v>
      </c>
      <c r="D65" s="4">
        <v>1991</v>
      </c>
      <c r="E65" s="4">
        <v>1992</v>
      </c>
      <c r="F65" s="4">
        <v>1993</v>
      </c>
      <c r="G65" s="4">
        <v>1994</v>
      </c>
      <c r="H65" s="4">
        <v>1995</v>
      </c>
      <c r="I65" s="4">
        <v>1996</v>
      </c>
      <c r="J65" s="4">
        <v>1997</v>
      </c>
      <c r="K65" s="4">
        <v>1998</v>
      </c>
      <c r="L65" s="4">
        <v>1999</v>
      </c>
      <c r="M65" s="4">
        <v>2000</v>
      </c>
      <c r="N65" s="4">
        <v>2001</v>
      </c>
      <c r="O65" s="4">
        <v>2002</v>
      </c>
      <c r="P65" s="4">
        <v>2003</v>
      </c>
      <c r="Q65" s="4">
        <v>2004</v>
      </c>
      <c r="R65" s="4">
        <v>2005</v>
      </c>
      <c r="S65" s="4">
        <v>2006</v>
      </c>
      <c r="T65" s="4">
        <v>2007</v>
      </c>
      <c r="U65" s="4">
        <v>2008</v>
      </c>
      <c r="V65" s="4">
        <v>2009</v>
      </c>
      <c r="W65" s="4">
        <v>2010</v>
      </c>
      <c r="X65" s="4">
        <v>2011</v>
      </c>
      <c r="Y65" s="4">
        <v>2012</v>
      </c>
      <c r="Z65" s="4">
        <v>2013</v>
      </c>
      <c r="AA65" s="4">
        <v>2014</v>
      </c>
      <c r="AB65" s="4">
        <v>2015</v>
      </c>
      <c r="AC65" s="4">
        <v>2016</v>
      </c>
      <c r="AD65" s="4">
        <v>2017</v>
      </c>
      <c r="AE65" s="4">
        <v>2018</v>
      </c>
      <c r="AF65" s="4">
        <v>2019</v>
      </c>
      <c r="AG65" s="4">
        <v>2020</v>
      </c>
      <c r="AH65" s="4">
        <v>2021</v>
      </c>
      <c r="AI65" s="4">
        <v>2022</v>
      </c>
      <c r="AJ65" s="4">
        <v>2023</v>
      </c>
      <c r="AK65" s="4">
        <v>2024</v>
      </c>
      <c r="AL65" s="4">
        <v>2025</v>
      </c>
      <c r="AM65" s="4">
        <v>2026</v>
      </c>
      <c r="AN65" s="4">
        <v>2027</v>
      </c>
      <c r="AO65" s="4">
        <v>2028</v>
      </c>
      <c r="AP65" s="4">
        <v>2029</v>
      </c>
      <c r="AQ65" s="4">
        <v>2030</v>
      </c>
      <c r="AS65" s="4" t="s">
        <v>44</v>
      </c>
      <c r="AT65" s="4"/>
      <c r="AU65" s="4"/>
      <c r="AV65" s="25" t="s">
        <v>394</v>
      </c>
      <c r="AW65" s="4">
        <v>1990</v>
      </c>
      <c r="AX65" s="4">
        <v>1991</v>
      </c>
      <c r="AY65" s="4">
        <v>1992</v>
      </c>
      <c r="AZ65" s="4">
        <v>1993</v>
      </c>
      <c r="BA65" s="4">
        <v>1994</v>
      </c>
      <c r="BB65" s="4">
        <v>1995</v>
      </c>
      <c r="BC65" s="4">
        <v>1996</v>
      </c>
      <c r="BD65" s="4">
        <v>1997</v>
      </c>
      <c r="BE65" s="4">
        <v>1998</v>
      </c>
      <c r="BF65" s="4">
        <v>1999</v>
      </c>
      <c r="BG65" s="4">
        <v>2000</v>
      </c>
      <c r="BH65" s="4">
        <v>2001</v>
      </c>
      <c r="BI65" s="4">
        <v>2002</v>
      </c>
      <c r="BJ65" s="4">
        <v>2003</v>
      </c>
      <c r="BK65" s="4">
        <v>2004</v>
      </c>
      <c r="BL65" s="4">
        <v>2005</v>
      </c>
      <c r="BM65" s="4">
        <v>2006</v>
      </c>
      <c r="BN65" s="4">
        <v>2007</v>
      </c>
      <c r="BO65" s="4">
        <v>2008</v>
      </c>
      <c r="BP65" s="4">
        <v>2009</v>
      </c>
      <c r="BQ65" s="4">
        <v>2010</v>
      </c>
      <c r="BR65" s="4">
        <v>2011</v>
      </c>
      <c r="BS65" s="4">
        <v>2012</v>
      </c>
      <c r="BT65" s="4">
        <v>2013</v>
      </c>
      <c r="BU65" s="4">
        <v>2014</v>
      </c>
      <c r="BV65" s="4">
        <v>2015</v>
      </c>
      <c r="BW65" s="4">
        <v>2016</v>
      </c>
      <c r="BX65" s="4">
        <v>2017</v>
      </c>
      <c r="BY65" s="4">
        <v>2018</v>
      </c>
      <c r="BZ65" s="4">
        <v>2019</v>
      </c>
      <c r="CA65" s="4">
        <v>2020</v>
      </c>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row>
    <row r="66" spans="2:132" x14ac:dyDescent="0.35">
      <c r="B66" s="4" t="str">
        <f>Populations!$C$3</f>
        <v>FSW</v>
      </c>
      <c r="C66" s="7">
        <v>1.17722509728768E-2</v>
      </c>
      <c r="D66" s="7">
        <v>1.17722509728768E-2</v>
      </c>
      <c r="E66" s="7">
        <v>1.17722509728768E-2</v>
      </c>
      <c r="F66" s="7">
        <v>1.17722509728768E-2</v>
      </c>
      <c r="G66" s="7">
        <v>1.17722509728768E-2</v>
      </c>
      <c r="H66" s="7">
        <v>1.17722509728768E-2</v>
      </c>
      <c r="I66" s="7">
        <v>1.17722509728768E-2</v>
      </c>
      <c r="J66" s="7">
        <v>1.17722509728768E-2</v>
      </c>
      <c r="K66" s="7">
        <v>1.17722509728768E-2</v>
      </c>
      <c r="L66" s="7">
        <v>1.17722509728768E-2</v>
      </c>
      <c r="M66" s="7">
        <v>1.17722509728768E-2</v>
      </c>
      <c r="N66" s="7">
        <v>1.1718865258974E-2</v>
      </c>
      <c r="O66" s="7">
        <v>1.1383764334730199E-2</v>
      </c>
      <c r="P66" s="7">
        <v>1.12090404918963E-2</v>
      </c>
      <c r="Q66" s="7">
        <v>1.0759125498706199E-2</v>
      </c>
      <c r="R66" s="7">
        <v>1.0188190279671E-2</v>
      </c>
      <c r="S66" s="7">
        <v>9.7038817868795608E-3</v>
      </c>
      <c r="T66" s="7">
        <v>8.9719394070947103E-3</v>
      </c>
      <c r="U66" s="7">
        <v>8.2678799456878393E-3</v>
      </c>
      <c r="V66" s="7">
        <v>7.6001533212145898E-3</v>
      </c>
      <c r="W66" s="7">
        <v>6.9697192074397903E-3</v>
      </c>
      <c r="X66" s="7">
        <v>6.5241844030005398E-3</v>
      </c>
      <c r="Y66" s="7">
        <v>6.09868828228148E-3</v>
      </c>
      <c r="Z66" s="7">
        <v>5.2203154401050901E-3</v>
      </c>
      <c r="AA66" s="7">
        <v>4.8146552687710203E-3</v>
      </c>
      <c r="AB66" s="7">
        <v>4.2969263041674199E-3</v>
      </c>
      <c r="AC66" s="7"/>
      <c r="AD66" s="7"/>
      <c r="AE66" s="7"/>
      <c r="AF66" s="7"/>
      <c r="AG66" s="7"/>
      <c r="AH66" s="7"/>
      <c r="AI66" s="7"/>
      <c r="AJ66" s="7"/>
      <c r="AK66" s="7"/>
      <c r="AL66" s="7"/>
      <c r="AM66" s="7"/>
      <c r="AN66" s="7"/>
      <c r="AO66" s="7"/>
      <c r="AP66" s="7"/>
      <c r="AQ66" s="7"/>
      <c r="AR66" s="6" t="s">
        <v>46</v>
      </c>
      <c r="AS66" s="7"/>
      <c r="AT66" s="143"/>
      <c r="AU66" s="143"/>
      <c r="AV66" s="144" t="s">
        <v>140</v>
      </c>
      <c r="AW66" s="150">
        <v>46</v>
      </c>
      <c r="AX66" s="150">
        <v>43</v>
      </c>
      <c r="AY66" s="150">
        <v>41</v>
      </c>
      <c r="AZ66" s="150">
        <v>38</v>
      </c>
      <c r="BA66" s="150">
        <v>36</v>
      </c>
      <c r="BB66" s="150">
        <v>35</v>
      </c>
      <c r="BC66" s="150">
        <v>32</v>
      </c>
      <c r="BD66" s="150">
        <v>29</v>
      </c>
      <c r="BE66" s="150">
        <v>27</v>
      </c>
      <c r="BF66" s="150">
        <v>23</v>
      </c>
      <c r="BG66" s="150">
        <v>22</v>
      </c>
      <c r="BH66" s="150">
        <v>20</v>
      </c>
      <c r="BI66" s="150">
        <v>18</v>
      </c>
      <c r="BJ66" s="150">
        <v>16</v>
      </c>
      <c r="BK66" s="150">
        <v>15</v>
      </c>
      <c r="BL66" s="150">
        <v>14</v>
      </c>
      <c r="BM66" s="150">
        <v>13</v>
      </c>
      <c r="BN66" s="150">
        <v>10</v>
      </c>
      <c r="BO66" s="150">
        <v>9</v>
      </c>
      <c r="BP66" s="150">
        <v>8</v>
      </c>
      <c r="BQ66" s="150">
        <v>6</v>
      </c>
      <c r="BR66" s="150">
        <v>5</v>
      </c>
      <c r="BS66" s="150">
        <v>4</v>
      </c>
      <c r="BT66" s="150">
        <v>3</v>
      </c>
      <c r="BU66" s="150">
        <v>2</v>
      </c>
      <c r="BV66" s="150">
        <v>2</v>
      </c>
      <c r="BW66" s="150">
        <v>2</v>
      </c>
      <c r="BX66" s="150">
        <v>2</v>
      </c>
      <c r="BY66" s="150">
        <v>1</v>
      </c>
      <c r="BZ66" s="150">
        <v>1</v>
      </c>
      <c r="CA66" s="150">
        <v>0</v>
      </c>
      <c r="CB66" s="143"/>
      <c r="CC66" s="143"/>
      <c r="CD66" s="143"/>
      <c r="CE66" s="143"/>
      <c r="CF66" s="143"/>
      <c r="CG66" s="143"/>
      <c r="CH66" s="143"/>
      <c r="CI66" s="143"/>
      <c r="CJ66" s="143"/>
      <c r="CK66" s="143"/>
      <c r="CL66" s="143"/>
      <c r="CM66" s="143"/>
      <c r="CN66" s="143"/>
      <c r="CO66" s="143"/>
      <c r="CP66" s="143"/>
      <c r="CQ66" s="143"/>
      <c r="CR66" s="143"/>
      <c r="CS66" s="143"/>
      <c r="CT66" s="143"/>
      <c r="CU66" s="143"/>
      <c r="CV66" s="143"/>
      <c r="CW66" s="143"/>
      <c r="CX66" s="143"/>
      <c r="CY66" s="143"/>
      <c r="CZ66" s="143"/>
      <c r="DA66" s="143"/>
      <c r="DB66" s="143"/>
      <c r="DC66" s="143"/>
      <c r="DD66" s="143"/>
      <c r="DE66" s="143"/>
      <c r="DF66" s="143"/>
      <c r="DG66" s="143"/>
      <c r="DH66" s="143"/>
      <c r="DI66" s="143"/>
      <c r="DJ66" s="143"/>
      <c r="DK66" s="143"/>
      <c r="DL66" s="143"/>
      <c r="DM66" s="143"/>
      <c r="DN66" s="143"/>
      <c r="DO66" s="143"/>
      <c r="DP66" s="143"/>
      <c r="DQ66" s="143"/>
      <c r="DR66" s="143"/>
      <c r="DS66" s="143"/>
      <c r="DT66" s="143"/>
      <c r="DU66" s="143"/>
      <c r="DV66" s="143"/>
      <c r="DW66" s="143"/>
      <c r="DX66" s="143"/>
      <c r="DY66" s="143"/>
      <c r="DZ66" s="143"/>
      <c r="EA66" s="143"/>
      <c r="EB66" s="143"/>
    </row>
    <row r="67" spans="2:132" x14ac:dyDescent="0.35">
      <c r="B67" s="4" t="str">
        <f>Populations!$C$4</f>
        <v>Clients</v>
      </c>
      <c r="C67" s="7">
        <v>1.8451632396362001E-2</v>
      </c>
      <c r="D67" s="7">
        <v>1.8451632396362001E-2</v>
      </c>
      <c r="E67" s="7">
        <v>1.8451632396362001E-2</v>
      </c>
      <c r="F67" s="7">
        <v>1.8451632396362001E-2</v>
      </c>
      <c r="G67" s="7">
        <v>1.8451632396362001E-2</v>
      </c>
      <c r="H67" s="7">
        <v>1.8451632396362001E-2</v>
      </c>
      <c r="I67" s="7">
        <v>1.8451632396362001E-2</v>
      </c>
      <c r="J67" s="7">
        <v>1.8451632396362001E-2</v>
      </c>
      <c r="K67" s="7">
        <v>1.8451632396362001E-2</v>
      </c>
      <c r="L67" s="7">
        <v>1.8451632396362001E-2</v>
      </c>
      <c r="M67" s="7">
        <v>1.8451632396362001E-2</v>
      </c>
      <c r="N67" s="7">
        <v>1.83944884413762E-2</v>
      </c>
      <c r="O67" s="7">
        <v>1.7901931044016599E-2</v>
      </c>
      <c r="P67" s="7">
        <v>1.76666316896422E-2</v>
      </c>
      <c r="Q67" s="7">
        <v>1.69998468432805E-2</v>
      </c>
      <c r="R67" s="7">
        <v>1.6139551426236701E-2</v>
      </c>
      <c r="S67" s="7">
        <v>1.53831368917301E-2</v>
      </c>
      <c r="T67" s="7">
        <v>1.4238813000633E-2</v>
      </c>
      <c r="U67" s="7">
        <v>1.3140998054714E-2</v>
      </c>
      <c r="V67" s="7">
        <v>1.210126603642E-2</v>
      </c>
      <c r="W67" s="7">
        <v>1.1121076616041401E-2</v>
      </c>
      <c r="X67" s="7">
        <v>1.0427557459572001E-2</v>
      </c>
      <c r="Y67" s="7">
        <v>9.7705927612921697E-3</v>
      </c>
      <c r="Z67" s="7">
        <v>8.3889981115759307E-3</v>
      </c>
      <c r="AA67" s="7">
        <v>7.7661482775100701E-3</v>
      </c>
      <c r="AB67" s="7">
        <v>6.961477244221E-3</v>
      </c>
      <c r="AC67" s="7"/>
      <c r="AD67" s="7"/>
      <c r="AE67" s="7"/>
      <c r="AF67" s="7"/>
      <c r="AG67" s="7"/>
      <c r="AH67" s="7"/>
      <c r="AI67" s="7"/>
      <c r="AJ67" s="7"/>
      <c r="AK67" s="7"/>
      <c r="AL67" s="7"/>
      <c r="AM67" s="7"/>
      <c r="AN67" s="7"/>
      <c r="AO67" s="7"/>
      <c r="AP67" s="7"/>
      <c r="AQ67" s="7"/>
      <c r="AR67" s="6" t="s">
        <v>46</v>
      </c>
      <c r="AS67" s="7"/>
      <c r="AT67" s="143"/>
      <c r="AU67" s="143"/>
      <c r="AV67" s="144" t="s">
        <v>368</v>
      </c>
      <c r="AW67" s="150">
        <v>0</v>
      </c>
      <c r="AX67" s="150">
        <v>0</v>
      </c>
      <c r="AY67" s="150">
        <v>0</v>
      </c>
      <c r="AZ67" s="150">
        <v>0</v>
      </c>
      <c r="BA67" s="150">
        <v>0</v>
      </c>
      <c r="BB67" s="150">
        <v>0</v>
      </c>
      <c r="BC67" s="150">
        <v>1</v>
      </c>
      <c r="BD67" s="150">
        <v>5</v>
      </c>
      <c r="BE67" s="150">
        <v>6</v>
      </c>
      <c r="BF67" s="150">
        <v>7</v>
      </c>
      <c r="BG67" s="150">
        <v>7</v>
      </c>
      <c r="BH67" s="150">
        <v>8</v>
      </c>
      <c r="BI67" s="150">
        <v>7</v>
      </c>
      <c r="BJ67" s="150">
        <v>6</v>
      </c>
      <c r="BK67" s="150">
        <v>6</v>
      </c>
      <c r="BL67" s="150">
        <v>5</v>
      </c>
      <c r="BM67" s="150">
        <v>4</v>
      </c>
      <c r="BN67" s="150">
        <v>3</v>
      </c>
      <c r="BO67" s="150">
        <v>3</v>
      </c>
      <c r="BP67" s="150">
        <v>2</v>
      </c>
      <c r="BQ67" s="150">
        <v>1</v>
      </c>
      <c r="BR67" s="150">
        <v>1</v>
      </c>
      <c r="BS67" s="150">
        <v>1</v>
      </c>
      <c r="BT67" s="150">
        <v>1</v>
      </c>
      <c r="BU67" s="150">
        <v>1</v>
      </c>
      <c r="BV67" s="150">
        <v>1</v>
      </c>
      <c r="BW67" s="150">
        <v>1</v>
      </c>
      <c r="BX67" s="150">
        <v>0</v>
      </c>
      <c r="BY67" s="150">
        <v>0</v>
      </c>
      <c r="BZ67" s="150">
        <v>0</v>
      </c>
      <c r="CA67" s="150">
        <v>0</v>
      </c>
      <c r="CB67" s="143"/>
      <c r="CC67" s="143"/>
      <c r="CD67" s="143"/>
      <c r="CE67" s="143"/>
      <c r="CF67" s="143"/>
      <c r="CG67" s="143"/>
      <c r="CH67" s="143"/>
      <c r="CI67" s="143"/>
      <c r="CJ67" s="143"/>
      <c r="CK67" s="143"/>
      <c r="CL67" s="143"/>
      <c r="CM67" s="143"/>
      <c r="CN67" s="143"/>
      <c r="CO67" s="143"/>
      <c r="CP67" s="143"/>
      <c r="CQ67" s="143"/>
      <c r="CR67" s="143"/>
      <c r="CS67" s="143"/>
      <c r="CT67" s="143"/>
      <c r="CU67" s="143"/>
      <c r="CV67" s="143"/>
      <c r="CW67" s="143"/>
      <c r="CX67" s="143"/>
      <c r="CY67" s="143"/>
      <c r="CZ67" s="143"/>
      <c r="DA67" s="143"/>
      <c r="DB67" s="143"/>
      <c r="DC67" s="143"/>
      <c r="DD67" s="143"/>
      <c r="DE67" s="143"/>
      <c r="DF67" s="143"/>
      <c r="DG67" s="143"/>
      <c r="DH67" s="143"/>
      <c r="DI67" s="143"/>
      <c r="DJ67" s="143"/>
      <c r="DK67" s="143"/>
      <c r="DL67" s="143"/>
      <c r="DM67" s="143"/>
      <c r="DN67" s="143"/>
      <c r="DO67" s="143"/>
      <c r="DP67" s="143"/>
      <c r="DQ67" s="143"/>
      <c r="DR67" s="143"/>
      <c r="DS67" s="143"/>
      <c r="DT67" s="143"/>
      <c r="DU67" s="143"/>
      <c r="DV67" s="143"/>
      <c r="DW67" s="143"/>
      <c r="DX67" s="143"/>
      <c r="DY67" s="143"/>
      <c r="DZ67" s="143"/>
      <c r="EA67" s="143"/>
      <c r="EB67" s="143"/>
    </row>
    <row r="68" spans="2:132" x14ac:dyDescent="0.35">
      <c r="B68" s="4" t="str">
        <f>Populations!$C$5</f>
        <v>MSM</v>
      </c>
      <c r="C68" s="7">
        <v>1.8451632396362001E-2</v>
      </c>
      <c r="D68" s="7">
        <v>1.8451632396362001E-2</v>
      </c>
      <c r="E68" s="7">
        <v>1.8451632396362001E-2</v>
      </c>
      <c r="F68" s="7">
        <v>1.8451632396362001E-2</v>
      </c>
      <c r="G68" s="7">
        <v>1.8451632396362001E-2</v>
      </c>
      <c r="H68" s="7">
        <v>1.8451632396362001E-2</v>
      </c>
      <c r="I68" s="7">
        <v>1.8451632396362001E-2</v>
      </c>
      <c r="J68" s="7">
        <v>1.8451632396362001E-2</v>
      </c>
      <c r="K68" s="7">
        <v>1.8451632396362001E-2</v>
      </c>
      <c r="L68" s="7">
        <v>1.8451632396362001E-2</v>
      </c>
      <c r="M68" s="7">
        <v>1.8451632396362001E-2</v>
      </c>
      <c r="N68" s="7">
        <v>1.83944884413762E-2</v>
      </c>
      <c r="O68" s="7">
        <v>1.7901931044016599E-2</v>
      </c>
      <c r="P68" s="7">
        <v>1.76666316896422E-2</v>
      </c>
      <c r="Q68" s="7">
        <v>1.69998468432805E-2</v>
      </c>
      <c r="R68" s="7">
        <v>1.6139551426236701E-2</v>
      </c>
      <c r="S68" s="7">
        <v>1.53831368917301E-2</v>
      </c>
      <c r="T68" s="7">
        <v>1.4238813000633E-2</v>
      </c>
      <c r="U68" s="7">
        <v>1.3140998054714E-2</v>
      </c>
      <c r="V68" s="7">
        <v>1.210126603642E-2</v>
      </c>
      <c r="W68" s="7">
        <v>1.1121076616041401E-2</v>
      </c>
      <c r="X68" s="7">
        <v>1.0427557459572001E-2</v>
      </c>
      <c r="Y68" s="7">
        <v>9.7705927612921697E-3</v>
      </c>
      <c r="Z68" s="7">
        <v>8.3889981115759307E-3</v>
      </c>
      <c r="AA68" s="7">
        <v>7.7661482775100701E-3</v>
      </c>
      <c r="AB68" s="7">
        <v>6.961477244221E-3</v>
      </c>
      <c r="AC68" s="7"/>
      <c r="AD68" s="7"/>
      <c r="AE68" s="7"/>
      <c r="AF68" s="7"/>
      <c r="AG68" s="7"/>
      <c r="AH68" s="7"/>
      <c r="AI68" s="7"/>
      <c r="AJ68" s="7"/>
      <c r="AK68" s="7"/>
      <c r="AL68" s="7"/>
      <c r="AM68" s="7"/>
      <c r="AN68" s="7"/>
      <c r="AO68" s="7"/>
      <c r="AP68" s="7"/>
      <c r="AQ68" s="7"/>
      <c r="AR68" s="6" t="s">
        <v>46</v>
      </c>
      <c r="AS68" s="7"/>
      <c r="AT68" s="143"/>
      <c r="AU68" s="143"/>
      <c r="AV68" s="144" t="s">
        <v>369</v>
      </c>
      <c r="AW68" s="150">
        <v>6</v>
      </c>
      <c r="AX68" s="150">
        <v>5</v>
      </c>
      <c r="AY68" s="150">
        <v>3</v>
      </c>
      <c r="AZ68" s="150">
        <v>3</v>
      </c>
      <c r="BA68" s="150">
        <v>3</v>
      </c>
      <c r="BB68" s="150">
        <v>3</v>
      </c>
      <c r="BC68" s="150">
        <v>3</v>
      </c>
      <c r="BD68" s="150">
        <v>3</v>
      </c>
      <c r="BE68" s="150">
        <v>2</v>
      </c>
      <c r="BF68" s="150">
        <v>2</v>
      </c>
      <c r="BG68" s="150">
        <v>2</v>
      </c>
      <c r="BH68" s="150">
        <v>2</v>
      </c>
      <c r="BI68" s="150">
        <v>3</v>
      </c>
      <c r="BJ68" s="150">
        <v>4</v>
      </c>
      <c r="BK68" s="150">
        <v>4</v>
      </c>
      <c r="BL68" s="150">
        <v>4</v>
      </c>
      <c r="BM68" s="150">
        <v>4</v>
      </c>
      <c r="BN68" s="150">
        <v>3</v>
      </c>
      <c r="BO68" s="150">
        <v>2</v>
      </c>
      <c r="BP68" s="150">
        <v>2</v>
      </c>
      <c r="BQ68" s="150">
        <v>1</v>
      </c>
      <c r="BR68" s="150">
        <v>1</v>
      </c>
      <c r="BS68" s="150">
        <v>1</v>
      </c>
      <c r="BT68" s="150">
        <v>1</v>
      </c>
      <c r="BU68" s="150">
        <v>1</v>
      </c>
      <c r="BV68" s="150">
        <v>1</v>
      </c>
      <c r="BW68" s="150">
        <v>1</v>
      </c>
      <c r="BX68" s="150">
        <v>1</v>
      </c>
      <c r="BY68" s="150">
        <v>1</v>
      </c>
      <c r="BZ68" s="150">
        <v>0</v>
      </c>
      <c r="CA68" s="150">
        <v>0</v>
      </c>
      <c r="CB68" s="143"/>
      <c r="CC68" s="143"/>
      <c r="CD68" s="143"/>
      <c r="CE68" s="143"/>
      <c r="CF68" s="143"/>
      <c r="CG68" s="143"/>
      <c r="CH68" s="143"/>
      <c r="CI68" s="143"/>
      <c r="CJ68" s="143"/>
      <c r="CK68" s="143"/>
      <c r="CL68" s="143"/>
      <c r="CM68" s="143"/>
      <c r="CN68" s="143"/>
      <c r="CO68" s="143"/>
      <c r="CP68" s="143"/>
      <c r="CQ68" s="143"/>
      <c r="CR68" s="143"/>
      <c r="CS68" s="143"/>
      <c r="CT68" s="143"/>
      <c r="CU68" s="143"/>
      <c r="CV68" s="143"/>
      <c r="CW68" s="143"/>
      <c r="CX68" s="143"/>
      <c r="CY68" s="143"/>
      <c r="CZ68" s="143"/>
      <c r="DA68" s="143"/>
      <c r="DB68" s="143"/>
      <c r="DC68" s="143"/>
      <c r="DD68" s="143"/>
      <c r="DE68" s="143"/>
      <c r="DF68" s="143"/>
      <c r="DG68" s="143"/>
      <c r="DH68" s="143"/>
      <c r="DI68" s="143"/>
      <c r="DJ68" s="143"/>
      <c r="DK68" s="143"/>
      <c r="DL68" s="143"/>
      <c r="DM68" s="143"/>
      <c r="DN68" s="143"/>
      <c r="DO68" s="143"/>
      <c r="DP68" s="143"/>
      <c r="DQ68" s="143"/>
      <c r="DR68" s="143"/>
      <c r="DS68" s="143"/>
      <c r="DT68" s="143"/>
      <c r="DU68" s="143"/>
      <c r="DV68" s="143"/>
      <c r="DW68" s="143"/>
      <c r="DX68" s="143"/>
      <c r="DY68" s="143"/>
      <c r="DZ68" s="143"/>
      <c r="EA68" s="143"/>
      <c r="EB68" s="143"/>
    </row>
    <row r="69" spans="2:132" x14ac:dyDescent="0.35">
      <c r="B69" s="4" t="str">
        <f>Populations!$C$6</f>
        <v>Prisoners</v>
      </c>
      <c r="C69" s="7">
        <v>1.8451632396362001E-2</v>
      </c>
      <c r="D69" s="7">
        <v>1.8451632396362001E-2</v>
      </c>
      <c r="E69" s="7">
        <v>1.8451632396362001E-2</v>
      </c>
      <c r="F69" s="7">
        <v>1.8451632396362001E-2</v>
      </c>
      <c r="G69" s="7">
        <v>1.8451632396362001E-2</v>
      </c>
      <c r="H69" s="7">
        <v>1.8451632396362001E-2</v>
      </c>
      <c r="I69" s="7">
        <v>1.8451632396362001E-2</v>
      </c>
      <c r="J69" s="7">
        <v>1.8451632396362001E-2</v>
      </c>
      <c r="K69" s="7">
        <v>1.8451632396362001E-2</v>
      </c>
      <c r="L69" s="7">
        <v>1.8451632396362001E-2</v>
      </c>
      <c r="M69" s="7">
        <v>1.8451632396362001E-2</v>
      </c>
      <c r="N69" s="7">
        <v>1.83944884413762E-2</v>
      </c>
      <c r="O69" s="7">
        <v>1.7901931044016599E-2</v>
      </c>
      <c r="P69" s="7">
        <v>1.76666316896422E-2</v>
      </c>
      <c r="Q69" s="7">
        <v>1.69998468432805E-2</v>
      </c>
      <c r="R69" s="7">
        <v>1.6139551426236701E-2</v>
      </c>
      <c r="S69" s="7">
        <v>1.53831368917301E-2</v>
      </c>
      <c r="T69" s="7">
        <v>1.4238813000633E-2</v>
      </c>
      <c r="U69" s="7">
        <v>1.3140998054714E-2</v>
      </c>
      <c r="V69" s="7">
        <v>1.210126603642E-2</v>
      </c>
      <c r="W69" s="7">
        <v>1.1121076616041401E-2</v>
      </c>
      <c r="X69" s="7">
        <v>1.0427557459572001E-2</v>
      </c>
      <c r="Y69" s="7">
        <v>9.7705927612921697E-3</v>
      </c>
      <c r="Z69" s="7">
        <v>8.3889981115759307E-3</v>
      </c>
      <c r="AA69" s="7">
        <v>7.7661482775100701E-3</v>
      </c>
      <c r="AB69" s="7">
        <v>6.961477244221E-3</v>
      </c>
      <c r="AC69" s="7"/>
      <c r="AD69" s="7"/>
      <c r="AE69" s="7"/>
      <c r="AF69" s="7"/>
      <c r="AG69" s="7"/>
      <c r="AH69" s="7"/>
      <c r="AI69" s="7"/>
      <c r="AJ69" s="7"/>
      <c r="AK69" s="7"/>
      <c r="AL69" s="7"/>
      <c r="AM69" s="7"/>
      <c r="AN69" s="7"/>
      <c r="AO69" s="7"/>
      <c r="AP69" s="7"/>
      <c r="AQ69" s="7"/>
      <c r="AR69" s="6" t="s">
        <v>46</v>
      </c>
      <c r="AS69" s="7"/>
      <c r="AT69" s="143"/>
      <c r="AU69" s="143"/>
      <c r="AV69" s="144" t="s">
        <v>387</v>
      </c>
      <c r="AW69" s="150">
        <v>80</v>
      </c>
      <c r="AX69" s="150">
        <v>84</v>
      </c>
      <c r="AY69" s="150">
        <v>84</v>
      </c>
      <c r="AZ69" s="150">
        <v>79</v>
      </c>
      <c r="BA69" s="150">
        <v>71</v>
      </c>
      <c r="BB69" s="150">
        <v>63</v>
      </c>
      <c r="BC69" s="150">
        <v>54</v>
      </c>
      <c r="BD69" s="150">
        <v>46</v>
      </c>
      <c r="BE69" s="150">
        <v>41</v>
      </c>
      <c r="BF69" s="150">
        <v>35</v>
      </c>
      <c r="BG69" s="150">
        <v>31</v>
      </c>
      <c r="BH69" s="150">
        <v>27</v>
      </c>
      <c r="BI69" s="150">
        <v>24</v>
      </c>
      <c r="BJ69" s="150">
        <v>23</v>
      </c>
      <c r="BK69" s="150">
        <v>20</v>
      </c>
      <c r="BL69" s="150">
        <v>18</v>
      </c>
      <c r="BM69" s="150">
        <v>15</v>
      </c>
      <c r="BN69" s="150">
        <v>13</v>
      </c>
      <c r="BO69" s="150">
        <v>10</v>
      </c>
      <c r="BP69" s="150">
        <v>7</v>
      </c>
      <c r="BQ69" s="150">
        <v>4</v>
      </c>
      <c r="BR69" s="150">
        <v>3</v>
      </c>
      <c r="BS69" s="150">
        <v>2</v>
      </c>
      <c r="BT69" s="150">
        <v>2</v>
      </c>
      <c r="BU69" s="150">
        <v>2</v>
      </c>
      <c r="BV69" s="150">
        <v>2</v>
      </c>
      <c r="BW69" s="150">
        <v>2</v>
      </c>
      <c r="BX69" s="150">
        <v>2</v>
      </c>
      <c r="BY69" s="150">
        <v>2</v>
      </c>
      <c r="BZ69" s="150">
        <v>1</v>
      </c>
      <c r="CA69" s="150">
        <v>1</v>
      </c>
      <c r="CB69" s="143"/>
      <c r="CC69" s="143"/>
      <c r="CD69" s="143"/>
      <c r="CE69" s="143"/>
      <c r="CF69" s="143"/>
      <c r="CG69" s="143"/>
      <c r="CH69" s="143"/>
      <c r="CI69" s="143"/>
      <c r="CJ69" s="143"/>
      <c r="CK69" s="143"/>
      <c r="CL69" s="143"/>
      <c r="CM69" s="143"/>
      <c r="CN69" s="143"/>
      <c r="CO69" s="143"/>
      <c r="CP69" s="143"/>
      <c r="CQ69" s="143"/>
      <c r="CR69" s="143"/>
      <c r="CS69" s="143"/>
      <c r="CT69" s="143"/>
      <c r="CU69" s="143"/>
      <c r="CV69" s="143"/>
      <c r="CW69" s="143"/>
      <c r="CX69" s="143"/>
      <c r="CY69" s="143"/>
      <c r="CZ69" s="143"/>
      <c r="DA69" s="143"/>
      <c r="DB69" s="143"/>
      <c r="DC69" s="143"/>
      <c r="DD69" s="143"/>
      <c r="DE69" s="143"/>
      <c r="DF69" s="143"/>
      <c r="DG69" s="143"/>
      <c r="DH69" s="143"/>
      <c r="DI69" s="143"/>
      <c r="DJ69" s="143"/>
      <c r="DK69" s="143"/>
      <c r="DL69" s="143"/>
      <c r="DM69" s="143"/>
      <c r="DN69" s="143"/>
      <c r="DO69" s="143"/>
      <c r="DP69" s="143"/>
      <c r="DQ69" s="143"/>
      <c r="DR69" s="143"/>
      <c r="DS69" s="143"/>
      <c r="DT69" s="143"/>
      <c r="DU69" s="143"/>
      <c r="DV69" s="143"/>
      <c r="DW69" s="143"/>
      <c r="DX69" s="143"/>
      <c r="DY69" s="143"/>
      <c r="DZ69" s="143"/>
      <c r="EA69" s="143"/>
      <c r="EB69" s="143"/>
    </row>
    <row r="70" spans="2:132" x14ac:dyDescent="0.35">
      <c r="B70" s="4" t="str">
        <f>Populations!$C$7</f>
        <v>F0-14</v>
      </c>
      <c r="C70" s="7">
        <v>1.4603308559692199E-3</v>
      </c>
      <c r="D70" s="7">
        <v>1.4603308559692199E-3</v>
      </c>
      <c r="E70" s="7">
        <v>1.4603308559692199E-3</v>
      </c>
      <c r="F70" s="7">
        <v>1.4603308559692199E-3</v>
      </c>
      <c r="G70" s="7">
        <v>1.4603308559692199E-3</v>
      </c>
      <c r="H70" s="7">
        <v>1.4603308559692199E-3</v>
      </c>
      <c r="I70" s="7">
        <v>1.4603308559692199E-3</v>
      </c>
      <c r="J70" s="7">
        <v>1.4603308559692199E-3</v>
      </c>
      <c r="K70" s="7">
        <v>1.4603308559692199E-3</v>
      </c>
      <c r="L70" s="7">
        <v>1.4603308559692199E-3</v>
      </c>
      <c r="M70" s="7">
        <v>1.4603308559692199E-3</v>
      </c>
      <c r="N70" s="7">
        <v>1.4661643916187999E-3</v>
      </c>
      <c r="O70" s="7">
        <v>1.4395574025266799E-3</v>
      </c>
      <c r="P70" s="7">
        <v>1.4370127423255399E-3</v>
      </c>
      <c r="Q70" s="7">
        <v>1.40380516550957E-3</v>
      </c>
      <c r="R70" s="7">
        <v>1.35835562062125E-3</v>
      </c>
      <c r="S70" s="7">
        <v>1.30820203646789E-3</v>
      </c>
      <c r="T70" s="7">
        <v>1.2281188351939401E-3</v>
      </c>
      <c r="U70" s="7">
        <v>1.1526103781562701E-3</v>
      </c>
      <c r="V70" s="7">
        <v>1.0802995204669699E-3</v>
      </c>
      <c r="W70" s="7">
        <v>1.0101052479136799E-3</v>
      </c>
      <c r="X70" s="7">
        <v>9.5500338622630404E-4</v>
      </c>
      <c r="Y70" s="7">
        <v>9.0072905089243302E-4</v>
      </c>
      <c r="Z70" s="7">
        <v>7.7734726672026996E-4</v>
      </c>
      <c r="AA70" s="7">
        <v>7.2246586184048802E-4</v>
      </c>
      <c r="AB70" s="7">
        <v>6.4925369152466004E-4</v>
      </c>
      <c r="AC70" s="7"/>
      <c r="AD70" s="7"/>
      <c r="AE70" s="7"/>
      <c r="AF70" s="7"/>
      <c r="AG70" s="7"/>
      <c r="AH70" s="7"/>
      <c r="AI70" s="7"/>
      <c r="AJ70" s="7"/>
      <c r="AK70" s="7"/>
      <c r="AL70" s="7"/>
      <c r="AM70" s="7"/>
      <c r="AN70" s="7"/>
      <c r="AO70" s="7"/>
      <c r="AP70" s="7"/>
      <c r="AQ70" s="7"/>
      <c r="AR70" s="6" t="s">
        <v>46</v>
      </c>
      <c r="AS70" s="7"/>
      <c r="AT70" s="143"/>
      <c r="AU70" s="143"/>
      <c r="AV70" s="144" t="s">
        <v>388</v>
      </c>
      <c r="AW70" s="150">
        <v>84</v>
      </c>
      <c r="AX70" s="150">
        <v>93</v>
      </c>
      <c r="AY70" s="150">
        <v>102</v>
      </c>
      <c r="AZ70" s="150">
        <v>107</v>
      </c>
      <c r="BA70" s="150">
        <v>112</v>
      </c>
      <c r="BB70" s="150">
        <v>116</v>
      </c>
      <c r="BC70" s="150">
        <v>117</v>
      </c>
      <c r="BD70" s="150">
        <v>117</v>
      </c>
      <c r="BE70" s="150">
        <v>115</v>
      </c>
      <c r="BF70" s="150">
        <v>112</v>
      </c>
      <c r="BG70" s="150">
        <v>108</v>
      </c>
      <c r="BH70" s="150">
        <v>102</v>
      </c>
      <c r="BI70" s="150">
        <v>95</v>
      </c>
      <c r="BJ70" s="150">
        <v>88</v>
      </c>
      <c r="BK70" s="150">
        <v>77</v>
      </c>
      <c r="BL70" s="150">
        <v>66</v>
      </c>
      <c r="BM70" s="150">
        <v>55</v>
      </c>
      <c r="BN70" s="150">
        <v>43</v>
      </c>
      <c r="BO70" s="150">
        <v>35</v>
      </c>
      <c r="BP70" s="150">
        <v>21</v>
      </c>
      <c r="BQ70" s="150">
        <v>12</v>
      </c>
      <c r="BR70" s="150">
        <v>7</v>
      </c>
      <c r="BS70" s="150">
        <v>6</v>
      </c>
      <c r="BT70" s="150">
        <v>6</v>
      </c>
      <c r="BU70" s="150">
        <v>3</v>
      </c>
      <c r="BV70" s="150">
        <v>5</v>
      </c>
      <c r="BW70" s="150">
        <v>5</v>
      </c>
      <c r="BX70" s="150">
        <v>3</v>
      </c>
      <c r="BY70" s="150">
        <v>3</v>
      </c>
      <c r="BZ70" s="150">
        <v>3</v>
      </c>
      <c r="CA70" s="150">
        <v>3</v>
      </c>
      <c r="CB70" s="143"/>
      <c r="CC70" s="143"/>
      <c r="CD70" s="143"/>
      <c r="CE70" s="143"/>
      <c r="CF70" s="143"/>
      <c r="CG70" s="143"/>
      <c r="CH70" s="143"/>
      <c r="CI70" s="143"/>
      <c r="CJ70" s="143"/>
      <c r="CK70" s="143"/>
      <c r="CL70" s="143"/>
      <c r="CM70" s="143"/>
      <c r="CN70" s="143"/>
      <c r="CO70" s="143"/>
      <c r="CP70" s="143"/>
      <c r="CQ70" s="143"/>
      <c r="CR70" s="143"/>
      <c r="CS70" s="143"/>
      <c r="CT70" s="143"/>
      <c r="CU70" s="143"/>
      <c r="CV70" s="143"/>
      <c r="CW70" s="143"/>
      <c r="CX70" s="143"/>
      <c r="CY70" s="143"/>
      <c r="CZ70" s="143"/>
      <c r="DA70" s="143"/>
      <c r="DB70" s="143"/>
      <c r="DC70" s="143"/>
      <c r="DD70" s="143"/>
      <c r="DE70" s="143"/>
      <c r="DF70" s="143"/>
      <c r="DG70" s="143"/>
      <c r="DH70" s="143"/>
      <c r="DI70" s="143"/>
      <c r="DJ70" s="143"/>
      <c r="DK70" s="143"/>
      <c r="DL70" s="143"/>
      <c r="DM70" s="143"/>
      <c r="DN70" s="143"/>
      <c r="DO70" s="143"/>
      <c r="DP70" s="143"/>
      <c r="DQ70" s="143"/>
      <c r="DR70" s="143"/>
      <c r="DS70" s="143"/>
      <c r="DT70" s="143"/>
      <c r="DU70" s="143"/>
      <c r="DV70" s="143"/>
      <c r="DW70" s="143"/>
      <c r="DX70" s="143"/>
      <c r="DY70" s="143"/>
      <c r="DZ70" s="143"/>
      <c r="EA70" s="143"/>
      <c r="EB70" s="143"/>
    </row>
    <row r="71" spans="2:132" x14ac:dyDescent="0.35">
      <c r="B71" s="4" t="str">
        <f>Populations!$C$8</f>
        <v>M0-14</v>
      </c>
      <c r="C71" s="7">
        <v>1.54464594062786E-3</v>
      </c>
      <c r="D71" s="7">
        <v>1.54464594062786E-3</v>
      </c>
      <c r="E71" s="7">
        <v>1.54464594062786E-3</v>
      </c>
      <c r="F71" s="7">
        <v>1.54464594062786E-3</v>
      </c>
      <c r="G71" s="7">
        <v>1.54464594062786E-3</v>
      </c>
      <c r="H71" s="7">
        <v>1.54464594062786E-3</v>
      </c>
      <c r="I71" s="7">
        <v>1.54464594062786E-3</v>
      </c>
      <c r="J71" s="7">
        <v>1.54464594062786E-3</v>
      </c>
      <c r="K71" s="7">
        <v>1.54464594062786E-3</v>
      </c>
      <c r="L71" s="7">
        <v>1.54464594062786E-3</v>
      </c>
      <c r="M71" s="7">
        <v>1.54464594062786E-3</v>
      </c>
      <c r="N71" s="7">
        <v>1.55062143100892E-3</v>
      </c>
      <c r="O71" s="7">
        <v>1.5224320483520899E-3</v>
      </c>
      <c r="P71" s="7">
        <v>1.5195658864132901E-3</v>
      </c>
      <c r="Q71" s="7">
        <v>1.4838723996731401E-3</v>
      </c>
      <c r="R71" s="7">
        <v>1.43471619437748E-3</v>
      </c>
      <c r="S71" s="7">
        <v>1.38166270408398E-3</v>
      </c>
      <c r="T71" s="7">
        <v>1.2965173437662601E-3</v>
      </c>
      <c r="U71" s="7">
        <v>1.2162062121271E-3</v>
      </c>
      <c r="V71" s="7">
        <v>1.1397397139401E-3</v>
      </c>
      <c r="W71" s="7">
        <v>1.0661842265075601E-3</v>
      </c>
      <c r="X71" s="7">
        <v>1.0076387796404099E-3</v>
      </c>
      <c r="Y71" s="7">
        <v>9.5031827977093799E-4</v>
      </c>
      <c r="Z71" s="7">
        <v>8.2032808525252297E-4</v>
      </c>
      <c r="AA71" s="7">
        <v>7.6262849454730003E-4</v>
      </c>
      <c r="AB71" s="7">
        <v>6.8544316040435201E-4</v>
      </c>
      <c r="AC71" s="7"/>
      <c r="AD71" s="7"/>
      <c r="AE71" s="7"/>
      <c r="AF71" s="7"/>
      <c r="AG71" s="7"/>
      <c r="AH71" s="7"/>
      <c r="AI71" s="7"/>
      <c r="AJ71" s="7"/>
      <c r="AK71" s="7"/>
      <c r="AL71" s="7"/>
      <c r="AM71" s="7"/>
      <c r="AN71" s="7"/>
      <c r="AO71" s="7"/>
      <c r="AP71" s="7"/>
      <c r="AQ71" s="7"/>
      <c r="AR71" s="6" t="s">
        <v>46</v>
      </c>
      <c r="AS71" s="7"/>
      <c r="AT71" s="143"/>
      <c r="AU71" s="143"/>
      <c r="AV71" s="144" t="s">
        <v>392</v>
      </c>
      <c r="AW71" s="150">
        <v>33</v>
      </c>
      <c r="AX71" s="150">
        <v>35</v>
      </c>
      <c r="AY71" s="150">
        <v>36</v>
      </c>
      <c r="AZ71" s="150">
        <v>36</v>
      </c>
      <c r="BA71" s="150">
        <v>37</v>
      </c>
      <c r="BB71" s="150">
        <v>35</v>
      </c>
      <c r="BC71" s="150">
        <v>35</v>
      </c>
      <c r="BD71" s="150">
        <v>34</v>
      </c>
      <c r="BE71" s="150">
        <v>33</v>
      </c>
      <c r="BF71" s="150">
        <v>33</v>
      </c>
      <c r="BG71" s="150">
        <v>32</v>
      </c>
      <c r="BH71" s="150">
        <v>31</v>
      </c>
      <c r="BI71" s="150">
        <v>29</v>
      </c>
      <c r="BJ71" s="150">
        <v>29</v>
      </c>
      <c r="BK71" s="150">
        <v>27</v>
      </c>
      <c r="BL71" s="150">
        <v>24</v>
      </c>
      <c r="BM71" s="150">
        <v>22</v>
      </c>
      <c r="BN71" s="150">
        <v>17</v>
      </c>
      <c r="BO71" s="150">
        <v>14</v>
      </c>
      <c r="BP71" s="150">
        <v>9</v>
      </c>
      <c r="BQ71" s="150">
        <v>6</v>
      </c>
      <c r="BR71" s="150">
        <v>3</v>
      </c>
      <c r="BS71" s="150">
        <v>4</v>
      </c>
      <c r="BT71" s="150">
        <v>4</v>
      </c>
      <c r="BU71" s="150">
        <v>2</v>
      </c>
      <c r="BV71" s="150">
        <v>4</v>
      </c>
      <c r="BW71" s="150">
        <v>5</v>
      </c>
      <c r="BX71" s="150">
        <v>4</v>
      </c>
      <c r="BY71" s="150">
        <v>4</v>
      </c>
      <c r="BZ71" s="150">
        <v>3</v>
      </c>
      <c r="CA71" s="150">
        <v>3</v>
      </c>
      <c r="CB71" s="143"/>
      <c r="CC71" s="143"/>
      <c r="CD71" s="143"/>
      <c r="CE71" s="143"/>
      <c r="CF71" s="143"/>
      <c r="CG71" s="143"/>
      <c r="CH71" s="143"/>
      <c r="CI71" s="143"/>
      <c r="CJ71" s="143"/>
      <c r="CK71" s="143"/>
      <c r="CL71" s="143"/>
      <c r="CM71" s="143"/>
      <c r="CN71" s="143"/>
      <c r="CO71" s="143"/>
      <c r="CP71" s="143"/>
      <c r="CQ71" s="143"/>
      <c r="CR71" s="143"/>
      <c r="CS71" s="143"/>
      <c r="CT71" s="143"/>
      <c r="CU71" s="143"/>
      <c r="CV71" s="143"/>
      <c r="CW71" s="143"/>
      <c r="CX71" s="143"/>
      <c r="CY71" s="143"/>
      <c r="CZ71" s="143"/>
      <c r="DA71" s="143"/>
      <c r="DB71" s="143"/>
      <c r="DC71" s="143"/>
      <c r="DD71" s="143"/>
      <c r="DE71" s="143"/>
      <c r="DF71" s="143"/>
      <c r="DG71" s="143"/>
      <c r="DH71" s="143"/>
      <c r="DI71" s="143"/>
      <c r="DJ71" s="143"/>
      <c r="DK71" s="143"/>
      <c r="DL71" s="143"/>
      <c r="DM71" s="143"/>
      <c r="DN71" s="143"/>
      <c r="DO71" s="143"/>
      <c r="DP71" s="143"/>
      <c r="DQ71" s="143"/>
      <c r="DR71" s="143"/>
      <c r="DS71" s="143"/>
      <c r="DT71" s="143"/>
      <c r="DU71" s="143"/>
      <c r="DV71" s="143"/>
      <c r="DW71" s="143"/>
      <c r="DX71" s="143"/>
      <c r="DY71" s="143"/>
      <c r="DZ71" s="143"/>
      <c r="EA71" s="143"/>
      <c r="EB71" s="143"/>
    </row>
    <row r="72" spans="2:132" x14ac:dyDescent="0.35">
      <c r="B72" s="4" t="str">
        <f>Populations!$C$9</f>
        <v>F15-19</v>
      </c>
      <c r="C72" s="7">
        <v>3.0753740300452702E-3</v>
      </c>
      <c r="D72" s="7">
        <v>3.0753740300452702E-3</v>
      </c>
      <c r="E72" s="7">
        <v>3.0753740300452702E-3</v>
      </c>
      <c r="F72" s="7">
        <v>3.0753740300452702E-3</v>
      </c>
      <c r="G72" s="7">
        <v>3.0753740300452702E-3</v>
      </c>
      <c r="H72" s="7">
        <v>3.0753740300452702E-3</v>
      </c>
      <c r="I72" s="7">
        <v>3.0753740300452702E-3</v>
      </c>
      <c r="J72" s="7">
        <v>3.0753740300452702E-3</v>
      </c>
      <c r="K72" s="7">
        <v>3.0753740300452702E-3</v>
      </c>
      <c r="L72" s="7">
        <v>3.0753740300452702E-3</v>
      </c>
      <c r="M72" s="7">
        <v>3.0753740300452702E-3</v>
      </c>
      <c r="N72" s="7">
        <v>3.0386708432976802E-3</v>
      </c>
      <c r="O72" s="7">
        <v>2.9230227877452102E-3</v>
      </c>
      <c r="P72" s="7">
        <v>2.8479886514859E-3</v>
      </c>
      <c r="Q72" s="7">
        <v>2.7082325496143398E-3</v>
      </c>
      <c r="R72" s="7">
        <v>2.5468794619196299E-3</v>
      </c>
      <c r="S72" s="7">
        <v>2.3938822416021402E-3</v>
      </c>
      <c r="T72" s="7">
        <v>2.18811043077668E-3</v>
      </c>
      <c r="U72" s="7">
        <v>1.9990684651972298E-3</v>
      </c>
      <c r="V72" s="7">
        <v>1.82819273759913E-3</v>
      </c>
      <c r="W72" s="7">
        <v>1.67424989200134E-3</v>
      </c>
      <c r="X72" s="7">
        <v>1.5657761282565599E-3</v>
      </c>
      <c r="Y72" s="7">
        <v>1.46547248584142E-3</v>
      </c>
      <c r="Z72" s="7">
        <v>1.2591874059128701E-3</v>
      </c>
      <c r="AA72" s="7">
        <v>1.16810231687983E-3</v>
      </c>
      <c r="AB72" s="7">
        <v>1.0499808441400099E-3</v>
      </c>
      <c r="AC72" s="7"/>
      <c r="AD72" s="7"/>
      <c r="AE72" s="7"/>
      <c r="AF72" s="7"/>
      <c r="AG72" s="7"/>
      <c r="AH72" s="7"/>
      <c r="AI72" s="7"/>
      <c r="AJ72" s="7"/>
      <c r="AK72" s="7"/>
      <c r="AL72" s="7"/>
      <c r="AM72" s="7"/>
      <c r="AN72" s="7"/>
      <c r="AO72" s="7"/>
      <c r="AP72" s="7"/>
      <c r="AQ72" s="7"/>
      <c r="AR72" s="6" t="s">
        <v>46</v>
      </c>
      <c r="AS72" s="7"/>
      <c r="AT72" s="143"/>
      <c r="AU72" s="143"/>
      <c r="AV72" s="143" t="s">
        <v>400</v>
      </c>
      <c r="AW72" s="151">
        <f>SUM(AW66:AW71)</f>
        <v>249</v>
      </c>
      <c r="AX72" s="151">
        <f t="shared" ref="AX72:CA72" si="39">SUM(AX66:AX71)</f>
        <v>260</v>
      </c>
      <c r="AY72" s="151">
        <f t="shared" si="39"/>
        <v>266</v>
      </c>
      <c r="AZ72" s="151">
        <f t="shared" si="39"/>
        <v>263</v>
      </c>
      <c r="BA72" s="151">
        <f t="shared" si="39"/>
        <v>259</v>
      </c>
      <c r="BB72" s="151">
        <f t="shared" si="39"/>
        <v>252</v>
      </c>
      <c r="BC72" s="151">
        <f t="shared" si="39"/>
        <v>242</v>
      </c>
      <c r="BD72" s="151">
        <f t="shared" si="39"/>
        <v>234</v>
      </c>
      <c r="BE72" s="151">
        <f t="shared" si="39"/>
        <v>224</v>
      </c>
      <c r="BF72" s="151">
        <f t="shared" si="39"/>
        <v>212</v>
      </c>
      <c r="BG72" s="151">
        <f t="shared" si="39"/>
        <v>202</v>
      </c>
      <c r="BH72" s="151">
        <f t="shared" si="39"/>
        <v>190</v>
      </c>
      <c r="BI72" s="151">
        <f t="shared" si="39"/>
        <v>176</v>
      </c>
      <c r="BJ72" s="151">
        <f t="shared" si="39"/>
        <v>166</v>
      </c>
      <c r="BK72" s="151">
        <f t="shared" si="39"/>
        <v>149</v>
      </c>
      <c r="BL72" s="151">
        <f t="shared" si="39"/>
        <v>131</v>
      </c>
      <c r="BM72" s="151">
        <f t="shared" si="39"/>
        <v>113</v>
      </c>
      <c r="BN72" s="151">
        <f t="shared" si="39"/>
        <v>89</v>
      </c>
      <c r="BO72" s="151">
        <f t="shared" si="39"/>
        <v>73</v>
      </c>
      <c r="BP72" s="151">
        <f t="shared" si="39"/>
        <v>49</v>
      </c>
      <c r="BQ72" s="151">
        <f t="shared" si="39"/>
        <v>30</v>
      </c>
      <c r="BR72" s="151">
        <f t="shared" si="39"/>
        <v>20</v>
      </c>
      <c r="BS72" s="151">
        <f t="shared" si="39"/>
        <v>18</v>
      </c>
      <c r="BT72" s="151">
        <f t="shared" si="39"/>
        <v>17</v>
      </c>
      <c r="BU72" s="151">
        <f t="shared" si="39"/>
        <v>11</v>
      </c>
      <c r="BV72" s="151">
        <f t="shared" si="39"/>
        <v>15</v>
      </c>
      <c r="BW72" s="151">
        <f t="shared" si="39"/>
        <v>16</v>
      </c>
      <c r="BX72" s="151">
        <f t="shared" si="39"/>
        <v>12</v>
      </c>
      <c r="BY72" s="151">
        <f t="shared" si="39"/>
        <v>11</v>
      </c>
      <c r="BZ72" s="151">
        <f t="shared" si="39"/>
        <v>8</v>
      </c>
      <c r="CA72" s="151">
        <f t="shared" si="39"/>
        <v>7</v>
      </c>
      <c r="CB72" s="143"/>
      <c r="CC72" s="143"/>
      <c r="CD72" s="143"/>
      <c r="CE72" s="143"/>
      <c r="CF72" s="143"/>
      <c r="CG72" s="143"/>
      <c r="CH72" s="143"/>
      <c r="CI72" s="143"/>
      <c r="CJ72" s="143"/>
      <c r="CK72" s="143"/>
      <c r="CL72" s="143"/>
      <c r="CM72" s="143"/>
      <c r="CN72" s="143"/>
      <c r="CO72" s="143"/>
      <c r="CP72" s="143"/>
      <c r="CQ72" s="143"/>
      <c r="CR72" s="143"/>
      <c r="CS72" s="143"/>
      <c r="CT72" s="143"/>
      <c r="CU72" s="143"/>
      <c r="CV72" s="143"/>
      <c r="CW72" s="143"/>
      <c r="CX72" s="143"/>
      <c r="CY72" s="143"/>
      <c r="CZ72" s="143"/>
      <c r="DA72" s="143"/>
      <c r="DB72" s="143"/>
      <c r="DC72" s="143"/>
      <c r="DD72" s="143"/>
      <c r="DE72" s="143"/>
      <c r="DF72" s="143"/>
      <c r="DG72" s="143"/>
      <c r="DH72" s="143"/>
      <c r="DI72" s="143"/>
      <c r="DJ72" s="143"/>
      <c r="DK72" s="143"/>
      <c r="DL72" s="143"/>
      <c r="DM72" s="143"/>
      <c r="DN72" s="143"/>
      <c r="DO72" s="143"/>
      <c r="DP72" s="143"/>
      <c r="DQ72" s="143"/>
      <c r="DR72" s="143"/>
      <c r="DS72" s="143"/>
      <c r="DT72" s="143"/>
      <c r="DU72" s="143"/>
      <c r="DV72" s="143"/>
      <c r="DW72" s="143"/>
      <c r="DX72" s="143"/>
      <c r="DY72" s="143"/>
      <c r="DZ72" s="143"/>
      <c r="EA72" s="143"/>
      <c r="EB72" s="143"/>
    </row>
    <row r="73" spans="2:132" x14ac:dyDescent="0.35">
      <c r="B73" s="4" t="str">
        <f>Populations!$C$10</f>
        <v>M15-19</v>
      </c>
      <c r="C73" s="7">
        <v>3.2447289619848899E-3</v>
      </c>
      <c r="D73" s="7">
        <v>3.2447289619848899E-3</v>
      </c>
      <c r="E73" s="7">
        <v>3.2447289619848899E-3</v>
      </c>
      <c r="F73" s="7">
        <v>3.2447289619848899E-3</v>
      </c>
      <c r="G73" s="7">
        <v>3.2447289619848899E-3</v>
      </c>
      <c r="H73" s="7">
        <v>3.2447289619848899E-3</v>
      </c>
      <c r="I73" s="7">
        <v>3.2447289619848899E-3</v>
      </c>
      <c r="J73" s="7">
        <v>3.2447289619848899E-3</v>
      </c>
      <c r="K73" s="7">
        <v>3.2447289619848899E-3</v>
      </c>
      <c r="L73" s="7">
        <v>3.2447289619848899E-3</v>
      </c>
      <c r="M73" s="7">
        <v>3.2447289619848899E-3</v>
      </c>
      <c r="N73" s="7">
        <v>3.2129175462306098E-3</v>
      </c>
      <c r="O73" s="7">
        <v>3.0995977904423998E-3</v>
      </c>
      <c r="P73" s="7">
        <v>3.0285292750655102E-3</v>
      </c>
      <c r="Q73" s="7">
        <v>2.8850409269139698E-3</v>
      </c>
      <c r="R73" s="7">
        <v>2.7140728644683902E-3</v>
      </c>
      <c r="S73" s="7">
        <v>2.5530160469167799E-3</v>
      </c>
      <c r="T73" s="7">
        <v>2.3331257543933899E-3</v>
      </c>
      <c r="U73" s="7">
        <v>2.1296533640107499E-3</v>
      </c>
      <c r="V73" s="7">
        <v>1.94604206839953E-3</v>
      </c>
      <c r="W73" s="7">
        <v>1.78200688973026E-3</v>
      </c>
      <c r="X73" s="7">
        <v>1.6731127884447501E-3</v>
      </c>
      <c r="Y73" s="7">
        <v>1.57106981652918E-3</v>
      </c>
      <c r="Z73" s="7">
        <v>1.35237385984495E-3</v>
      </c>
      <c r="AA73" s="7">
        <v>1.25474260973962E-3</v>
      </c>
      <c r="AB73" s="7">
        <v>1.1265752774167099E-3</v>
      </c>
      <c r="AC73" s="7"/>
      <c r="AD73" s="7"/>
      <c r="AE73" s="7"/>
      <c r="AF73" s="7"/>
      <c r="AG73" s="7"/>
      <c r="AH73" s="7"/>
      <c r="AI73" s="7"/>
      <c r="AJ73" s="7"/>
      <c r="AK73" s="7"/>
      <c r="AL73" s="7"/>
      <c r="AM73" s="7"/>
      <c r="AN73" s="7"/>
      <c r="AO73" s="7"/>
      <c r="AP73" s="7"/>
      <c r="AQ73" s="7"/>
      <c r="AR73" s="6" t="s">
        <v>46</v>
      </c>
      <c r="AS73" s="7"/>
      <c r="AT73" s="143"/>
      <c r="AU73" s="143"/>
      <c r="AV73" s="25" t="s">
        <v>395</v>
      </c>
      <c r="AW73" s="4">
        <v>1990</v>
      </c>
      <c r="AX73" s="4">
        <v>1991</v>
      </c>
      <c r="AY73" s="4">
        <v>1992</v>
      </c>
      <c r="AZ73" s="4">
        <v>1993</v>
      </c>
      <c r="BA73" s="4">
        <v>1994</v>
      </c>
      <c r="BB73" s="4">
        <v>1995</v>
      </c>
      <c r="BC73" s="4">
        <v>1996</v>
      </c>
      <c r="BD73" s="4">
        <v>1997</v>
      </c>
      <c r="BE73" s="4">
        <v>1998</v>
      </c>
      <c r="BF73" s="4">
        <v>1999</v>
      </c>
      <c r="BG73" s="4">
        <v>2000</v>
      </c>
      <c r="BH73" s="4">
        <v>2001</v>
      </c>
      <c r="BI73" s="4">
        <v>2002</v>
      </c>
      <c r="BJ73" s="4">
        <v>2003</v>
      </c>
      <c r="BK73" s="4">
        <v>2004</v>
      </c>
      <c r="BL73" s="4">
        <v>2005</v>
      </c>
      <c r="BM73" s="4">
        <v>2006</v>
      </c>
      <c r="BN73" s="4">
        <v>2007</v>
      </c>
      <c r="BO73" s="4">
        <v>2008</v>
      </c>
      <c r="BP73" s="4">
        <v>2009</v>
      </c>
      <c r="BQ73" s="4">
        <v>2010</v>
      </c>
      <c r="BR73" s="4">
        <v>2011</v>
      </c>
      <c r="BS73" s="4">
        <v>2012</v>
      </c>
      <c r="BT73" s="4">
        <v>2013</v>
      </c>
      <c r="BU73" s="4">
        <v>2014</v>
      </c>
      <c r="BV73" s="4">
        <v>2015</v>
      </c>
      <c r="BW73" s="4">
        <v>2016</v>
      </c>
      <c r="BX73" s="4">
        <v>2017</v>
      </c>
      <c r="BY73" s="4">
        <v>2018</v>
      </c>
      <c r="BZ73" s="4">
        <v>2019</v>
      </c>
      <c r="CA73" s="4">
        <v>2020</v>
      </c>
      <c r="CB73" s="143"/>
      <c r="CC73" s="143"/>
      <c r="CD73" s="143"/>
      <c r="CE73" s="143"/>
      <c r="CF73" s="143"/>
      <c r="CG73" s="143"/>
      <c r="CH73" s="143"/>
      <c r="CI73" s="143"/>
      <c r="CJ73" s="143"/>
      <c r="CK73" s="143"/>
      <c r="CL73" s="143"/>
      <c r="CM73" s="143"/>
      <c r="CN73" s="143"/>
      <c r="CO73" s="143"/>
      <c r="CP73" s="143"/>
      <c r="CQ73" s="143"/>
      <c r="CR73" s="143"/>
      <c r="CS73" s="143"/>
      <c r="CT73" s="143"/>
      <c r="CU73" s="143"/>
      <c r="CV73" s="143"/>
      <c r="CW73" s="143"/>
      <c r="CX73" s="143"/>
      <c r="CY73" s="143"/>
      <c r="CZ73" s="143"/>
      <c r="DA73" s="143"/>
      <c r="DB73" s="143"/>
      <c r="DC73" s="143"/>
      <c r="DD73" s="143"/>
      <c r="DE73" s="143"/>
      <c r="DF73" s="143"/>
      <c r="DG73" s="143"/>
      <c r="DH73" s="143"/>
      <c r="DI73" s="143"/>
      <c r="DJ73" s="143"/>
      <c r="DK73" s="143"/>
      <c r="DL73" s="143"/>
      <c r="DM73" s="143"/>
      <c r="DN73" s="143"/>
      <c r="DO73" s="143"/>
      <c r="DP73" s="143"/>
      <c r="DQ73" s="143"/>
      <c r="DR73" s="143"/>
      <c r="DS73" s="143"/>
      <c r="DT73" s="143"/>
      <c r="DU73" s="143"/>
      <c r="DV73" s="143"/>
      <c r="DW73" s="143"/>
      <c r="DX73" s="143"/>
      <c r="DY73" s="143"/>
      <c r="DZ73" s="143"/>
      <c r="EA73" s="143"/>
      <c r="EB73" s="143"/>
    </row>
    <row r="74" spans="2:132" x14ac:dyDescent="0.35">
      <c r="B74" s="4" t="str">
        <f>Populations!$C$11</f>
        <v>F20-24</v>
      </c>
      <c r="C74" s="7">
        <v>3.6976114860003198E-3</v>
      </c>
      <c r="D74" s="7">
        <v>3.6976114860003198E-3</v>
      </c>
      <c r="E74" s="7">
        <v>3.6976114860003198E-3</v>
      </c>
      <c r="F74" s="7">
        <v>3.6976114860003198E-3</v>
      </c>
      <c r="G74" s="7">
        <v>3.6976114860003198E-3</v>
      </c>
      <c r="H74" s="7">
        <v>3.6976114860003198E-3</v>
      </c>
      <c r="I74" s="7">
        <v>3.6976114860003198E-3</v>
      </c>
      <c r="J74" s="7">
        <v>3.6976114860003198E-3</v>
      </c>
      <c r="K74" s="7">
        <v>3.6976114860003198E-3</v>
      </c>
      <c r="L74" s="7">
        <v>3.6976114860003198E-3</v>
      </c>
      <c r="M74" s="7">
        <v>3.6976114860003198E-3</v>
      </c>
      <c r="N74" s="7">
        <v>3.7002752714255498E-3</v>
      </c>
      <c r="O74" s="7">
        <v>3.60491043365303E-3</v>
      </c>
      <c r="P74" s="7">
        <v>3.5500258711893399E-3</v>
      </c>
      <c r="Q74" s="7">
        <v>3.39792448231382E-3</v>
      </c>
      <c r="R74" s="7">
        <v>3.1997466573080902E-3</v>
      </c>
      <c r="S74" s="7">
        <v>3.0191932130039902E-3</v>
      </c>
      <c r="T74" s="7">
        <v>2.7538575155184701E-3</v>
      </c>
      <c r="U74" s="7">
        <v>2.4947396108729002E-3</v>
      </c>
      <c r="V74" s="7">
        <v>2.2498708345407999E-3</v>
      </c>
      <c r="W74" s="7">
        <v>2.0237119697148901E-3</v>
      </c>
      <c r="X74" s="7">
        <v>1.8705304713928701E-3</v>
      </c>
      <c r="Y74" s="7">
        <v>1.7222883258764001E-3</v>
      </c>
      <c r="Z74" s="7">
        <v>1.4498044473378901E-3</v>
      </c>
      <c r="AA74" s="7">
        <v>1.3160976451781199E-3</v>
      </c>
      <c r="AB74" s="7">
        <v>1.1597810901885701E-3</v>
      </c>
      <c r="AC74" s="7"/>
      <c r="AD74" s="7"/>
      <c r="AE74" s="7"/>
      <c r="AF74" s="7"/>
      <c r="AG74" s="7"/>
      <c r="AH74" s="7"/>
      <c r="AI74" s="7"/>
      <c r="AJ74" s="7"/>
      <c r="AK74" s="7"/>
      <c r="AL74" s="7"/>
      <c r="AM74" s="7"/>
      <c r="AN74" s="7"/>
      <c r="AO74" s="7"/>
      <c r="AP74" s="7"/>
      <c r="AQ74" s="7"/>
      <c r="AR74" s="6" t="s">
        <v>46</v>
      </c>
      <c r="AS74" s="7"/>
      <c r="AT74" s="143"/>
      <c r="AU74" s="143"/>
      <c r="AV74" s="144" t="s">
        <v>140</v>
      </c>
      <c r="AW74" s="150">
        <v>47</v>
      </c>
      <c r="AX74" s="150">
        <v>45</v>
      </c>
      <c r="AY74" s="150">
        <v>42</v>
      </c>
      <c r="AZ74" s="150">
        <v>39</v>
      </c>
      <c r="BA74" s="150">
        <v>37</v>
      </c>
      <c r="BB74" s="150">
        <v>35</v>
      </c>
      <c r="BC74" s="150">
        <v>32</v>
      </c>
      <c r="BD74" s="150">
        <v>29</v>
      </c>
      <c r="BE74" s="150">
        <v>27</v>
      </c>
      <c r="BF74" s="150">
        <v>23</v>
      </c>
      <c r="BG74" s="150">
        <v>22</v>
      </c>
      <c r="BH74" s="150">
        <v>21</v>
      </c>
      <c r="BI74" s="150">
        <v>18</v>
      </c>
      <c r="BJ74" s="150">
        <v>16</v>
      </c>
      <c r="BK74" s="150">
        <v>15</v>
      </c>
      <c r="BL74" s="150">
        <v>14</v>
      </c>
      <c r="BM74" s="150">
        <v>13</v>
      </c>
      <c r="BN74" s="150">
        <v>10</v>
      </c>
      <c r="BO74" s="150">
        <v>9</v>
      </c>
      <c r="BP74" s="150">
        <v>8</v>
      </c>
      <c r="BQ74" s="150">
        <v>6</v>
      </c>
      <c r="BR74" s="150">
        <v>5</v>
      </c>
      <c r="BS74" s="150">
        <v>4</v>
      </c>
      <c r="BT74" s="150">
        <v>3</v>
      </c>
      <c r="BU74" s="150">
        <v>2</v>
      </c>
      <c r="BV74" s="150">
        <v>2</v>
      </c>
      <c r="BW74" s="150">
        <v>2</v>
      </c>
      <c r="BX74" s="150">
        <v>2</v>
      </c>
      <c r="BY74" s="150">
        <v>2</v>
      </c>
      <c r="BZ74" s="150">
        <v>1</v>
      </c>
      <c r="CA74" s="150">
        <v>0</v>
      </c>
      <c r="CB74" s="143"/>
      <c r="CC74" s="143"/>
      <c r="CD74" s="143"/>
      <c r="CE74" s="143"/>
      <c r="CF74" s="143"/>
      <c r="CG74" s="143"/>
      <c r="CH74" s="143"/>
      <c r="CI74" s="143"/>
      <c r="CJ74" s="143"/>
      <c r="CK74" s="143"/>
      <c r="CL74" s="143"/>
      <c r="CM74" s="143"/>
      <c r="CN74" s="143"/>
      <c r="CO74" s="143"/>
      <c r="CP74" s="143"/>
      <c r="CQ74" s="143"/>
      <c r="CR74" s="143"/>
      <c r="CS74" s="143"/>
      <c r="CT74" s="143"/>
      <c r="CU74" s="143"/>
      <c r="CV74" s="143"/>
      <c r="CW74" s="143"/>
      <c r="CX74" s="143"/>
      <c r="CY74" s="143"/>
      <c r="CZ74" s="143"/>
      <c r="DA74" s="143"/>
      <c r="DB74" s="143"/>
      <c r="DC74" s="143"/>
      <c r="DD74" s="143"/>
      <c r="DE74" s="143"/>
      <c r="DF74" s="143"/>
      <c r="DG74" s="143"/>
      <c r="DH74" s="143"/>
      <c r="DI74" s="143"/>
      <c r="DJ74" s="143"/>
      <c r="DK74" s="143"/>
      <c r="DL74" s="143"/>
      <c r="DM74" s="143"/>
      <c r="DN74" s="143"/>
      <c r="DO74" s="143"/>
      <c r="DP74" s="143"/>
      <c r="DQ74" s="143"/>
      <c r="DR74" s="143"/>
      <c r="DS74" s="143"/>
      <c r="DT74" s="143"/>
      <c r="DU74" s="143"/>
      <c r="DV74" s="143"/>
      <c r="DW74" s="143"/>
      <c r="DX74" s="143"/>
      <c r="DY74" s="143"/>
      <c r="DZ74" s="143"/>
      <c r="EA74" s="143"/>
      <c r="EB74" s="143"/>
    </row>
    <row r="75" spans="2:132" x14ac:dyDescent="0.35">
      <c r="B75" s="4" t="str">
        <f>Populations!$C$12</f>
        <v>M20-24</v>
      </c>
      <c r="C75" s="7">
        <v>3.9193485815192802E-3</v>
      </c>
      <c r="D75" s="7">
        <v>3.9193485815192802E-3</v>
      </c>
      <c r="E75" s="7">
        <v>3.9193485815192802E-3</v>
      </c>
      <c r="F75" s="7">
        <v>3.9193485815192802E-3</v>
      </c>
      <c r="G75" s="7">
        <v>3.9193485815192802E-3</v>
      </c>
      <c r="H75" s="7">
        <v>3.9193485815192802E-3</v>
      </c>
      <c r="I75" s="7">
        <v>3.9193485815192802E-3</v>
      </c>
      <c r="J75" s="7">
        <v>3.9193485815192802E-3</v>
      </c>
      <c r="K75" s="7">
        <v>3.9193485815192802E-3</v>
      </c>
      <c r="L75" s="7">
        <v>3.9193485815192802E-3</v>
      </c>
      <c r="M75" s="7">
        <v>3.9193485815192802E-3</v>
      </c>
      <c r="N75" s="7">
        <v>3.9217571862209004E-3</v>
      </c>
      <c r="O75" s="7">
        <v>3.8214453486403099E-3</v>
      </c>
      <c r="P75" s="7">
        <v>3.7654656892987999E-3</v>
      </c>
      <c r="Q75" s="7">
        <v>3.60740045680341E-3</v>
      </c>
      <c r="R75" s="7">
        <v>3.4003306444813802E-3</v>
      </c>
      <c r="S75" s="7">
        <v>3.2057075510337901E-3</v>
      </c>
      <c r="T75" s="7">
        <v>2.92537042168479E-3</v>
      </c>
      <c r="U75" s="7">
        <v>2.6549286396900201E-3</v>
      </c>
      <c r="V75" s="7">
        <v>2.4005780277378901E-3</v>
      </c>
      <c r="W75" s="7">
        <v>2.16515723916514E-3</v>
      </c>
      <c r="X75" s="7">
        <v>2.01220362644251E-3</v>
      </c>
      <c r="Y75" s="7">
        <v>1.8639595730139101E-3</v>
      </c>
      <c r="Z75" s="7">
        <v>1.5789441032900101E-3</v>
      </c>
      <c r="AA75" s="7">
        <v>1.4418031743199499E-3</v>
      </c>
      <c r="AB75" s="7">
        <v>1.276446192159E-3</v>
      </c>
      <c r="AC75" s="7"/>
      <c r="AD75" s="7"/>
      <c r="AE75" s="7"/>
      <c r="AF75" s="7"/>
      <c r="AG75" s="7"/>
      <c r="AH75" s="7"/>
      <c r="AI75" s="7"/>
      <c r="AJ75" s="7"/>
      <c r="AK75" s="7"/>
      <c r="AL75" s="7"/>
      <c r="AM75" s="7"/>
      <c r="AN75" s="7"/>
      <c r="AO75" s="7"/>
      <c r="AP75" s="7"/>
      <c r="AQ75" s="7"/>
      <c r="AR75" s="6" t="s">
        <v>46</v>
      </c>
      <c r="AS75" s="7"/>
      <c r="AT75" s="143"/>
      <c r="AU75" s="143"/>
      <c r="AV75" s="144" t="s">
        <v>368</v>
      </c>
      <c r="AW75" s="150">
        <v>0</v>
      </c>
      <c r="AX75" s="150">
        <v>0</v>
      </c>
      <c r="AY75" s="150">
        <v>0</v>
      </c>
      <c r="AZ75" s="150">
        <v>0</v>
      </c>
      <c r="BA75" s="150">
        <v>0</v>
      </c>
      <c r="BB75" s="150">
        <v>0</v>
      </c>
      <c r="BC75" s="150">
        <v>0</v>
      </c>
      <c r="BD75" s="150">
        <v>5</v>
      </c>
      <c r="BE75" s="150">
        <v>6</v>
      </c>
      <c r="BF75" s="150">
        <v>7</v>
      </c>
      <c r="BG75" s="150">
        <v>7</v>
      </c>
      <c r="BH75" s="150">
        <v>8</v>
      </c>
      <c r="BI75" s="150">
        <v>7</v>
      </c>
      <c r="BJ75" s="150">
        <v>6</v>
      </c>
      <c r="BK75" s="150">
        <v>6</v>
      </c>
      <c r="BL75" s="150">
        <v>5</v>
      </c>
      <c r="BM75" s="150">
        <v>4</v>
      </c>
      <c r="BN75" s="150">
        <v>3</v>
      </c>
      <c r="BO75" s="150">
        <v>3</v>
      </c>
      <c r="BP75" s="150">
        <v>2</v>
      </c>
      <c r="BQ75" s="150">
        <v>1</v>
      </c>
      <c r="BR75" s="150">
        <v>1</v>
      </c>
      <c r="BS75" s="150">
        <v>1</v>
      </c>
      <c r="BT75" s="150">
        <v>1</v>
      </c>
      <c r="BU75" s="150">
        <v>1</v>
      </c>
      <c r="BV75" s="150">
        <v>1</v>
      </c>
      <c r="BW75" s="150">
        <v>1</v>
      </c>
      <c r="BX75" s="150">
        <v>1</v>
      </c>
      <c r="BY75" s="150">
        <v>0</v>
      </c>
      <c r="BZ75" s="150">
        <v>0</v>
      </c>
      <c r="CA75" s="150">
        <v>0</v>
      </c>
      <c r="CB75" s="143"/>
      <c r="CC75" s="143"/>
      <c r="CD75" s="143"/>
      <c r="CE75" s="143"/>
      <c r="CF75" s="143"/>
      <c r="CG75" s="143"/>
      <c r="CH75" s="143"/>
      <c r="CI75" s="143"/>
      <c r="CJ75" s="143"/>
      <c r="CK75" s="143"/>
      <c r="CL75" s="143"/>
      <c r="CM75" s="143"/>
      <c r="CN75" s="143"/>
      <c r="CO75" s="143"/>
      <c r="CP75" s="143"/>
      <c r="CQ75" s="143"/>
      <c r="CR75" s="143"/>
      <c r="CS75" s="143"/>
      <c r="CT75" s="143"/>
      <c r="CU75" s="143"/>
      <c r="CV75" s="143"/>
      <c r="CW75" s="143"/>
      <c r="CX75" s="143"/>
      <c r="CY75" s="143"/>
      <c r="CZ75" s="143"/>
      <c r="DA75" s="143"/>
      <c r="DB75" s="143"/>
      <c r="DC75" s="143"/>
      <c r="DD75" s="143"/>
      <c r="DE75" s="143"/>
      <c r="DF75" s="143"/>
      <c r="DG75" s="143"/>
      <c r="DH75" s="143"/>
      <c r="DI75" s="143"/>
      <c r="DJ75" s="143"/>
      <c r="DK75" s="143"/>
      <c r="DL75" s="143"/>
      <c r="DM75" s="143"/>
      <c r="DN75" s="143"/>
      <c r="DO75" s="143"/>
      <c r="DP75" s="143"/>
      <c r="DQ75" s="143"/>
      <c r="DR75" s="143"/>
      <c r="DS75" s="143"/>
      <c r="DT75" s="143"/>
      <c r="DU75" s="143"/>
      <c r="DV75" s="143"/>
      <c r="DW75" s="143"/>
      <c r="DX75" s="143"/>
      <c r="DY75" s="143"/>
      <c r="DZ75" s="143"/>
      <c r="EA75" s="143"/>
      <c r="EB75" s="143"/>
    </row>
    <row r="76" spans="2:132" x14ac:dyDescent="0.35">
      <c r="B76" s="4" t="str">
        <f>Populations!$C$13</f>
        <v>F25-34</v>
      </c>
      <c r="C76" s="7">
        <v>8.0493362386210507E-3</v>
      </c>
      <c r="D76" s="7">
        <v>8.0493362386210507E-3</v>
      </c>
      <c r="E76" s="7">
        <v>8.0493362386210507E-3</v>
      </c>
      <c r="F76" s="7">
        <v>8.0493362386210507E-3</v>
      </c>
      <c r="G76" s="7">
        <v>8.0493362386210507E-3</v>
      </c>
      <c r="H76" s="7">
        <v>8.0493362386210507E-3</v>
      </c>
      <c r="I76" s="7">
        <v>8.0493362386210507E-3</v>
      </c>
      <c r="J76" s="7">
        <v>8.0493362386210507E-3</v>
      </c>
      <c r="K76" s="7">
        <v>8.0493362386210507E-3</v>
      </c>
      <c r="L76" s="7">
        <v>8.0493362386210507E-3</v>
      </c>
      <c r="M76" s="7">
        <v>8.0493362386210507E-3</v>
      </c>
      <c r="N76" s="7">
        <v>8.0645052729225505E-3</v>
      </c>
      <c r="O76" s="7">
        <v>7.8925039912814098E-3</v>
      </c>
      <c r="P76" s="7">
        <v>7.8375258844501604E-3</v>
      </c>
      <c r="Q76" s="7">
        <v>7.5942383586907096E-3</v>
      </c>
      <c r="R76" s="7">
        <v>7.2618090662697303E-3</v>
      </c>
      <c r="S76" s="7">
        <v>7.0168744901768802E-3</v>
      </c>
      <c r="T76" s="7">
        <v>6.5801258237777804E-3</v>
      </c>
      <c r="U76" s="7">
        <v>6.1347892793803703E-3</v>
      </c>
      <c r="V76" s="7">
        <v>5.67381227595452E-3</v>
      </c>
      <c r="W76" s="7">
        <v>5.1955080114352396E-3</v>
      </c>
      <c r="X76" s="7">
        <v>4.8472371961745904E-3</v>
      </c>
      <c r="Y76" s="7">
        <v>4.4959477427830002E-3</v>
      </c>
      <c r="Z76" s="7">
        <v>3.80350488294558E-3</v>
      </c>
      <c r="AA76" s="7">
        <v>3.4545996913303199E-3</v>
      </c>
      <c r="AB76" s="7">
        <v>3.02469426162704E-3</v>
      </c>
      <c r="AC76" s="7"/>
      <c r="AD76" s="7"/>
      <c r="AE76" s="7"/>
      <c r="AF76" s="7"/>
      <c r="AG76" s="7"/>
      <c r="AH76" s="7"/>
      <c r="AI76" s="7"/>
      <c r="AJ76" s="7"/>
      <c r="AK76" s="7"/>
      <c r="AL76" s="7"/>
      <c r="AM76" s="7"/>
      <c r="AN76" s="7"/>
      <c r="AO76" s="7"/>
      <c r="AP76" s="7"/>
      <c r="AQ76" s="7"/>
      <c r="AR76" s="6" t="s">
        <v>46</v>
      </c>
      <c r="AS76" s="7"/>
      <c r="AT76" s="143"/>
      <c r="AU76" s="143"/>
      <c r="AV76" s="144" t="s">
        <v>369</v>
      </c>
      <c r="AW76" s="150">
        <v>7</v>
      </c>
      <c r="AX76" s="150">
        <v>5</v>
      </c>
      <c r="AY76" s="150">
        <v>4</v>
      </c>
      <c r="AZ76" s="150">
        <v>3</v>
      </c>
      <c r="BA76" s="150">
        <v>3</v>
      </c>
      <c r="BB76" s="150">
        <v>3</v>
      </c>
      <c r="BC76" s="150">
        <v>3</v>
      </c>
      <c r="BD76" s="150">
        <v>2</v>
      </c>
      <c r="BE76" s="150">
        <v>2</v>
      </c>
      <c r="BF76" s="150">
        <v>2</v>
      </c>
      <c r="BG76" s="150">
        <v>1</v>
      </c>
      <c r="BH76" s="150">
        <v>1</v>
      </c>
      <c r="BI76" s="150">
        <v>3</v>
      </c>
      <c r="BJ76" s="150">
        <v>3</v>
      </c>
      <c r="BK76" s="150">
        <v>3</v>
      </c>
      <c r="BL76" s="150">
        <v>3</v>
      </c>
      <c r="BM76" s="150">
        <v>3</v>
      </c>
      <c r="BN76" s="150">
        <v>2</v>
      </c>
      <c r="BO76" s="150">
        <v>2</v>
      </c>
      <c r="BP76" s="150">
        <v>2</v>
      </c>
      <c r="BQ76" s="150">
        <v>1</v>
      </c>
      <c r="BR76" s="150">
        <v>1</v>
      </c>
      <c r="BS76" s="150">
        <v>1</v>
      </c>
      <c r="BT76" s="150">
        <v>1</v>
      </c>
      <c r="BU76" s="150">
        <v>1</v>
      </c>
      <c r="BV76" s="150">
        <v>1</v>
      </c>
      <c r="BW76" s="150">
        <v>1</v>
      </c>
      <c r="BX76" s="150">
        <v>1</v>
      </c>
      <c r="BY76" s="150">
        <v>1</v>
      </c>
      <c r="BZ76" s="150">
        <v>1</v>
      </c>
      <c r="CA76" s="150">
        <v>0</v>
      </c>
      <c r="CB76" s="143"/>
      <c r="CC76" s="143"/>
      <c r="CD76" s="143"/>
      <c r="CE76" s="143"/>
      <c r="CF76" s="143"/>
      <c r="CG76" s="143"/>
      <c r="CH76" s="143"/>
      <c r="CI76" s="143"/>
      <c r="CJ76" s="143"/>
      <c r="CK76" s="143"/>
      <c r="CL76" s="143"/>
      <c r="CM76" s="143"/>
      <c r="CN76" s="143"/>
      <c r="CO76" s="143"/>
      <c r="CP76" s="143"/>
      <c r="CQ76" s="143"/>
      <c r="CR76" s="143"/>
      <c r="CS76" s="143"/>
      <c r="CT76" s="143"/>
      <c r="CU76" s="143"/>
      <c r="CV76" s="143"/>
      <c r="CW76" s="143"/>
      <c r="CX76" s="143"/>
      <c r="CY76" s="143"/>
      <c r="CZ76" s="143"/>
      <c r="DA76" s="143"/>
      <c r="DB76" s="143"/>
      <c r="DC76" s="143"/>
      <c r="DD76" s="143"/>
      <c r="DE76" s="143"/>
      <c r="DF76" s="143"/>
      <c r="DG76" s="143"/>
      <c r="DH76" s="143"/>
      <c r="DI76" s="143"/>
      <c r="DJ76" s="143"/>
      <c r="DK76" s="143"/>
      <c r="DL76" s="143"/>
      <c r="DM76" s="143"/>
      <c r="DN76" s="143"/>
      <c r="DO76" s="143"/>
      <c r="DP76" s="143"/>
      <c r="DQ76" s="143"/>
      <c r="DR76" s="143"/>
      <c r="DS76" s="143"/>
      <c r="DT76" s="143"/>
      <c r="DU76" s="143"/>
      <c r="DV76" s="143"/>
      <c r="DW76" s="143"/>
      <c r="DX76" s="143"/>
      <c r="DY76" s="143"/>
      <c r="DZ76" s="143"/>
      <c r="EA76" s="143"/>
      <c r="EB76" s="143"/>
    </row>
    <row r="77" spans="2:132" x14ac:dyDescent="0.35">
      <c r="B77" s="4" t="str">
        <f>Populations!$C$14</f>
        <v>M25-34</v>
      </c>
      <c r="C77" s="7">
        <v>7.0139254410583104E-3</v>
      </c>
      <c r="D77" s="7">
        <v>7.0139254410583104E-3</v>
      </c>
      <c r="E77" s="7">
        <v>7.0139254410583104E-3</v>
      </c>
      <c r="F77" s="7">
        <v>7.0139254410583104E-3</v>
      </c>
      <c r="G77" s="7">
        <v>7.0139254410583104E-3</v>
      </c>
      <c r="H77" s="7">
        <v>7.0139254410583104E-3</v>
      </c>
      <c r="I77" s="7">
        <v>7.0139254410583104E-3</v>
      </c>
      <c r="J77" s="7">
        <v>7.0139254410583104E-3</v>
      </c>
      <c r="K77" s="7">
        <v>7.0139254410583104E-3</v>
      </c>
      <c r="L77" s="7">
        <v>7.0139254410583104E-3</v>
      </c>
      <c r="M77" s="7">
        <v>7.0139254410583104E-3</v>
      </c>
      <c r="N77" s="7">
        <v>7.0283920204683896E-3</v>
      </c>
      <c r="O77" s="7">
        <v>6.8814395136063602E-3</v>
      </c>
      <c r="P77" s="7">
        <v>6.8360582922609098E-3</v>
      </c>
      <c r="Q77" s="7">
        <v>6.6233161414891301E-3</v>
      </c>
      <c r="R77" s="7">
        <v>6.3291390052196703E-3</v>
      </c>
      <c r="S77" s="7">
        <v>6.0906152849520903E-3</v>
      </c>
      <c r="T77" s="7">
        <v>5.6824665754830004E-3</v>
      </c>
      <c r="U77" s="7">
        <v>5.2695537511119996E-3</v>
      </c>
      <c r="V77" s="7">
        <v>4.85183869696871E-3</v>
      </c>
      <c r="W77" s="7">
        <v>4.4313631850625302E-3</v>
      </c>
      <c r="X77" s="7">
        <v>4.1361031271017999E-3</v>
      </c>
      <c r="Y77" s="7">
        <v>3.8496569368250601E-3</v>
      </c>
      <c r="Z77" s="7">
        <v>3.2772391960888998E-3</v>
      </c>
      <c r="AA77" s="7">
        <v>3.0016974158075102E-3</v>
      </c>
      <c r="AB77" s="7">
        <v>2.6543447218816802E-3</v>
      </c>
      <c r="AC77" s="7"/>
      <c r="AD77" s="7"/>
      <c r="AE77" s="7"/>
      <c r="AF77" s="7"/>
      <c r="AG77" s="7"/>
      <c r="AH77" s="7"/>
      <c r="AI77" s="7"/>
      <c r="AJ77" s="7"/>
      <c r="AK77" s="7"/>
      <c r="AL77" s="7"/>
      <c r="AM77" s="7"/>
      <c r="AN77" s="7"/>
      <c r="AO77" s="7"/>
      <c r="AP77" s="7"/>
      <c r="AQ77" s="7"/>
      <c r="AR77" s="6" t="s">
        <v>46</v>
      </c>
      <c r="AS77" s="7"/>
      <c r="AT77" s="143"/>
      <c r="AU77" s="143"/>
      <c r="AV77" s="144" t="s">
        <v>387</v>
      </c>
      <c r="AW77" s="150">
        <v>124</v>
      </c>
      <c r="AX77" s="150">
        <v>125</v>
      </c>
      <c r="AY77" s="150">
        <v>121</v>
      </c>
      <c r="AZ77" s="150">
        <v>109</v>
      </c>
      <c r="BA77" s="150">
        <v>97</v>
      </c>
      <c r="BB77" s="150">
        <v>84</v>
      </c>
      <c r="BC77" s="150">
        <v>71</v>
      </c>
      <c r="BD77" s="150">
        <v>60</v>
      </c>
      <c r="BE77" s="150">
        <v>50</v>
      </c>
      <c r="BF77" s="150">
        <v>42</v>
      </c>
      <c r="BG77" s="150">
        <v>36</v>
      </c>
      <c r="BH77" s="150">
        <v>30</v>
      </c>
      <c r="BI77" s="150">
        <v>25</v>
      </c>
      <c r="BJ77" s="150">
        <v>22</v>
      </c>
      <c r="BK77" s="150">
        <v>18</v>
      </c>
      <c r="BL77" s="150">
        <v>14</v>
      </c>
      <c r="BM77" s="150">
        <v>11</v>
      </c>
      <c r="BN77" s="150">
        <v>9</v>
      </c>
      <c r="BO77" s="150">
        <v>8</v>
      </c>
      <c r="BP77" s="150">
        <v>5</v>
      </c>
      <c r="BQ77" s="150">
        <v>4</v>
      </c>
      <c r="BR77" s="150">
        <v>3</v>
      </c>
      <c r="BS77" s="150">
        <v>3</v>
      </c>
      <c r="BT77" s="150">
        <v>3</v>
      </c>
      <c r="BU77" s="150">
        <v>2</v>
      </c>
      <c r="BV77" s="150">
        <v>2</v>
      </c>
      <c r="BW77" s="150">
        <v>2</v>
      </c>
      <c r="BX77" s="150">
        <v>2</v>
      </c>
      <c r="BY77" s="150">
        <v>2</v>
      </c>
      <c r="BZ77" s="150">
        <v>2</v>
      </c>
      <c r="CA77" s="150">
        <v>2</v>
      </c>
      <c r="CB77" s="143"/>
      <c r="CC77" s="143"/>
      <c r="CD77" s="143"/>
      <c r="CE77" s="143"/>
      <c r="CF77" s="143"/>
      <c r="CG77" s="143"/>
      <c r="CH77" s="143"/>
      <c r="CI77" s="143"/>
      <c r="CJ77" s="143"/>
      <c r="CK77" s="143"/>
      <c r="CL77" s="143"/>
      <c r="CM77" s="143"/>
      <c r="CN77" s="143"/>
      <c r="CO77" s="143"/>
      <c r="CP77" s="143"/>
      <c r="CQ77" s="143"/>
      <c r="CR77" s="143"/>
      <c r="CS77" s="143"/>
      <c r="CT77" s="143"/>
      <c r="CU77" s="143"/>
      <c r="CV77" s="143"/>
      <c r="CW77" s="143"/>
      <c r="CX77" s="143"/>
      <c r="CY77" s="143"/>
      <c r="CZ77" s="143"/>
      <c r="DA77" s="143"/>
      <c r="DB77" s="143"/>
      <c r="DC77" s="143"/>
      <c r="DD77" s="143"/>
      <c r="DE77" s="143"/>
      <c r="DF77" s="143"/>
      <c r="DG77" s="143"/>
      <c r="DH77" s="143"/>
      <c r="DI77" s="143"/>
      <c r="DJ77" s="143"/>
      <c r="DK77" s="143"/>
      <c r="DL77" s="143"/>
      <c r="DM77" s="143"/>
      <c r="DN77" s="143"/>
      <c r="DO77" s="143"/>
      <c r="DP77" s="143"/>
      <c r="DQ77" s="143"/>
      <c r="DR77" s="143"/>
      <c r="DS77" s="143"/>
      <c r="DT77" s="143"/>
      <c r="DU77" s="143"/>
      <c r="DV77" s="143"/>
      <c r="DW77" s="143"/>
      <c r="DX77" s="143"/>
      <c r="DY77" s="143"/>
      <c r="DZ77" s="143"/>
      <c r="EA77" s="143"/>
      <c r="EB77" s="143"/>
    </row>
    <row r="78" spans="2:132" x14ac:dyDescent="0.35">
      <c r="B78" s="4" t="str">
        <f>Populations!$C$15</f>
        <v>F35-49</v>
      </c>
      <c r="C78" s="7">
        <v>3.12703722154389E-2</v>
      </c>
      <c r="D78" s="7">
        <v>3.12703722154389E-2</v>
      </c>
      <c r="E78" s="7">
        <v>3.12703722154389E-2</v>
      </c>
      <c r="F78" s="7">
        <v>3.12703722154389E-2</v>
      </c>
      <c r="G78" s="7">
        <v>3.12703722154389E-2</v>
      </c>
      <c r="H78" s="7">
        <v>3.12703722154389E-2</v>
      </c>
      <c r="I78" s="7">
        <v>3.12703722154389E-2</v>
      </c>
      <c r="J78" s="7">
        <v>3.12703722154389E-2</v>
      </c>
      <c r="K78" s="7">
        <v>3.12703722154389E-2</v>
      </c>
      <c r="L78" s="7">
        <v>3.12703722154389E-2</v>
      </c>
      <c r="M78" s="7">
        <v>3.12703722154389E-2</v>
      </c>
      <c r="N78" s="7">
        <v>3.0977543184308901E-2</v>
      </c>
      <c r="O78" s="7">
        <v>3.0037329038504101E-2</v>
      </c>
      <c r="P78" s="7">
        <v>2.95783249191039E-2</v>
      </c>
      <c r="Q78" s="7">
        <v>2.8399230562664999E-2</v>
      </c>
      <c r="R78" s="7">
        <v>2.6887534900396099E-2</v>
      </c>
      <c r="S78" s="7">
        <v>2.57161238985621E-2</v>
      </c>
      <c r="T78" s="7">
        <v>2.3931896756698299E-2</v>
      </c>
      <c r="U78" s="7">
        <v>2.22749147751749E-2</v>
      </c>
      <c r="V78" s="7">
        <v>2.0784670016454902E-2</v>
      </c>
      <c r="W78" s="7">
        <v>1.9456820803991099E-2</v>
      </c>
      <c r="X78" s="7">
        <v>1.85210271851079E-2</v>
      </c>
      <c r="Y78" s="7">
        <v>1.7710600716698902E-2</v>
      </c>
      <c r="Z78" s="7">
        <v>1.55784062986237E-2</v>
      </c>
      <c r="AA78" s="7">
        <v>1.4805967026467999E-2</v>
      </c>
      <c r="AB78" s="7">
        <v>1.3640982947184899E-2</v>
      </c>
      <c r="AC78" s="7"/>
      <c r="AD78" s="7"/>
      <c r="AE78" s="7"/>
      <c r="AF78" s="7"/>
      <c r="AG78" s="7"/>
      <c r="AH78" s="7"/>
      <c r="AI78" s="7"/>
      <c r="AJ78" s="7"/>
      <c r="AK78" s="7"/>
      <c r="AL78" s="7"/>
      <c r="AM78" s="7"/>
      <c r="AN78" s="7"/>
      <c r="AO78" s="7"/>
      <c r="AP78" s="7"/>
      <c r="AQ78" s="7"/>
      <c r="AR78" s="6" t="s">
        <v>46</v>
      </c>
      <c r="AS78" s="7"/>
      <c r="AT78" s="143"/>
      <c r="AU78" s="143"/>
      <c r="AV78" s="144" t="s">
        <v>388</v>
      </c>
      <c r="AW78" s="150">
        <v>180</v>
      </c>
      <c r="AX78" s="150">
        <v>196</v>
      </c>
      <c r="AY78" s="150">
        <v>207</v>
      </c>
      <c r="AZ78" s="150">
        <v>214</v>
      </c>
      <c r="BA78" s="150">
        <v>216</v>
      </c>
      <c r="BB78" s="150">
        <v>215</v>
      </c>
      <c r="BC78" s="150">
        <v>212</v>
      </c>
      <c r="BD78" s="150">
        <v>205</v>
      </c>
      <c r="BE78" s="150">
        <v>195</v>
      </c>
      <c r="BF78" s="150">
        <v>184</v>
      </c>
      <c r="BG78" s="150">
        <v>171</v>
      </c>
      <c r="BH78" s="150">
        <v>157</v>
      </c>
      <c r="BI78" s="150">
        <v>143</v>
      </c>
      <c r="BJ78" s="150">
        <v>129</v>
      </c>
      <c r="BK78" s="150">
        <v>110</v>
      </c>
      <c r="BL78" s="150">
        <v>93</v>
      </c>
      <c r="BM78" s="150">
        <v>73</v>
      </c>
      <c r="BN78" s="150">
        <v>58</v>
      </c>
      <c r="BO78" s="150">
        <v>44</v>
      </c>
      <c r="BP78" s="150">
        <v>28</v>
      </c>
      <c r="BQ78" s="150">
        <v>17</v>
      </c>
      <c r="BR78" s="150">
        <v>15</v>
      </c>
      <c r="BS78" s="150">
        <v>15</v>
      </c>
      <c r="BT78" s="150">
        <v>12</v>
      </c>
      <c r="BU78" s="150">
        <v>6</v>
      </c>
      <c r="BV78" s="150">
        <v>5</v>
      </c>
      <c r="BW78" s="150">
        <v>6</v>
      </c>
      <c r="BX78" s="150">
        <v>5</v>
      </c>
      <c r="BY78" s="150">
        <v>5</v>
      </c>
      <c r="BZ78" s="150">
        <v>4</v>
      </c>
      <c r="CA78" s="150">
        <v>4</v>
      </c>
      <c r="CB78" s="143"/>
      <c r="CC78" s="143"/>
      <c r="CD78" s="143"/>
      <c r="CE78" s="143"/>
      <c r="CF78" s="143"/>
      <c r="CG78" s="143"/>
      <c r="CH78" s="143"/>
      <c r="CI78" s="143"/>
      <c r="CJ78" s="143"/>
      <c r="CK78" s="143"/>
      <c r="CL78" s="143"/>
      <c r="CM78" s="143"/>
      <c r="CN78" s="143"/>
      <c r="CO78" s="143"/>
      <c r="CP78" s="143"/>
      <c r="CQ78" s="143"/>
      <c r="CR78" s="143"/>
      <c r="CS78" s="143"/>
      <c r="CT78" s="143"/>
      <c r="CU78" s="143"/>
      <c r="CV78" s="143"/>
      <c r="CW78" s="143"/>
      <c r="CX78" s="143"/>
      <c r="CY78" s="143"/>
      <c r="CZ78" s="143"/>
      <c r="DA78" s="143"/>
      <c r="DB78" s="143"/>
      <c r="DC78" s="143"/>
      <c r="DD78" s="143"/>
      <c r="DE78" s="143"/>
      <c r="DF78" s="143"/>
      <c r="DG78" s="143"/>
      <c r="DH78" s="143"/>
      <c r="DI78" s="143"/>
      <c r="DJ78" s="143"/>
      <c r="DK78" s="143"/>
      <c r="DL78" s="143"/>
      <c r="DM78" s="143"/>
      <c r="DN78" s="143"/>
      <c r="DO78" s="143"/>
      <c r="DP78" s="143"/>
      <c r="DQ78" s="143"/>
      <c r="DR78" s="143"/>
      <c r="DS78" s="143"/>
      <c r="DT78" s="143"/>
      <c r="DU78" s="143"/>
      <c r="DV78" s="143"/>
      <c r="DW78" s="143"/>
      <c r="DX78" s="143"/>
      <c r="DY78" s="143"/>
      <c r="DZ78" s="143"/>
      <c r="EA78" s="143"/>
      <c r="EB78" s="143"/>
    </row>
    <row r="79" spans="2:132" x14ac:dyDescent="0.35">
      <c r="B79" s="4" t="str">
        <f>Populations!$C$16</f>
        <v>M35-49</v>
      </c>
      <c r="C79" s="7">
        <v>4.1211085335919703E-2</v>
      </c>
      <c r="D79" s="7">
        <v>4.1211085335919703E-2</v>
      </c>
      <c r="E79" s="7">
        <v>4.1211085335919703E-2</v>
      </c>
      <c r="F79" s="7">
        <v>4.1211085335919703E-2</v>
      </c>
      <c r="G79" s="7">
        <v>4.1211085335919703E-2</v>
      </c>
      <c r="H79" s="7">
        <v>4.1211085335919703E-2</v>
      </c>
      <c r="I79" s="7">
        <v>4.1211085335919703E-2</v>
      </c>
      <c r="J79" s="7">
        <v>4.1211085335919703E-2</v>
      </c>
      <c r="K79" s="7">
        <v>4.1211085335919703E-2</v>
      </c>
      <c r="L79" s="7">
        <v>4.1211085335919703E-2</v>
      </c>
      <c r="M79" s="7">
        <v>4.1211085335919703E-2</v>
      </c>
      <c r="N79" s="7">
        <v>4.0974319845983702E-2</v>
      </c>
      <c r="O79" s="7">
        <v>3.9880671037717898E-2</v>
      </c>
      <c r="P79" s="7">
        <v>3.9414363685764897E-2</v>
      </c>
      <c r="Q79" s="7">
        <v>3.7962171779310702E-2</v>
      </c>
      <c r="R79" s="7">
        <v>3.6026271410897703E-2</v>
      </c>
      <c r="S79" s="7">
        <v>3.4480758433047397E-2</v>
      </c>
      <c r="T79" s="7">
        <v>3.20782964703498E-2</v>
      </c>
      <c r="U79" s="7">
        <v>2.9822917924563801E-2</v>
      </c>
      <c r="V79" s="7">
        <v>2.77776831438338E-2</v>
      </c>
      <c r="W79" s="7">
        <v>2.5939325732885699E-2</v>
      </c>
      <c r="X79" s="7">
        <v>2.46102713956231E-2</v>
      </c>
      <c r="Y79" s="7">
        <v>2.3444652712172599E-2</v>
      </c>
      <c r="Z79" s="7">
        <v>2.0530498954084899E-2</v>
      </c>
      <c r="AA79" s="7">
        <v>1.9409525893460899E-2</v>
      </c>
      <c r="AB79" s="7">
        <v>1.7772325494281201E-2</v>
      </c>
      <c r="AC79" s="7"/>
      <c r="AD79" s="7"/>
      <c r="AE79" s="7"/>
      <c r="AF79" s="7"/>
      <c r="AG79" s="7"/>
      <c r="AH79" s="7"/>
      <c r="AI79" s="7"/>
      <c r="AJ79" s="7"/>
      <c r="AK79" s="7"/>
      <c r="AL79" s="7"/>
      <c r="AM79" s="7"/>
      <c r="AN79" s="7"/>
      <c r="AO79" s="7"/>
      <c r="AP79" s="7"/>
      <c r="AQ79" s="7"/>
      <c r="AR79" s="6" t="s">
        <v>46</v>
      </c>
      <c r="AS79" s="7"/>
      <c r="AT79" s="143"/>
      <c r="AU79" s="143"/>
      <c r="AV79" s="144" t="s">
        <v>392</v>
      </c>
      <c r="AW79" s="150">
        <v>67</v>
      </c>
      <c r="AX79" s="150">
        <v>71</v>
      </c>
      <c r="AY79" s="150">
        <v>74</v>
      </c>
      <c r="AZ79" s="150">
        <v>75</v>
      </c>
      <c r="BA79" s="150">
        <v>76</v>
      </c>
      <c r="BB79" s="150">
        <v>75</v>
      </c>
      <c r="BC79" s="150">
        <v>74</v>
      </c>
      <c r="BD79" s="150">
        <v>70</v>
      </c>
      <c r="BE79" s="150">
        <v>67</v>
      </c>
      <c r="BF79" s="150">
        <v>64</v>
      </c>
      <c r="BG79" s="150">
        <v>62</v>
      </c>
      <c r="BH79" s="150">
        <v>58</v>
      </c>
      <c r="BI79" s="150">
        <v>55</v>
      </c>
      <c r="BJ79" s="150">
        <v>54</v>
      </c>
      <c r="BK79" s="150">
        <v>49</v>
      </c>
      <c r="BL79" s="150">
        <v>44</v>
      </c>
      <c r="BM79" s="150">
        <v>37</v>
      </c>
      <c r="BN79" s="150">
        <v>29</v>
      </c>
      <c r="BO79" s="150">
        <v>24</v>
      </c>
      <c r="BP79" s="150">
        <v>16</v>
      </c>
      <c r="BQ79" s="150">
        <v>11</v>
      </c>
      <c r="BR79" s="150">
        <v>10</v>
      </c>
      <c r="BS79" s="150">
        <v>12</v>
      </c>
      <c r="BT79" s="150">
        <v>11</v>
      </c>
      <c r="BU79" s="150">
        <v>6</v>
      </c>
      <c r="BV79" s="150">
        <v>6</v>
      </c>
      <c r="BW79" s="150">
        <v>9</v>
      </c>
      <c r="BX79" s="150">
        <v>9</v>
      </c>
      <c r="BY79" s="150">
        <v>9</v>
      </c>
      <c r="BZ79" s="150">
        <v>7</v>
      </c>
      <c r="CA79" s="150">
        <v>8</v>
      </c>
      <c r="CB79" s="143"/>
      <c r="CC79" s="143"/>
      <c r="CD79" s="143"/>
      <c r="CE79" s="143"/>
      <c r="CF79" s="143"/>
      <c r="CG79" s="143"/>
      <c r="CH79" s="143"/>
      <c r="CI79" s="143"/>
      <c r="CJ79" s="143"/>
      <c r="CK79" s="143"/>
      <c r="CL79" s="143"/>
      <c r="CM79" s="143"/>
      <c r="CN79" s="143"/>
      <c r="CO79" s="143"/>
      <c r="CP79" s="143"/>
      <c r="CQ79" s="143"/>
      <c r="CR79" s="143"/>
      <c r="CS79" s="143"/>
      <c r="CT79" s="143"/>
      <c r="CU79" s="143"/>
      <c r="CV79" s="143"/>
      <c r="CW79" s="143"/>
      <c r="CX79" s="143"/>
      <c r="CY79" s="143"/>
      <c r="CZ79" s="143"/>
      <c r="DA79" s="143"/>
      <c r="DB79" s="143"/>
      <c r="DC79" s="143"/>
      <c r="DD79" s="143"/>
      <c r="DE79" s="143"/>
      <c r="DF79" s="143"/>
      <c r="DG79" s="143"/>
      <c r="DH79" s="143"/>
      <c r="DI79" s="143"/>
      <c r="DJ79" s="143"/>
      <c r="DK79" s="143"/>
      <c r="DL79" s="143"/>
      <c r="DM79" s="143"/>
      <c r="DN79" s="143"/>
      <c r="DO79" s="143"/>
      <c r="DP79" s="143"/>
      <c r="DQ79" s="143"/>
      <c r="DR79" s="143"/>
      <c r="DS79" s="143"/>
      <c r="DT79" s="143"/>
      <c r="DU79" s="143"/>
      <c r="DV79" s="143"/>
      <c r="DW79" s="143"/>
      <c r="DX79" s="143"/>
      <c r="DY79" s="143"/>
      <c r="DZ79" s="143"/>
      <c r="EA79" s="143"/>
      <c r="EB79" s="143"/>
    </row>
    <row r="80" spans="2:132" x14ac:dyDescent="0.35">
      <c r="B80" s="4" t="str">
        <f>Populations!$C$17</f>
        <v>F50+</v>
      </c>
      <c r="C80" s="7">
        <v>2.48433919858181E-2</v>
      </c>
      <c r="D80" s="7">
        <v>2.48433919858181E-2</v>
      </c>
      <c r="E80" s="7">
        <v>2.48433919858181E-2</v>
      </c>
      <c r="F80" s="7">
        <v>2.48433919858181E-2</v>
      </c>
      <c r="G80" s="7">
        <v>2.48433919858181E-2</v>
      </c>
      <c r="H80" s="7">
        <v>2.48433919858181E-2</v>
      </c>
      <c r="I80" s="7">
        <v>2.48433919858181E-2</v>
      </c>
      <c r="J80" s="7">
        <v>2.48433919858181E-2</v>
      </c>
      <c r="K80" s="7">
        <v>2.48433919858181E-2</v>
      </c>
      <c r="L80" s="7">
        <v>2.48433919858181E-2</v>
      </c>
      <c r="M80" s="7">
        <v>2.48433919858181E-2</v>
      </c>
      <c r="N80" s="7">
        <v>2.4754870455157001E-2</v>
      </c>
      <c r="O80" s="7">
        <v>2.4073685172779701E-2</v>
      </c>
      <c r="P80" s="7">
        <v>2.3773076202808802E-2</v>
      </c>
      <c r="Q80" s="7">
        <v>2.2973407055381E-2</v>
      </c>
      <c r="R80" s="7">
        <v>2.20012865810198E-2</v>
      </c>
      <c r="S80" s="7">
        <v>2.1146389119532202E-2</v>
      </c>
      <c r="T80" s="7">
        <v>1.9844518056821601E-2</v>
      </c>
      <c r="U80" s="7">
        <v>1.8625083848400899E-2</v>
      </c>
      <c r="V80" s="7">
        <v>1.74360393374213E-2</v>
      </c>
      <c r="W80" s="7">
        <v>1.6254061201721199E-2</v>
      </c>
      <c r="X80" s="7">
        <v>1.5223953320193899E-2</v>
      </c>
      <c r="Y80" s="7">
        <v>1.42283257216621E-2</v>
      </c>
      <c r="Z80" s="7">
        <v>1.21941382357447E-2</v>
      </c>
      <c r="AA80" s="7">
        <v>1.13050081865842E-2</v>
      </c>
      <c r="AB80" s="7">
        <v>1.01959845484917E-2</v>
      </c>
      <c r="AC80" s="7"/>
      <c r="AD80" s="7"/>
      <c r="AE80" s="7"/>
      <c r="AF80" s="7"/>
      <c r="AG80" s="7"/>
      <c r="AH80" s="7"/>
      <c r="AI80" s="7"/>
      <c r="AJ80" s="7"/>
      <c r="AK80" s="7"/>
      <c r="AL80" s="7"/>
      <c r="AM80" s="7"/>
      <c r="AN80" s="7"/>
      <c r="AO80" s="7"/>
      <c r="AP80" s="7"/>
      <c r="AQ80" s="7"/>
      <c r="AR80" s="6" t="s">
        <v>46</v>
      </c>
      <c r="AS80" s="7"/>
      <c r="AT80" s="143"/>
      <c r="AU80" s="143"/>
      <c r="AV80" s="143" t="s">
        <v>400</v>
      </c>
      <c r="AW80" s="151">
        <f>SUM(AW74:AW79)</f>
        <v>425</v>
      </c>
      <c r="AX80" s="151">
        <f t="shared" ref="AX80:CA80" si="40">SUM(AX74:AX79)</f>
        <v>442</v>
      </c>
      <c r="AY80" s="151">
        <f t="shared" si="40"/>
        <v>448</v>
      </c>
      <c r="AZ80" s="151">
        <f t="shared" si="40"/>
        <v>440</v>
      </c>
      <c r="BA80" s="151">
        <f t="shared" si="40"/>
        <v>429</v>
      </c>
      <c r="BB80" s="151">
        <f t="shared" si="40"/>
        <v>412</v>
      </c>
      <c r="BC80" s="151">
        <f t="shared" si="40"/>
        <v>392</v>
      </c>
      <c r="BD80" s="151">
        <f t="shared" si="40"/>
        <v>371</v>
      </c>
      <c r="BE80" s="151">
        <f t="shared" si="40"/>
        <v>347</v>
      </c>
      <c r="BF80" s="151">
        <f t="shared" si="40"/>
        <v>322</v>
      </c>
      <c r="BG80" s="151">
        <f t="shared" si="40"/>
        <v>299</v>
      </c>
      <c r="BH80" s="151">
        <f t="shared" si="40"/>
        <v>275</v>
      </c>
      <c r="BI80" s="151">
        <f t="shared" si="40"/>
        <v>251</v>
      </c>
      <c r="BJ80" s="151">
        <f t="shared" si="40"/>
        <v>230</v>
      </c>
      <c r="BK80" s="151">
        <f t="shared" si="40"/>
        <v>201</v>
      </c>
      <c r="BL80" s="151">
        <f t="shared" si="40"/>
        <v>173</v>
      </c>
      <c r="BM80" s="151">
        <f t="shared" si="40"/>
        <v>141</v>
      </c>
      <c r="BN80" s="151">
        <f t="shared" si="40"/>
        <v>111</v>
      </c>
      <c r="BO80" s="151">
        <f t="shared" si="40"/>
        <v>90</v>
      </c>
      <c r="BP80" s="151">
        <f t="shared" si="40"/>
        <v>61</v>
      </c>
      <c r="BQ80" s="151">
        <f t="shared" si="40"/>
        <v>40</v>
      </c>
      <c r="BR80" s="151">
        <f t="shared" si="40"/>
        <v>35</v>
      </c>
      <c r="BS80" s="151">
        <f t="shared" si="40"/>
        <v>36</v>
      </c>
      <c r="BT80" s="151">
        <f t="shared" si="40"/>
        <v>31</v>
      </c>
      <c r="BU80" s="151">
        <f t="shared" si="40"/>
        <v>18</v>
      </c>
      <c r="BV80" s="151">
        <f t="shared" si="40"/>
        <v>17</v>
      </c>
      <c r="BW80" s="151">
        <f t="shared" si="40"/>
        <v>21</v>
      </c>
      <c r="BX80" s="151">
        <f t="shared" si="40"/>
        <v>20</v>
      </c>
      <c r="BY80" s="151">
        <f t="shared" si="40"/>
        <v>19</v>
      </c>
      <c r="BZ80" s="151">
        <f t="shared" si="40"/>
        <v>15</v>
      </c>
      <c r="CA80" s="151">
        <f t="shared" si="40"/>
        <v>14</v>
      </c>
      <c r="CB80" s="143"/>
      <c r="CC80" s="143"/>
      <c r="CD80" s="143"/>
      <c r="CE80" s="143"/>
      <c r="CF80" s="143"/>
      <c r="CG80" s="143"/>
      <c r="CH80" s="143"/>
      <c r="CI80" s="143"/>
      <c r="CJ80" s="143"/>
      <c r="CK80" s="143"/>
      <c r="CL80" s="143"/>
      <c r="CM80" s="143"/>
      <c r="CN80" s="143"/>
      <c r="CO80" s="143"/>
      <c r="CP80" s="143"/>
      <c r="CQ80" s="143"/>
      <c r="CR80" s="143"/>
      <c r="CS80" s="143"/>
      <c r="CT80" s="143"/>
      <c r="CU80" s="143"/>
      <c r="CV80" s="143"/>
      <c r="CW80" s="143"/>
      <c r="CX80" s="143"/>
      <c r="CY80" s="143"/>
      <c r="CZ80" s="143"/>
      <c r="DA80" s="143"/>
      <c r="DB80" s="143"/>
      <c r="DC80" s="143"/>
      <c r="DD80" s="143"/>
      <c r="DE80" s="143"/>
      <c r="DF80" s="143"/>
      <c r="DG80" s="143"/>
      <c r="DH80" s="143"/>
      <c r="DI80" s="143"/>
      <c r="DJ80" s="143"/>
      <c r="DK80" s="143"/>
      <c r="DL80" s="143"/>
      <c r="DM80" s="143"/>
      <c r="DN80" s="143"/>
      <c r="DO80" s="143"/>
      <c r="DP80" s="143"/>
      <c r="DQ80" s="143"/>
      <c r="DR80" s="143"/>
      <c r="DS80" s="143"/>
      <c r="DT80" s="143"/>
      <c r="DU80" s="143"/>
      <c r="DV80" s="143"/>
      <c r="DW80" s="143"/>
      <c r="DX80" s="143"/>
      <c r="DY80" s="143"/>
      <c r="DZ80" s="143"/>
      <c r="EA80" s="143"/>
      <c r="EB80" s="143"/>
    </row>
    <row r="81" spans="2:132" x14ac:dyDescent="0.35">
      <c r="B81" s="4" t="str">
        <f>Populations!$C$18</f>
        <v>M50+</v>
      </c>
      <c r="C81" s="7">
        <v>4.28732802962494E-2</v>
      </c>
      <c r="D81" s="7">
        <v>4.28732802962494E-2</v>
      </c>
      <c r="E81" s="7">
        <v>4.28732802962494E-2</v>
      </c>
      <c r="F81" s="7">
        <v>4.28732802962494E-2</v>
      </c>
      <c r="G81" s="7">
        <v>4.28732802962494E-2</v>
      </c>
      <c r="H81" s="7">
        <v>4.28732802962494E-2</v>
      </c>
      <c r="I81" s="7">
        <v>4.28732802962494E-2</v>
      </c>
      <c r="J81" s="7">
        <v>4.28732802962494E-2</v>
      </c>
      <c r="K81" s="7">
        <v>4.28732802962494E-2</v>
      </c>
      <c r="L81" s="7">
        <v>4.28732802962494E-2</v>
      </c>
      <c r="M81" s="7">
        <v>4.28732802962494E-2</v>
      </c>
      <c r="N81" s="7">
        <v>4.2735810434712501E-2</v>
      </c>
      <c r="O81" s="7">
        <v>4.16064648423565E-2</v>
      </c>
      <c r="P81" s="7">
        <v>4.1154665493431303E-2</v>
      </c>
      <c r="Q81" s="7">
        <v>3.9844011443573198E-2</v>
      </c>
      <c r="R81" s="7">
        <v>3.82288692793279E-2</v>
      </c>
      <c r="S81" s="7">
        <v>3.67930566534269E-2</v>
      </c>
      <c r="T81" s="7">
        <v>3.4570786632933101E-2</v>
      </c>
      <c r="U81" s="7">
        <v>3.2497026029739098E-2</v>
      </c>
      <c r="V81" s="7">
        <v>3.0496475629785601E-2</v>
      </c>
      <c r="W81" s="7">
        <v>2.8533908005758502E-2</v>
      </c>
      <c r="X81" s="7">
        <v>2.6785096360222999E-2</v>
      </c>
      <c r="Y81" s="7">
        <v>2.5120546212561899E-2</v>
      </c>
      <c r="Z81" s="7">
        <v>2.16259549157009E-2</v>
      </c>
      <c r="AA81" s="7">
        <v>2.0153191091990999E-2</v>
      </c>
      <c r="AB81" s="7">
        <v>1.8280461110142299E-2</v>
      </c>
      <c r="AC81" s="7"/>
      <c r="AD81" s="7"/>
      <c r="AE81" s="7"/>
      <c r="AF81" s="7"/>
      <c r="AG81" s="7"/>
      <c r="AH81" s="7"/>
      <c r="AI81" s="7"/>
      <c r="AJ81" s="7"/>
      <c r="AK81" s="7"/>
      <c r="AL81" s="7"/>
      <c r="AM81" s="7"/>
      <c r="AN81" s="7"/>
      <c r="AO81" s="7"/>
      <c r="AP81" s="7"/>
      <c r="AQ81" s="7"/>
      <c r="AR81" s="6" t="s">
        <v>46</v>
      </c>
      <c r="AS81" s="7"/>
      <c r="AT81" s="143"/>
      <c r="AU81" s="143"/>
      <c r="AV81" s="144" t="s">
        <v>401</v>
      </c>
      <c r="AW81" s="152">
        <f>AW80+AW72</f>
        <v>674</v>
      </c>
      <c r="AX81" s="152">
        <f t="shared" ref="AX81:CA81" si="41">AX80+AX72</f>
        <v>702</v>
      </c>
      <c r="AY81" s="152">
        <f t="shared" si="41"/>
        <v>714</v>
      </c>
      <c r="AZ81" s="152">
        <f t="shared" si="41"/>
        <v>703</v>
      </c>
      <c r="BA81" s="152">
        <f t="shared" si="41"/>
        <v>688</v>
      </c>
      <c r="BB81" s="152">
        <f t="shared" si="41"/>
        <v>664</v>
      </c>
      <c r="BC81" s="152">
        <f t="shared" si="41"/>
        <v>634</v>
      </c>
      <c r="BD81" s="152">
        <f t="shared" si="41"/>
        <v>605</v>
      </c>
      <c r="BE81" s="152">
        <f t="shared" si="41"/>
        <v>571</v>
      </c>
      <c r="BF81" s="152">
        <f t="shared" si="41"/>
        <v>534</v>
      </c>
      <c r="BG81" s="152">
        <f t="shared" si="41"/>
        <v>501</v>
      </c>
      <c r="BH81" s="152">
        <f t="shared" si="41"/>
        <v>465</v>
      </c>
      <c r="BI81" s="152">
        <f t="shared" si="41"/>
        <v>427</v>
      </c>
      <c r="BJ81" s="152">
        <f t="shared" si="41"/>
        <v>396</v>
      </c>
      <c r="BK81" s="152">
        <f t="shared" si="41"/>
        <v>350</v>
      </c>
      <c r="BL81" s="152">
        <f t="shared" si="41"/>
        <v>304</v>
      </c>
      <c r="BM81" s="152">
        <f t="shared" si="41"/>
        <v>254</v>
      </c>
      <c r="BN81" s="152">
        <f t="shared" si="41"/>
        <v>200</v>
      </c>
      <c r="BO81" s="152">
        <f t="shared" si="41"/>
        <v>163</v>
      </c>
      <c r="BP81" s="152">
        <f t="shared" si="41"/>
        <v>110</v>
      </c>
      <c r="BQ81" s="152">
        <f t="shared" si="41"/>
        <v>70</v>
      </c>
      <c r="BR81" s="152">
        <f t="shared" si="41"/>
        <v>55</v>
      </c>
      <c r="BS81" s="152">
        <f t="shared" si="41"/>
        <v>54</v>
      </c>
      <c r="BT81" s="152">
        <f t="shared" si="41"/>
        <v>48</v>
      </c>
      <c r="BU81" s="152">
        <f t="shared" si="41"/>
        <v>29</v>
      </c>
      <c r="BV81" s="152">
        <f t="shared" si="41"/>
        <v>32</v>
      </c>
      <c r="BW81" s="152">
        <f t="shared" si="41"/>
        <v>37</v>
      </c>
      <c r="BX81" s="152">
        <f t="shared" si="41"/>
        <v>32</v>
      </c>
      <c r="BY81" s="152">
        <f t="shared" si="41"/>
        <v>30</v>
      </c>
      <c r="BZ81" s="152">
        <f t="shared" si="41"/>
        <v>23</v>
      </c>
      <c r="CA81" s="152">
        <f t="shared" si="41"/>
        <v>21</v>
      </c>
      <c r="CB81" s="143"/>
      <c r="CC81" s="150"/>
      <c r="CD81" s="143"/>
      <c r="CE81" s="143"/>
      <c r="CF81" s="143"/>
      <c r="CG81" s="143"/>
      <c r="CH81" s="143"/>
      <c r="CI81" s="143"/>
      <c r="CJ81" s="143"/>
      <c r="CK81" s="143"/>
      <c r="CL81" s="143"/>
      <c r="CM81" s="143"/>
      <c r="CN81" s="143"/>
      <c r="CO81" s="143"/>
      <c r="CP81" s="143"/>
      <c r="CQ81" s="143"/>
      <c r="CR81" s="143"/>
      <c r="CS81" s="143"/>
      <c r="CT81" s="143"/>
      <c r="CU81" s="143"/>
      <c r="CV81" s="143"/>
      <c r="CW81" s="143"/>
      <c r="CX81" s="143"/>
      <c r="CY81" s="143"/>
      <c r="CZ81" s="143"/>
      <c r="DA81" s="143"/>
      <c r="DB81" s="143"/>
      <c r="DC81" s="143"/>
      <c r="DD81" s="143"/>
      <c r="DE81" s="143"/>
      <c r="DF81" s="143"/>
      <c r="DG81" s="143"/>
      <c r="DH81" s="143"/>
      <c r="DI81" s="143"/>
      <c r="DJ81" s="143"/>
      <c r="DK81" s="143"/>
      <c r="DL81" s="143"/>
      <c r="DM81" s="143"/>
      <c r="DN81" s="143"/>
      <c r="DO81" s="143"/>
      <c r="DP81" s="143"/>
      <c r="DQ81" s="143"/>
      <c r="DR81" s="143"/>
      <c r="DS81" s="143"/>
      <c r="DT81" s="143"/>
      <c r="DU81" s="143"/>
      <c r="DV81" s="143"/>
      <c r="DW81" s="143"/>
      <c r="DX81" s="143"/>
      <c r="DY81" s="143"/>
      <c r="DZ81" s="143"/>
      <c r="EA81" s="143"/>
      <c r="EB81" s="143"/>
    </row>
    <row r="82" spans="2:132" x14ac:dyDescent="0.35">
      <c r="AV82" s="144"/>
      <c r="AW82" s="157">
        <f>AW67+AW68+AW69+AW70+AW75+AW76+AW77+AW78</f>
        <v>481</v>
      </c>
      <c r="AX82" s="149"/>
      <c r="AY82" s="149"/>
      <c r="AZ82" s="153"/>
      <c r="BA82" s="149"/>
      <c r="BB82" s="149"/>
      <c r="BC82" s="149"/>
      <c r="BD82" s="149"/>
      <c r="BE82" s="149"/>
      <c r="BF82" s="149"/>
      <c r="BG82" s="149"/>
      <c r="BH82" s="149"/>
      <c r="BI82" s="149"/>
      <c r="BJ82" s="149"/>
      <c r="BK82" s="149"/>
      <c r="BL82" s="149"/>
      <c r="BM82" s="149"/>
      <c r="BN82" s="149"/>
      <c r="BO82" s="149"/>
      <c r="BP82" s="149"/>
      <c r="BQ82" s="149"/>
      <c r="BR82" s="149"/>
      <c r="BS82" s="149"/>
      <c r="BT82" s="149"/>
      <c r="BU82" s="149"/>
      <c r="BV82" s="149"/>
      <c r="BW82" s="149"/>
      <c r="BX82" s="149"/>
      <c r="BY82" s="149"/>
      <c r="BZ82" s="149"/>
      <c r="CA82" s="149"/>
      <c r="CC82" s="12"/>
    </row>
    <row r="83" spans="2:132" x14ac:dyDescent="0.35">
      <c r="AV83" s="144" t="s">
        <v>403</v>
      </c>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C83" s="12"/>
    </row>
    <row r="84" spans="2:132" x14ac:dyDescent="0.35">
      <c r="AV84" s="25" t="s">
        <v>394</v>
      </c>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C84" s="12"/>
    </row>
    <row r="85" spans="2:132" x14ac:dyDescent="0.35">
      <c r="AV85" s="144" t="s">
        <v>140</v>
      </c>
      <c r="AW85" s="12">
        <f>AW25-AW66</f>
        <v>16637.599999999999</v>
      </c>
      <c r="AX85" s="12">
        <f t="shared" ref="AX85:CA90" si="42">AX25-AX66</f>
        <v>16640.599999999999</v>
      </c>
      <c r="AY85" s="12">
        <f t="shared" si="42"/>
        <v>16642.599999999999</v>
      </c>
      <c r="AZ85" s="12">
        <f t="shared" si="42"/>
        <v>16645.599999999999</v>
      </c>
      <c r="BA85" s="12">
        <f t="shared" si="42"/>
        <v>16647.599999999999</v>
      </c>
      <c r="BB85" s="12">
        <f t="shared" si="42"/>
        <v>19323.2</v>
      </c>
      <c r="BC85" s="12">
        <f t="shared" si="42"/>
        <v>19326.2</v>
      </c>
      <c r="BD85" s="12">
        <f t="shared" si="42"/>
        <v>19329.2</v>
      </c>
      <c r="BE85" s="12">
        <f t="shared" si="42"/>
        <v>19331.2</v>
      </c>
      <c r="BF85" s="12">
        <f t="shared" si="42"/>
        <v>19335.2</v>
      </c>
      <c r="BG85" s="12">
        <f t="shared" si="42"/>
        <v>20197.599999999999</v>
      </c>
      <c r="BH85" s="12">
        <f t="shared" si="42"/>
        <v>20199.599999999999</v>
      </c>
      <c r="BI85" s="12">
        <f t="shared" si="42"/>
        <v>20201.599999999999</v>
      </c>
      <c r="BJ85" s="12">
        <f t="shared" si="42"/>
        <v>20203.599999999999</v>
      </c>
      <c r="BK85" s="12">
        <f t="shared" si="42"/>
        <v>20204.599999999999</v>
      </c>
      <c r="BL85" s="12">
        <f t="shared" si="42"/>
        <v>21605.8</v>
      </c>
      <c r="BM85" s="12">
        <f t="shared" si="42"/>
        <v>21606.799999999999</v>
      </c>
      <c r="BN85" s="12">
        <f t="shared" si="42"/>
        <v>21609.8</v>
      </c>
      <c r="BO85" s="12">
        <f t="shared" si="42"/>
        <v>21610.799999999999</v>
      </c>
      <c r="BP85" s="12">
        <f t="shared" si="42"/>
        <v>21611.8</v>
      </c>
      <c r="BQ85" s="12">
        <f t="shared" si="42"/>
        <v>17248</v>
      </c>
      <c r="BR85" s="12">
        <f t="shared" si="42"/>
        <v>17249</v>
      </c>
      <c r="BS85" s="12">
        <f t="shared" si="42"/>
        <v>17250</v>
      </c>
      <c r="BT85" s="12">
        <f t="shared" si="42"/>
        <v>17251</v>
      </c>
      <c r="BU85" s="12">
        <f t="shared" si="42"/>
        <v>17252</v>
      </c>
      <c r="BV85" s="12">
        <f t="shared" si="42"/>
        <v>11807.2</v>
      </c>
      <c r="BW85" s="12">
        <f t="shared" si="42"/>
        <v>11807.2</v>
      </c>
      <c r="BX85" s="12">
        <f t="shared" si="42"/>
        <v>11807.2</v>
      </c>
      <c r="BY85" s="12">
        <f t="shared" si="42"/>
        <v>11808.2</v>
      </c>
      <c r="BZ85" s="12">
        <f t="shared" si="42"/>
        <v>11808.2</v>
      </c>
      <c r="CA85" s="12">
        <f t="shared" si="42"/>
        <v>11809.2</v>
      </c>
      <c r="CC85" s="12"/>
    </row>
    <row r="86" spans="2:132" x14ac:dyDescent="0.35">
      <c r="AV86" s="144" t="s">
        <v>368</v>
      </c>
      <c r="AW86" s="12">
        <f t="shared" ref="AW86:BL90" si="43">AW26-AW67</f>
        <v>1049.2</v>
      </c>
      <c r="AX86" s="12">
        <f t="shared" si="43"/>
        <v>1049.2</v>
      </c>
      <c r="AY86" s="12">
        <f t="shared" si="43"/>
        <v>1049.2</v>
      </c>
      <c r="AZ86" s="12">
        <f t="shared" si="43"/>
        <v>1049.2</v>
      </c>
      <c r="BA86" s="12">
        <f t="shared" si="43"/>
        <v>1049.2</v>
      </c>
      <c r="BB86" s="12">
        <f t="shared" si="43"/>
        <v>1409</v>
      </c>
      <c r="BC86" s="12">
        <f t="shared" si="43"/>
        <v>1408</v>
      </c>
      <c r="BD86" s="12">
        <f t="shared" si="43"/>
        <v>1404</v>
      </c>
      <c r="BE86" s="12">
        <f t="shared" si="43"/>
        <v>1403</v>
      </c>
      <c r="BF86" s="12">
        <f t="shared" si="43"/>
        <v>1402</v>
      </c>
      <c r="BG86" s="12">
        <f t="shared" si="43"/>
        <v>1840.6</v>
      </c>
      <c r="BH86" s="12">
        <f t="shared" si="43"/>
        <v>1839.6</v>
      </c>
      <c r="BI86" s="12">
        <f t="shared" si="43"/>
        <v>1840.6</v>
      </c>
      <c r="BJ86" s="12">
        <f t="shared" si="43"/>
        <v>1841.6</v>
      </c>
      <c r="BK86" s="12">
        <f t="shared" si="43"/>
        <v>1841.6</v>
      </c>
      <c r="BL86" s="12">
        <f t="shared" si="43"/>
        <v>2029.6</v>
      </c>
      <c r="BM86" s="12">
        <f t="shared" si="42"/>
        <v>2030.6</v>
      </c>
      <c r="BN86" s="12">
        <f t="shared" si="42"/>
        <v>2031.6</v>
      </c>
      <c r="BO86" s="12">
        <f t="shared" si="42"/>
        <v>2031.6</v>
      </c>
      <c r="BP86" s="12">
        <f t="shared" si="42"/>
        <v>2032.6</v>
      </c>
      <c r="BQ86" s="12">
        <f t="shared" si="42"/>
        <v>1352</v>
      </c>
      <c r="BR86" s="12">
        <f t="shared" si="42"/>
        <v>1352</v>
      </c>
      <c r="BS86" s="12">
        <f t="shared" si="42"/>
        <v>1352</v>
      </c>
      <c r="BT86" s="12">
        <f t="shared" si="42"/>
        <v>1352</v>
      </c>
      <c r="BU86" s="12">
        <f t="shared" si="42"/>
        <v>1352</v>
      </c>
      <c r="BV86" s="12">
        <f t="shared" si="42"/>
        <v>1035.5999999999999</v>
      </c>
      <c r="BW86" s="12">
        <f t="shared" si="42"/>
        <v>1035.5999999999999</v>
      </c>
      <c r="BX86" s="12">
        <f t="shared" si="42"/>
        <v>1036.5999999999999</v>
      </c>
      <c r="BY86" s="12">
        <f t="shared" si="42"/>
        <v>1036.5999999999999</v>
      </c>
      <c r="BZ86" s="12">
        <f t="shared" si="42"/>
        <v>1036.5999999999999</v>
      </c>
      <c r="CA86" s="12">
        <f t="shared" si="42"/>
        <v>1036.5999999999999</v>
      </c>
      <c r="CC86" s="12"/>
    </row>
    <row r="87" spans="2:132" x14ac:dyDescent="0.35">
      <c r="AV87" s="144" t="s">
        <v>369</v>
      </c>
      <c r="AW87" s="12">
        <f t="shared" si="43"/>
        <v>1770.4</v>
      </c>
      <c r="AX87" s="12">
        <f t="shared" si="42"/>
        <v>1771.4</v>
      </c>
      <c r="AY87" s="12">
        <f t="shared" si="42"/>
        <v>1773.4</v>
      </c>
      <c r="AZ87" s="12">
        <f t="shared" si="42"/>
        <v>1773.4</v>
      </c>
      <c r="BA87" s="12">
        <f t="shared" si="42"/>
        <v>1773.4</v>
      </c>
      <c r="BB87" s="12">
        <f t="shared" si="42"/>
        <v>3050.8</v>
      </c>
      <c r="BC87" s="12">
        <f t="shared" si="42"/>
        <v>3050.8</v>
      </c>
      <c r="BD87" s="12">
        <f t="shared" si="42"/>
        <v>3050.8</v>
      </c>
      <c r="BE87" s="12">
        <f t="shared" si="42"/>
        <v>3051.8</v>
      </c>
      <c r="BF87" s="12">
        <f t="shared" si="42"/>
        <v>3051.8</v>
      </c>
      <c r="BG87" s="12">
        <f t="shared" si="42"/>
        <v>4283.2</v>
      </c>
      <c r="BH87" s="12">
        <f t="shared" si="42"/>
        <v>4283.2</v>
      </c>
      <c r="BI87" s="12">
        <f t="shared" si="42"/>
        <v>4282.2</v>
      </c>
      <c r="BJ87" s="12">
        <f t="shared" si="42"/>
        <v>4281.2</v>
      </c>
      <c r="BK87" s="12">
        <f t="shared" si="42"/>
        <v>4281.2</v>
      </c>
      <c r="BL87" s="12">
        <f t="shared" si="42"/>
        <v>4594.3999999999996</v>
      </c>
      <c r="BM87" s="12">
        <f t="shared" si="42"/>
        <v>4594.3999999999996</v>
      </c>
      <c r="BN87" s="12">
        <f t="shared" si="42"/>
        <v>4595.3999999999996</v>
      </c>
      <c r="BO87" s="12">
        <f t="shared" si="42"/>
        <v>4596.3999999999996</v>
      </c>
      <c r="BP87" s="12">
        <f t="shared" si="42"/>
        <v>4596.3999999999996</v>
      </c>
      <c r="BQ87" s="12">
        <f t="shared" si="42"/>
        <v>2570.6</v>
      </c>
      <c r="BR87" s="12">
        <f t="shared" si="42"/>
        <v>2570.6</v>
      </c>
      <c r="BS87" s="12">
        <f t="shared" si="42"/>
        <v>2570.6</v>
      </c>
      <c r="BT87" s="12">
        <f t="shared" si="42"/>
        <v>2570.6</v>
      </c>
      <c r="BU87" s="12">
        <f t="shared" si="42"/>
        <v>2570.6</v>
      </c>
      <c r="BV87" s="12">
        <f t="shared" si="42"/>
        <v>1939.8</v>
      </c>
      <c r="BW87" s="12">
        <f t="shared" si="42"/>
        <v>1939.8</v>
      </c>
      <c r="BX87" s="12">
        <f t="shared" si="42"/>
        <v>1939.8</v>
      </c>
      <c r="BY87" s="12">
        <f t="shared" si="42"/>
        <v>1939.8</v>
      </c>
      <c r="BZ87" s="12">
        <f t="shared" si="42"/>
        <v>1940.8</v>
      </c>
      <c r="CA87" s="12">
        <f t="shared" si="42"/>
        <v>1940.8</v>
      </c>
      <c r="CC87" s="12"/>
    </row>
    <row r="88" spans="2:132" x14ac:dyDescent="0.35">
      <c r="AV88" s="144" t="s">
        <v>387</v>
      </c>
      <c r="AW88" s="12">
        <f t="shared" si="43"/>
        <v>6363.2</v>
      </c>
      <c r="AX88" s="12">
        <f t="shared" si="42"/>
        <v>6359.2</v>
      </c>
      <c r="AY88" s="12">
        <f t="shared" si="42"/>
        <v>6359.2</v>
      </c>
      <c r="AZ88" s="12">
        <f t="shared" si="42"/>
        <v>6364.2</v>
      </c>
      <c r="BA88" s="12">
        <f t="shared" si="42"/>
        <v>6372.2</v>
      </c>
      <c r="BB88" s="12">
        <f t="shared" si="42"/>
        <v>14373</v>
      </c>
      <c r="BC88" s="12">
        <f t="shared" si="42"/>
        <v>14382</v>
      </c>
      <c r="BD88" s="12">
        <f t="shared" si="42"/>
        <v>14390</v>
      </c>
      <c r="BE88" s="12">
        <f t="shared" si="42"/>
        <v>14395</v>
      </c>
      <c r="BF88" s="12">
        <f t="shared" si="42"/>
        <v>14401</v>
      </c>
      <c r="BG88" s="12">
        <f t="shared" si="42"/>
        <v>21011.8</v>
      </c>
      <c r="BH88" s="12">
        <f t="shared" si="42"/>
        <v>21015.8</v>
      </c>
      <c r="BI88" s="12">
        <f t="shared" si="42"/>
        <v>21018.799999999999</v>
      </c>
      <c r="BJ88" s="12">
        <f t="shared" si="42"/>
        <v>21019.8</v>
      </c>
      <c r="BK88" s="12">
        <f t="shared" si="42"/>
        <v>21022.799999999999</v>
      </c>
      <c r="BL88" s="12">
        <f t="shared" si="42"/>
        <v>21284.6</v>
      </c>
      <c r="BM88" s="12">
        <f t="shared" si="42"/>
        <v>21287.599999999999</v>
      </c>
      <c r="BN88" s="12">
        <f t="shared" si="42"/>
        <v>21289.599999999999</v>
      </c>
      <c r="BO88" s="12">
        <f t="shared" si="42"/>
        <v>21292.6</v>
      </c>
      <c r="BP88" s="12">
        <f t="shared" si="42"/>
        <v>21295.599999999999</v>
      </c>
      <c r="BQ88" s="12">
        <f t="shared" si="42"/>
        <v>9190</v>
      </c>
      <c r="BR88" s="12">
        <f t="shared" si="42"/>
        <v>9191</v>
      </c>
      <c r="BS88" s="12">
        <f t="shared" si="42"/>
        <v>9192</v>
      </c>
      <c r="BT88" s="12">
        <f t="shared" si="42"/>
        <v>9192</v>
      </c>
      <c r="BU88" s="12">
        <f t="shared" si="42"/>
        <v>9192</v>
      </c>
      <c r="BV88" s="12">
        <f t="shared" si="42"/>
        <v>7408.2</v>
      </c>
      <c r="BW88" s="12">
        <f t="shared" si="42"/>
        <v>7408.2</v>
      </c>
      <c r="BX88" s="12">
        <f t="shared" si="42"/>
        <v>7408.2</v>
      </c>
      <c r="BY88" s="12">
        <f t="shared" si="42"/>
        <v>7408.2</v>
      </c>
      <c r="BZ88" s="12">
        <f t="shared" si="42"/>
        <v>7409.2</v>
      </c>
      <c r="CA88" s="12">
        <f t="shared" si="42"/>
        <v>7409.2</v>
      </c>
      <c r="CC88" s="12"/>
    </row>
    <row r="89" spans="2:132" x14ac:dyDescent="0.35">
      <c r="AV89" s="144" t="s">
        <v>388</v>
      </c>
      <c r="AW89" s="12">
        <f t="shared" si="43"/>
        <v>8664</v>
      </c>
      <c r="AX89" s="12">
        <f t="shared" si="42"/>
        <v>8655</v>
      </c>
      <c r="AY89" s="12">
        <f t="shared" si="42"/>
        <v>8646</v>
      </c>
      <c r="AZ89" s="12">
        <f t="shared" si="42"/>
        <v>8641</v>
      </c>
      <c r="BA89" s="12">
        <f t="shared" si="42"/>
        <v>8636</v>
      </c>
      <c r="BB89" s="12">
        <f t="shared" si="42"/>
        <v>20334</v>
      </c>
      <c r="BC89" s="12">
        <f t="shared" si="42"/>
        <v>20333</v>
      </c>
      <c r="BD89" s="12">
        <f t="shared" si="42"/>
        <v>20333</v>
      </c>
      <c r="BE89" s="12">
        <f t="shared" si="42"/>
        <v>20335</v>
      </c>
      <c r="BF89" s="12">
        <f t="shared" si="42"/>
        <v>20338</v>
      </c>
      <c r="BG89" s="12">
        <f t="shared" si="42"/>
        <v>28506.400000000001</v>
      </c>
      <c r="BH89" s="12">
        <f t="shared" si="42"/>
        <v>28512.400000000001</v>
      </c>
      <c r="BI89" s="12">
        <f t="shared" si="42"/>
        <v>28519.4</v>
      </c>
      <c r="BJ89" s="12">
        <f t="shared" si="42"/>
        <v>28526.400000000001</v>
      </c>
      <c r="BK89" s="12">
        <f t="shared" si="42"/>
        <v>28537.4</v>
      </c>
      <c r="BL89" s="12">
        <f t="shared" si="42"/>
        <v>26651.199999999993</v>
      </c>
      <c r="BM89" s="12">
        <f t="shared" si="42"/>
        <v>26662.199999999993</v>
      </c>
      <c r="BN89" s="12">
        <f t="shared" si="42"/>
        <v>26674.199999999993</v>
      </c>
      <c r="BO89" s="12">
        <f t="shared" si="42"/>
        <v>26682.199999999993</v>
      </c>
      <c r="BP89" s="12">
        <f t="shared" si="42"/>
        <v>26696.199999999993</v>
      </c>
      <c r="BQ89" s="12">
        <f t="shared" si="42"/>
        <v>12328.4</v>
      </c>
      <c r="BR89" s="12">
        <f t="shared" si="42"/>
        <v>12333.4</v>
      </c>
      <c r="BS89" s="12">
        <f t="shared" si="42"/>
        <v>12334.4</v>
      </c>
      <c r="BT89" s="12">
        <f t="shared" si="42"/>
        <v>12334.4</v>
      </c>
      <c r="BU89" s="12">
        <f t="shared" si="42"/>
        <v>12337.4</v>
      </c>
      <c r="BV89" s="12">
        <f t="shared" si="42"/>
        <v>12105.8</v>
      </c>
      <c r="BW89" s="12">
        <f t="shared" si="42"/>
        <v>12105.8</v>
      </c>
      <c r="BX89" s="12">
        <f t="shared" si="42"/>
        <v>12107.8</v>
      </c>
      <c r="BY89" s="12">
        <f t="shared" si="42"/>
        <v>12107.8</v>
      </c>
      <c r="BZ89" s="12">
        <f t="shared" si="42"/>
        <v>12107.8</v>
      </c>
      <c r="CA89" s="12">
        <f t="shared" si="42"/>
        <v>12107.8</v>
      </c>
      <c r="CC89" s="12"/>
    </row>
    <row r="90" spans="2:132" x14ac:dyDescent="0.35">
      <c r="AV90" s="144" t="s">
        <v>392</v>
      </c>
      <c r="AW90" s="12">
        <f t="shared" si="43"/>
        <v>16723.8</v>
      </c>
      <c r="AX90" s="12">
        <f t="shared" si="42"/>
        <v>16721.8</v>
      </c>
      <c r="AY90" s="12">
        <f t="shared" si="42"/>
        <v>16720.8</v>
      </c>
      <c r="AZ90" s="12">
        <f t="shared" si="42"/>
        <v>16720.8</v>
      </c>
      <c r="BA90" s="12">
        <f t="shared" si="42"/>
        <v>16719.8</v>
      </c>
      <c r="BB90" s="12">
        <f t="shared" si="42"/>
        <v>20817.599999999999</v>
      </c>
      <c r="BC90" s="12">
        <f t="shared" si="42"/>
        <v>20817.599999999999</v>
      </c>
      <c r="BD90" s="12">
        <f t="shared" si="42"/>
        <v>20818.599999999999</v>
      </c>
      <c r="BE90" s="12">
        <f t="shared" si="42"/>
        <v>20819.599999999999</v>
      </c>
      <c r="BF90" s="12">
        <f t="shared" si="42"/>
        <v>20819.599999999999</v>
      </c>
      <c r="BG90" s="12">
        <f t="shared" si="42"/>
        <v>25417</v>
      </c>
      <c r="BH90" s="12">
        <f t="shared" si="42"/>
        <v>25418</v>
      </c>
      <c r="BI90" s="12">
        <f t="shared" si="42"/>
        <v>25420</v>
      </c>
      <c r="BJ90" s="12">
        <f t="shared" si="42"/>
        <v>25420</v>
      </c>
      <c r="BK90" s="12">
        <f t="shared" si="42"/>
        <v>25422</v>
      </c>
      <c r="BL90" s="12">
        <f t="shared" si="42"/>
        <v>28974.400000000001</v>
      </c>
      <c r="BM90" s="12">
        <f t="shared" si="42"/>
        <v>28976.400000000001</v>
      </c>
      <c r="BN90" s="12">
        <f t="shared" si="42"/>
        <v>28981.4</v>
      </c>
      <c r="BO90" s="12">
        <f t="shared" si="42"/>
        <v>28984.400000000001</v>
      </c>
      <c r="BP90" s="12">
        <f t="shared" si="42"/>
        <v>28989.4</v>
      </c>
      <c r="BQ90" s="12">
        <f t="shared" si="42"/>
        <v>27792.2</v>
      </c>
      <c r="BR90" s="12">
        <f t="shared" si="42"/>
        <v>27795.200000000001</v>
      </c>
      <c r="BS90" s="12">
        <f t="shared" si="42"/>
        <v>27794.2</v>
      </c>
      <c r="BT90" s="12">
        <f t="shared" si="42"/>
        <v>27794.2</v>
      </c>
      <c r="BU90" s="12">
        <f t="shared" si="42"/>
        <v>27796.2</v>
      </c>
      <c r="BV90" s="12">
        <f t="shared" si="42"/>
        <v>26731.599999999999</v>
      </c>
      <c r="BW90" s="12">
        <f t="shared" si="42"/>
        <v>26730.6</v>
      </c>
      <c r="BX90" s="12">
        <f t="shared" si="42"/>
        <v>26731.599999999999</v>
      </c>
      <c r="BY90" s="12">
        <f t="shared" si="42"/>
        <v>26731.599999999999</v>
      </c>
      <c r="BZ90" s="12">
        <f t="shared" si="42"/>
        <v>26732.6</v>
      </c>
      <c r="CA90" s="12">
        <f t="shared" si="42"/>
        <v>26732.6</v>
      </c>
      <c r="CC90" s="12"/>
    </row>
    <row r="91" spans="2:132" x14ac:dyDescent="0.35">
      <c r="AV91" s="143"/>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C91" s="12"/>
    </row>
    <row r="92" spans="2:132" x14ac:dyDescent="0.35">
      <c r="AV92" s="25" t="s">
        <v>395</v>
      </c>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C92" s="12"/>
    </row>
    <row r="93" spans="2:132" x14ac:dyDescent="0.35">
      <c r="AV93" s="144" t="s">
        <v>140</v>
      </c>
      <c r="AW93" s="12">
        <f>AW33-AW74</f>
        <v>20711.400000000001</v>
      </c>
      <c r="AX93" s="12">
        <f t="shared" ref="AX93:CA98" si="44">AX33-AX74</f>
        <v>20713.400000000001</v>
      </c>
      <c r="AY93" s="12">
        <f t="shared" si="44"/>
        <v>20716.400000000001</v>
      </c>
      <c r="AZ93" s="12">
        <f t="shared" si="44"/>
        <v>20719.400000000001</v>
      </c>
      <c r="BA93" s="12">
        <f t="shared" si="44"/>
        <v>20721.400000000001</v>
      </c>
      <c r="BB93" s="12">
        <f t="shared" si="44"/>
        <v>24810.6</v>
      </c>
      <c r="BC93" s="12">
        <f t="shared" si="44"/>
        <v>24813.599999999999</v>
      </c>
      <c r="BD93" s="12">
        <f t="shared" si="44"/>
        <v>24816.6</v>
      </c>
      <c r="BE93" s="12">
        <f t="shared" si="44"/>
        <v>24818.6</v>
      </c>
      <c r="BF93" s="12">
        <f t="shared" si="44"/>
        <v>24822.6</v>
      </c>
      <c r="BG93" s="12">
        <f t="shared" si="44"/>
        <v>27011</v>
      </c>
      <c r="BH93" s="12">
        <f t="shared" si="44"/>
        <v>27012</v>
      </c>
      <c r="BI93" s="12">
        <f t="shared" si="44"/>
        <v>27015</v>
      </c>
      <c r="BJ93" s="12">
        <f t="shared" si="44"/>
        <v>27017</v>
      </c>
      <c r="BK93" s="12">
        <f t="shared" si="44"/>
        <v>27018</v>
      </c>
      <c r="BL93" s="12">
        <f t="shared" si="44"/>
        <v>28595.600000000006</v>
      </c>
      <c r="BM93" s="12">
        <f t="shared" si="44"/>
        <v>28596.600000000006</v>
      </c>
      <c r="BN93" s="12">
        <f t="shared" si="44"/>
        <v>28599.600000000006</v>
      </c>
      <c r="BO93" s="12">
        <f t="shared" si="44"/>
        <v>28600.600000000006</v>
      </c>
      <c r="BP93" s="12">
        <f t="shared" si="44"/>
        <v>28601.600000000006</v>
      </c>
      <c r="BQ93" s="12">
        <f t="shared" si="44"/>
        <v>21238.6</v>
      </c>
      <c r="BR93" s="12">
        <f t="shared" si="44"/>
        <v>21239.599999999999</v>
      </c>
      <c r="BS93" s="12">
        <f t="shared" si="44"/>
        <v>21240.6</v>
      </c>
      <c r="BT93" s="12">
        <f t="shared" si="44"/>
        <v>21241.599999999999</v>
      </c>
      <c r="BU93" s="12">
        <f t="shared" si="44"/>
        <v>21242.6</v>
      </c>
      <c r="BV93" s="12">
        <f t="shared" si="44"/>
        <v>14876.2</v>
      </c>
      <c r="BW93" s="12">
        <f t="shared" si="44"/>
        <v>14876.2</v>
      </c>
      <c r="BX93" s="12">
        <f t="shared" si="44"/>
        <v>14876.2</v>
      </c>
      <c r="BY93" s="12">
        <f t="shared" si="44"/>
        <v>14876.2</v>
      </c>
      <c r="BZ93" s="12">
        <f t="shared" si="44"/>
        <v>14877.2</v>
      </c>
      <c r="CA93" s="12">
        <f t="shared" si="44"/>
        <v>14878.2</v>
      </c>
      <c r="CC93" s="12"/>
    </row>
    <row r="94" spans="2:132" x14ac:dyDescent="0.35">
      <c r="AV94" s="144" t="s">
        <v>368</v>
      </c>
      <c r="AW94" s="12">
        <f t="shared" ref="AW94:BL98" si="45">AW34-AW75</f>
        <v>1494.4</v>
      </c>
      <c r="AX94" s="12">
        <f t="shared" si="45"/>
        <v>1494.4</v>
      </c>
      <c r="AY94" s="12">
        <f t="shared" si="45"/>
        <v>1494.4</v>
      </c>
      <c r="AZ94" s="12">
        <f t="shared" si="45"/>
        <v>1494.4</v>
      </c>
      <c r="BA94" s="12">
        <f t="shared" si="45"/>
        <v>1494.4</v>
      </c>
      <c r="BB94" s="12">
        <f t="shared" si="45"/>
        <v>2195.8000000000002</v>
      </c>
      <c r="BC94" s="12">
        <f t="shared" si="45"/>
        <v>2195.8000000000002</v>
      </c>
      <c r="BD94" s="12">
        <f t="shared" si="45"/>
        <v>2190.8000000000002</v>
      </c>
      <c r="BE94" s="12">
        <f t="shared" si="45"/>
        <v>2189.8000000000002</v>
      </c>
      <c r="BF94" s="12">
        <f t="shared" si="45"/>
        <v>2188.8000000000002</v>
      </c>
      <c r="BG94" s="12">
        <f t="shared" si="45"/>
        <v>3130.6</v>
      </c>
      <c r="BH94" s="12">
        <f t="shared" si="45"/>
        <v>3129.6</v>
      </c>
      <c r="BI94" s="12">
        <f t="shared" si="45"/>
        <v>3130.6</v>
      </c>
      <c r="BJ94" s="12">
        <f t="shared" si="45"/>
        <v>3131.6</v>
      </c>
      <c r="BK94" s="12">
        <f t="shared" si="45"/>
        <v>3131.6</v>
      </c>
      <c r="BL94" s="12">
        <f t="shared" si="45"/>
        <v>3384.4</v>
      </c>
      <c r="BM94" s="12">
        <f t="shared" si="44"/>
        <v>3385.4</v>
      </c>
      <c r="BN94" s="12">
        <f t="shared" si="44"/>
        <v>3386.4</v>
      </c>
      <c r="BO94" s="12">
        <f t="shared" si="44"/>
        <v>3386.4</v>
      </c>
      <c r="BP94" s="12">
        <f t="shared" si="44"/>
        <v>3387.4</v>
      </c>
      <c r="BQ94" s="12">
        <f t="shared" si="44"/>
        <v>1798.6</v>
      </c>
      <c r="BR94" s="12">
        <f t="shared" si="44"/>
        <v>1798.6</v>
      </c>
      <c r="BS94" s="12">
        <f t="shared" si="44"/>
        <v>1798.6</v>
      </c>
      <c r="BT94" s="12">
        <f t="shared" si="44"/>
        <v>1798.6</v>
      </c>
      <c r="BU94" s="12">
        <f t="shared" si="44"/>
        <v>1798.6</v>
      </c>
      <c r="BV94" s="12">
        <f t="shared" si="44"/>
        <v>1442.4</v>
      </c>
      <c r="BW94" s="12">
        <f t="shared" si="44"/>
        <v>1442.4</v>
      </c>
      <c r="BX94" s="12">
        <f t="shared" si="44"/>
        <v>1442.4</v>
      </c>
      <c r="BY94" s="12">
        <f t="shared" si="44"/>
        <v>1443.4</v>
      </c>
      <c r="BZ94" s="12">
        <f t="shared" si="44"/>
        <v>1443.4</v>
      </c>
      <c r="CA94" s="12">
        <f t="shared" si="44"/>
        <v>1443.4</v>
      </c>
      <c r="CC94" s="12"/>
    </row>
    <row r="95" spans="2:132" x14ac:dyDescent="0.35">
      <c r="AV95" s="144" t="s">
        <v>369</v>
      </c>
      <c r="AW95" s="12">
        <f t="shared" si="45"/>
        <v>2051.4</v>
      </c>
      <c r="AX95" s="12">
        <f t="shared" si="44"/>
        <v>2053.4</v>
      </c>
      <c r="AY95" s="12">
        <f t="shared" si="44"/>
        <v>2054.4</v>
      </c>
      <c r="AZ95" s="12">
        <f t="shared" si="44"/>
        <v>2055.4</v>
      </c>
      <c r="BA95" s="12">
        <f t="shared" si="44"/>
        <v>2055.4</v>
      </c>
      <c r="BB95" s="12">
        <f t="shared" si="44"/>
        <v>3127.6</v>
      </c>
      <c r="BC95" s="12">
        <f t="shared" si="44"/>
        <v>3127.6</v>
      </c>
      <c r="BD95" s="12">
        <f t="shared" si="44"/>
        <v>3128.6</v>
      </c>
      <c r="BE95" s="12">
        <f t="shared" si="44"/>
        <v>3128.6</v>
      </c>
      <c r="BF95" s="12">
        <f t="shared" si="44"/>
        <v>3128.6</v>
      </c>
      <c r="BG95" s="12">
        <f t="shared" si="44"/>
        <v>4367.2</v>
      </c>
      <c r="BH95" s="12">
        <f t="shared" si="44"/>
        <v>4367.2</v>
      </c>
      <c r="BI95" s="12">
        <f t="shared" si="44"/>
        <v>4365.2</v>
      </c>
      <c r="BJ95" s="12">
        <f t="shared" si="44"/>
        <v>4365.2</v>
      </c>
      <c r="BK95" s="12">
        <f t="shared" si="44"/>
        <v>4365.2</v>
      </c>
      <c r="BL95" s="12">
        <f t="shared" si="44"/>
        <v>4644.8</v>
      </c>
      <c r="BM95" s="12">
        <f t="shared" si="44"/>
        <v>4644.8</v>
      </c>
      <c r="BN95" s="12">
        <f t="shared" si="44"/>
        <v>4645.8</v>
      </c>
      <c r="BO95" s="12">
        <f t="shared" si="44"/>
        <v>4645.8</v>
      </c>
      <c r="BP95" s="12">
        <f t="shared" si="44"/>
        <v>4645.8</v>
      </c>
      <c r="BQ95" s="12">
        <f t="shared" si="44"/>
        <v>2466.6</v>
      </c>
      <c r="BR95" s="12">
        <f t="shared" si="44"/>
        <v>2466.6</v>
      </c>
      <c r="BS95" s="12">
        <f t="shared" si="44"/>
        <v>2466.6</v>
      </c>
      <c r="BT95" s="12">
        <f t="shared" si="44"/>
        <v>2466.6</v>
      </c>
      <c r="BU95" s="12">
        <f t="shared" si="44"/>
        <v>2466.6</v>
      </c>
      <c r="BV95" s="12">
        <f t="shared" si="44"/>
        <v>1899.8</v>
      </c>
      <c r="BW95" s="12">
        <f t="shared" si="44"/>
        <v>1899.8</v>
      </c>
      <c r="BX95" s="12">
        <f t="shared" si="44"/>
        <v>1899.8</v>
      </c>
      <c r="BY95" s="12">
        <f t="shared" si="44"/>
        <v>1899.8</v>
      </c>
      <c r="BZ95" s="12">
        <f t="shared" si="44"/>
        <v>1899.8</v>
      </c>
      <c r="CA95" s="12">
        <f t="shared" si="44"/>
        <v>1900.8</v>
      </c>
      <c r="CC95" s="12"/>
    </row>
    <row r="96" spans="2:132" x14ac:dyDescent="0.35">
      <c r="AV96" s="144" t="s">
        <v>387</v>
      </c>
      <c r="AW96" s="12">
        <f t="shared" si="45"/>
        <v>6653.7999999999984</v>
      </c>
      <c r="AX96" s="12">
        <f t="shared" si="44"/>
        <v>6652.7999999999984</v>
      </c>
      <c r="AY96" s="12">
        <f t="shared" si="44"/>
        <v>6656.7999999999984</v>
      </c>
      <c r="AZ96" s="12">
        <f t="shared" si="44"/>
        <v>6668.7999999999984</v>
      </c>
      <c r="BA96" s="12">
        <f t="shared" si="44"/>
        <v>6680.7999999999984</v>
      </c>
      <c r="BB96" s="12">
        <f t="shared" si="44"/>
        <v>11619</v>
      </c>
      <c r="BC96" s="12">
        <f t="shared" si="44"/>
        <v>11632</v>
      </c>
      <c r="BD96" s="12">
        <f t="shared" si="44"/>
        <v>11643</v>
      </c>
      <c r="BE96" s="12">
        <f t="shared" si="44"/>
        <v>11653</v>
      </c>
      <c r="BF96" s="12">
        <f t="shared" si="44"/>
        <v>11661</v>
      </c>
      <c r="BG96" s="12">
        <f t="shared" si="44"/>
        <v>14621.4</v>
      </c>
      <c r="BH96" s="12">
        <f t="shared" si="44"/>
        <v>14627.4</v>
      </c>
      <c r="BI96" s="12">
        <f t="shared" si="44"/>
        <v>14632.4</v>
      </c>
      <c r="BJ96" s="12">
        <f t="shared" si="44"/>
        <v>14635.4</v>
      </c>
      <c r="BK96" s="12">
        <f t="shared" si="44"/>
        <v>14639.4</v>
      </c>
      <c r="BL96" s="12">
        <f t="shared" si="44"/>
        <v>14069.8</v>
      </c>
      <c r="BM96" s="12">
        <f t="shared" si="44"/>
        <v>14072.8</v>
      </c>
      <c r="BN96" s="12">
        <f t="shared" si="44"/>
        <v>14074.8</v>
      </c>
      <c r="BO96" s="12">
        <f t="shared" si="44"/>
        <v>14075.8</v>
      </c>
      <c r="BP96" s="12">
        <f t="shared" si="44"/>
        <v>14078.8</v>
      </c>
      <c r="BQ96" s="12">
        <f t="shared" si="44"/>
        <v>6533.9999999999991</v>
      </c>
      <c r="BR96" s="12">
        <f t="shared" si="44"/>
        <v>6534.9999999999991</v>
      </c>
      <c r="BS96" s="12">
        <f t="shared" si="44"/>
        <v>6534.9999999999991</v>
      </c>
      <c r="BT96" s="12">
        <f t="shared" si="44"/>
        <v>6534.9999999999991</v>
      </c>
      <c r="BU96" s="12">
        <f t="shared" si="44"/>
        <v>6535.9999999999991</v>
      </c>
      <c r="BV96" s="12">
        <f t="shared" si="44"/>
        <v>4902.3999999999996</v>
      </c>
      <c r="BW96" s="12">
        <f t="shared" si="44"/>
        <v>4902.3999999999996</v>
      </c>
      <c r="BX96" s="12">
        <f t="shared" si="44"/>
        <v>4902.3999999999996</v>
      </c>
      <c r="BY96" s="12">
        <f t="shared" si="44"/>
        <v>4902.3999999999996</v>
      </c>
      <c r="BZ96" s="12">
        <f t="shared" si="44"/>
        <v>4902.3999999999996</v>
      </c>
      <c r="CA96" s="12">
        <f t="shared" si="44"/>
        <v>4902.3999999999996</v>
      </c>
      <c r="CC96" s="12"/>
    </row>
    <row r="97" spans="48:81" x14ac:dyDescent="0.35">
      <c r="AV97" s="144" t="s">
        <v>388</v>
      </c>
      <c r="AW97" s="12">
        <f t="shared" si="45"/>
        <v>12251.4</v>
      </c>
      <c r="AX97" s="12">
        <f t="shared" si="44"/>
        <v>12235.4</v>
      </c>
      <c r="AY97" s="12">
        <f t="shared" si="44"/>
        <v>12224.4</v>
      </c>
      <c r="AZ97" s="12">
        <f t="shared" si="44"/>
        <v>12217.4</v>
      </c>
      <c r="BA97" s="12">
        <f t="shared" si="44"/>
        <v>12215.4</v>
      </c>
      <c r="BB97" s="12">
        <f t="shared" si="44"/>
        <v>23084.800000000003</v>
      </c>
      <c r="BC97" s="12">
        <f t="shared" si="44"/>
        <v>23087.800000000003</v>
      </c>
      <c r="BD97" s="12">
        <f t="shared" si="44"/>
        <v>23094.800000000003</v>
      </c>
      <c r="BE97" s="12">
        <f t="shared" si="44"/>
        <v>23104.800000000003</v>
      </c>
      <c r="BF97" s="12">
        <f t="shared" si="44"/>
        <v>23115.800000000003</v>
      </c>
      <c r="BG97" s="12">
        <f t="shared" si="44"/>
        <v>27247.8</v>
      </c>
      <c r="BH97" s="12">
        <f t="shared" si="44"/>
        <v>27261.8</v>
      </c>
      <c r="BI97" s="12">
        <f t="shared" si="44"/>
        <v>27275.8</v>
      </c>
      <c r="BJ97" s="12">
        <f t="shared" si="44"/>
        <v>27289.8</v>
      </c>
      <c r="BK97" s="12">
        <f t="shared" si="44"/>
        <v>27308.799999999999</v>
      </c>
      <c r="BL97" s="12">
        <f t="shared" si="44"/>
        <v>23696.999999999996</v>
      </c>
      <c r="BM97" s="12">
        <f t="shared" si="44"/>
        <v>23716.999999999996</v>
      </c>
      <c r="BN97" s="12">
        <f t="shared" si="44"/>
        <v>23731.999999999996</v>
      </c>
      <c r="BO97" s="12">
        <f t="shared" si="44"/>
        <v>23745.999999999996</v>
      </c>
      <c r="BP97" s="12">
        <f t="shared" si="44"/>
        <v>23761.999999999996</v>
      </c>
      <c r="BQ97" s="12">
        <f t="shared" si="44"/>
        <v>11372.4</v>
      </c>
      <c r="BR97" s="12">
        <f t="shared" si="44"/>
        <v>11374.4</v>
      </c>
      <c r="BS97" s="12">
        <f t="shared" si="44"/>
        <v>11374.4</v>
      </c>
      <c r="BT97" s="12">
        <f t="shared" si="44"/>
        <v>11377.4</v>
      </c>
      <c r="BU97" s="12">
        <f t="shared" si="44"/>
        <v>11383.4</v>
      </c>
      <c r="BV97" s="12">
        <f t="shared" si="44"/>
        <v>10354</v>
      </c>
      <c r="BW97" s="12">
        <f t="shared" si="44"/>
        <v>10353</v>
      </c>
      <c r="BX97" s="12">
        <f t="shared" si="44"/>
        <v>10354</v>
      </c>
      <c r="BY97" s="12">
        <f t="shared" si="44"/>
        <v>10354</v>
      </c>
      <c r="BZ97" s="12">
        <f t="shared" si="44"/>
        <v>10355</v>
      </c>
      <c r="CA97" s="12">
        <f t="shared" si="44"/>
        <v>10355</v>
      </c>
      <c r="CC97" s="12"/>
    </row>
    <row r="98" spans="48:81" x14ac:dyDescent="0.35">
      <c r="AV98" s="144" t="s">
        <v>392</v>
      </c>
      <c r="AW98" s="12">
        <f t="shared" si="45"/>
        <v>21075.799999999996</v>
      </c>
      <c r="AX98" s="12">
        <f t="shared" si="44"/>
        <v>21071.799999999996</v>
      </c>
      <c r="AY98" s="12">
        <f t="shared" si="44"/>
        <v>21068.799999999996</v>
      </c>
      <c r="AZ98" s="12">
        <f t="shared" si="44"/>
        <v>21067.799999999996</v>
      </c>
      <c r="BA98" s="12">
        <f t="shared" si="44"/>
        <v>21066.799999999996</v>
      </c>
      <c r="BB98" s="12">
        <f t="shared" si="44"/>
        <v>27828.600000000006</v>
      </c>
      <c r="BC98" s="12">
        <f t="shared" si="44"/>
        <v>27829.600000000006</v>
      </c>
      <c r="BD98" s="12">
        <f t="shared" si="44"/>
        <v>27833.600000000006</v>
      </c>
      <c r="BE98" s="12">
        <f t="shared" si="44"/>
        <v>27836.600000000006</v>
      </c>
      <c r="BF98" s="12">
        <f t="shared" si="44"/>
        <v>27839.600000000006</v>
      </c>
      <c r="BG98" s="12">
        <f t="shared" si="44"/>
        <v>31324.799999999996</v>
      </c>
      <c r="BH98" s="12">
        <f t="shared" si="44"/>
        <v>31328.799999999996</v>
      </c>
      <c r="BI98" s="12">
        <f t="shared" si="44"/>
        <v>31331.799999999996</v>
      </c>
      <c r="BJ98" s="12">
        <f t="shared" si="44"/>
        <v>31332.799999999996</v>
      </c>
      <c r="BK98" s="12">
        <f t="shared" si="44"/>
        <v>31337.799999999996</v>
      </c>
      <c r="BL98" s="12">
        <f t="shared" si="44"/>
        <v>29694</v>
      </c>
      <c r="BM98" s="12">
        <f t="shared" si="44"/>
        <v>29701</v>
      </c>
      <c r="BN98" s="12">
        <f t="shared" si="44"/>
        <v>29709</v>
      </c>
      <c r="BO98" s="12">
        <f t="shared" si="44"/>
        <v>29714</v>
      </c>
      <c r="BP98" s="12">
        <f t="shared" si="44"/>
        <v>29722</v>
      </c>
      <c r="BQ98" s="12">
        <f t="shared" si="44"/>
        <v>21175.4</v>
      </c>
      <c r="BR98" s="12">
        <f t="shared" si="44"/>
        <v>21176.400000000001</v>
      </c>
      <c r="BS98" s="12">
        <f t="shared" si="44"/>
        <v>21174.400000000001</v>
      </c>
      <c r="BT98" s="12">
        <f t="shared" si="44"/>
        <v>21175.4</v>
      </c>
      <c r="BU98" s="12">
        <f t="shared" si="44"/>
        <v>21180.400000000001</v>
      </c>
      <c r="BV98" s="12">
        <f t="shared" si="44"/>
        <v>21233.600000000002</v>
      </c>
      <c r="BW98" s="12">
        <f t="shared" si="44"/>
        <v>21230.600000000002</v>
      </c>
      <c r="BX98" s="12">
        <f t="shared" si="44"/>
        <v>21230.600000000002</v>
      </c>
      <c r="BY98" s="12">
        <f t="shared" si="44"/>
        <v>21230.600000000002</v>
      </c>
      <c r="BZ98" s="12">
        <f t="shared" si="44"/>
        <v>21232.600000000002</v>
      </c>
      <c r="CA98" s="12">
        <f t="shared" si="44"/>
        <v>21231.600000000002</v>
      </c>
      <c r="CC98" s="12"/>
    </row>
    <row r="99" spans="48:81" x14ac:dyDescent="0.35">
      <c r="AV99" s="143"/>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C99" s="12"/>
    </row>
    <row r="100" spans="48:81" x14ac:dyDescent="0.35">
      <c r="AV100" s="25" t="s">
        <v>394</v>
      </c>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C100" s="12"/>
    </row>
    <row r="101" spans="48:81" x14ac:dyDescent="0.35">
      <c r="AV101" s="144" t="s">
        <v>140</v>
      </c>
      <c r="AW101" s="149">
        <f>AW85/'Population size'!D20</f>
        <v>7.0237800226532685E-3</v>
      </c>
      <c r="AX101" s="149">
        <f>AX85/'Population size'!E20</f>
        <v>6.8947658018688124E-3</v>
      </c>
      <c r="AY101" s="149">
        <f>AY85/'Population size'!F20</f>
        <v>6.8147468721144727E-3</v>
      </c>
      <c r="AZ101" s="149">
        <f>AZ85/'Population size'!G20</f>
        <v>6.7730430802095511E-3</v>
      </c>
      <c r="BA101" s="149">
        <f>BA85/'Population size'!H20</f>
        <v>6.751336166464502E-3</v>
      </c>
      <c r="BB101" s="149">
        <f>BB85/'Population size'!I20</f>
        <v>7.8230058687118638E-3</v>
      </c>
      <c r="BC101" s="149">
        <f>BC85/'Population size'!J20</f>
        <v>7.7961705329103025E-3</v>
      </c>
      <c r="BD101" s="149">
        <f>BD85/'Population size'!K20</f>
        <v>7.7724574206114961E-3</v>
      </c>
      <c r="BE101" s="149">
        <f>BE85/'Population size'!L20</f>
        <v>7.7571477297807044E-3</v>
      </c>
      <c r="BF101" s="149">
        <f>BF85/'Population size'!M20</f>
        <v>7.760583946293381E-3</v>
      </c>
      <c r="BG101" s="149">
        <f>BG85/'Population size'!N20</f>
        <v>8.1290531868266312E-3</v>
      </c>
      <c r="BH101" s="149">
        <f>BH85/'Population size'!O20</f>
        <v>8.1243190217804434E-3</v>
      </c>
      <c r="BI101" s="149">
        <f>BI85/'Population size'!P20</f>
        <v>8.1298941507227385E-3</v>
      </c>
      <c r="BJ101" s="149">
        <f>BJ85/'Population size'!Q20</f>
        <v>8.1378089752094807E-3</v>
      </c>
      <c r="BK101" s="149">
        <f>BK85/'Population size'!R20</f>
        <v>8.1331700629009816E-3</v>
      </c>
      <c r="BL101" s="149">
        <f>BL85/'Population size'!S20</f>
        <v>8.6686901554528881E-3</v>
      </c>
      <c r="BM101" s="149">
        <f>BM85/'Population size'!T20</f>
        <v>8.6256550041398095E-3</v>
      </c>
      <c r="BN101" s="149">
        <f>BN85/'Population size'!U20</f>
        <v>8.5568963639783419E-3</v>
      </c>
      <c r="BO101" s="149">
        <f>BO85/'Population size'!V20</f>
        <v>8.4604209069971455E-3</v>
      </c>
      <c r="BP101" s="149">
        <f>BP85/'Population size'!W20</f>
        <v>8.3377024502161775E-3</v>
      </c>
      <c r="BQ101" s="149">
        <f>BQ85/'Population size'!X20</f>
        <v>6.5362226408416145E-3</v>
      </c>
      <c r="BR101" s="149">
        <f>BR85/'Population size'!Y20</f>
        <v>6.412360625302746E-3</v>
      </c>
      <c r="BS101" s="149">
        <f>BS85/'Population size'!Z20</f>
        <v>6.2724421617199218E-3</v>
      </c>
      <c r="BT101" s="149">
        <f>BT85/'Population size'!AA20</f>
        <v>6.1282698641237062E-3</v>
      </c>
      <c r="BU101" s="149">
        <f>BU85/'Population size'!AB20</f>
        <v>5.995513443163041E-3</v>
      </c>
      <c r="BV101" s="149">
        <f>BV85/'Population size'!AC20</f>
        <v>4.0268254951339229E-3</v>
      </c>
      <c r="BW101" s="149">
        <f>BW85/'Population size'!AD20</f>
        <v>3.9541636902937927E-3</v>
      </c>
      <c r="BX101" s="149">
        <f>BX85/'Population size'!AE20</f>
        <v>3.9043772794024527E-3</v>
      </c>
      <c r="BY101" s="149">
        <f>BY85/'Population size'!AF20</f>
        <v>3.8700069382333366E-3</v>
      </c>
      <c r="BZ101" s="149">
        <f>BZ85/'Population size'!AG20</f>
        <v>3.8391261714208428E-3</v>
      </c>
      <c r="CA101" s="149">
        <f>CA85/'Population size'!AH20</f>
        <v>3.8064110622250159E-3</v>
      </c>
      <c r="CC101" s="12"/>
    </row>
    <row r="102" spans="48:81" x14ac:dyDescent="0.35">
      <c r="AV102" s="144" t="s">
        <v>368</v>
      </c>
      <c r="AW102" s="149">
        <f>AW86/'Population size'!D28</f>
        <v>1.7858642705464484E-3</v>
      </c>
      <c r="AX102" s="149">
        <f>AX86/'Population size'!E28</f>
        <v>1.7274293557002049E-3</v>
      </c>
      <c r="AY102" s="149">
        <f>AY86/'Population size'!F28</f>
        <v>1.664585593264001E-3</v>
      </c>
      <c r="AZ102" s="149">
        <f>AZ86/'Population size'!G28</f>
        <v>1.6034145090783505E-3</v>
      </c>
      <c r="BA102" s="149">
        <f>BA86/'Population size'!H28</f>
        <v>1.5516534609074366E-3</v>
      </c>
      <c r="BB102" s="149">
        <f>BB86/'Population size'!I28</f>
        <v>2.0310266600903617E-3</v>
      </c>
      <c r="BC102" s="149">
        <f>BC86/'Population size'!J28</f>
        <v>1.9912309614008791E-3</v>
      </c>
      <c r="BD102" s="149">
        <f>BD86/'Population size'!K28</f>
        <v>1.9599916290615176E-3</v>
      </c>
      <c r="BE102" s="149">
        <f>BE86/'Population size'!L28</f>
        <v>1.9395189144472706E-3</v>
      </c>
      <c r="BF102" s="149">
        <f>BF86/'Population size'!M28</f>
        <v>1.9166966477130146E-3</v>
      </c>
      <c r="BG102" s="149">
        <f>BG86/'Population size'!N28</f>
        <v>2.4799995904297911E-3</v>
      </c>
      <c r="BH102" s="149">
        <f>BH86/'Population size'!O28</f>
        <v>2.4597397400023344E-3</v>
      </c>
      <c r="BI102" s="149">
        <f>BI86/'Population size'!P28</f>
        <v>2.4285796876116418E-3</v>
      </c>
      <c r="BJ102" s="149">
        <f>BJ86/'Population size'!Q28</f>
        <v>2.3910205520099518E-3</v>
      </c>
      <c r="BK102" s="149">
        <f>BK86/'Population size'!R28</f>
        <v>2.3569986006266408E-3</v>
      </c>
      <c r="BL102" s="149">
        <f>BL86/'Population size'!S28</f>
        <v>2.5724230808834782E-3</v>
      </c>
      <c r="BM102" s="149">
        <f>BM86/'Population size'!T28</f>
        <v>2.5894011614728718E-3</v>
      </c>
      <c r="BN102" s="149">
        <f>BN86/'Population size'!U28</f>
        <v>2.6172334121019403E-3</v>
      </c>
      <c r="BO102" s="149">
        <f>BO86/'Population size'!V28</f>
        <v>2.6478941935499816E-3</v>
      </c>
      <c r="BP102" s="149">
        <f>BP86/'Population size'!W28</f>
        <v>2.6732192547813606E-3</v>
      </c>
      <c r="BQ102" s="149">
        <f>BQ86/'Population size'!X28</f>
        <v>1.7849175048472096E-3</v>
      </c>
      <c r="BR102" s="149">
        <f>BR86/'Population size'!Y28</f>
        <v>1.8070940225262586E-3</v>
      </c>
      <c r="BS102" s="149">
        <f>BS86/'Population size'!Z28</f>
        <v>1.8172122752130382E-3</v>
      </c>
      <c r="BT102" s="149">
        <f>BT86/'Population size'!AA28</f>
        <v>1.8158840922070461E-3</v>
      </c>
      <c r="BU102" s="149">
        <f>BU86/'Population size'!AB28</f>
        <v>1.8057353267229472E-3</v>
      </c>
      <c r="BV102" s="149">
        <f>BV86/'Population size'!AC28</f>
        <v>1.3705283373744968E-3</v>
      </c>
      <c r="BW102" s="149">
        <f>BW86/'Population size'!AD28</f>
        <v>1.3673810665056671E-3</v>
      </c>
      <c r="BX102" s="149">
        <f>BX86/'Population size'!AE28</f>
        <v>1.357104587043832E-3</v>
      </c>
      <c r="BY102" s="149">
        <f>BY86/'Population size'!AF28</f>
        <v>1.3371393357798347E-3</v>
      </c>
      <c r="BZ102" s="149">
        <f>BZ86/'Population size'!AG28</f>
        <v>1.3097155255560277E-3</v>
      </c>
      <c r="CA102" s="149">
        <f>CA86/'Population size'!AH28</f>
        <v>1.2765867026394127E-3</v>
      </c>
      <c r="CC102" s="12"/>
    </row>
    <row r="103" spans="48:81" x14ac:dyDescent="0.35">
      <c r="AV103" s="144" t="s">
        <v>369</v>
      </c>
      <c r="AW103" s="149">
        <f>AW87/'Population size'!D36</f>
        <v>3.6189109639453024E-3</v>
      </c>
      <c r="AX103" s="149">
        <f>AX87/'Population size'!E36</f>
        <v>3.5409070426814576E-3</v>
      </c>
      <c r="AY103" s="149">
        <f>AY87/'Population size'!F36</f>
        <v>3.4616472520834058E-3</v>
      </c>
      <c r="AZ103" s="149">
        <f>AZ87/'Population size'!G36</f>
        <v>3.3736575147725566E-3</v>
      </c>
      <c r="BA103" s="149">
        <f>BA87/'Population size'!H36</f>
        <v>3.2801135960674574E-3</v>
      </c>
      <c r="BB103" s="149">
        <f>BB87/'Population size'!I36</f>
        <v>5.4724829317443768E-3</v>
      </c>
      <c r="BC103" s="149">
        <f>BC87/'Population size'!J36</f>
        <v>5.3225659719330094E-3</v>
      </c>
      <c r="BD103" s="149">
        <f>BD87/'Population size'!K36</f>
        <v>5.1571013290708451E-3</v>
      </c>
      <c r="BE103" s="149">
        <f>BE87/'Population size'!L36</f>
        <v>4.990704393996427E-3</v>
      </c>
      <c r="BF103" s="149">
        <f>BF87/'Population size'!M36</f>
        <v>4.8377195596664216E-3</v>
      </c>
      <c r="BG103" s="149">
        <f>BG87/'Population size'!N36</f>
        <v>6.6093303928945364E-3</v>
      </c>
      <c r="BH103" s="149">
        <f>BH87/'Population size'!O36</f>
        <v>6.5597160039216323E-3</v>
      </c>
      <c r="BI103" s="149">
        <f>BI87/'Population size'!P36</f>
        <v>6.5322881723382156E-3</v>
      </c>
      <c r="BJ103" s="149">
        <f>BJ87/'Population size'!Q36</f>
        <v>6.5032218903951491E-3</v>
      </c>
      <c r="BK103" s="149">
        <f>BK87/'Population size'!R36</f>
        <v>6.4466158731910509E-3</v>
      </c>
      <c r="BL103" s="149">
        <f>BL87/'Population size'!S36</f>
        <v>6.8140784585412313E-3</v>
      </c>
      <c r="BM103" s="149">
        <f>BM87/'Population size'!T36</f>
        <v>6.7320459955166941E-3</v>
      </c>
      <c r="BN103" s="149">
        <f>BN87/'Population size'!U36</f>
        <v>6.6305634421578059E-3</v>
      </c>
      <c r="BO103" s="149">
        <f>BO87/'Population size'!V36</f>
        <v>6.5235214127996018E-3</v>
      </c>
      <c r="BP103" s="149">
        <f>BP87/'Population size'!W36</f>
        <v>6.4335767592885746E-3</v>
      </c>
      <c r="BQ103" s="149">
        <f>BQ87/'Population size'!X36</f>
        <v>3.564808146444969E-3</v>
      </c>
      <c r="BR103" s="149">
        <f>BR87/'Population size'!Y36</f>
        <v>3.5904675147788146E-3</v>
      </c>
      <c r="BS103" s="149">
        <f>BS87/'Population size'!Z36</f>
        <v>3.6335786277282437E-3</v>
      </c>
      <c r="BT103" s="149">
        <f>BT87/'Population size'!AA36</f>
        <v>3.6830092655651264E-3</v>
      </c>
      <c r="BU103" s="149">
        <f>BU87/'Population size'!AB36</f>
        <v>3.7230736412109475E-3</v>
      </c>
      <c r="BV103" s="149">
        <f>BV87/'Population size'!AC36</f>
        <v>2.8244404206690535E-3</v>
      </c>
      <c r="BW103" s="149">
        <f>BW87/'Population size'!AD36</f>
        <v>2.8540064733988675E-3</v>
      </c>
      <c r="BX103" s="149">
        <f>BX87/'Population size'!AE36</f>
        <v>2.8634848910347728E-3</v>
      </c>
      <c r="BY103" s="149">
        <f>BY87/'Population size'!AF36</f>
        <v>2.8511519946314494E-3</v>
      </c>
      <c r="BZ103" s="149">
        <f>BZ87/'Population size'!AG36</f>
        <v>2.8242597479676366E-3</v>
      </c>
      <c r="CA103" s="149">
        <f>CA87/'Population size'!AH36</f>
        <v>2.7847065762510478E-3</v>
      </c>
      <c r="CC103" s="12"/>
    </row>
    <row r="104" spans="48:81" x14ac:dyDescent="0.35">
      <c r="AV104" s="144" t="s">
        <v>387</v>
      </c>
      <c r="AW104" s="149">
        <f>AW88/'Population size'!D44</f>
        <v>8.6831240197647389E-3</v>
      </c>
      <c r="AX104" s="149">
        <f>AX88/'Population size'!E44</f>
        <v>8.470551217549185E-3</v>
      </c>
      <c r="AY104" s="149">
        <f>AY88/'Population size'!F44</f>
        <v>8.2737732661360835E-3</v>
      </c>
      <c r="AZ104" s="149">
        <f>AZ88/'Population size'!G44</f>
        <v>8.0967720569424528E-3</v>
      </c>
      <c r="BA104" s="149">
        <f>BA88/'Population size'!H44</f>
        <v>7.9424174653790428E-3</v>
      </c>
      <c r="BB104" s="149">
        <f>BB88/'Population size'!I44</f>
        <v>1.7581816058698647E-2</v>
      </c>
      <c r="BC104" s="149">
        <f>BC88/'Population size'!J44</f>
        <v>1.7447113218835603E-2</v>
      </c>
      <c r="BD104" s="149">
        <f>BD88/'Population size'!K44</f>
        <v>1.7347535372948062E-2</v>
      </c>
      <c r="BE104" s="149">
        <f>BE88/'Population size'!L44</f>
        <v>1.7235283741846189E-2</v>
      </c>
      <c r="BF104" s="149">
        <f>BF88/'Population size'!M44</f>
        <v>1.7056249301243376E-2</v>
      </c>
      <c r="BG104" s="149">
        <f>BG88/'Population size'!N44</f>
        <v>2.4468477286380772E-2</v>
      </c>
      <c r="BH104" s="149">
        <f>BH88/'Population size'!O44</f>
        <v>2.4035897858524932E-2</v>
      </c>
      <c r="BI104" s="149">
        <f>BI88/'Population size'!P44</f>
        <v>2.3571656399520646E-2</v>
      </c>
      <c r="BJ104" s="149">
        <f>BJ88/'Population size'!Q44</f>
        <v>2.3106665962860519E-2</v>
      </c>
      <c r="BK104" s="149">
        <f>BK88/'Population size'!R44</f>
        <v>2.2676107140132039E-2</v>
      </c>
      <c r="BL104" s="149">
        <f>BL88/'Population size'!S44</f>
        <v>2.2548157420837742E-2</v>
      </c>
      <c r="BM104" s="149">
        <f>BM88/'Population size'!T44</f>
        <v>2.2011208864243664E-2</v>
      </c>
      <c r="BN104" s="149">
        <f>BN88/'Population size'!U44</f>
        <v>2.152004639511966E-2</v>
      </c>
      <c r="BO104" s="149">
        <f>BO88/'Population size'!V44</f>
        <v>2.106577818884816E-2</v>
      </c>
      <c r="BP104" s="149">
        <f>BP88/'Population size'!W44</f>
        <v>2.0628398901276924E-2</v>
      </c>
      <c r="BQ104" s="149">
        <f>BQ88/'Population size'!X44</f>
        <v>8.7135206633186454E-3</v>
      </c>
      <c r="BR104" s="149">
        <f>BR88/'Population size'!Y44</f>
        <v>8.4799317873694262E-3</v>
      </c>
      <c r="BS104" s="149">
        <f>BS88/'Population size'!Z44</f>
        <v>8.2845435894236853E-3</v>
      </c>
      <c r="BT104" s="149">
        <f>BT88/'Population size'!AA44</f>
        <v>8.1351778753311066E-3</v>
      </c>
      <c r="BU104" s="149">
        <f>BU88/'Population size'!AB44</f>
        <v>8.0343337572079537E-3</v>
      </c>
      <c r="BV104" s="149">
        <f>BV88/'Population size'!AC44</f>
        <v>6.4274025100776412E-3</v>
      </c>
      <c r="BW104" s="149">
        <f>BW88/'Population size'!AD44</f>
        <v>6.383670348333436E-3</v>
      </c>
      <c r="BX104" s="149">
        <f>BX88/'Population size'!AE44</f>
        <v>6.3604703273783007E-3</v>
      </c>
      <c r="BY104" s="149">
        <f>BY88/'Population size'!AF44</f>
        <v>6.3623423550663027E-3</v>
      </c>
      <c r="BZ104" s="149">
        <f>BZ88/'Population size'!AG44</f>
        <v>6.3902150658752344E-3</v>
      </c>
      <c r="CA104" s="149">
        <f>CA88/'Population size'!AH44</f>
        <v>6.4331430165596743E-3</v>
      </c>
      <c r="CC104" s="12"/>
    </row>
    <row r="105" spans="48:81" x14ac:dyDescent="0.35">
      <c r="AV105" s="144" t="s">
        <v>388</v>
      </c>
      <c r="AW105" s="149">
        <f>AW89/'Population size'!D52</f>
        <v>1.5100729815701991E-2</v>
      </c>
      <c r="AX105" s="149">
        <f>AX89/'Population size'!E52</f>
        <v>1.4561792492415746E-2</v>
      </c>
      <c r="AY105" s="149">
        <f>AY89/'Population size'!F52</f>
        <v>1.4092030839644647E-2</v>
      </c>
      <c r="AZ105" s="149">
        <f>AZ89/'Population size'!G52</f>
        <v>1.3676853918455445E-2</v>
      </c>
      <c r="BA105" s="149">
        <f>BA89/'Population size'!H52</f>
        <v>1.3286756576698925E-2</v>
      </c>
      <c r="BB105" s="149">
        <f>BB89/'Population size'!I52</f>
        <v>3.0412490132119153E-2</v>
      </c>
      <c r="BC105" s="149">
        <f>BC89/'Population size'!J52</f>
        <v>2.9663736606164198E-2</v>
      </c>
      <c r="BD105" s="149">
        <f>BD89/'Population size'!K52</f>
        <v>2.9043974907846923E-2</v>
      </c>
      <c r="BE105" s="149">
        <f>BE89/'Population size'!L52</f>
        <v>2.8580379026118586E-2</v>
      </c>
      <c r="BF105" s="149">
        <f>BF89/'Population size'!M52</f>
        <v>2.8305167083405015E-2</v>
      </c>
      <c r="BG105" s="149">
        <f>BG89/'Population size'!N52</f>
        <v>3.9557789465081421E-2</v>
      </c>
      <c r="BH105" s="149">
        <f>BH89/'Population size'!O52</f>
        <v>3.9222783621568065E-2</v>
      </c>
      <c r="BI105" s="149">
        <f>BI89/'Population size'!P52</f>
        <v>3.9089713085201427E-2</v>
      </c>
      <c r="BJ105" s="149">
        <f>BJ89/'Population size'!Q52</f>
        <v>3.9098989974706462E-2</v>
      </c>
      <c r="BK105" s="149">
        <f>BK89/'Population size'!R52</f>
        <v>3.9192532446562761E-2</v>
      </c>
      <c r="BL105" s="149">
        <f>BL89/'Population size'!S52</f>
        <v>3.6714368884688167E-2</v>
      </c>
      <c r="BM105" s="149">
        <f>BM89/'Population size'!T52</f>
        <v>3.6379098454145019E-2</v>
      </c>
      <c r="BN105" s="149">
        <f>BN89/'Population size'!U52</f>
        <v>3.6044684469231557E-2</v>
      </c>
      <c r="BO105" s="149">
        <f>BO89/'Population size'!V52</f>
        <v>3.5666608273714477E-2</v>
      </c>
      <c r="BP105" s="149">
        <f>BP89/'Population size'!W52</f>
        <v>3.5218518736841259E-2</v>
      </c>
      <c r="BQ105" s="149">
        <f>BQ89/'Population size'!X52</f>
        <v>1.6008696853246823E-2</v>
      </c>
      <c r="BR105" s="149">
        <f>BR89/'Population size'!Y52</f>
        <v>1.5403540724698617E-2</v>
      </c>
      <c r="BS105" s="149">
        <f>BS89/'Population size'!Z52</f>
        <v>1.4761525208458283E-2</v>
      </c>
      <c r="BT105" s="149">
        <f>BT89/'Population size'!AA52</f>
        <v>1.4116750485129078E-2</v>
      </c>
      <c r="BU105" s="149">
        <f>BU89/'Population size'!AB52</f>
        <v>1.3504225502968309E-2</v>
      </c>
      <c r="BV105" s="149">
        <f>BV89/'Population size'!AC52</f>
        <v>1.2693920307882554E-2</v>
      </c>
      <c r="BW105" s="149">
        <f>BW89/'Population size'!AD52</f>
        <v>1.2204258595752845E-2</v>
      </c>
      <c r="BX105" s="149">
        <f>BX89/'Population size'!AE52</f>
        <v>1.1741397053157429E-2</v>
      </c>
      <c r="BY105" s="149">
        <f>BY89/'Population size'!AF52</f>
        <v>1.1305738056603867E-2</v>
      </c>
      <c r="BZ105" s="149">
        <f>BZ89/'Population size'!AG52</f>
        <v>1.090604288788595E-2</v>
      </c>
      <c r="CA105" s="149">
        <f>CA89/'Population size'!AH52</f>
        <v>1.0546030629842199E-2</v>
      </c>
      <c r="CC105" s="12"/>
    </row>
    <row r="106" spans="48:81" x14ac:dyDescent="0.35">
      <c r="AV106" s="144" t="s">
        <v>392</v>
      </c>
      <c r="AW106" s="149">
        <f>AW90/'Population size'!D60</f>
        <v>3.6391449952453803E-2</v>
      </c>
      <c r="AX106" s="149">
        <f>AX90/'Population size'!E60</f>
        <v>3.5282525214162128E-2</v>
      </c>
      <c r="AY106" s="149">
        <f>AY90/'Population size'!F60</f>
        <v>3.4186454469992182E-2</v>
      </c>
      <c r="AZ106" s="149">
        <f>AZ90/'Population size'!G60</f>
        <v>3.3171714927351062E-2</v>
      </c>
      <c r="BA106" s="149">
        <f>BA90/'Population size'!H60</f>
        <v>3.2323907991756537E-2</v>
      </c>
      <c r="BB106" s="149">
        <f>BB90/'Population size'!I60</f>
        <v>3.9434890831183296E-2</v>
      </c>
      <c r="BC106" s="149">
        <f>BC90/'Population size'!J60</f>
        <v>3.8538693087782822E-2</v>
      </c>
      <c r="BD106" s="149">
        <f>BD90/'Population size'!K60</f>
        <v>3.7875620614310386E-2</v>
      </c>
      <c r="BE106" s="149">
        <f>BE90/'Population size'!L60</f>
        <v>3.7335533099608173E-2</v>
      </c>
      <c r="BF106" s="149">
        <f>BF90/'Population size'!M60</f>
        <v>3.6780366468098347E-2</v>
      </c>
      <c r="BG106" s="149">
        <f>BG90/'Population size'!N60</f>
        <v>4.4146356714095163E-2</v>
      </c>
      <c r="BH106" s="149">
        <f>BH90/'Population size'!O60</f>
        <v>4.3389272685993643E-2</v>
      </c>
      <c r="BI106" s="149">
        <f>BI90/'Population size'!P60</f>
        <v>4.2578565996777305E-2</v>
      </c>
      <c r="BJ106" s="149">
        <f>BJ90/'Population size'!Q60</f>
        <v>4.1770462925838532E-2</v>
      </c>
      <c r="BK106" s="149">
        <f>BK90/'Population size'!R60</f>
        <v>4.1055339600428287E-2</v>
      </c>
      <c r="BL106" s="149">
        <f>BL90/'Population size'!S60</f>
        <v>4.6120394630026394E-2</v>
      </c>
      <c r="BM106" s="149">
        <f>BM90/'Population size'!T60</f>
        <v>4.5513718640638842E-2</v>
      </c>
      <c r="BN106" s="149">
        <f>BN90/'Population size'!U60</f>
        <v>4.4976263674187708E-2</v>
      </c>
      <c r="BO106" s="149">
        <f>BO90/'Population size'!V60</f>
        <v>4.4485782212378921E-2</v>
      </c>
      <c r="BP106" s="149">
        <f>BP90/'Population size'!W60</f>
        <v>4.4026461985195622E-2</v>
      </c>
      <c r="BQ106" s="149">
        <f>BQ90/'Population size'!X60</f>
        <v>4.1786121309986685E-2</v>
      </c>
      <c r="BR106" s="149">
        <f>BR90/'Population size'!Y60</f>
        <v>4.1201696379998605E-2</v>
      </c>
      <c r="BS106" s="149">
        <f>BS90/'Population size'!Z60</f>
        <v>4.0555226441688963E-2</v>
      </c>
      <c r="BT106" s="149">
        <f>BT90/'Population size'!AA60</f>
        <v>3.9887545313383489E-2</v>
      </c>
      <c r="BU106" s="149">
        <f>BU90/'Population size'!AB60</f>
        <v>3.9226428114799559E-2</v>
      </c>
      <c r="BV106" s="149">
        <f>BV90/'Population size'!AC60</f>
        <v>3.7098264965402007E-2</v>
      </c>
      <c r="BW106" s="149">
        <f>BW90/'Population size'!AD60</f>
        <v>3.6335831790488458E-2</v>
      </c>
      <c r="BX106" s="149">
        <f>BX90/'Population size'!AE60</f>
        <v>3.5515980570347459E-2</v>
      </c>
      <c r="BY106" s="149">
        <f>BY90/'Population size'!AF60</f>
        <v>3.4658164925650818E-2</v>
      </c>
      <c r="BZ106" s="149">
        <f>BZ90/'Population size'!AG60</f>
        <v>3.3793134833250318E-2</v>
      </c>
      <c r="CA106" s="149">
        <f>CA90/'Population size'!AH60</f>
        <v>3.2924151266403509E-2</v>
      </c>
      <c r="CC106" s="12"/>
    </row>
    <row r="107" spans="48:81" x14ac:dyDescent="0.35">
      <c r="AV107" s="143"/>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C107" s="12"/>
    </row>
    <row r="108" spans="48:81" x14ac:dyDescent="0.35">
      <c r="AV108" s="25" t="s">
        <v>395</v>
      </c>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C108" s="12"/>
    </row>
    <row r="109" spans="48:81" x14ac:dyDescent="0.35">
      <c r="AV109" s="144" t="s">
        <v>140</v>
      </c>
      <c r="AW109" s="149">
        <f>AW93/'Population size'!D24</f>
        <v>8.6288547563190317E-3</v>
      </c>
      <c r="AX109" s="149">
        <f>AX93/'Population size'!E24</f>
        <v>8.4625350181540809E-3</v>
      </c>
      <c r="AY109" s="149">
        <f>AY93/'Population size'!F24</f>
        <v>8.3621403695158317E-3</v>
      </c>
      <c r="AZ109" s="149">
        <f>AZ93/'Population size'!G24</f>
        <v>8.3118444003344085E-3</v>
      </c>
      <c r="BA109" s="149">
        <f>BA93/'Population size'!H24</f>
        <v>8.2882085799562098E-3</v>
      </c>
      <c r="BB109" s="149">
        <f>BB93/'Population size'!I24</f>
        <v>9.9120996603360191E-3</v>
      </c>
      <c r="BC109" s="149">
        <f>BC93/'Population size'!J24</f>
        <v>9.8745151504660168E-3</v>
      </c>
      <c r="BD109" s="149">
        <f>BD93/'Population size'!K24</f>
        <v>9.8380542245405465E-3</v>
      </c>
      <c r="BE109" s="149">
        <f>BE93/'Population size'!L24</f>
        <v>9.8156553901547604E-3</v>
      </c>
      <c r="BF109" s="149">
        <f>BF93/'Population size'!M24</f>
        <v>9.827331054518159E-3</v>
      </c>
      <c r="BG109" s="149">
        <f>BG93/'Population size'!N24</f>
        <v>1.074777213815847E-2</v>
      </c>
      <c r="BH109" s="149">
        <f>BH93/'Population size'!O24</f>
        <v>1.0768192452936995E-2</v>
      </c>
      <c r="BI109" s="149">
        <f>BI93/'Population size'!P24</f>
        <v>1.0808429735004428E-2</v>
      </c>
      <c r="BJ109" s="149">
        <f>BJ93/'Population size'!Q24</f>
        <v>1.0847708879727228E-2</v>
      </c>
      <c r="BK109" s="149">
        <f>BK93/'Population size'!R24</f>
        <v>1.0852969141463378E-2</v>
      </c>
      <c r="BL109" s="149">
        <f>BL93/'Population size'!S24</f>
        <v>1.1433890548035529E-2</v>
      </c>
      <c r="BM109" s="149">
        <f>BM93/'Population size'!T24</f>
        <v>1.1417093660843258E-2</v>
      </c>
      <c r="BN109" s="149">
        <f>BN93/'Population size'!U24</f>
        <v>1.1335903369188586E-2</v>
      </c>
      <c r="BO109" s="149">
        <f>BO93/'Population size'!V24</f>
        <v>1.1199175507368788E-2</v>
      </c>
      <c r="BP109" s="149">
        <f>BP93/'Population size'!W24</f>
        <v>1.1022184952707454E-2</v>
      </c>
      <c r="BQ109" s="149">
        <f>BQ93/'Population size'!X24</f>
        <v>8.0307335711706385E-3</v>
      </c>
      <c r="BR109" s="149">
        <f>BR93/'Population size'!Y24</f>
        <v>7.8738353529261076E-3</v>
      </c>
      <c r="BS109" s="149">
        <f>BS93/'Population size'!Z24</f>
        <v>7.7014363643285629E-3</v>
      </c>
      <c r="BT109" s="149">
        <f>BT93/'Population size'!AA24</f>
        <v>7.5248053670067799E-3</v>
      </c>
      <c r="BU109" s="149">
        <f>BU93/'Population size'!AB24</f>
        <v>7.3578708844782457E-3</v>
      </c>
      <c r="BV109" s="149">
        <f>BV93/'Population size'!AC24</f>
        <v>5.0490867405555756E-3</v>
      </c>
      <c r="BW109" s="149">
        <f>BW93/'Population size'!AD24</f>
        <v>4.9588986299543324E-3</v>
      </c>
      <c r="BX109" s="149">
        <f>BX93/'Population size'!AE24</f>
        <v>4.8930828408575476E-3</v>
      </c>
      <c r="BY109" s="149">
        <f>BY93/'Population size'!AF24</f>
        <v>4.844219220441575E-3</v>
      </c>
      <c r="BZ109" s="149">
        <f>BZ93/'Population size'!AG24</f>
        <v>4.8014463852149589E-3</v>
      </c>
      <c r="CA109" s="149">
        <f>CA93/'Population size'!AH24</f>
        <v>4.75832888252094E-3</v>
      </c>
      <c r="CC109" s="12"/>
    </row>
    <row r="110" spans="48:81" x14ac:dyDescent="0.35">
      <c r="AV110" s="144" t="s">
        <v>368</v>
      </c>
      <c r="AW110" s="149">
        <f>AW94/'Population size'!D32</f>
        <v>2.8101247062121437E-3</v>
      </c>
      <c r="AX110" s="149">
        <f>AX94/'Population size'!E32</f>
        <v>2.7215449301772172E-3</v>
      </c>
      <c r="AY110" s="149">
        <f>AY94/'Population size'!F32</f>
        <v>2.6258438181724448E-3</v>
      </c>
      <c r="AZ110" s="149">
        <f>AZ94/'Population size'!G32</f>
        <v>2.5321172646570423E-3</v>
      </c>
      <c r="BA110" s="149">
        <f>BA94/'Population size'!H32</f>
        <v>2.4523953875099586E-3</v>
      </c>
      <c r="BB110" s="149">
        <f>BB94/'Population size'!I32</f>
        <v>3.5143722167099074E-3</v>
      </c>
      <c r="BC110" s="149">
        <f>BC94/'Population size'!J32</f>
        <v>3.4613769581103046E-3</v>
      </c>
      <c r="BD110" s="149">
        <f>BD94/'Population size'!K32</f>
        <v>3.4192345938352459E-3</v>
      </c>
      <c r="BE110" s="149">
        <f>BE94/'Population size'!L32</f>
        <v>3.3906766381936368E-3</v>
      </c>
      <c r="BF110" s="149">
        <f>BF94/'Population size'!M32</f>
        <v>3.3561106355837968E-3</v>
      </c>
      <c r="BG110" s="149">
        <f>BG94/'Population size'!N32</f>
        <v>4.7389458903527044E-3</v>
      </c>
      <c r="BH110" s="149">
        <f>BH94/'Population size'!O32</f>
        <v>4.7541383568233744E-3</v>
      </c>
      <c r="BI110" s="149">
        <f>BI94/'Population size'!P32</f>
        <v>4.7435209189577313E-3</v>
      </c>
      <c r="BJ110" s="149">
        <f>BJ94/'Population size'!Q32</f>
        <v>4.7097883146554054E-3</v>
      </c>
      <c r="BK110" s="149">
        <f>BK94/'Population size'!R32</f>
        <v>4.6674178918155087E-3</v>
      </c>
      <c r="BL110" s="149">
        <f>BL94/'Population size'!S32</f>
        <v>5.0015113501109829E-3</v>
      </c>
      <c r="BM110" s="149">
        <f>BM94/'Population size'!T32</f>
        <v>5.0668710781403298E-3</v>
      </c>
      <c r="BN110" s="149">
        <f>BN94/'Population size'!U32</f>
        <v>5.1403874755092454E-3</v>
      </c>
      <c r="BO110" s="149">
        <f>BO94/'Population size'!V32</f>
        <v>5.2016115086056343E-3</v>
      </c>
      <c r="BP110" s="149">
        <f>BP94/'Population size'!W32</f>
        <v>5.2347855090715927E-3</v>
      </c>
      <c r="BQ110" s="149">
        <f>BQ94/'Population size'!X32</f>
        <v>2.7768897028635441E-3</v>
      </c>
      <c r="BR110" s="149">
        <f>BR94/'Population size'!Y32</f>
        <v>2.8060847919100327E-3</v>
      </c>
      <c r="BS110" s="149">
        <f>BS94/'Population size'!Z32</f>
        <v>2.811701944137547E-3</v>
      </c>
      <c r="BT110" s="149">
        <f>BT94/'Population size'!AA32</f>
        <v>2.7950948481209807E-3</v>
      </c>
      <c r="BU110" s="149">
        <f>BU94/'Population size'!AB32</f>
        <v>2.7617697177258708E-3</v>
      </c>
      <c r="BV110" s="149">
        <f>BV94/'Population size'!AC32</f>
        <v>2.1792849341156178E-3</v>
      </c>
      <c r="BW110" s="149">
        <f>BW94/'Population size'!AD32</f>
        <v>2.1649460055400572E-3</v>
      </c>
      <c r="BX110" s="149">
        <f>BX94/'Population size'!AE32</f>
        <v>2.1386627856108727E-3</v>
      </c>
      <c r="BY110" s="149">
        <f>BY94/'Population size'!AF32</f>
        <v>2.1015149413617352E-3</v>
      </c>
      <c r="BZ110" s="149">
        <f>BZ94/'Population size'!AG32</f>
        <v>2.0510442820122214E-3</v>
      </c>
      <c r="CA110" s="149">
        <f>CA94/'Population size'!AH32</f>
        <v>1.9916204381798348E-3</v>
      </c>
      <c r="CC110" s="12"/>
    </row>
    <row r="111" spans="48:81" x14ac:dyDescent="0.35">
      <c r="AV111" s="144" t="s">
        <v>369</v>
      </c>
      <c r="AW111" s="149">
        <f>AW95/'Population size'!D40</f>
        <v>4.6498964939702195E-3</v>
      </c>
      <c r="AX111" s="149">
        <f>AX95/'Population size'!E40</f>
        <v>4.5606134667608269E-3</v>
      </c>
      <c r="AY111" s="149">
        <f>AY95/'Population size'!F40</f>
        <v>4.4664168478171186E-3</v>
      </c>
      <c r="AZ111" s="149">
        <f>AZ95/'Population size'!G40</f>
        <v>4.3660962855223695E-3</v>
      </c>
      <c r="BA111" s="149">
        <f>BA95/'Population size'!H40</f>
        <v>4.2549315234930293E-3</v>
      </c>
      <c r="BB111" s="149">
        <f>BB95/'Population size'!I40</f>
        <v>6.2908529363809159E-3</v>
      </c>
      <c r="BC111" s="149">
        <f>BC95/'Population size'!J40</f>
        <v>6.1319122542367807E-3</v>
      </c>
      <c r="BD111" s="149">
        <f>BD95/'Population size'!K40</f>
        <v>5.9662249237686146E-3</v>
      </c>
      <c r="BE111" s="149">
        <f>BE95/'Population size'!L40</f>
        <v>5.8044950883734438E-3</v>
      </c>
      <c r="BF111" s="149">
        <f>BF95/'Population size'!M40</f>
        <v>5.6661608909373273E-3</v>
      </c>
      <c r="BG111" s="149">
        <f>BG95/'Population size'!N40</f>
        <v>7.7569065808765249E-3</v>
      </c>
      <c r="BH111" s="149">
        <f>BH95/'Population size'!O40</f>
        <v>7.811101953272801E-3</v>
      </c>
      <c r="BI111" s="149">
        <f>BI95/'Population size'!P40</f>
        <v>7.8989063361410115E-3</v>
      </c>
      <c r="BJ111" s="149">
        <f>BJ95/'Population size'!Q40</f>
        <v>7.9880266096379344E-3</v>
      </c>
      <c r="BK111" s="149">
        <f>BK95/'Population size'!R40</f>
        <v>8.027367311873564E-3</v>
      </c>
      <c r="BL111" s="149">
        <f>BL95/'Population size'!S40</f>
        <v>8.4980753059342804E-3</v>
      </c>
      <c r="BM111" s="149">
        <f>BM95/'Population size'!T40</f>
        <v>8.4069128688254394E-3</v>
      </c>
      <c r="BN111" s="149">
        <f>BN95/'Population size'!U40</f>
        <v>8.3016274239331219E-3</v>
      </c>
      <c r="BO111" s="149">
        <f>BO95/'Population size'!V40</f>
        <v>8.2008852312368038E-3</v>
      </c>
      <c r="BP111" s="149">
        <f>BP95/'Population size'!W40</f>
        <v>8.1327796715791947E-3</v>
      </c>
      <c r="BQ111" s="149">
        <f>BQ95/'Population size'!X40</f>
        <v>4.3007028770766405E-3</v>
      </c>
      <c r="BR111" s="149">
        <f>BR95/'Population size'!Y40</f>
        <v>4.3542487729658534E-3</v>
      </c>
      <c r="BS111" s="149">
        <f>BS95/'Population size'!Z40</f>
        <v>4.4140250248135551E-3</v>
      </c>
      <c r="BT111" s="149">
        <f>BT95/'Population size'!AA40</f>
        <v>4.4631626723304254E-3</v>
      </c>
      <c r="BU111" s="149">
        <f>BU95/'Population size'!AB40</f>
        <v>4.4853448882552572E-3</v>
      </c>
      <c r="BV111" s="149">
        <f>BV95/'Population size'!AC40</f>
        <v>3.4440094311741607E-3</v>
      </c>
      <c r="BW111" s="149">
        <f>BW95/'Population size'!AD40</f>
        <v>3.4425031221567985E-3</v>
      </c>
      <c r="BX111" s="149">
        <f>BX95/'Population size'!AE40</f>
        <v>3.4109765802109284E-3</v>
      </c>
      <c r="BY111" s="149">
        <f>BY95/'Population size'!AF40</f>
        <v>3.3492316485060139E-3</v>
      </c>
      <c r="BZ111" s="149">
        <f>BZ95/'Population size'!AG40</f>
        <v>3.2703253798470433E-3</v>
      </c>
      <c r="CA111" s="149">
        <f>CA95/'Population size'!AH40</f>
        <v>3.1868454988494901E-3</v>
      </c>
      <c r="CC111" s="12"/>
    </row>
    <row r="112" spans="48:81" x14ac:dyDescent="0.35">
      <c r="AV112" s="144" t="s">
        <v>387</v>
      </c>
      <c r="AW112" s="149">
        <f>AW96/'Population size'!D48</f>
        <v>1.0213140811082396E-2</v>
      </c>
      <c r="AX112" s="149">
        <f>AX96/'Population size'!E48</f>
        <v>9.9881087660980885E-3</v>
      </c>
      <c r="AY112" s="149">
        <f>AY96/'Population size'!F48</f>
        <v>9.7866585580390908E-3</v>
      </c>
      <c r="AZ112" s="149">
        <f>AZ96/'Population size'!G48</f>
        <v>9.6153081928274601E-3</v>
      </c>
      <c r="BA112" s="149">
        <f>BA96/'Population size'!H48</f>
        <v>9.466873844551426E-3</v>
      </c>
      <c r="BB112" s="149">
        <f>BB96/'Population size'!I48</f>
        <v>1.6210191967019789E-2</v>
      </c>
      <c r="BC112" s="149">
        <f>BC96/'Population size'!J48</f>
        <v>1.6099351469282184E-2</v>
      </c>
      <c r="BD112" s="149">
        <f>BD96/'Population size'!K48</f>
        <v>1.6017413351212123E-2</v>
      </c>
      <c r="BE112" s="149">
        <f>BE96/'Population size'!L48</f>
        <v>1.5936462969726208E-2</v>
      </c>
      <c r="BF112" s="149">
        <f>BF96/'Population size'!M48</f>
        <v>1.581718189842362E-2</v>
      </c>
      <c r="BG112" s="149">
        <f>BG96/'Population size'!N48</f>
        <v>1.9604626040677552E-2</v>
      </c>
      <c r="BH112" s="149">
        <f>BH96/'Population size'!O48</f>
        <v>1.9490849943590099E-2</v>
      </c>
      <c r="BI112" s="149">
        <f>BI96/'Population size'!P48</f>
        <v>1.9450410670681942E-2</v>
      </c>
      <c r="BJ112" s="149">
        <f>BJ96/'Population size'!Q48</f>
        <v>1.9486924231329729E-2</v>
      </c>
      <c r="BK112" s="149">
        <f>BK96/'Population size'!R48</f>
        <v>1.9591859546196719E-2</v>
      </c>
      <c r="BL112" s="149">
        <f>BL96/'Population size'!S48</f>
        <v>1.8954882528748628E-2</v>
      </c>
      <c r="BM112" s="149">
        <f>BM96/'Population size'!T48</f>
        <v>1.8584555350870658E-2</v>
      </c>
      <c r="BN112" s="149">
        <f>BN96/'Population size'!U48</f>
        <v>1.8218523615511753E-2</v>
      </c>
      <c r="BO112" s="149">
        <f>BO96/'Population size'!V48</f>
        <v>1.7869687165099121E-2</v>
      </c>
      <c r="BP112" s="149">
        <f>BP96/'Population size'!W48</f>
        <v>1.7550094760299541E-2</v>
      </c>
      <c r="BQ112" s="149">
        <f>BQ96/'Population size'!X48</f>
        <v>8.0125803022157299E-3</v>
      </c>
      <c r="BR112" s="149">
        <f>BR96/'Population size'!Y48</f>
        <v>7.8682238463921011E-3</v>
      </c>
      <c r="BS112" s="149">
        <f>BS96/'Population size'!Z48</f>
        <v>7.7807854663699211E-3</v>
      </c>
      <c r="BT112" s="149">
        <f>BT96/'Population size'!AA48</f>
        <v>7.7599849758285457E-3</v>
      </c>
      <c r="BU112" s="149">
        <f>BU96/'Population size'!AB48</f>
        <v>7.7983890421720924E-3</v>
      </c>
      <c r="BV112" s="149">
        <f>BV96/'Population size'!AC48</f>
        <v>5.9057705454980455E-3</v>
      </c>
      <c r="BW112" s="149">
        <f>BW96/'Population size'!AD48</f>
        <v>5.8810692048450125E-3</v>
      </c>
      <c r="BX112" s="149">
        <f>BX96/'Population size'!AE48</f>
        <v>5.8653719842856663E-3</v>
      </c>
      <c r="BY112" s="149">
        <f>BY96/'Population size'!AF48</f>
        <v>5.8682503886797925E-3</v>
      </c>
      <c r="BZ112" s="149">
        <f>BZ96/'Population size'!AG48</f>
        <v>5.889683914548814E-3</v>
      </c>
      <c r="CA112" s="149">
        <f>CA96/'Population size'!AH48</f>
        <v>5.9156991437419541E-3</v>
      </c>
      <c r="CC112" s="12"/>
    </row>
    <row r="113" spans="45:81" x14ac:dyDescent="0.35">
      <c r="AV113" s="144" t="s">
        <v>388</v>
      </c>
      <c r="AW113" s="149">
        <f>AW97/'Population size'!D52</f>
        <v>2.1353310395209067E-2</v>
      </c>
      <c r="AX113" s="149">
        <f>AX97/'Population size'!E52</f>
        <v>2.0585714137689615E-2</v>
      </c>
      <c r="AY113" s="149">
        <f>AY97/'Population size'!F52</f>
        <v>1.9924430001868151E-2</v>
      </c>
      <c r="AZ113" s="149">
        <f>AZ97/'Population size'!G52</f>
        <v>1.9337529807121577E-2</v>
      </c>
      <c r="BA113" s="149">
        <f>BA97/'Population size'!H52</f>
        <v>1.8793775623785092E-2</v>
      </c>
      <c r="BB113" s="149">
        <f>BB97/'Population size'!I52</f>
        <v>3.4526716445458065E-2</v>
      </c>
      <c r="BC113" s="149">
        <f>BC97/'Population size'!J52</f>
        <v>3.3682703881168438E-2</v>
      </c>
      <c r="BD113" s="149">
        <f>BD97/'Population size'!K52</f>
        <v>3.2988973181613299E-2</v>
      </c>
      <c r="BE113" s="149">
        <f>BE97/'Population size'!L52</f>
        <v>3.2473269797032939E-2</v>
      </c>
      <c r="BF113" s="149">
        <f>BF97/'Population size'!M52</f>
        <v>3.2171136850554317E-2</v>
      </c>
      <c r="BG113" s="149">
        <f>BG97/'Population size'!N52</f>
        <v>3.7811254167016722E-2</v>
      </c>
      <c r="BH113" s="149">
        <f>BH97/'Population size'!O52</f>
        <v>3.7502408865422214E-2</v>
      </c>
      <c r="BI113" s="149">
        <f>BI97/'Population size'!P52</f>
        <v>3.7385190297458466E-2</v>
      </c>
      <c r="BJ113" s="149">
        <f>BJ97/'Population size'!Q52</f>
        <v>3.7404075404248144E-2</v>
      </c>
      <c r="BK113" s="149">
        <f>BK97/'Population size'!R52</f>
        <v>3.7505204751543342E-2</v>
      </c>
      <c r="BL113" s="149">
        <f>BL97/'Population size'!S52</f>
        <v>3.2644698905132059E-2</v>
      </c>
      <c r="BM113" s="149">
        <f>BM97/'Population size'!T52</f>
        <v>3.2360535816135107E-2</v>
      </c>
      <c r="BN113" s="149">
        <f>BN97/'Population size'!U52</f>
        <v>3.206890747703036E-2</v>
      </c>
      <c r="BO113" s="149">
        <f>BO97/'Population size'!V52</f>
        <v>3.1741733442805467E-2</v>
      </c>
      <c r="BP113" s="149">
        <f>BP97/'Population size'!W52</f>
        <v>3.1347624089751426E-2</v>
      </c>
      <c r="BQ113" s="149">
        <f>BQ97/'Population size'!X52</f>
        <v>1.4767309958621085E-2</v>
      </c>
      <c r="BR113" s="149">
        <f>BR97/'Population size'!Y52</f>
        <v>1.4205817829553241E-2</v>
      </c>
      <c r="BS113" s="149">
        <f>BS97/'Population size'!Z52</f>
        <v>1.3612619367872609E-2</v>
      </c>
      <c r="BT113" s="149">
        <f>BT97/'Population size'!AA52</f>
        <v>1.3021461681922718E-2</v>
      </c>
      <c r="BU113" s="149">
        <f>BU97/'Population size'!AB52</f>
        <v>1.2459999723644323E-2</v>
      </c>
      <c r="BV113" s="149">
        <f>BV97/'Population size'!AC52</f>
        <v>1.0857014891028761E-2</v>
      </c>
      <c r="BW113" s="149">
        <f>BW97/'Population size'!AD52</f>
        <v>1.0437202765767584E-2</v>
      </c>
      <c r="BX113" s="149">
        <f>BX97/'Population size'!AE52</f>
        <v>1.0040670071226153E-2</v>
      </c>
      <c r="BY113" s="149">
        <f>BY97/'Population size'!AF52</f>
        <v>9.6681157467150471E-3</v>
      </c>
      <c r="BZ113" s="149">
        <f>BZ97/'Population size'!AG52</f>
        <v>9.3272166788400043E-3</v>
      </c>
      <c r="CA113" s="149">
        <f>CA97/'Population size'!AH52</f>
        <v>9.0193220215081162E-3</v>
      </c>
      <c r="CC113" s="12"/>
    </row>
    <row r="114" spans="45:81" x14ac:dyDescent="0.35">
      <c r="AV114" s="144" t="s">
        <v>392</v>
      </c>
      <c r="AW114" s="149">
        <f>AW98/'Population size'!D64</f>
        <v>5.246455820668882E-2</v>
      </c>
      <c r="AX114" s="149">
        <f>AX98/'Population size'!E64</f>
        <v>5.1124298829603461E-2</v>
      </c>
      <c r="AY114" s="149">
        <f>AY98/'Population size'!F64</f>
        <v>4.9853294716716824E-2</v>
      </c>
      <c r="AZ114" s="149">
        <f>AZ98/'Population size'!G64</f>
        <v>4.8755753756575301E-2</v>
      </c>
      <c r="BA114" s="149">
        <f>BA98/'Population size'!H64</f>
        <v>4.7964445820630801E-2</v>
      </c>
      <c r="BB114" s="149">
        <f>BB98/'Population size'!I64</f>
        <v>6.2785204237030032E-2</v>
      </c>
      <c r="BC114" s="149">
        <f>BC98/'Population size'!J64</f>
        <v>6.223494420466491E-2</v>
      </c>
      <c r="BD114" s="149">
        <f>BD98/'Population size'!K64</f>
        <v>6.2138835432638449E-2</v>
      </c>
      <c r="BE114" s="149">
        <f>BE98/'Population size'!L64</f>
        <v>6.2347779149019109E-2</v>
      </c>
      <c r="BF114" s="149">
        <f>BF98/'Population size'!M64</f>
        <v>6.268725948710098E-2</v>
      </c>
      <c r="BG114" s="149">
        <f>BG98/'Population size'!N64</f>
        <v>7.1010520732030763E-2</v>
      </c>
      <c r="BH114" s="149">
        <f>BH98/'Population size'!O64</f>
        <v>7.1138440298643024E-2</v>
      </c>
      <c r="BI114" s="149">
        <f>BI98/'Population size'!P64</f>
        <v>7.1332008314380094E-2</v>
      </c>
      <c r="BJ114" s="149">
        <f>BJ98/'Population size'!Q64</f>
        <v>7.1625850666703253E-2</v>
      </c>
      <c r="BK114" s="149">
        <f>BK98/'Population size'!R64</f>
        <v>7.2103077365544999E-2</v>
      </c>
      <c r="BL114" s="149">
        <f>BL98/'Population size'!S64</f>
        <v>6.8967439397423294E-2</v>
      </c>
      <c r="BM114" s="149">
        <f>BM98/'Population size'!T64</f>
        <v>6.9006135995594894E-2</v>
      </c>
      <c r="BN114" s="149">
        <f>BN98/'Population size'!U64</f>
        <v>6.9044774870667416E-2</v>
      </c>
      <c r="BO114" s="149">
        <f>BO98/'Population size'!V64</f>
        <v>6.9085777127804254E-2</v>
      </c>
      <c r="BP114" s="149">
        <f>BP98/'Population size'!W64</f>
        <v>6.9174178262802283E-2</v>
      </c>
      <c r="BQ114" s="149">
        <f>BQ98/'Population size'!X64</f>
        <v>4.9403898109738748E-2</v>
      </c>
      <c r="BR114" s="149">
        <f>BR98/'Population size'!Y64</f>
        <v>4.8383183185927651E-2</v>
      </c>
      <c r="BS114" s="149">
        <f>BS98/'Population size'!Z64</f>
        <v>4.7290781218941869E-2</v>
      </c>
      <c r="BT114" s="149">
        <f>BT98/'Population size'!AA64</f>
        <v>4.6169578147757302E-2</v>
      </c>
      <c r="BU114" s="149">
        <f>BU98/'Population size'!AB64</f>
        <v>4.5032870397931676E-2</v>
      </c>
      <c r="BV114" s="149">
        <f>BV98/'Population size'!AC64</f>
        <v>4.3980480368520043E-2</v>
      </c>
      <c r="BW114" s="149">
        <f>BW98/'Population size'!AD64</f>
        <v>4.2637206387969542E-2</v>
      </c>
      <c r="BX114" s="149">
        <f>BX98/'Population size'!AE64</f>
        <v>4.1200945479667933E-2</v>
      </c>
      <c r="BY114" s="149">
        <f>BY98/'Population size'!AF64</f>
        <v>3.9731562212852616E-2</v>
      </c>
      <c r="BZ114" s="149">
        <f>BZ98/'Population size'!AG64</f>
        <v>3.8307945173844088E-2</v>
      </c>
      <c r="CA114" s="149">
        <f>CA98/'Population size'!AH64</f>
        <v>3.6951641030460627E-2</v>
      </c>
    </row>
    <row r="115" spans="45:81" x14ac:dyDescent="0.35">
      <c r="AV115" s="144"/>
    </row>
    <row r="116" spans="45:81" x14ac:dyDescent="0.35">
      <c r="AV116" s="25" t="s">
        <v>398</v>
      </c>
      <c r="AW116" s="143"/>
      <c r="AX116" s="143"/>
      <c r="AY116" s="143"/>
      <c r="AZ116" s="143"/>
      <c r="BA116" s="143"/>
      <c r="BB116" s="143"/>
      <c r="BC116" s="143"/>
      <c r="BD116" s="143"/>
      <c r="BE116" s="143"/>
      <c r="BF116" s="143"/>
      <c r="BG116" s="143"/>
      <c r="BH116" s="143"/>
      <c r="BI116" s="143"/>
      <c r="BJ116" s="143"/>
      <c r="BK116" s="143"/>
      <c r="BL116" s="143"/>
      <c r="BM116" s="143"/>
      <c r="BN116" s="143"/>
      <c r="BO116" s="143"/>
      <c r="BP116" s="143"/>
      <c r="BQ116" s="143"/>
      <c r="BR116" s="143"/>
      <c r="BS116" s="143"/>
      <c r="BT116" s="143"/>
      <c r="BU116" s="143"/>
      <c r="BV116" s="143"/>
      <c r="BW116" s="143"/>
      <c r="BX116" s="143"/>
      <c r="BY116" s="143"/>
      <c r="BZ116" s="143"/>
      <c r="CA116" s="143"/>
    </row>
    <row r="117" spans="45:81" x14ac:dyDescent="0.35">
      <c r="AV117" s="25" t="s">
        <v>394</v>
      </c>
      <c r="AW117" s="4">
        <v>1990</v>
      </c>
      <c r="AX117" s="4">
        <v>1991</v>
      </c>
      <c r="AY117" s="4">
        <v>1992</v>
      </c>
      <c r="AZ117" s="4">
        <v>1993</v>
      </c>
      <c r="BA117" s="4">
        <v>1994</v>
      </c>
      <c r="BB117" s="4">
        <v>1995</v>
      </c>
      <c r="BC117" s="4">
        <v>1996</v>
      </c>
      <c r="BD117" s="4">
        <v>1997</v>
      </c>
      <c r="BE117" s="4">
        <v>1998</v>
      </c>
      <c r="BF117" s="4">
        <v>1999</v>
      </c>
      <c r="BG117" s="4">
        <v>2000</v>
      </c>
      <c r="BH117" s="4">
        <v>2001</v>
      </c>
      <c r="BI117" s="4">
        <v>2002</v>
      </c>
      <c r="BJ117" s="4">
        <v>2003</v>
      </c>
      <c r="BK117" s="4">
        <v>2004</v>
      </c>
      <c r="BL117" s="4">
        <v>2005</v>
      </c>
      <c r="BM117" s="4">
        <v>2006</v>
      </c>
      <c r="BN117" s="4">
        <v>2007</v>
      </c>
      <c r="BO117" s="4">
        <v>2008</v>
      </c>
      <c r="BP117" s="4">
        <v>2009</v>
      </c>
      <c r="BQ117" s="4">
        <v>2010</v>
      </c>
      <c r="BR117" s="4">
        <v>2011</v>
      </c>
      <c r="BS117" s="4">
        <v>2012</v>
      </c>
      <c r="BT117" s="4">
        <v>2013</v>
      </c>
      <c r="BU117" s="4">
        <v>2014</v>
      </c>
      <c r="BV117" s="4">
        <v>2015</v>
      </c>
      <c r="BW117" s="4">
        <v>2016</v>
      </c>
      <c r="BX117" s="4">
        <v>2017</v>
      </c>
      <c r="BY117" s="4">
        <v>2018</v>
      </c>
      <c r="BZ117" s="4">
        <v>2019</v>
      </c>
      <c r="CA117" s="4">
        <v>2020</v>
      </c>
    </row>
    <row r="118" spans="45:81" x14ac:dyDescent="0.35">
      <c r="AV118" s="144" t="s">
        <v>140</v>
      </c>
      <c r="AW118" s="149">
        <f>AW66/'Population size'!D20</f>
        <v>1.9419500471345049E-5</v>
      </c>
      <c r="AX118" s="149">
        <f>AX66/'Population size'!E20</f>
        <v>1.7816360556732267E-5</v>
      </c>
      <c r="AY118" s="149">
        <f>AY66/'Population size'!F20</f>
        <v>1.6788519928177893E-5</v>
      </c>
      <c r="AZ118" s="149">
        <f>AZ66/'Population size'!G20</f>
        <v>1.5462082294898528E-5</v>
      </c>
      <c r="BA118" s="149">
        <f>BA66/'Population size'!H20</f>
        <v>1.459958804829057E-5</v>
      </c>
      <c r="BB118" s="149">
        <f>BB66/'Population size'!I20</f>
        <v>1.4169765121973338E-5</v>
      </c>
      <c r="BC118" s="149">
        <f>BC66/'Population size'!J20</f>
        <v>1.2908769290037858E-5</v>
      </c>
      <c r="BD118" s="149">
        <f>BD66/'Population size'!K20</f>
        <v>1.1661179210610546E-5</v>
      </c>
      <c r="BE118" s="149">
        <f>BE66/'Population size'!L20</f>
        <v>1.0834453562328205E-5</v>
      </c>
      <c r="BF118" s="149">
        <f>BF66/'Population size'!M20</f>
        <v>9.2315275127615829E-6</v>
      </c>
      <c r="BG118" s="149">
        <f>BG66/'Population size'!N20</f>
        <v>8.8544762798642367E-6</v>
      </c>
      <c r="BH118" s="149">
        <f>BH66/'Population size'!O20</f>
        <v>8.0440395074956378E-6</v>
      </c>
      <c r="BI118" s="149">
        <f>BI66/'Population size'!P20</f>
        <v>7.2438863611302713E-6</v>
      </c>
      <c r="BJ118" s="149">
        <f>BJ66/'Population size'!Q20</f>
        <v>6.4446407374602395E-6</v>
      </c>
      <c r="BK118" s="149">
        <f>BK66/'Population size'!R20</f>
        <v>6.038107705350006E-6</v>
      </c>
      <c r="BL118" s="149">
        <f>BL66/'Population size'!S20</f>
        <v>5.6170871791991241E-6</v>
      </c>
      <c r="BM118" s="149">
        <f>BM66/'Population size'!T20</f>
        <v>5.1897326329589542E-6</v>
      </c>
      <c r="BN118" s="149">
        <f>BN66/'Population size'!U20</f>
        <v>3.9597295504717036E-6</v>
      </c>
      <c r="BO118" s="149">
        <f>BO66/'Population size'!V20</f>
        <v>3.5234136710799372E-6</v>
      </c>
      <c r="BP118" s="149">
        <f>BP66/'Population size'!W20</f>
        <v>3.086351881922349E-6</v>
      </c>
      <c r="BQ118" s="149">
        <f>BQ66/'Population size'!X20</f>
        <v>2.2737323657844206E-6</v>
      </c>
      <c r="BR118" s="149">
        <f>BR66/'Population size'!Y20</f>
        <v>1.8587630080882214E-6</v>
      </c>
      <c r="BS118" s="149">
        <f>BS66/'Population size'!Z20</f>
        <v>1.4544793418480978E-6</v>
      </c>
      <c r="BT118" s="149">
        <f>BT66/'Population size'!AA20</f>
        <v>1.0657242822080529E-6</v>
      </c>
      <c r="BU118" s="149">
        <f>BU66/'Population size'!AB20</f>
        <v>6.9505140773974504E-7</v>
      </c>
      <c r="BV118" s="149">
        <f>BV66/'Population size'!AC20</f>
        <v>6.8209660124905527E-7</v>
      </c>
      <c r="BW118" s="149">
        <f>BW66/'Population size'!AD20</f>
        <v>6.697885511033593E-7</v>
      </c>
      <c r="BX118" s="149">
        <f>BX66/'Population size'!AE20</f>
        <v>6.613553220750817E-7</v>
      </c>
      <c r="BY118" s="149">
        <f>BY66/'Population size'!AF20</f>
        <v>3.2773893889274711E-7</v>
      </c>
      <c r="BZ118" s="149">
        <f>BZ66/'Population size'!AG20</f>
        <v>3.2512374209624185E-7</v>
      </c>
      <c r="CA118" s="149">
        <f>CA66/'Population size'!AH20</f>
        <v>0</v>
      </c>
    </row>
    <row r="119" spans="45:81" x14ac:dyDescent="0.35">
      <c r="AV119" s="144" t="s">
        <v>368</v>
      </c>
      <c r="AW119" s="149">
        <f>AW67/'Population size'!D28</f>
        <v>0</v>
      </c>
      <c r="AX119" s="149">
        <f>AX67/'Population size'!E28</f>
        <v>0</v>
      </c>
      <c r="AY119" s="149">
        <f>AY67/'Population size'!F28</f>
        <v>0</v>
      </c>
      <c r="AZ119" s="149">
        <f>AZ67/'Population size'!G28</f>
        <v>0</v>
      </c>
      <c r="BA119" s="149">
        <f>BA67/'Population size'!H28</f>
        <v>0</v>
      </c>
      <c r="BB119" s="149">
        <f>BB67/'Population size'!I28</f>
        <v>0</v>
      </c>
      <c r="BC119" s="149">
        <f>BC67/'Population size'!J28</f>
        <v>1.4142265350858514E-6</v>
      </c>
      <c r="BD119" s="149">
        <f>BD67/'Population size'!K28</f>
        <v>6.9800271690224996E-6</v>
      </c>
      <c r="BE119" s="149">
        <f>BE67/'Population size'!L28</f>
        <v>8.2944500974223972E-6</v>
      </c>
      <c r="BF119" s="149">
        <f>BF67/'Population size'!M28</f>
        <v>9.5698120784529968E-6</v>
      </c>
      <c r="BG119" s="149">
        <f>BG67/'Population size'!N28</f>
        <v>9.4317054944086388E-6</v>
      </c>
      <c r="BH119" s="149">
        <f>BH67/'Population size'!O28</f>
        <v>1.0696846010012327E-5</v>
      </c>
      <c r="BI119" s="149">
        <f>BI67/'Population size'!P28</f>
        <v>9.2361500669789707E-6</v>
      </c>
      <c r="BJ119" s="149">
        <f>BJ67/'Population size'!Q28</f>
        <v>7.7900322068091393E-6</v>
      </c>
      <c r="BK119" s="149">
        <f>BK67/'Population size'!R28</f>
        <v>7.6791874477410115E-6</v>
      </c>
      <c r="BL119" s="149">
        <f>BL67/'Population size'!S28</f>
        <v>6.3372661629963498E-6</v>
      </c>
      <c r="BM119" s="149">
        <f>BM67/'Population size'!T28</f>
        <v>5.1007606844733021E-6</v>
      </c>
      <c r="BN119" s="149">
        <f>BN67/'Population size'!U28</f>
        <v>3.8647864915858538E-6</v>
      </c>
      <c r="BO119" s="149">
        <f>BO67/'Population size'!V28</f>
        <v>3.9100623058918808E-6</v>
      </c>
      <c r="BP119" s="149">
        <f>BP67/'Population size'!W28</f>
        <v>2.6303446371950807E-6</v>
      </c>
      <c r="BQ119" s="149">
        <f>BQ67/'Population size'!X28</f>
        <v>1.3202052550645041E-6</v>
      </c>
      <c r="BR119" s="149">
        <f>BR67/'Population size'!Y28</f>
        <v>1.3366080048271144E-6</v>
      </c>
      <c r="BS119" s="149">
        <f>BS67/'Population size'!Z28</f>
        <v>1.3440919195362709E-6</v>
      </c>
      <c r="BT119" s="149">
        <f>BT67/'Population size'!AA28</f>
        <v>1.3431095356560991E-6</v>
      </c>
      <c r="BU119" s="149">
        <f>BU67/'Population size'!AB28</f>
        <v>1.3356030523098722E-6</v>
      </c>
      <c r="BV119" s="149">
        <f>BV67/'Population size'!AC28</f>
        <v>1.3234147715087841E-6</v>
      </c>
      <c r="BW119" s="149">
        <f>BW67/'Population size'!AD28</f>
        <v>1.3203756918749199E-6</v>
      </c>
      <c r="BX119" s="149">
        <f>BX67/'Population size'!AE28</f>
        <v>0</v>
      </c>
      <c r="BY119" s="149">
        <f>BY67/'Population size'!AF28</f>
        <v>0</v>
      </c>
      <c r="BZ119" s="149">
        <f>BZ67/'Population size'!AG28</f>
        <v>0</v>
      </c>
      <c r="CA119" s="149">
        <f>CA67/'Population size'!AH28</f>
        <v>0</v>
      </c>
    </row>
    <row r="120" spans="45:81" x14ac:dyDescent="0.35">
      <c r="AV120" s="144" t="s">
        <v>369</v>
      </c>
      <c r="AW120" s="149">
        <f>AW68/'Population size'!D36</f>
        <v>1.2264723104197817E-5</v>
      </c>
      <c r="AX120" s="149">
        <f>AX68/'Population size'!E36</f>
        <v>9.9946568891313579E-6</v>
      </c>
      <c r="AY120" s="149">
        <f>AY68/'Population size'!F36</f>
        <v>5.8559500148021975E-6</v>
      </c>
      <c r="AZ120" s="149">
        <f>AZ68/'Population size'!G36</f>
        <v>5.7071007918786908E-6</v>
      </c>
      <c r="BA120" s="149">
        <f>BA68/'Population size'!H36</f>
        <v>5.5488557506498099E-6</v>
      </c>
      <c r="BB120" s="149">
        <f>BB68/'Population size'!I36</f>
        <v>5.3813585929045266E-6</v>
      </c>
      <c r="BC120" s="149">
        <f>BC68/'Population size'!J36</f>
        <v>5.2339379558801059E-6</v>
      </c>
      <c r="BD120" s="149">
        <f>BD68/'Population size'!K36</f>
        <v>5.071228526030069E-6</v>
      </c>
      <c r="BE120" s="149">
        <f>BE68/'Population size'!L36</f>
        <v>3.270662818006702E-6</v>
      </c>
      <c r="BF120" s="149">
        <f>BF68/'Population size'!M36</f>
        <v>3.1704040629572199E-6</v>
      </c>
      <c r="BG120" s="149">
        <f>BG68/'Population size'!N36</f>
        <v>3.0861647333276693E-6</v>
      </c>
      <c r="BH120" s="149">
        <f>BH68/'Population size'!O36</f>
        <v>3.0629977605162645E-6</v>
      </c>
      <c r="BI120" s="149">
        <f>BI68/'Population size'!P36</f>
        <v>4.5763543311883255E-6</v>
      </c>
      <c r="BJ120" s="149">
        <f>BJ68/'Population size'!Q36</f>
        <v>6.0760738955387739E-6</v>
      </c>
      <c r="BK120" s="149">
        <f>BK68/'Population size'!R36</f>
        <v>6.0231859041306649E-6</v>
      </c>
      <c r="BL120" s="149">
        <f>BL68/'Population size'!S36</f>
        <v>5.932507799530935E-6</v>
      </c>
      <c r="BM120" s="149">
        <f>BM68/'Population size'!T36</f>
        <v>5.8610882774827565E-6</v>
      </c>
      <c r="BN120" s="149">
        <f>BN68/'Population size'!U36</f>
        <v>4.3286091148699615E-6</v>
      </c>
      <c r="BO120" s="149">
        <f>BO68/'Population size'!V36</f>
        <v>2.8385351200067889E-6</v>
      </c>
      <c r="BP120" s="149">
        <f>BP68/'Population size'!W36</f>
        <v>2.7993981199584782E-6</v>
      </c>
      <c r="BQ120" s="149">
        <f>BQ68/'Population size'!X36</f>
        <v>1.3867611244242468E-6</v>
      </c>
      <c r="BR120" s="149">
        <f>BR68/'Population size'!Y36</f>
        <v>1.396742984042175E-6</v>
      </c>
      <c r="BS120" s="149">
        <f>BS68/'Population size'!Z36</f>
        <v>1.4135138207921279E-6</v>
      </c>
      <c r="BT120" s="149">
        <f>BT68/'Population size'!AA36</f>
        <v>1.4327430427001972E-6</v>
      </c>
      <c r="BU120" s="149">
        <f>BU68/'Population size'!AB36</f>
        <v>1.4483286552598412E-6</v>
      </c>
      <c r="BV120" s="149">
        <f>BV68/'Population size'!AC36</f>
        <v>1.4560472320182768E-6</v>
      </c>
      <c r="BW120" s="149">
        <f>BW68/'Population size'!AD36</f>
        <v>1.4712890367042311E-6</v>
      </c>
      <c r="BX120" s="149">
        <f>BX68/'Population size'!AE36</f>
        <v>1.4761753227316078E-6</v>
      </c>
      <c r="BY120" s="149">
        <f>BY68/'Population size'!AF36</f>
        <v>1.4698175041919009E-6</v>
      </c>
      <c r="BZ120" s="149">
        <f>BZ68/'Population size'!AG36</f>
        <v>0</v>
      </c>
      <c r="CA120" s="149">
        <f>CA68/'Population size'!AH36</f>
        <v>0</v>
      </c>
    </row>
    <row r="121" spans="45:81" x14ac:dyDescent="0.35">
      <c r="AV121" s="144" t="s">
        <v>387</v>
      </c>
      <c r="AW121" s="149">
        <f>AW69/'Population size'!D44</f>
        <v>1.0916675911195298E-4</v>
      </c>
      <c r="AX121" s="149">
        <f>AX69/'Population size'!E44</f>
        <v>1.1188927888321355E-4</v>
      </c>
      <c r="AY121" s="149">
        <f>AY69/'Population size'!F44</f>
        <v>1.0928999785435765E-4</v>
      </c>
      <c r="AZ121" s="149">
        <f>AZ69/'Population size'!G44</f>
        <v>1.0050673965281635E-4</v>
      </c>
      <c r="BA121" s="149">
        <f>BA69/'Population size'!H44</f>
        <v>8.8495596503862403E-5</v>
      </c>
      <c r="BB121" s="149">
        <f>BB69/'Population size'!I44</f>
        <v>7.7064942023099899E-5</v>
      </c>
      <c r="BC121" s="149">
        <f>BC69/'Population size'!J44</f>
        <v>6.5508560270972218E-5</v>
      </c>
      <c r="BD121" s="149">
        <f>BD69/'Population size'!K44</f>
        <v>5.545424789128637E-5</v>
      </c>
      <c r="BE121" s="149">
        <f>BE69/'Population size'!L44</f>
        <v>4.9089727920506692E-5</v>
      </c>
      <c r="BF121" s="149">
        <f>BF69/'Population size'!M44</f>
        <v>4.1453282795883496E-5</v>
      </c>
      <c r="BG121" s="149">
        <f>BG69/'Population size'!N44</f>
        <v>3.6099848460284413E-5</v>
      </c>
      <c r="BH121" s="149">
        <f>BH69/'Population size'!O44</f>
        <v>3.0880063674957562E-5</v>
      </c>
      <c r="BI121" s="149">
        <f>BI69/'Population size'!P44</f>
        <v>2.691494060500578E-5</v>
      </c>
      <c r="BJ121" s="149">
        <f>BJ69/'Population size'!Q44</f>
        <v>2.5283462123606883E-5</v>
      </c>
      <c r="BK121" s="149">
        <f>BK69/'Population size'!R44</f>
        <v>2.1572870540681584E-5</v>
      </c>
      <c r="BL121" s="149">
        <f>BL69/'Population size'!S44</f>
        <v>1.9068567582904041E-5</v>
      </c>
      <c r="BM121" s="149">
        <f>BM69/'Population size'!T44</f>
        <v>1.5509880539076973E-5</v>
      </c>
      <c r="BN121" s="149">
        <f>BN69/'Population size'!U44</f>
        <v>1.3140716741345804E-5</v>
      </c>
      <c r="BO121" s="149">
        <f>BO69/'Population size'!V44</f>
        <v>9.8934738777078225E-6</v>
      </c>
      <c r="BP121" s="149">
        <f>BP69/'Population size'!W44</f>
        <v>6.7806867291336463E-6</v>
      </c>
      <c r="BQ121" s="149">
        <f>BQ69/'Population size'!X44</f>
        <v>3.7926096467110532E-6</v>
      </c>
      <c r="BR121" s="149">
        <f>BR69/'Population size'!Y44</f>
        <v>2.7679028791326599E-6</v>
      </c>
      <c r="BS121" s="149">
        <f>BS69/'Population size'!Z44</f>
        <v>1.802555176114814E-6</v>
      </c>
      <c r="BT121" s="149">
        <f>BT69/'Population size'!AA44</f>
        <v>1.7700561086447141E-6</v>
      </c>
      <c r="BU121" s="149">
        <f>BU69/'Population size'!AB44</f>
        <v>1.748114394518702E-6</v>
      </c>
      <c r="BV121" s="149">
        <f>BV69/'Population size'!AC44</f>
        <v>1.7352130099289008E-6</v>
      </c>
      <c r="BW121" s="149">
        <f>BW69/'Population size'!AD44</f>
        <v>1.7234065895449464E-6</v>
      </c>
      <c r="BX121" s="149">
        <f>BX69/'Population size'!AE44</f>
        <v>1.7171432540639563E-6</v>
      </c>
      <c r="BY121" s="149">
        <f>BY69/'Population size'!AF44</f>
        <v>1.7176486474626232E-6</v>
      </c>
      <c r="BZ121" s="149">
        <f>BZ69/'Population size'!AG44</f>
        <v>8.6247031607666612E-7</v>
      </c>
      <c r="CA121" s="149">
        <f>CA69/'Population size'!AH44</f>
        <v>8.6826418730222889E-7</v>
      </c>
    </row>
    <row r="122" spans="45:81" x14ac:dyDescent="0.35">
      <c r="AV122" s="144" t="s">
        <v>388</v>
      </c>
      <c r="AW122" s="149">
        <f>AW70/'Population size'!D52</f>
        <v>1.4640596774226307E-4</v>
      </c>
      <c r="AX122" s="149">
        <f>AX70/'Population size'!E52</f>
        <v>1.5646986733618305E-4</v>
      </c>
      <c r="AY122" s="149">
        <f>AY70/'Population size'!F52</f>
        <v>1.6624880241079736E-4</v>
      </c>
      <c r="AZ122" s="149">
        <f>AZ70/'Population size'!G52</f>
        <v>1.6935810314485969E-4</v>
      </c>
      <c r="BA122" s="149">
        <f>BA70/'Population size'!H52</f>
        <v>1.7231550910031028E-4</v>
      </c>
      <c r="BB122" s="149">
        <f>BB70/'Population size'!I52</f>
        <v>1.7349507501356455E-4</v>
      </c>
      <c r="BC122" s="149">
        <f>BC70/'Population size'!J52</f>
        <v>1.7069085638721346E-4</v>
      </c>
      <c r="BD122" s="149">
        <f>BD70/'Population size'!K52</f>
        <v>1.6712462815217087E-4</v>
      </c>
      <c r="BE122" s="149">
        <f>BE70/'Population size'!L52</f>
        <v>1.6162987892813559E-4</v>
      </c>
      <c r="BF122" s="149">
        <f>BF70/'Population size'!M52</f>
        <v>1.5587465401422761E-4</v>
      </c>
      <c r="BG122" s="149">
        <f>BG70/'Population size'!N52</f>
        <v>1.4986954726758882E-4</v>
      </c>
      <c r="BH122" s="149">
        <f>BH70/'Population size'!O52</f>
        <v>1.4031522879168161E-4</v>
      </c>
      <c r="BI122" s="149">
        <f>BI70/'Population size'!P52</f>
        <v>1.3021040916338125E-4</v>
      </c>
      <c r="BJ122" s="149">
        <f>BJ70/'Population size'!Q52</f>
        <v>1.2061497832794073E-4</v>
      </c>
      <c r="BK122" s="149">
        <f>BK70/'Population size'!R52</f>
        <v>1.0574982298265897E-4</v>
      </c>
      <c r="BL122" s="149">
        <f>BL70/'Population size'!S52</f>
        <v>9.0920797051893321E-5</v>
      </c>
      <c r="BM122" s="149">
        <f>BM70/'Population size'!T52</f>
        <v>7.5044460508809344E-5</v>
      </c>
      <c r="BN122" s="149">
        <f>BN70/'Population size'!U52</f>
        <v>5.8105638863656909E-5</v>
      </c>
      <c r="BO122" s="149">
        <f>BO70/'Population size'!V52</f>
        <v>4.6785170997144423E-5</v>
      </c>
      <c r="BP122" s="149">
        <f>BP70/'Population size'!W52</f>
        <v>2.7703901434423873E-5</v>
      </c>
      <c r="BQ122" s="149">
        <f>BQ70/'Population size'!X52</f>
        <v>1.5582262275636895E-5</v>
      </c>
      <c r="BR122" s="149">
        <f>BR70/'Population size'!Y52</f>
        <v>8.7425028842728137E-6</v>
      </c>
      <c r="BS122" s="149">
        <f>BS70/'Population size'!Z52</f>
        <v>7.1806615036604701E-6</v>
      </c>
      <c r="BT122" s="149">
        <f>BT70/'Population size'!AA52</f>
        <v>6.8670144401652675E-6</v>
      </c>
      <c r="BU122" s="149">
        <f>BU70/'Population size'!AB52</f>
        <v>3.2837288657987042E-6</v>
      </c>
      <c r="BV122" s="149">
        <f>BV70/'Population size'!AC52</f>
        <v>5.2429084851404097E-6</v>
      </c>
      <c r="BW122" s="149">
        <f>BW70/'Population size'!AD52</f>
        <v>5.0406658774111774E-6</v>
      </c>
      <c r="BX122" s="149">
        <f>BX70/'Population size'!AE52</f>
        <v>2.9092148168513096E-6</v>
      </c>
      <c r="BY122" s="149">
        <f>BY70/'Population size'!AF52</f>
        <v>2.8012697740144042E-6</v>
      </c>
      <c r="BZ122" s="149">
        <f>BZ70/'Population size'!AG52</f>
        <v>2.7022356384857569E-6</v>
      </c>
      <c r="CA122" s="149">
        <f>CA70/'Population size'!AH52</f>
        <v>2.6130339028995026E-6</v>
      </c>
    </row>
    <row r="123" spans="45:81" x14ac:dyDescent="0.35">
      <c r="AV123" s="144" t="s">
        <v>392</v>
      </c>
      <c r="AW123" s="149">
        <f>AW71/'Population size'!D60</f>
        <v>7.1808909962507052E-5</v>
      </c>
      <c r="AX123" s="149">
        <f>AX71/'Population size'!E60</f>
        <v>7.3849010423260322E-5</v>
      </c>
      <c r="AY123" s="149">
        <f>AY71/'Population size'!F60</f>
        <v>7.3603676912571087E-5</v>
      </c>
      <c r="AZ123" s="149">
        <f>AZ71/'Population size'!G60</f>
        <v>7.1418935540442939E-5</v>
      </c>
      <c r="BA123" s="149">
        <f>BA71/'Population size'!H60</f>
        <v>7.1531034802748347E-5</v>
      </c>
      <c r="BB123" s="149">
        <f>BB71/'Population size'!I60</f>
        <v>6.6300686875116029E-5</v>
      </c>
      <c r="BC123" s="149">
        <f>BC71/'Population size'!J60</f>
        <v>6.4793936768522739E-5</v>
      </c>
      <c r="BD123" s="149">
        <f>BD71/'Population size'!K60</f>
        <v>6.1856757941770976E-5</v>
      </c>
      <c r="BE123" s="149">
        <f>BE71/'Population size'!L60</f>
        <v>5.917849489361322E-5</v>
      </c>
      <c r="BF123" s="149">
        <f>BF71/'Population size'!M60</f>
        <v>5.8298530877021925E-5</v>
      </c>
      <c r="BG123" s="149">
        <f>BG71/'Population size'!N60</f>
        <v>5.5580257892396633E-5</v>
      </c>
      <c r="BH123" s="149">
        <f>BH71/'Population size'!O60</f>
        <v>5.2917910664324611E-5</v>
      </c>
      <c r="BI123" s="149">
        <f>BI71/'Population size'!P60</f>
        <v>4.857507529136671E-5</v>
      </c>
      <c r="BJ123" s="149">
        <f>BJ71/'Population size'!Q60</f>
        <v>4.7653163841436565E-5</v>
      </c>
      <c r="BK123" s="149">
        <f>BK71/'Population size'!R60</f>
        <v>4.3603735709683099E-5</v>
      </c>
      <c r="BL123" s="149">
        <f>BL71/'Population size'!S60</f>
        <v>3.8202325884940958E-5</v>
      </c>
      <c r="BM123" s="149">
        <f>BM71/'Population size'!T60</f>
        <v>3.4555769871138394E-5</v>
      </c>
      <c r="BN123" s="149">
        <f>BN71/'Population size'!U60</f>
        <v>2.6382317019232713E-5</v>
      </c>
      <c r="BO123" s="149">
        <f>BO71/'Population size'!V60</f>
        <v>2.148745362930766E-5</v>
      </c>
      <c r="BP123" s="149">
        <f>BP71/'Population size'!W60</f>
        <v>1.3668380782864101E-5</v>
      </c>
      <c r="BQ123" s="149">
        <f>BQ71/'Population size'!X60</f>
        <v>9.0211184382639779E-6</v>
      </c>
      <c r="BR123" s="149">
        <f>BR71/'Population size'!Y60</f>
        <v>4.4469940543689495E-6</v>
      </c>
      <c r="BS123" s="149">
        <f>BS71/'Population size'!Z60</f>
        <v>5.8365020675808562E-6</v>
      </c>
      <c r="BT123" s="149">
        <f>BT71/'Population size'!AA60</f>
        <v>5.7404127930839506E-6</v>
      </c>
      <c r="BU123" s="149">
        <f>BU71/'Population size'!AB60</f>
        <v>2.822430988034304E-6</v>
      </c>
      <c r="BV123" s="149">
        <f>BV71/'Population size'!AC60</f>
        <v>5.5512225179790224E-6</v>
      </c>
      <c r="BW123" s="149">
        <f>BW71/'Population size'!AD60</f>
        <v>6.796673436153409E-6</v>
      </c>
      <c r="BX123" s="149">
        <f>BX71/'Population size'!AE60</f>
        <v>5.3144563842564543E-6</v>
      </c>
      <c r="BY123" s="149">
        <f>BY71/'Population size'!AF60</f>
        <v>5.1860965936421044E-6</v>
      </c>
      <c r="BZ123" s="149">
        <f>BZ71/'Population size'!AG60</f>
        <v>3.7923510806936462E-6</v>
      </c>
      <c r="CA123" s="149">
        <f>CA71/'Population size'!AH60</f>
        <v>3.6948315464717436E-6</v>
      </c>
    </row>
    <row r="125" spans="45:81" x14ac:dyDescent="0.35">
      <c r="AV125" s="25" t="s">
        <v>395</v>
      </c>
      <c r="AW125" s="4">
        <v>1990</v>
      </c>
      <c r="AX125" s="4">
        <v>1991</v>
      </c>
      <c r="AY125" s="4">
        <v>1992</v>
      </c>
      <c r="AZ125" s="4">
        <v>1993</v>
      </c>
      <c r="BA125" s="4">
        <v>1994</v>
      </c>
      <c r="BB125" s="4">
        <v>1995</v>
      </c>
      <c r="BC125" s="4">
        <v>1996</v>
      </c>
      <c r="BD125" s="4">
        <v>1997</v>
      </c>
      <c r="BE125" s="4">
        <v>1998</v>
      </c>
      <c r="BF125" s="4">
        <v>1999</v>
      </c>
      <c r="BG125" s="4">
        <v>2000</v>
      </c>
      <c r="BH125" s="4">
        <v>2001</v>
      </c>
      <c r="BI125" s="4">
        <v>2002</v>
      </c>
      <c r="BJ125" s="4">
        <v>2003</v>
      </c>
      <c r="BK125" s="4">
        <v>2004</v>
      </c>
      <c r="BL125" s="4">
        <v>2005</v>
      </c>
      <c r="BM125" s="4">
        <v>2006</v>
      </c>
      <c r="BN125" s="4">
        <v>2007</v>
      </c>
      <c r="BO125" s="4">
        <v>2008</v>
      </c>
      <c r="BP125" s="4">
        <v>2009</v>
      </c>
      <c r="BQ125" s="4">
        <v>2010</v>
      </c>
      <c r="BR125" s="4">
        <v>2011</v>
      </c>
      <c r="BS125" s="4">
        <v>2012</v>
      </c>
      <c r="BT125" s="4">
        <v>2013</v>
      </c>
      <c r="BU125" s="4">
        <v>2014</v>
      </c>
      <c r="BV125" s="4">
        <v>2015</v>
      </c>
      <c r="BW125" s="4">
        <v>2016</v>
      </c>
      <c r="BX125" s="4">
        <v>2017</v>
      </c>
      <c r="BY125" s="4">
        <v>2018</v>
      </c>
      <c r="BZ125" s="4">
        <v>2019</v>
      </c>
      <c r="CA125" s="4">
        <v>2020</v>
      </c>
    </row>
    <row r="126" spans="45:81" x14ac:dyDescent="0.35">
      <c r="AV126" s="144" t="s">
        <v>140</v>
      </c>
      <c r="AW126" s="149">
        <f>AW74/'Population size'!D24</f>
        <v>1.9581301773274356E-5</v>
      </c>
      <c r="AX126" s="149">
        <f>AX74/'Population size'!E24</f>
        <v>1.8384913911619226E-5</v>
      </c>
      <c r="AY126" s="149">
        <f>AY74/'Population size'!F24</f>
        <v>1.6953230074707233E-5</v>
      </c>
      <c r="AZ126" s="149">
        <f>AZ74/'Population size'!G24</f>
        <v>1.5645333919565328E-5</v>
      </c>
      <c r="BA126" s="149">
        <f>BA74/'Population size'!H24</f>
        <v>1.4799372506605719E-5</v>
      </c>
      <c r="BB126" s="149">
        <f>BB74/'Population size'!I24</f>
        <v>1.3982873776198911E-5</v>
      </c>
      <c r="BC126" s="149">
        <f>BC74/'Population size'!J24</f>
        <v>1.2734326531213227E-5</v>
      </c>
      <c r="BD126" s="149">
        <f>BD74/'Population size'!K24</f>
        <v>1.1496481085711817E-5</v>
      </c>
      <c r="BE126" s="149">
        <f>BE74/'Population size'!L24</f>
        <v>1.0678390220809335E-5</v>
      </c>
      <c r="BF126" s="149">
        <f>BF74/'Population size'!M24</f>
        <v>9.1057590362781362E-6</v>
      </c>
      <c r="BG126" s="149">
        <f>BG74/'Population size'!N24</f>
        <v>8.7538775698599227E-6</v>
      </c>
      <c r="BH126" s="149">
        <f>BH74/'Population size'!O24</f>
        <v>8.3715401122344478E-6</v>
      </c>
      <c r="BI126" s="149">
        <f>BI74/'Population size'!P24</f>
        <v>7.2016189239341002E-6</v>
      </c>
      <c r="BJ126" s="149">
        <f>BJ74/'Population size'!Q24</f>
        <v>6.4242270450322254E-6</v>
      </c>
      <c r="BK126" s="149">
        <f>BK74/'Population size'!R24</f>
        <v>6.0254103605726055E-6</v>
      </c>
      <c r="BL126" s="149">
        <f>BL74/'Population size'!S24</f>
        <v>5.5978705700351586E-6</v>
      </c>
      <c r="BM126" s="149">
        <f>BM74/'Population size'!T24</f>
        <v>5.1902050450390028E-6</v>
      </c>
      <c r="BN126" s="149">
        <f>BN74/'Population size'!U24</f>
        <v>3.9636580124157623E-6</v>
      </c>
      <c r="BO126" s="149">
        <f>BO74/'Population size'!V24</f>
        <v>3.5241421357006173E-6</v>
      </c>
      <c r="BP126" s="149">
        <f>BP74/'Population size'!W24</f>
        <v>3.0829561850266982E-6</v>
      </c>
      <c r="BQ126" s="149">
        <f>BQ74/'Population size'!X24</f>
        <v>2.2687183442893524E-6</v>
      </c>
      <c r="BR126" s="149">
        <f>BR74/'Population size'!Y24</f>
        <v>1.8535743029355797E-6</v>
      </c>
      <c r="BS126" s="149">
        <f>BS74/'Population size'!Z24</f>
        <v>1.4503236941194813E-6</v>
      </c>
      <c r="BT126" s="149">
        <f>BT74/'Population size'!AA24</f>
        <v>1.0627455606461069E-6</v>
      </c>
      <c r="BU126" s="149">
        <f>BU74/'Population size'!AB24</f>
        <v>6.9274673387233632E-7</v>
      </c>
      <c r="BV126" s="149">
        <f>BV74/'Population size'!AC24</f>
        <v>6.7881404398375601E-7</v>
      </c>
      <c r="BW126" s="149">
        <f>BW74/'Population size'!AD24</f>
        <v>6.6668888962965437E-7</v>
      </c>
      <c r="BX126" s="149">
        <f>BX74/'Population size'!AE24</f>
        <v>6.5784042172833754E-7</v>
      </c>
      <c r="BY126" s="149">
        <f>BY74/'Population size'!AF24</f>
        <v>6.5127105315088192E-7</v>
      </c>
      <c r="BZ126" s="149">
        <f>BZ74/'Population size'!AG24</f>
        <v>3.2273857884648716E-7</v>
      </c>
      <c r="CA126" s="149">
        <f>CA74/'Population size'!AH24</f>
        <v>0</v>
      </c>
    </row>
    <row r="127" spans="45:81" x14ac:dyDescent="0.35">
      <c r="AV127" s="144" t="s">
        <v>368</v>
      </c>
      <c r="AW127" s="149">
        <f>AW75/'Population size'!D32</f>
        <v>0</v>
      </c>
      <c r="AX127" s="149">
        <f>AX75/'Population size'!E32</f>
        <v>0</v>
      </c>
      <c r="AY127" s="149">
        <f>AY75/'Population size'!F32</f>
        <v>0</v>
      </c>
      <c r="AZ127" s="149">
        <f>AZ75/'Population size'!G32</f>
        <v>0</v>
      </c>
      <c r="BA127" s="149">
        <f>BA75/'Population size'!H32</f>
        <v>0</v>
      </c>
      <c r="BB127" s="149">
        <f>BB75/'Population size'!I32</f>
        <v>0</v>
      </c>
      <c r="BC127" s="149">
        <f>BC75/'Population size'!J32</f>
        <v>0</v>
      </c>
      <c r="BD127" s="149">
        <f>BD75/'Population size'!K32</f>
        <v>7.8036210376009801E-6</v>
      </c>
      <c r="BE127" s="149">
        <f>BE75/'Population size'!L32</f>
        <v>9.2903734720804736E-6</v>
      </c>
      <c r="BF127" s="149">
        <f>BF75/'Population size'!M32</f>
        <v>1.0733175461022741E-5</v>
      </c>
      <c r="BG127" s="149">
        <f>BG75/'Population size'!N32</f>
        <v>1.0596250313827679E-5</v>
      </c>
      <c r="BH127" s="149">
        <f>BH75/'Population size'!O32</f>
        <v>1.2152705411102696E-5</v>
      </c>
      <c r="BI127" s="149">
        <f>BI75/'Population size'!P32</f>
        <v>1.0606480046222487E-5</v>
      </c>
      <c r="BJ127" s="149">
        <f>BJ75/'Population size'!Q32</f>
        <v>9.0237354348998701E-6</v>
      </c>
      <c r="BK127" s="149">
        <f>BK75/'Population size'!R32</f>
        <v>8.9425556747008093E-6</v>
      </c>
      <c r="BL127" s="149">
        <f>BL75/'Population size'!S32</f>
        <v>7.389066525988333E-6</v>
      </c>
      <c r="BM127" s="149">
        <f>BM75/'Population size'!T32</f>
        <v>5.9867325316244218E-6</v>
      </c>
      <c r="BN127" s="149">
        <f>BN75/'Population size'!U32</f>
        <v>4.5538514134560997E-6</v>
      </c>
      <c r="BO127" s="149">
        <f>BO75/'Population size'!V32</f>
        <v>4.6080895717626095E-6</v>
      </c>
      <c r="BP127" s="149">
        <f>BP75/'Population size'!W32</f>
        <v>3.0907395105813266E-6</v>
      </c>
      <c r="BQ127" s="149">
        <f>BQ75/'Population size'!X32</f>
        <v>1.5439173261778851E-6</v>
      </c>
      <c r="BR127" s="149">
        <f>BR75/'Population size'!Y32</f>
        <v>1.5601494450739646E-6</v>
      </c>
      <c r="BS127" s="149">
        <f>BS75/'Population size'!Z32</f>
        <v>1.5632725142541683E-6</v>
      </c>
      <c r="BT127" s="149">
        <f>BT75/'Population size'!AA32</f>
        <v>1.55403916830923E-6</v>
      </c>
      <c r="BU127" s="149">
        <f>BU75/'Population size'!AB32</f>
        <v>1.5355107960223902E-6</v>
      </c>
      <c r="BV127" s="149">
        <f>BV75/'Population size'!AC32</f>
        <v>1.510874191705226E-6</v>
      </c>
      <c r="BW127" s="149">
        <f>BW75/'Population size'!AD32</f>
        <v>1.5009331707848429E-6</v>
      </c>
      <c r="BX127" s="149">
        <f>BX75/'Population size'!AE32</f>
        <v>1.4827113045000503E-6</v>
      </c>
      <c r="BY127" s="149">
        <f>BY75/'Population size'!AF32</f>
        <v>0</v>
      </c>
      <c r="BZ127" s="149">
        <f>BZ75/'Population size'!AG32</f>
        <v>0</v>
      </c>
      <c r="CA127" s="149">
        <f>CA75/'Population size'!AH32</f>
        <v>0</v>
      </c>
    </row>
    <row r="128" spans="45:81" x14ac:dyDescent="0.35">
      <c r="AS128">
        <f>AW77*4</f>
        <v>496</v>
      </c>
      <c r="AV128" s="144" t="s">
        <v>369</v>
      </c>
      <c r="AW128" s="149">
        <f>AW76/'Population size'!D40</f>
        <v>1.5866859441255498E-5</v>
      </c>
      <c r="AX128" s="149">
        <f>AX76/'Population size'!E40</f>
        <v>1.1105029382392196E-5</v>
      </c>
      <c r="AY128" s="149">
        <f>AY76/'Population size'!F40</f>
        <v>8.6962944856252309E-6</v>
      </c>
      <c r="AZ128" s="149">
        <f>AZ76/'Population size'!G40</f>
        <v>6.3726227773509339E-6</v>
      </c>
      <c r="BA128" s="149">
        <f>BA76/'Population size'!H40</f>
        <v>6.2103700352627646E-6</v>
      </c>
      <c r="BB128" s="149">
        <f>BB76/'Population size'!I40</f>
        <v>6.0341983658852626E-6</v>
      </c>
      <c r="BC128" s="149">
        <f>BC76/'Population size'!J40</f>
        <v>5.8817421545946868E-6</v>
      </c>
      <c r="BD128" s="149">
        <f>BD76/'Population size'!K40</f>
        <v>3.8139902344618136E-6</v>
      </c>
      <c r="BE128" s="149">
        <f>BE76/'Population size'!L40</f>
        <v>3.7106022427753273E-6</v>
      </c>
      <c r="BF128" s="149">
        <f>BF76/'Population size'!M40</f>
        <v>3.6221702300948207E-6</v>
      </c>
      <c r="BG128" s="149">
        <f>BG76/'Population size'!N40</f>
        <v>1.7761738827799335E-6</v>
      </c>
      <c r="BH128" s="149">
        <f>BH76/'Population size'!O40</f>
        <v>1.7885835210827993E-6</v>
      </c>
      <c r="BI128" s="149">
        <f>BI76/'Population size'!P40</f>
        <v>5.428552874650196E-6</v>
      </c>
      <c r="BJ128" s="149">
        <f>BJ76/'Population size'!Q40</f>
        <v>5.4898011153930642E-6</v>
      </c>
      <c r="BK128" s="149">
        <f>BK76/'Population size'!R40</f>
        <v>5.5168381599057758E-6</v>
      </c>
      <c r="BL128" s="149">
        <f>BL76/'Population size'!S40</f>
        <v>5.4887672058652342E-6</v>
      </c>
      <c r="BM128" s="149">
        <f>BM76/'Population size'!T40</f>
        <v>5.4298868856519808E-6</v>
      </c>
      <c r="BN128" s="149">
        <f>BN76/'Population size'!U40</f>
        <v>3.5738204072207681E-6</v>
      </c>
      <c r="BO128" s="149">
        <f>BO76/'Population size'!V40</f>
        <v>3.530451259734299E-6</v>
      </c>
      <c r="BP128" s="149">
        <f>BP76/'Population size'!W40</f>
        <v>3.5011320640489018E-6</v>
      </c>
      <c r="BQ128" s="149">
        <f>BQ76/'Population size'!X40</f>
        <v>1.7435753170666668E-6</v>
      </c>
      <c r="BR128" s="149">
        <f>BR76/'Population size'!Y40</f>
        <v>1.7652836994104651E-6</v>
      </c>
      <c r="BS128" s="149">
        <f>BS76/'Population size'!Z40</f>
        <v>1.7895179700046847E-6</v>
      </c>
      <c r="BT128" s="149">
        <f>BT76/'Population size'!AA40</f>
        <v>1.8094391763279112E-6</v>
      </c>
      <c r="BU128" s="149">
        <f>BU76/'Population size'!AB40</f>
        <v>1.8184322096226618E-6</v>
      </c>
      <c r="BV128" s="149">
        <f>BV76/'Population size'!AC40</f>
        <v>1.8128273666565748E-6</v>
      </c>
      <c r="BW128" s="149">
        <f>BW76/'Population size'!AD40</f>
        <v>1.8120344889761021E-6</v>
      </c>
      <c r="BX128" s="149">
        <f>BX76/'Population size'!AE40</f>
        <v>1.7954398253557893E-6</v>
      </c>
      <c r="BY128" s="149">
        <f>BY76/'Population size'!AF40</f>
        <v>1.7629390717475598E-6</v>
      </c>
      <c r="BZ128" s="149">
        <f>BZ76/'Population size'!AG40</f>
        <v>1.7214050846652507E-6</v>
      </c>
      <c r="CA128" s="149">
        <f>CA76/'Population size'!AH40</f>
        <v>0</v>
      </c>
    </row>
    <row r="129" spans="45:79" x14ac:dyDescent="0.35">
      <c r="AS129">
        <f>AS128+1600</f>
        <v>2096</v>
      </c>
      <c r="AV129" s="144" t="s">
        <v>387</v>
      </c>
      <c r="AW129" s="149">
        <f>AW77/'Population size'!D48</f>
        <v>1.9033175938173937E-4</v>
      </c>
      <c r="AX129" s="149">
        <f>AX77/'Population size'!E48</f>
        <v>1.8766738753040244E-4</v>
      </c>
      <c r="AY129" s="149">
        <f>AY77/'Population size'!F48</f>
        <v>1.7789113170333049E-4</v>
      </c>
      <c r="AZ129" s="149">
        <f>AZ77/'Population size'!G48</f>
        <v>1.571599977534479E-4</v>
      </c>
      <c r="BA129" s="149">
        <f>BA77/'Population size'!H48</f>
        <v>1.3745161701016174E-4</v>
      </c>
      <c r="BB129" s="149">
        <f>BB77/'Population size'!I48</f>
        <v>1.1719219599188074E-4</v>
      </c>
      <c r="BC129" s="149">
        <f>BC77/'Population size'!J48</f>
        <v>9.8268049717936299E-5</v>
      </c>
      <c r="BD129" s="149">
        <f>BD77/'Population size'!K48</f>
        <v>8.254271245149252E-5</v>
      </c>
      <c r="BE129" s="149">
        <f>BE77/'Population size'!L48</f>
        <v>6.8379228394946392E-5</v>
      </c>
      <c r="BF129" s="149">
        <f>BF77/'Population size'!M48</f>
        <v>5.6969525746830636E-5</v>
      </c>
      <c r="BG129" s="149">
        <f>BG77/'Population size'!N48</f>
        <v>4.826942272726222E-5</v>
      </c>
      <c r="BH129" s="149">
        <f>BH77/'Population size'!O48</f>
        <v>3.9974670707555887E-5</v>
      </c>
      <c r="BI129" s="149">
        <f>BI77/'Population size'!P48</f>
        <v>3.3231750551314107E-5</v>
      </c>
      <c r="BJ129" s="149">
        <f>BJ77/'Population size'!Q48</f>
        <v>2.929283334170942E-5</v>
      </c>
      <c r="BK129" s="149">
        <f>BK77/'Population size'!R48</f>
        <v>2.4089339169060271E-5</v>
      </c>
      <c r="BL129" s="149">
        <f>BL77/'Population size'!S48</f>
        <v>1.8860847730776614E-5</v>
      </c>
      <c r="BM129" s="149">
        <f>BM77/'Population size'!T48</f>
        <v>1.4526612249131464E-5</v>
      </c>
      <c r="BN129" s="149">
        <f>BN77/'Population size'!U48</f>
        <v>1.1649665539802041E-5</v>
      </c>
      <c r="BO129" s="149">
        <f>BO77/'Population size'!V48</f>
        <v>1.015626091027103E-5</v>
      </c>
      <c r="BP129" s="149">
        <f>BP77/'Population size'!W48</f>
        <v>6.2328091741837158E-6</v>
      </c>
      <c r="BQ129" s="149">
        <f>BQ77/'Population size'!X48</f>
        <v>4.9051608828991308E-6</v>
      </c>
      <c r="BR129" s="149">
        <f>BR77/'Population size'!Y48</f>
        <v>3.6120384910751808E-6</v>
      </c>
      <c r="BS129" s="149">
        <f>BS77/'Population size'!Z48</f>
        <v>3.5718984543396739E-6</v>
      </c>
      <c r="BT129" s="149">
        <f>BT77/'Population size'!AA48</f>
        <v>3.5623496446037709E-6</v>
      </c>
      <c r="BU129" s="149">
        <f>BU77/'Population size'!AB48</f>
        <v>2.3862879566010078E-6</v>
      </c>
      <c r="BV129" s="149">
        <f>BV77/'Population size'!AC48</f>
        <v>2.4093385058330804E-6</v>
      </c>
      <c r="BW129" s="149">
        <f>BW77/'Population size'!AD48</f>
        <v>2.3992612617677109E-6</v>
      </c>
      <c r="BX129" s="149">
        <f>BX77/'Population size'!AE48</f>
        <v>2.3928573695682387E-6</v>
      </c>
      <c r="BY129" s="149">
        <f>BY77/'Population size'!AF48</f>
        <v>2.3940316533452157E-6</v>
      </c>
      <c r="BZ129" s="149">
        <f>BZ77/'Population size'!AG48</f>
        <v>2.4027757484288572E-6</v>
      </c>
      <c r="CA129" s="149">
        <f>CA77/'Population size'!AH48</f>
        <v>2.4133890109913328E-6</v>
      </c>
    </row>
    <row r="130" spans="45:79" x14ac:dyDescent="0.35">
      <c r="AV130" s="144" t="s">
        <v>388</v>
      </c>
      <c r="AW130" s="149">
        <f>AW78/'Population size'!D52</f>
        <v>3.1372707373342087E-4</v>
      </c>
      <c r="AX130" s="149">
        <f>AX78/'Population size'!E52</f>
        <v>3.2976445159023523E-4</v>
      </c>
      <c r="AY130" s="149">
        <f>AY78/'Population size'!F52</f>
        <v>3.3738727548073585E-4</v>
      </c>
      <c r="AZ130" s="149">
        <f>AZ78/'Population size'!G52</f>
        <v>3.3871620628971938E-4</v>
      </c>
      <c r="BA130" s="149">
        <f>BA78/'Population size'!H52</f>
        <v>3.323227675505984E-4</v>
      </c>
      <c r="BB130" s="149">
        <f>BB78/'Population size'!I52</f>
        <v>3.2156414765445153E-4</v>
      </c>
      <c r="BC130" s="149">
        <f>BC78/'Population size'!J52</f>
        <v>3.0928599618879705E-4</v>
      </c>
      <c r="BD130" s="149">
        <f>BD78/'Population size'!K52</f>
        <v>2.9282520317260708E-4</v>
      </c>
      <c r="BE130" s="149">
        <f>BE78/'Population size'!L52</f>
        <v>2.7406805557379516E-4</v>
      </c>
      <c r="BF130" s="149">
        <f>BF78/'Population size'!M52</f>
        <v>2.560797887376597E-4</v>
      </c>
      <c r="BG130" s="149">
        <f>BG78/'Population size'!N52</f>
        <v>2.3729344984034894E-4</v>
      </c>
      <c r="BH130" s="149">
        <f>BH78/'Population size'!O52</f>
        <v>2.1597540117935306E-4</v>
      </c>
      <c r="BI130" s="149">
        <f>BI78/'Population size'!P52</f>
        <v>1.9600093168803704E-4</v>
      </c>
      <c r="BJ130" s="149">
        <f>BJ78/'Population size'!Q52</f>
        <v>1.7681059323073129E-4</v>
      </c>
      <c r="BK130" s="149">
        <f>BK78/'Population size'!R52</f>
        <v>1.5107117568951281E-4</v>
      </c>
      <c r="BL130" s="149">
        <f>BL78/'Population size'!S52</f>
        <v>1.2811566857312242E-4</v>
      </c>
      <c r="BM130" s="149">
        <f>BM78/'Population size'!T52</f>
        <v>9.9604465766237851E-5</v>
      </c>
      <c r="BN130" s="149">
        <f>BN78/'Population size'!U52</f>
        <v>7.8375047769583747E-5</v>
      </c>
      <c r="BO130" s="149">
        <f>BO78/'Population size'!V52</f>
        <v>5.8815643539267277E-5</v>
      </c>
      <c r="BP130" s="149">
        <f>BP78/'Population size'!W52</f>
        <v>3.6938535245898497E-5</v>
      </c>
      <c r="BQ130" s="149">
        <f>BQ78/'Population size'!X52</f>
        <v>2.2074871557152267E-5</v>
      </c>
      <c r="BR130" s="149">
        <f>BR78/'Population size'!Y52</f>
        <v>1.8733934752013174E-5</v>
      </c>
      <c r="BS130" s="149">
        <f>BS78/'Population size'!Z52</f>
        <v>1.7951653759151176E-5</v>
      </c>
      <c r="BT130" s="149">
        <f>BT78/'Population size'!AA52</f>
        <v>1.3734028880330535E-5</v>
      </c>
      <c r="BU130" s="149">
        <f>BU78/'Population size'!AB52</f>
        <v>6.5674577315974084E-6</v>
      </c>
      <c r="BV130" s="149">
        <f>BV78/'Population size'!AC52</f>
        <v>5.2429084851404097E-6</v>
      </c>
      <c r="BW130" s="149">
        <f>BW78/'Population size'!AD52</f>
        <v>6.048799052893413E-6</v>
      </c>
      <c r="BX130" s="149">
        <f>BX78/'Population size'!AE52</f>
        <v>4.8486913614188495E-6</v>
      </c>
      <c r="BY130" s="149">
        <f>BY78/'Population size'!AF52</f>
        <v>4.6687829566906737E-6</v>
      </c>
      <c r="BZ130" s="149">
        <f>BZ78/'Population size'!AG52</f>
        <v>3.602980851314343E-6</v>
      </c>
      <c r="CA130" s="149">
        <f>CA78/'Population size'!AH52</f>
        <v>3.4840452038660033E-6</v>
      </c>
    </row>
    <row r="131" spans="45:79" x14ac:dyDescent="0.35">
      <c r="AV131" s="144" t="s">
        <v>392</v>
      </c>
      <c r="AW131" s="149">
        <f>AW79/'Population size'!D64</f>
        <v>1.6678490969966272E-4</v>
      </c>
      <c r="AX131" s="149">
        <f>AX79/'Population size'!E64</f>
        <v>1.7225985520467383E-4</v>
      </c>
      <c r="AY131" s="149">
        <f>AY79/'Population size'!F64</f>
        <v>1.7509985424120245E-4</v>
      </c>
      <c r="AZ131" s="149">
        <f>AZ79/'Population size'!G64</f>
        <v>1.735673175055368E-4</v>
      </c>
      <c r="BA131" s="149">
        <f>BA79/'Population size'!H64</f>
        <v>1.7303519672508125E-4</v>
      </c>
      <c r="BB131" s="149">
        <f>BB79/'Population size'!I64</f>
        <v>1.6921046397509222E-4</v>
      </c>
      <c r="BC131" s="149">
        <f>BC79/'Population size'!J64</f>
        <v>1.6548516224254759E-4</v>
      </c>
      <c r="BD131" s="149">
        <f>BD79/'Population size'!K64</f>
        <v>1.5627581341560884E-4</v>
      </c>
      <c r="BE131" s="149">
        <f>BE79/'Population size'!L64</f>
        <v>1.5006506552467901E-4</v>
      </c>
      <c r="BF131" s="149">
        <f>BF79/'Population size'!M64</f>
        <v>1.4411071305530474E-4</v>
      </c>
      <c r="BG131" s="149">
        <f>BG79/'Population size'!N64</f>
        <v>1.4054845634723631E-4</v>
      </c>
      <c r="BH131" s="149">
        <f>BH79/'Population size'!O64</f>
        <v>1.3170084833511963E-4</v>
      </c>
      <c r="BI131" s="149">
        <f>BI79/'Population size'!P64</f>
        <v>1.2521656774557816E-4</v>
      </c>
      <c r="BJ131" s="149">
        <f>BJ79/'Population size'!Q64</f>
        <v>1.234423969770329E-4</v>
      </c>
      <c r="BK131" s="149">
        <f>BK79/'Population size'!R64</f>
        <v>1.1274086856485476E-4</v>
      </c>
      <c r="BL131" s="149">
        <f>BL79/'Population size'!S64</f>
        <v>1.0219462967221071E-4</v>
      </c>
      <c r="BM131" s="149">
        <f>BM79/'Population size'!T64</f>
        <v>8.5964345706777935E-5</v>
      </c>
      <c r="BN131" s="149">
        <f>BN79/'Population size'!U64</f>
        <v>6.73970336009073E-5</v>
      </c>
      <c r="BO131" s="149">
        <f>BO79/'Population size'!V64</f>
        <v>5.5800587301181328E-5</v>
      </c>
      <c r="BP131" s="149">
        <f>BP79/'Population size'!W64</f>
        <v>3.7237966900102169E-5</v>
      </c>
      <c r="BQ131" s="149">
        <f>BQ79/'Population size'!X64</f>
        <v>2.566387785860603E-5</v>
      </c>
      <c r="BR131" s="149">
        <f>BR79/'Population size'!Y64</f>
        <v>2.2847690441211752E-5</v>
      </c>
      <c r="BS131" s="149">
        <f>BS79/'Population size'!Z64</f>
        <v>2.6800729873210214E-5</v>
      </c>
      <c r="BT131" s="149">
        <f>BT79/'Population size'!AA64</f>
        <v>2.3983743382667164E-5</v>
      </c>
      <c r="BU131" s="149">
        <f>BU79/'Population size'!AB64</f>
        <v>1.2756946157182587E-5</v>
      </c>
      <c r="BV131" s="149">
        <f>BV79/'Population size'!AC64</f>
        <v>1.2427609176546615E-5</v>
      </c>
      <c r="BW131" s="149">
        <f>BW79/'Population size'!AD64</f>
        <v>1.8074611998329103E-5</v>
      </c>
      <c r="BX131" s="149">
        <f>BX79/'Population size'!AE64</f>
        <v>1.7465757412273386E-5</v>
      </c>
      <c r="BY131" s="149">
        <f>BY79/'Population size'!AF64</f>
        <v>1.6842861714491042E-5</v>
      </c>
      <c r="BZ131" s="149">
        <f>BZ79/'Population size'!AG64</f>
        <v>1.2629429095678749E-5</v>
      </c>
      <c r="CA131" s="149">
        <f>CA79/'Population size'!AH64</f>
        <v>1.3923261941807729E-5</v>
      </c>
    </row>
    <row r="133" spans="45:79" x14ac:dyDescent="0.35">
      <c r="AV133" s="25" t="s">
        <v>399</v>
      </c>
    </row>
    <row r="134" spans="45:79" x14ac:dyDescent="0.35">
      <c r="AV134" s="25" t="s">
        <v>394</v>
      </c>
      <c r="AW134" s="4">
        <v>1990</v>
      </c>
      <c r="AX134" s="4">
        <v>1991</v>
      </c>
      <c r="AY134" s="4">
        <v>1992</v>
      </c>
      <c r="AZ134" s="4">
        <v>1993</v>
      </c>
      <c r="BA134" s="4">
        <v>1994</v>
      </c>
      <c r="BB134" s="4">
        <v>1995</v>
      </c>
      <c r="BC134" s="4">
        <v>1996</v>
      </c>
      <c r="BD134" s="4">
        <v>1997</v>
      </c>
      <c r="BE134" s="4">
        <v>1998</v>
      </c>
      <c r="BF134" s="4">
        <v>1999</v>
      </c>
      <c r="BG134" s="4">
        <v>2000</v>
      </c>
      <c r="BH134" s="4">
        <v>2001</v>
      </c>
      <c r="BI134" s="4">
        <v>2002</v>
      </c>
      <c r="BJ134" s="4">
        <v>2003</v>
      </c>
      <c r="BK134" s="4">
        <v>2004</v>
      </c>
      <c r="BL134" s="4">
        <v>2005</v>
      </c>
      <c r="BM134" s="4">
        <v>2006</v>
      </c>
      <c r="BN134" s="4">
        <v>2007</v>
      </c>
      <c r="BO134" s="4">
        <v>2008</v>
      </c>
      <c r="BP134" s="4">
        <v>2009</v>
      </c>
      <c r="BQ134" s="4">
        <v>2010</v>
      </c>
      <c r="BR134" s="4">
        <v>2011</v>
      </c>
      <c r="BS134" s="4">
        <v>2012</v>
      </c>
      <c r="BT134" s="4">
        <v>2013</v>
      </c>
      <c r="BU134" s="4">
        <v>2014</v>
      </c>
      <c r="BV134" s="4">
        <v>2015</v>
      </c>
      <c r="BW134" s="4">
        <v>2016</v>
      </c>
      <c r="BX134" s="4">
        <v>2017</v>
      </c>
      <c r="BY134" s="4">
        <v>2018</v>
      </c>
      <c r="BZ134" s="4">
        <v>2019</v>
      </c>
      <c r="CA134" s="4">
        <v>2020</v>
      </c>
    </row>
    <row r="135" spans="45:79" x14ac:dyDescent="0.35">
      <c r="AV135" s="144" t="s">
        <v>140</v>
      </c>
      <c r="AW135" s="149">
        <f t="shared" ref="AW135:CA135" si="46">AW49-AW118</f>
        <v>7.0237800226532685E-3</v>
      </c>
      <c r="AX135" s="149">
        <f t="shared" si="46"/>
        <v>6.8947658018688124E-3</v>
      </c>
      <c r="AY135" s="149">
        <f t="shared" si="46"/>
        <v>6.8147468721144727E-3</v>
      </c>
      <c r="AZ135" s="149">
        <f t="shared" si="46"/>
        <v>6.773043080209552E-3</v>
      </c>
      <c r="BA135" s="149">
        <f t="shared" si="46"/>
        <v>6.7513361664645029E-3</v>
      </c>
      <c r="BB135" s="149">
        <f t="shared" si="46"/>
        <v>7.8230058687118621E-3</v>
      </c>
      <c r="BC135" s="149">
        <f t="shared" si="46"/>
        <v>7.7961705329103025E-3</v>
      </c>
      <c r="BD135" s="149">
        <f t="shared" si="46"/>
        <v>7.772457420611497E-3</v>
      </c>
      <c r="BE135" s="149">
        <f t="shared" si="46"/>
        <v>7.7571477297807044E-3</v>
      </c>
      <c r="BF135" s="149">
        <f t="shared" si="46"/>
        <v>7.760583946293381E-3</v>
      </c>
      <c r="BG135" s="149">
        <f t="shared" si="46"/>
        <v>8.129053186826633E-3</v>
      </c>
      <c r="BH135" s="149">
        <f t="shared" si="46"/>
        <v>8.1243190217804434E-3</v>
      </c>
      <c r="BI135" s="149">
        <f t="shared" si="46"/>
        <v>8.1298941507227367E-3</v>
      </c>
      <c r="BJ135" s="149">
        <f t="shared" si="46"/>
        <v>8.137808975209479E-3</v>
      </c>
      <c r="BK135" s="149">
        <f t="shared" si="46"/>
        <v>8.1331700629009816E-3</v>
      </c>
      <c r="BL135" s="149">
        <f t="shared" si="46"/>
        <v>8.6686901554528881E-3</v>
      </c>
      <c r="BM135" s="149">
        <f t="shared" si="46"/>
        <v>8.6256550041398095E-3</v>
      </c>
      <c r="BN135" s="149">
        <f t="shared" si="46"/>
        <v>8.5568963639783419E-3</v>
      </c>
      <c r="BO135" s="149">
        <f t="shared" si="46"/>
        <v>8.4604209069971455E-3</v>
      </c>
      <c r="BP135" s="149">
        <f t="shared" si="46"/>
        <v>8.3377024502161775E-3</v>
      </c>
      <c r="BQ135" s="149">
        <f t="shared" si="46"/>
        <v>6.5362226408416145E-3</v>
      </c>
      <c r="BR135" s="149">
        <f t="shared" si="46"/>
        <v>6.412360625302746E-3</v>
      </c>
      <c r="BS135" s="149">
        <f t="shared" si="46"/>
        <v>6.2724421617199218E-3</v>
      </c>
      <c r="BT135" s="149">
        <f t="shared" si="46"/>
        <v>6.128269864123707E-3</v>
      </c>
      <c r="BU135" s="149">
        <f t="shared" si="46"/>
        <v>5.995513443163041E-3</v>
      </c>
      <c r="BV135" s="149">
        <f t="shared" si="46"/>
        <v>4.0268254951339229E-3</v>
      </c>
      <c r="BW135" s="149">
        <f t="shared" si="46"/>
        <v>3.9541636902937919E-3</v>
      </c>
      <c r="BX135" s="149">
        <f t="shared" si="46"/>
        <v>3.9043772794024527E-3</v>
      </c>
      <c r="BY135" s="149">
        <f t="shared" si="46"/>
        <v>3.8700069382333366E-3</v>
      </c>
      <c r="BZ135" s="149">
        <f t="shared" si="46"/>
        <v>3.8391261714208432E-3</v>
      </c>
      <c r="CA135" s="149">
        <f t="shared" si="46"/>
        <v>3.8064110622250159E-3</v>
      </c>
    </row>
    <row r="136" spans="45:79" x14ac:dyDescent="0.35">
      <c r="AV136" s="144" t="s">
        <v>368</v>
      </c>
      <c r="AW136" s="149">
        <f t="shared" ref="AW136:CA136" si="47">AW50-AW119</f>
        <v>1.7858642705464484E-3</v>
      </c>
      <c r="AX136" s="149">
        <f t="shared" si="47"/>
        <v>1.7274293557002049E-3</v>
      </c>
      <c r="AY136" s="149">
        <f t="shared" si="47"/>
        <v>1.664585593264001E-3</v>
      </c>
      <c r="AZ136" s="149">
        <f t="shared" si="47"/>
        <v>1.6034145090783505E-3</v>
      </c>
      <c r="BA136" s="149">
        <f t="shared" si="47"/>
        <v>1.5516534609074366E-3</v>
      </c>
      <c r="BB136" s="149">
        <f t="shared" si="47"/>
        <v>2.0310266600903617E-3</v>
      </c>
      <c r="BC136" s="149">
        <f t="shared" si="47"/>
        <v>1.9912309614008791E-3</v>
      </c>
      <c r="BD136" s="149">
        <f t="shared" si="47"/>
        <v>1.9599916290615181E-3</v>
      </c>
      <c r="BE136" s="149">
        <f t="shared" si="47"/>
        <v>1.9395189144472706E-3</v>
      </c>
      <c r="BF136" s="149">
        <f t="shared" si="47"/>
        <v>1.9166966477130146E-3</v>
      </c>
      <c r="BG136" s="149">
        <f t="shared" si="47"/>
        <v>2.4799995904297911E-3</v>
      </c>
      <c r="BH136" s="149">
        <f t="shared" si="47"/>
        <v>2.4597397400023344E-3</v>
      </c>
      <c r="BI136" s="149">
        <f t="shared" si="47"/>
        <v>2.4285796876116418E-3</v>
      </c>
      <c r="BJ136" s="149">
        <f t="shared" si="47"/>
        <v>2.3910205520099518E-3</v>
      </c>
      <c r="BK136" s="149">
        <f t="shared" si="47"/>
        <v>2.3569986006266408E-3</v>
      </c>
      <c r="BL136" s="149">
        <f t="shared" si="47"/>
        <v>2.5724230808834778E-3</v>
      </c>
      <c r="BM136" s="149">
        <f t="shared" si="47"/>
        <v>2.5894011614728718E-3</v>
      </c>
      <c r="BN136" s="149">
        <f t="shared" si="47"/>
        <v>2.6172334121019399E-3</v>
      </c>
      <c r="BO136" s="149">
        <f t="shared" si="47"/>
        <v>2.6478941935499816E-3</v>
      </c>
      <c r="BP136" s="149">
        <f t="shared" si="47"/>
        <v>2.6732192547813606E-3</v>
      </c>
      <c r="BQ136" s="149">
        <f t="shared" si="47"/>
        <v>1.7849175048472096E-3</v>
      </c>
      <c r="BR136" s="149">
        <f t="shared" si="47"/>
        <v>1.8070940225262586E-3</v>
      </c>
      <c r="BS136" s="149">
        <f t="shared" si="47"/>
        <v>1.8172122752130382E-3</v>
      </c>
      <c r="BT136" s="149">
        <f t="shared" si="47"/>
        <v>1.8158840922070461E-3</v>
      </c>
      <c r="BU136" s="149">
        <f t="shared" si="47"/>
        <v>1.8057353267229472E-3</v>
      </c>
      <c r="BV136" s="149">
        <f t="shared" si="47"/>
        <v>1.3705283373744968E-3</v>
      </c>
      <c r="BW136" s="149">
        <f t="shared" si="47"/>
        <v>1.3673810665056671E-3</v>
      </c>
      <c r="BX136" s="149">
        <f t="shared" si="47"/>
        <v>1.357104587043832E-3</v>
      </c>
      <c r="BY136" s="149">
        <f t="shared" si="47"/>
        <v>1.3371393357798347E-3</v>
      </c>
      <c r="BZ136" s="149">
        <f t="shared" si="47"/>
        <v>1.3097155255560277E-3</v>
      </c>
      <c r="CA136" s="149">
        <f t="shared" si="47"/>
        <v>1.2765867026394127E-3</v>
      </c>
    </row>
    <row r="137" spans="45:79" x14ac:dyDescent="0.35">
      <c r="AV137" s="144" t="s">
        <v>369</v>
      </c>
      <c r="AW137" s="149">
        <f t="shared" ref="AW137:CA137" si="48">AW51-AW120</f>
        <v>3.6189109639453024E-3</v>
      </c>
      <c r="AX137" s="149">
        <f t="shared" si="48"/>
        <v>3.5409070426814576E-3</v>
      </c>
      <c r="AY137" s="149">
        <f t="shared" si="48"/>
        <v>3.4616472520834058E-3</v>
      </c>
      <c r="AZ137" s="149">
        <f t="shared" si="48"/>
        <v>3.373657514772557E-3</v>
      </c>
      <c r="BA137" s="149">
        <f t="shared" si="48"/>
        <v>3.2801135960674574E-3</v>
      </c>
      <c r="BB137" s="149">
        <f t="shared" si="48"/>
        <v>5.4724829317443777E-3</v>
      </c>
      <c r="BC137" s="149">
        <f t="shared" si="48"/>
        <v>5.3225659719330102E-3</v>
      </c>
      <c r="BD137" s="149">
        <f t="shared" si="48"/>
        <v>5.1571013290708451E-3</v>
      </c>
      <c r="BE137" s="149">
        <f t="shared" si="48"/>
        <v>4.990704393996427E-3</v>
      </c>
      <c r="BF137" s="149">
        <f t="shared" si="48"/>
        <v>4.8377195596664225E-3</v>
      </c>
      <c r="BG137" s="149">
        <f t="shared" si="48"/>
        <v>6.6093303928945364E-3</v>
      </c>
      <c r="BH137" s="149">
        <f t="shared" si="48"/>
        <v>6.5597160039216314E-3</v>
      </c>
      <c r="BI137" s="149">
        <f t="shared" si="48"/>
        <v>6.5322881723382156E-3</v>
      </c>
      <c r="BJ137" s="149">
        <f t="shared" si="48"/>
        <v>6.5032218903951491E-3</v>
      </c>
      <c r="BK137" s="149">
        <f t="shared" si="48"/>
        <v>6.4466158731910509E-3</v>
      </c>
      <c r="BL137" s="149">
        <f t="shared" si="48"/>
        <v>6.8140784585412313E-3</v>
      </c>
      <c r="BM137" s="149">
        <f t="shared" si="48"/>
        <v>6.7320459955166933E-3</v>
      </c>
      <c r="BN137" s="149">
        <f t="shared" si="48"/>
        <v>6.6305634421578059E-3</v>
      </c>
      <c r="BO137" s="149">
        <f t="shared" si="48"/>
        <v>6.5235214127996018E-3</v>
      </c>
      <c r="BP137" s="149">
        <f t="shared" si="48"/>
        <v>6.4335767592885746E-3</v>
      </c>
      <c r="BQ137" s="149">
        <f t="shared" si="48"/>
        <v>3.564808146444969E-3</v>
      </c>
      <c r="BR137" s="149">
        <f t="shared" si="48"/>
        <v>3.5904675147788146E-3</v>
      </c>
      <c r="BS137" s="149">
        <f t="shared" si="48"/>
        <v>3.6335786277282441E-3</v>
      </c>
      <c r="BT137" s="149">
        <f t="shared" si="48"/>
        <v>3.6830092655651264E-3</v>
      </c>
      <c r="BU137" s="149">
        <f t="shared" si="48"/>
        <v>3.7230736412109475E-3</v>
      </c>
      <c r="BV137" s="149">
        <f t="shared" si="48"/>
        <v>2.8244404206690535E-3</v>
      </c>
      <c r="BW137" s="149">
        <f t="shared" si="48"/>
        <v>2.8540064733988675E-3</v>
      </c>
      <c r="BX137" s="149">
        <f t="shared" si="48"/>
        <v>2.8634848910347728E-3</v>
      </c>
      <c r="BY137" s="149">
        <f t="shared" si="48"/>
        <v>2.8511519946314489E-3</v>
      </c>
      <c r="BZ137" s="149">
        <f t="shared" si="48"/>
        <v>2.8242597479676366E-3</v>
      </c>
      <c r="CA137" s="149">
        <f t="shared" si="48"/>
        <v>2.7847065762510478E-3</v>
      </c>
    </row>
    <row r="138" spans="45:79" x14ac:dyDescent="0.35">
      <c r="AV138" s="144" t="s">
        <v>387</v>
      </c>
      <c r="AW138" s="149">
        <f t="shared" ref="AW138:CA138" si="49">AW52-AW121</f>
        <v>8.6831240197647389E-3</v>
      </c>
      <c r="AX138" s="149">
        <f t="shared" si="49"/>
        <v>8.470551217549185E-3</v>
      </c>
      <c r="AY138" s="149">
        <f t="shared" si="49"/>
        <v>8.2737732661360835E-3</v>
      </c>
      <c r="AZ138" s="149">
        <f t="shared" si="49"/>
        <v>8.0967720569424528E-3</v>
      </c>
      <c r="BA138" s="149">
        <f t="shared" si="49"/>
        <v>7.9424174653790428E-3</v>
      </c>
      <c r="BB138" s="149">
        <f t="shared" si="49"/>
        <v>1.7581816058698647E-2</v>
      </c>
      <c r="BC138" s="149">
        <f t="shared" si="49"/>
        <v>1.7447113218835603E-2</v>
      </c>
      <c r="BD138" s="149">
        <f t="shared" si="49"/>
        <v>1.7347535372948062E-2</v>
      </c>
      <c r="BE138" s="149">
        <f t="shared" si="49"/>
        <v>1.7235283741846189E-2</v>
      </c>
      <c r="BF138" s="149">
        <f t="shared" si="49"/>
        <v>1.7056249301243376E-2</v>
      </c>
      <c r="BG138" s="149">
        <f t="shared" si="49"/>
        <v>2.4468477286380772E-2</v>
      </c>
      <c r="BH138" s="149">
        <f t="shared" si="49"/>
        <v>2.4035897858524929E-2</v>
      </c>
      <c r="BI138" s="149">
        <f t="shared" si="49"/>
        <v>2.3571656399520642E-2</v>
      </c>
      <c r="BJ138" s="149">
        <f t="shared" si="49"/>
        <v>2.3106665962860519E-2</v>
      </c>
      <c r="BK138" s="149">
        <f t="shared" si="49"/>
        <v>2.2676107140132039E-2</v>
      </c>
      <c r="BL138" s="149">
        <f t="shared" si="49"/>
        <v>2.2548157420837742E-2</v>
      </c>
      <c r="BM138" s="149">
        <f t="shared" si="49"/>
        <v>2.2011208864243664E-2</v>
      </c>
      <c r="BN138" s="149">
        <f t="shared" si="49"/>
        <v>2.1520046395119664E-2</v>
      </c>
      <c r="BO138" s="149">
        <f t="shared" si="49"/>
        <v>2.1065778188848156E-2</v>
      </c>
      <c r="BP138" s="149">
        <f t="shared" si="49"/>
        <v>2.0628398901276924E-2</v>
      </c>
      <c r="BQ138" s="149">
        <f t="shared" si="49"/>
        <v>8.7135206633186454E-3</v>
      </c>
      <c r="BR138" s="149">
        <f t="shared" si="49"/>
        <v>8.4799317873694244E-3</v>
      </c>
      <c r="BS138" s="149">
        <f t="shared" si="49"/>
        <v>8.2845435894236836E-3</v>
      </c>
      <c r="BT138" s="149">
        <f t="shared" si="49"/>
        <v>8.1351778753311049E-3</v>
      </c>
      <c r="BU138" s="149">
        <f t="shared" si="49"/>
        <v>8.0343337572079537E-3</v>
      </c>
      <c r="BV138" s="149">
        <f t="shared" si="49"/>
        <v>6.4274025100776412E-3</v>
      </c>
      <c r="BW138" s="149">
        <f t="shared" si="49"/>
        <v>6.3836703483334352E-3</v>
      </c>
      <c r="BX138" s="149">
        <f t="shared" si="49"/>
        <v>6.3604703273783007E-3</v>
      </c>
      <c r="BY138" s="149">
        <f t="shared" si="49"/>
        <v>6.3623423550663027E-3</v>
      </c>
      <c r="BZ138" s="149">
        <f t="shared" si="49"/>
        <v>6.3902150658752344E-3</v>
      </c>
      <c r="CA138" s="149">
        <f t="shared" si="49"/>
        <v>6.4331430165596734E-3</v>
      </c>
    </row>
    <row r="139" spans="45:79" x14ac:dyDescent="0.35">
      <c r="AV139" s="144" t="s">
        <v>388</v>
      </c>
      <c r="AW139" s="149">
        <f t="shared" ref="AW139:CA139" si="50">AW53-AW122</f>
        <v>1.5100729815701989E-2</v>
      </c>
      <c r="AX139" s="149">
        <f t="shared" si="50"/>
        <v>1.4561792492415746E-2</v>
      </c>
      <c r="AY139" s="149">
        <f t="shared" si="50"/>
        <v>1.4092030839644649E-2</v>
      </c>
      <c r="AZ139" s="149">
        <f t="shared" si="50"/>
        <v>1.3676853918455443E-2</v>
      </c>
      <c r="BA139" s="149">
        <f t="shared" si="50"/>
        <v>1.3286756576698925E-2</v>
      </c>
      <c r="BB139" s="149">
        <f t="shared" si="50"/>
        <v>3.0412490132119153E-2</v>
      </c>
      <c r="BC139" s="149">
        <f t="shared" si="50"/>
        <v>2.9663736606164202E-2</v>
      </c>
      <c r="BD139" s="149">
        <f t="shared" si="50"/>
        <v>2.9043974907846923E-2</v>
      </c>
      <c r="BE139" s="149">
        <f t="shared" si="50"/>
        <v>2.8580379026118586E-2</v>
      </c>
      <c r="BF139" s="149">
        <f t="shared" si="50"/>
        <v>2.8305167083405011E-2</v>
      </c>
      <c r="BG139" s="149">
        <f t="shared" si="50"/>
        <v>3.9557789465081421E-2</v>
      </c>
      <c r="BH139" s="149">
        <f t="shared" si="50"/>
        <v>3.9222783621568065E-2</v>
      </c>
      <c r="BI139" s="149">
        <f t="shared" si="50"/>
        <v>3.908971308520142E-2</v>
      </c>
      <c r="BJ139" s="149">
        <f t="shared" si="50"/>
        <v>3.9098989974706462E-2</v>
      </c>
      <c r="BK139" s="149">
        <f t="shared" si="50"/>
        <v>3.9192532446562761E-2</v>
      </c>
      <c r="BL139" s="149">
        <f t="shared" si="50"/>
        <v>3.6714368884688167E-2</v>
      </c>
      <c r="BM139" s="149">
        <f t="shared" si="50"/>
        <v>3.6379098454145019E-2</v>
      </c>
      <c r="BN139" s="149">
        <f t="shared" si="50"/>
        <v>3.604468446923155E-2</v>
      </c>
      <c r="BO139" s="149">
        <f t="shared" si="50"/>
        <v>3.566660827371447E-2</v>
      </c>
      <c r="BP139" s="149">
        <f t="shared" si="50"/>
        <v>3.5218518736841259E-2</v>
      </c>
      <c r="BQ139" s="149">
        <f t="shared" si="50"/>
        <v>1.6008696853246827E-2</v>
      </c>
      <c r="BR139" s="149">
        <f t="shared" si="50"/>
        <v>1.5403540724698617E-2</v>
      </c>
      <c r="BS139" s="149">
        <f t="shared" si="50"/>
        <v>1.4761525208458283E-2</v>
      </c>
      <c r="BT139" s="149">
        <f t="shared" si="50"/>
        <v>1.4116750485129078E-2</v>
      </c>
      <c r="BU139" s="149">
        <f t="shared" si="50"/>
        <v>1.3504225502968309E-2</v>
      </c>
      <c r="BV139" s="149">
        <f t="shared" si="50"/>
        <v>1.2693920307882554E-2</v>
      </c>
      <c r="BW139" s="149">
        <f t="shared" si="50"/>
        <v>1.2204258595752845E-2</v>
      </c>
      <c r="BX139" s="149">
        <f t="shared" si="50"/>
        <v>1.1741397053157429E-2</v>
      </c>
      <c r="BY139" s="149">
        <f t="shared" si="50"/>
        <v>1.1305738056603868E-2</v>
      </c>
      <c r="BZ139" s="149">
        <f t="shared" si="50"/>
        <v>1.0906042887885948E-2</v>
      </c>
      <c r="CA139" s="149">
        <f t="shared" si="50"/>
        <v>1.0546030629842199E-2</v>
      </c>
    </row>
    <row r="140" spans="45:79" x14ac:dyDescent="0.35">
      <c r="AV140" s="144" t="s">
        <v>392</v>
      </c>
      <c r="AW140" s="149">
        <f t="shared" ref="AW140:CA140" si="51">AW54-AW123</f>
        <v>3.6391449952453803E-2</v>
      </c>
      <c r="AX140" s="149">
        <f t="shared" si="51"/>
        <v>3.5282525214162128E-2</v>
      </c>
      <c r="AY140" s="149">
        <f t="shared" si="51"/>
        <v>3.4186454469992182E-2</v>
      </c>
      <c r="AZ140" s="149">
        <f t="shared" si="51"/>
        <v>3.3171714927351062E-2</v>
      </c>
      <c r="BA140" s="149">
        <f t="shared" si="51"/>
        <v>3.232390799175653E-2</v>
      </c>
      <c r="BB140" s="149">
        <f t="shared" si="51"/>
        <v>3.9434890831183289E-2</v>
      </c>
      <c r="BC140" s="149">
        <f t="shared" si="51"/>
        <v>3.8538693087782822E-2</v>
      </c>
      <c r="BD140" s="149">
        <f t="shared" si="51"/>
        <v>3.7875620614310386E-2</v>
      </c>
      <c r="BE140" s="149">
        <f t="shared" si="51"/>
        <v>3.7335533099608173E-2</v>
      </c>
      <c r="BF140" s="149">
        <f t="shared" si="51"/>
        <v>3.6780366468098354E-2</v>
      </c>
      <c r="BG140" s="149">
        <f t="shared" si="51"/>
        <v>4.4146356714095163E-2</v>
      </c>
      <c r="BH140" s="149">
        <f t="shared" si="51"/>
        <v>4.338927268599365E-2</v>
      </c>
      <c r="BI140" s="149">
        <f t="shared" si="51"/>
        <v>4.2578565996777305E-2</v>
      </c>
      <c r="BJ140" s="149">
        <f t="shared" si="51"/>
        <v>4.1770462925838532E-2</v>
      </c>
      <c r="BK140" s="149">
        <f t="shared" si="51"/>
        <v>4.1055339600428287E-2</v>
      </c>
      <c r="BL140" s="149">
        <f t="shared" si="51"/>
        <v>4.6120394630026394E-2</v>
      </c>
      <c r="BM140" s="149">
        <f t="shared" si="51"/>
        <v>4.5513718640638842E-2</v>
      </c>
      <c r="BN140" s="149">
        <f t="shared" si="51"/>
        <v>4.4976263674187701E-2</v>
      </c>
      <c r="BO140" s="149">
        <f t="shared" si="51"/>
        <v>4.4485782212378921E-2</v>
      </c>
      <c r="BP140" s="149">
        <f t="shared" si="51"/>
        <v>4.4026461985195615E-2</v>
      </c>
      <c r="BQ140" s="149">
        <f t="shared" si="51"/>
        <v>4.1786121309986685E-2</v>
      </c>
      <c r="BR140" s="149">
        <f t="shared" si="51"/>
        <v>4.1201696379998605E-2</v>
      </c>
      <c r="BS140" s="149">
        <f t="shared" si="51"/>
        <v>4.0555226441688956E-2</v>
      </c>
      <c r="BT140" s="149">
        <f t="shared" si="51"/>
        <v>3.9887545313383489E-2</v>
      </c>
      <c r="BU140" s="149">
        <f t="shared" si="51"/>
        <v>3.9226428114799559E-2</v>
      </c>
      <c r="BV140" s="149">
        <f t="shared" si="51"/>
        <v>3.7098264965402014E-2</v>
      </c>
      <c r="BW140" s="149">
        <f t="shared" si="51"/>
        <v>3.6335831790488465E-2</v>
      </c>
      <c r="BX140" s="149">
        <f t="shared" si="51"/>
        <v>3.5515980570347459E-2</v>
      </c>
      <c r="BY140" s="149">
        <f t="shared" si="51"/>
        <v>3.4658164925650818E-2</v>
      </c>
      <c r="BZ140" s="149">
        <f t="shared" si="51"/>
        <v>3.3793134833250318E-2</v>
      </c>
      <c r="CA140" s="149">
        <f t="shared" si="51"/>
        <v>3.2924151266403516E-2</v>
      </c>
    </row>
    <row r="142" spans="45:79" x14ac:dyDescent="0.35">
      <c r="AV142" s="25" t="s">
        <v>395</v>
      </c>
      <c r="AW142" s="4">
        <v>1990</v>
      </c>
      <c r="AX142" s="4">
        <v>1991</v>
      </c>
      <c r="AY142" s="4">
        <v>1992</v>
      </c>
      <c r="AZ142" s="4">
        <v>1993</v>
      </c>
      <c r="BA142" s="4">
        <v>1994</v>
      </c>
      <c r="BB142" s="4">
        <v>1995</v>
      </c>
      <c r="BC142" s="4">
        <v>1996</v>
      </c>
      <c r="BD142" s="4">
        <v>1997</v>
      </c>
      <c r="BE142" s="4">
        <v>1998</v>
      </c>
      <c r="BF142" s="4">
        <v>1999</v>
      </c>
      <c r="BG142" s="4">
        <v>2000</v>
      </c>
      <c r="BH142" s="4">
        <v>2001</v>
      </c>
      <c r="BI142" s="4">
        <v>2002</v>
      </c>
      <c r="BJ142" s="4">
        <v>2003</v>
      </c>
      <c r="BK142" s="4">
        <v>2004</v>
      </c>
      <c r="BL142" s="4">
        <v>2005</v>
      </c>
      <c r="BM142" s="4">
        <v>2006</v>
      </c>
      <c r="BN142" s="4">
        <v>2007</v>
      </c>
      <c r="BO142" s="4">
        <v>2008</v>
      </c>
      <c r="BP142" s="4">
        <v>2009</v>
      </c>
      <c r="BQ142" s="4">
        <v>2010</v>
      </c>
      <c r="BR142" s="4">
        <v>2011</v>
      </c>
      <c r="BS142" s="4">
        <v>2012</v>
      </c>
      <c r="BT142" s="4">
        <v>2013</v>
      </c>
      <c r="BU142" s="4">
        <v>2014</v>
      </c>
      <c r="BV142" s="4">
        <v>2015</v>
      </c>
      <c r="BW142" s="4">
        <v>2016</v>
      </c>
      <c r="BX142" s="4">
        <v>2017</v>
      </c>
      <c r="BY142" s="4">
        <v>2018</v>
      </c>
      <c r="BZ142" s="4">
        <v>2019</v>
      </c>
      <c r="CA142" s="4">
        <v>2020</v>
      </c>
    </row>
    <row r="143" spans="45:79" x14ac:dyDescent="0.35">
      <c r="AV143" s="144" t="s">
        <v>140</v>
      </c>
      <c r="AW143" s="149">
        <f t="shared" ref="AW143:CA143" si="52">AW57-AW126</f>
        <v>8.6288547563190335E-3</v>
      </c>
      <c r="AX143" s="149">
        <f t="shared" si="52"/>
        <v>8.4625350181540809E-3</v>
      </c>
      <c r="AY143" s="149">
        <f t="shared" si="52"/>
        <v>8.3621403695158317E-3</v>
      </c>
      <c r="AZ143" s="149">
        <f t="shared" si="52"/>
        <v>8.3118444003344085E-3</v>
      </c>
      <c r="BA143" s="149">
        <f t="shared" si="52"/>
        <v>8.2882085799562098E-3</v>
      </c>
      <c r="BB143" s="149">
        <f t="shared" si="52"/>
        <v>9.9120996603360208E-3</v>
      </c>
      <c r="BC143" s="149">
        <f t="shared" si="52"/>
        <v>9.874515150466015E-3</v>
      </c>
      <c r="BD143" s="149">
        <f t="shared" si="52"/>
        <v>9.8380542245405465E-3</v>
      </c>
      <c r="BE143" s="149">
        <f t="shared" si="52"/>
        <v>9.8156553901547622E-3</v>
      </c>
      <c r="BF143" s="149">
        <f t="shared" si="52"/>
        <v>9.8273310545181573E-3</v>
      </c>
      <c r="BG143" s="149">
        <f t="shared" si="52"/>
        <v>1.074777213815847E-2</v>
      </c>
      <c r="BH143" s="149">
        <f t="shared" si="52"/>
        <v>1.0768192452936995E-2</v>
      </c>
      <c r="BI143" s="149">
        <f t="shared" si="52"/>
        <v>1.0808429735004428E-2</v>
      </c>
      <c r="BJ143" s="149">
        <f t="shared" si="52"/>
        <v>1.0847708879727228E-2</v>
      </c>
      <c r="BK143" s="149">
        <f t="shared" si="52"/>
        <v>1.0852969141463376E-2</v>
      </c>
      <c r="BL143" s="149">
        <f t="shared" si="52"/>
        <v>1.1433890548035529E-2</v>
      </c>
      <c r="BM143" s="149">
        <f t="shared" si="52"/>
        <v>1.141709366084326E-2</v>
      </c>
      <c r="BN143" s="149">
        <f t="shared" si="52"/>
        <v>1.1335903369188586E-2</v>
      </c>
      <c r="BO143" s="149">
        <f t="shared" si="52"/>
        <v>1.1199175507368788E-2</v>
      </c>
      <c r="BP143" s="149">
        <f t="shared" si="52"/>
        <v>1.1022184952707454E-2</v>
      </c>
      <c r="BQ143" s="149">
        <f t="shared" si="52"/>
        <v>8.0307335711706385E-3</v>
      </c>
      <c r="BR143" s="149">
        <f t="shared" si="52"/>
        <v>7.8738353529261059E-3</v>
      </c>
      <c r="BS143" s="149">
        <f t="shared" si="52"/>
        <v>7.7014363643285629E-3</v>
      </c>
      <c r="BT143" s="149">
        <f t="shared" si="52"/>
        <v>7.5248053670067807E-3</v>
      </c>
      <c r="BU143" s="149">
        <f t="shared" si="52"/>
        <v>7.3578708844782457E-3</v>
      </c>
      <c r="BV143" s="149">
        <f t="shared" si="52"/>
        <v>5.0490867405555756E-3</v>
      </c>
      <c r="BW143" s="149">
        <f t="shared" si="52"/>
        <v>4.9588986299543324E-3</v>
      </c>
      <c r="BX143" s="149">
        <f t="shared" si="52"/>
        <v>4.8930828408575476E-3</v>
      </c>
      <c r="BY143" s="149">
        <f t="shared" si="52"/>
        <v>4.844219220441575E-3</v>
      </c>
      <c r="BZ143" s="149">
        <f t="shared" si="52"/>
        <v>4.8014463852149589E-3</v>
      </c>
      <c r="CA143" s="149">
        <f t="shared" si="52"/>
        <v>4.75832888252094E-3</v>
      </c>
    </row>
    <row r="144" spans="45:79" x14ac:dyDescent="0.35">
      <c r="AV144" s="144" t="s">
        <v>368</v>
      </c>
      <c r="AW144" s="149">
        <f t="shared" ref="AW144:CA144" si="53">AW58-AW127</f>
        <v>2.8101247062121437E-3</v>
      </c>
      <c r="AX144" s="149">
        <f t="shared" si="53"/>
        <v>2.7215449301772172E-3</v>
      </c>
      <c r="AY144" s="149">
        <f t="shared" si="53"/>
        <v>2.6258438181724448E-3</v>
      </c>
      <c r="AZ144" s="149">
        <f t="shared" si="53"/>
        <v>2.5321172646570423E-3</v>
      </c>
      <c r="BA144" s="149">
        <f t="shared" si="53"/>
        <v>2.4523953875099586E-3</v>
      </c>
      <c r="BB144" s="149">
        <f t="shared" si="53"/>
        <v>3.5143722167099074E-3</v>
      </c>
      <c r="BC144" s="149">
        <f t="shared" si="53"/>
        <v>3.4613769581103046E-3</v>
      </c>
      <c r="BD144" s="149">
        <f t="shared" si="53"/>
        <v>3.4192345938352459E-3</v>
      </c>
      <c r="BE144" s="149">
        <f t="shared" si="53"/>
        <v>3.3906766381936373E-3</v>
      </c>
      <c r="BF144" s="149">
        <f t="shared" si="53"/>
        <v>3.3561106355837968E-3</v>
      </c>
      <c r="BG144" s="149">
        <f t="shared" si="53"/>
        <v>4.7389458903527044E-3</v>
      </c>
      <c r="BH144" s="149">
        <f t="shared" si="53"/>
        <v>4.7541383568233744E-3</v>
      </c>
      <c r="BI144" s="149">
        <f t="shared" si="53"/>
        <v>4.7435209189577313E-3</v>
      </c>
      <c r="BJ144" s="149">
        <f t="shared" si="53"/>
        <v>4.7097883146554054E-3</v>
      </c>
      <c r="BK144" s="149">
        <f t="shared" si="53"/>
        <v>4.6674178918155087E-3</v>
      </c>
      <c r="BL144" s="149">
        <f t="shared" si="53"/>
        <v>5.001511350110982E-3</v>
      </c>
      <c r="BM144" s="149">
        <f t="shared" si="53"/>
        <v>5.0668710781403298E-3</v>
      </c>
      <c r="BN144" s="149">
        <f t="shared" si="53"/>
        <v>5.1403874755092454E-3</v>
      </c>
      <c r="BO144" s="149">
        <f t="shared" si="53"/>
        <v>5.2016115086056334E-3</v>
      </c>
      <c r="BP144" s="149">
        <f t="shared" si="53"/>
        <v>5.2347855090715927E-3</v>
      </c>
      <c r="BQ144" s="149">
        <f t="shared" si="53"/>
        <v>2.7768897028635441E-3</v>
      </c>
      <c r="BR144" s="149">
        <f t="shared" si="53"/>
        <v>2.8060847919100327E-3</v>
      </c>
      <c r="BS144" s="149">
        <f t="shared" si="53"/>
        <v>2.811701944137547E-3</v>
      </c>
      <c r="BT144" s="149">
        <f t="shared" si="53"/>
        <v>2.7950948481209807E-3</v>
      </c>
      <c r="BU144" s="149">
        <f t="shared" si="53"/>
        <v>2.7617697177258708E-3</v>
      </c>
      <c r="BV144" s="149">
        <f t="shared" si="53"/>
        <v>2.1792849341156178E-3</v>
      </c>
      <c r="BW144" s="149">
        <f t="shared" si="53"/>
        <v>2.1649460055400576E-3</v>
      </c>
      <c r="BX144" s="149">
        <f t="shared" si="53"/>
        <v>2.1386627856108727E-3</v>
      </c>
      <c r="BY144" s="149">
        <f t="shared" si="53"/>
        <v>2.1015149413617352E-3</v>
      </c>
      <c r="BZ144" s="149">
        <f t="shared" si="53"/>
        <v>2.0510442820122214E-3</v>
      </c>
      <c r="CA144" s="149">
        <f t="shared" si="53"/>
        <v>1.9916204381798348E-3</v>
      </c>
    </row>
    <row r="145" spans="48:79" x14ac:dyDescent="0.35">
      <c r="AV145" s="144" t="s">
        <v>369</v>
      </c>
      <c r="AW145" s="149">
        <f t="shared" ref="AW145:CA145" si="54">AW59-AW128</f>
        <v>4.6498964939702186E-3</v>
      </c>
      <c r="AX145" s="149">
        <f t="shared" si="54"/>
        <v>4.5606134667608269E-3</v>
      </c>
      <c r="AY145" s="149">
        <f t="shared" si="54"/>
        <v>4.4664168478171186E-3</v>
      </c>
      <c r="AZ145" s="149">
        <f t="shared" si="54"/>
        <v>4.3660962855223704E-3</v>
      </c>
      <c r="BA145" s="149">
        <f t="shared" si="54"/>
        <v>4.2549315234930293E-3</v>
      </c>
      <c r="BB145" s="149">
        <f t="shared" si="54"/>
        <v>6.2908529363809151E-3</v>
      </c>
      <c r="BC145" s="149">
        <f t="shared" si="54"/>
        <v>6.1319122542367807E-3</v>
      </c>
      <c r="BD145" s="149">
        <f t="shared" si="54"/>
        <v>5.9662249237686146E-3</v>
      </c>
      <c r="BE145" s="149">
        <f t="shared" si="54"/>
        <v>5.8044950883734446E-3</v>
      </c>
      <c r="BF145" s="149">
        <f t="shared" si="54"/>
        <v>5.6661608909373273E-3</v>
      </c>
      <c r="BG145" s="149">
        <f t="shared" si="54"/>
        <v>7.7569065808765249E-3</v>
      </c>
      <c r="BH145" s="149">
        <f t="shared" si="54"/>
        <v>7.8111019532728001E-3</v>
      </c>
      <c r="BI145" s="149">
        <f t="shared" si="54"/>
        <v>7.8989063361410098E-3</v>
      </c>
      <c r="BJ145" s="149">
        <f t="shared" si="54"/>
        <v>7.9880266096379344E-3</v>
      </c>
      <c r="BK145" s="149">
        <f t="shared" si="54"/>
        <v>8.0273673118735622E-3</v>
      </c>
      <c r="BL145" s="149">
        <f t="shared" si="54"/>
        <v>8.4980753059342804E-3</v>
      </c>
      <c r="BM145" s="149">
        <f t="shared" si="54"/>
        <v>8.4069128688254412E-3</v>
      </c>
      <c r="BN145" s="149">
        <f t="shared" si="54"/>
        <v>8.3016274239331219E-3</v>
      </c>
      <c r="BO145" s="149">
        <f t="shared" si="54"/>
        <v>8.2008852312368038E-3</v>
      </c>
      <c r="BP145" s="149">
        <f t="shared" si="54"/>
        <v>8.1327796715791947E-3</v>
      </c>
      <c r="BQ145" s="149">
        <f t="shared" si="54"/>
        <v>4.3007028770766405E-3</v>
      </c>
      <c r="BR145" s="149">
        <f t="shared" si="54"/>
        <v>4.3542487729658534E-3</v>
      </c>
      <c r="BS145" s="149">
        <f t="shared" si="54"/>
        <v>4.4140250248135542E-3</v>
      </c>
      <c r="BT145" s="149">
        <f t="shared" si="54"/>
        <v>4.4631626723304254E-3</v>
      </c>
      <c r="BU145" s="149">
        <f t="shared" si="54"/>
        <v>4.4853448882552572E-3</v>
      </c>
      <c r="BV145" s="149">
        <f t="shared" si="54"/>
        <v>3.4440094311741607E-3</v>
      </c>
      <c r="BW145" s="149">
        <f t="shared" si="54"/>
        <v>3.4425031221567985E-3</v>
      </c>
      <c r="BX145" s="149">
        <f t="shared" si="54"/>
        <v>3.4109765802109284E-3</v>
      </c>
      <c r="BY145" s="149">
        <f t="shared" si="54"/>
        <v>3.3492316485060139E-3</v>
      </c>
      <c r="BZ145" s="149">
        <f t="shared" si="54"/>
        <v>3.2703253798470437E-3</v>
      </c>
      <c r="CA145" s="149">
        <f t="shared" si="54"/>
        <v>3.1868454988494901E-3</v>
      </c>
    </row>
    <row r="146" spans="48:79" x14ac:dyDescent="0.35">
      <c r="AV146" s="144" t="s">
        <v>387</v>
      </c>
      <c r="AW146" s="149">
        <f t="shared" ref="AW146:CA146" si="55">AW60-AW129</f>
        <v>1.0213140811082396E-2</v>
      </c>
      <c r="AX146" s="149">
        <f t="shared" si="55"/>
        <v>9.9881087660980885E-3</v>
      </c>
      <c r="AY146" s="149">
        <f t="shared" si="55"/>
        <v>9.7866585580390908E-3</v>
      </c>
      <c r="AZ146" s="149">
        <f t="shared" si="55"/>
        <v>9.6153081928274601E-3</v>
      </c>
      <c r="BA146" s="149">
        <f t="shared" si="55"/>
        <v>9.466873844551426E-3</v>
      </c>
      <c r="BB146" s="149">
        <f t="shared" si="55"/>
        <v>1.6210191967019789E-2</v>
      </c>
      <c r="BC146" s="149">
        <f t="shared" si="55"/>
        <v>1.6099351469282184E-2</v>
      </c>
      <c r="BD146" s="149">
        <f t="shared" si="55"/>
        <v>1.6017413351212123E-2</v>
      </c>
      <c r="BE146" s="149">
        <f t="shared" si="55"/>
        <v>1.5936462969726208E-2</v>
      </c>
      <c r="BF146" s="149">
        <f t="shared" si="55"/>
        <v>1.581718189842362E-2</v>
      </c>
      <c r="BG146" s="149">
        <f t="shared" si="55"/>
        <v>1.9604626040677548E-2</v>
      </c>
      <c r="BH146" s="149">
        <f t="shared" si="55"/>
        <v>1.9490849943590096E-2</v>
      </c>
      <c r="BI146" s="149">
        <f t="shared" si="55"/>
        <v>1.9450410670681942E-2</v>
      </c>
      <c r="BJ146" s="149">
        <f t="shared" si="55"/>
        <v>1.9486924231329729E-2</v>
      </c>
      <c r="BK146" s="149">
        <f t="shared" si="55"/>
        <v>1.9591859546196719E-2</v>
      </c>
      <c r="BL146" s="149">
        <f t="shared" si="55"/>
        <v>1.8954882528748628E-2</v>
      </c>
      <c r="BM146" s="149">
        <f t="shared" si="55"/>
        <v>1.8584555350870662E-2</v>
      </c>
      <c r="BN146" s="149">
        <f t="shared" si="55"/>
        <v>1.8218523615511753E-2</v>
      </c>
      <c r="BO146" s="149">
        <f t="shared" si="55"/>
        <v>1.7869687165099121E-2</v>
      </c>
      <c r="BP146" s="149">
        <f t="shared" si="55"/>
        <v>1.7550094760299537E-2</v>
      </c>
      <c r="BQ146" s="149">
        <f t="shared" si="55"/>
        <v>8.0125803022157299E-3</v>
      </c>
      <c r="BR146" s="149">
        <f t="shared" si="55"/>
        <v>7.8682238463921011E-3</v>
      </c>
      <c r="BS146" s="149">
        <f t="shared" si="55"/>
        <v>7.780785466369922E-3</v>
      </c>
      <c r="BT146" s="149">
        <f t="shared" si="55"/>
        <v>7.7599849758285466E-3</v>
      </c>
      <c r="BU146" s="149">
        <f t="shared" si="55"/>
        <v>7.7983890421720915E-3</v>
      </c>
      <c r="BV146" s="149">
        <f t="shared" si="55"/>
        <v>5.9057705454980463E-3</v>
      </c>
      <c r="BW146" s="149">
        <f t="shared" si="55"/>
        <v>5.8810692048450125E-3</v>
      </c>
      <c r="BX146" s="149">
        <f t="shared" si="55"/>
        <v>5.8653719842856663E-3</v>
      </c>
      <c r="BY146" s="149">
        <f t="shared" si="55"/>
        <v>5.8682503886797925E-3</v>
      </c>
      <c r="BZ146" s="149">
        <f t="shared" si="55"/>
        <v>5.8896839145488149E-3</v>
      </c>
      <c r="CA146" s="149">
        <f t="shared" si="55"/>
        <v>5.9156991437419541E-3</v>
      </c>
    </row>
    <row r="147" spans="48:79" x14ac:dyDescent="0.35">
      <c r="AV147" s="144" t="s">
        <v>388</v>
      </c>
      <c r="AW147" s="149">
        <f t="shared" ref="AW147:CA147" si="56">AW61-AW130</f>
        <v>2.4774926893590603E-2</v>
      </c>
      <c r="AX147" s="149">
        <f t="shared" si="56"/>
        <v>2.4098674443914937E-2</v>
      </c>
      <c r="AY147" s="149">
        <f t="shared" si="56"/>
        <v>2.3541413930934552E-2</v>
      </c>
      <c r="AZ147" s="149">
        <f t="shared" si="56"/>
        <v>2.3061408110890788E-2</v>
      </c>
      <c r="BA147" s="149">
        <f t="shared" si="56"/>
        <v>2.2615529498439084E-2</v>
      </c>
      <c r="BB147" s="149">
        <f t="shared" si="56"/>
        <v>4.1839834608603757E-2</v>
      </c>
      <c r="BC147" s="149">
        <f t="shared" si="56"/>
        <v>4.1159853941241817E-2</v>
      </c>
      <c r="BD147" s="149">
        <f t="shared" si="56"/>
        <v>4.0662336858648208E-2</v>
      </c>
      <c r="BE147" s="149">
        <f t="shared" si="56"/>
        <v>4.0398715054866863E-2</v>
      </c>
      <c r="BF147" s="149">
        <f t="shared" si="56"/>
        <v>4.0423634972285939E-2</v>
      </c>
      <c r="BG147" s="149">
        <f t="shared" si="56"/>
        <v>4.7992484956169632E-2</v>
      </c>
      <c r="BH147" s="149">
        <f t="shared" si="56"/>
        <v>4.7648384011396011E-2</v>
      </c>
      <c r="BI147" s="149">
        <f t="shared" si="56"/>
        <v>4.7579843304852917E-2</v>
      </c>
      <c r="BJ147" s="149">
        <f t="shared" si="56"/>
        <v>4.7710842138960076E-2</v>
      </c>
      <c r="BK147" s="149">
        <f t="shared" si="56"/>
        <v>4.7982012360118023E-2</v>
      </c>
      <c r="BL147" s="149">
        <f t="shared" si="56"/>
        <v>4.1942784394410002E-2</v>
      </c>
      <c r="BM147" s="149">
        <f t="shared" si="56"/>
        <v>4.1560599041276999E-2</v>
      </c>
      <c r="BN147" s="149">
        <f t="shared" si="56"/>
        <v>4.1129861168358241E-2</v>
      </c>
      <c r="BO147" s="149">
        <f t="shared" si="56"/>
        <v>4.063117395944852E-2</v>
      </c>
      <c r="BP147" s="149">
        <f t="shared" si="56"/>
        <v>4.0046499622840737E-2</v>
      </c>
      <c r="BQ147" s="149">
        <f t="shared" si="56"/>
        <v>1.8836514199344352E-2</v>
      </c>
      <c r="BR147" s="149">
        <f t="shared" si="56"/>
        <v>1.81268836999002E-2</v>
      </c>
      <c r="BS147" s="149">
        <f t="shared" si="56"/>
        <v>1.7379777001004605E-2</v>
      </c>
      <c r="BT147" s="149">
        <f t="shared" si="56"/>
        <v>1.6638343502727432E-2</v>
      </c>
      <c r="BU147" s="149">
        <f t="shared" si="56"/>
        <v>1.5948245908685044E-2</v>
      </c>
      <c r="BV147" s="149">
        <f t="shared" si="56"/>
        <v>1.3946050712441229E-2</v>
      </c>
      <c r="BW147" s="149">
        <f t="shared" si="56"/>
        <v>1.3500346060241248E-2</v>
      </c>
      <c r="BX147" s="149">
        <f t="shared" si="56"/>
        <v>1.3082854272028939E-2</v>
      </c>
      <c r="BY147" s="149">
        <f t="shared" si="56"/>
        <v>1.2694892329839152E-2</v>
      </c>
      <c r="BZ147" s="149">
        <f t="shared" si="56"/>
        <v>1.2350341741267739E-2</v>
      </c>
      <c r="CA147" s="149">
        <f t="shared" si="56"/>
        <v>1.2056729987167013E-2</v>
      </c>
    </row>
    <row r="148" spans="48:79" x14ac:dyDescent="0.35">
      <c r="AV148" s="144" t="s">
        <v>392</v>
      </c>
      <c r="AW148" s="149">
        <f t="shared" ref="AW148:CA148" si="57">AW62-AW131</f>
        <v>5.2464558206688813E-2</v>
      </c>
      <c r="AX148" s="149">
        <f t="shared" si="57"/>
        <v>5.1124298829603461E-2</v>
      </c>
      <c r="AY148" s="149">
        <f t="shared" si="57"/>
        <v>4.9853294716716824E-2</v>
      </c>
      <c r="AZ148" s="149">
        <f t="shared" si="57"/>
        <v>4.8755753756575301E-2</v>
      </c>
      <c r="BA148" s="149">
        <f t="shared" si="57"/>
        <v>4.7964445820630801E-2</v>
      </c>
      <c r="BB148" s="149">
        <f t="shared" si="57"/>
        <v>6.2785204237030032E-2</v>
      </c>
      <c r="BC148" s="149">
        <f t="shared" si="57"/>
        <v>6.2234944204664917E-2</v>
      </c>
      <c r="BD148" s="149">
        <f t="shared" si="57"/>
        <v>6.2138835432638449E-2</v>
      </c>
      <c r="BE148" s="149">
        <f t="shared" si="57"/>
        <v>6.2347779149019109E-2</v>
      </c>
      <c r="BF148" s="149">
        <f t="shared" si="57"/>
        <v>6.268725948710098E-2</v>
      </c>
      <c r="BG148" s="149">
        <f t="shared" si="57"/>
        <v>7.1010520732030749E-2</v>
      </c>
      <c r="BH148" s="149">
        <f t="shared" si="57"/>
        <v>7.1138440298643024E-2</v>
      </c>
      <c r="BI148" s="149">
        <f t="shared" si="57"/>
        <v>7.1332008314380094E-2</v>
      </c>
      <c r="BJ148" s="149">
        <f t="shared" si="57"/>
        <v>7.1625850666703253E-2</v>
      </c>
      <c r="BK148" s="149">
        <f t="shared" si="57"/>
        <v>7.2103077365544999E-2</v>
      </c>
      <c r="BL148" s="149">
        <f t="shared" si="57"/>
        <v>6.896743939742328E-2</v>
      </c>
      <c r="BM148" s="149">
        <f t="shared" si="57"/>
        <v>6.9006135995594894E-2</v>
      </c>
      <c r="BN148" s="149">
        <f t="shared" si="57"/>
        <v>6.9044774870667416E-2</v>
      </c>
      <c r="BO148" s="149">
        <f t="shared" si="57"/>
        <v>6.9085777127804254E-2</v>
      </c>
      <c r="BP148" s="149">
        <f t="shared" si="57"/>
        <v>6.9174178262802297E-2</v>
      </c>
      <c r="BQ148" s="149">
        <f t="shared" si="57"/>
        <v>4.9403898109738741E-2</v>
      </c>
      <c r="BR148" s="149">
        <f t="shared" si="57"/>
        <v>4.8383183185927658E-2</v>
      </c>
      <c r="BS148" s="149">
        <f t="shared" si="57"/>
        <v>4.7290781218941862E-2</v>
      </c>
      <c r="BT148" s="149">
        <f t="shared" si="57"/>
        <v>4.6169578147757302E-2</v>
      </c>
      <c r="BU148" s="149">
        <f t="shared" si="57"/>
        <v>4.5032870397931676E-2</v>
      </c>
      <c r="BV148" s="149">
        <f t="shared" si="57"/>
        <v>4.3980480368520043E-2</v>
      </c>
      <c r="BW148" s="149">
        <f t="shared" si="57"/>
        <v>4.2637206387969542E-2</v>
      </c>
      <c r="BX148" s="149">
        <f t="shared" si="57"/>
        <v>4.1200945479667933E-2</v>
      </c>
      <c r="BY148" s="149">
        <f t="shared" si="57"/>
        <v>3.9731562212852609E-2</v>
      </c>
      <c r="BZ148" s="149">
        <f t="shared" si="57"/>
        <v>3.8307945173844088E-2</v>
      </c>
      <c r="CA148" s="149">
        <f t="shared" si="57"/>
        <v>3.6951641030460627E-2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T101"/>
  <sheetViews>
    <sheetView tabSelected="1" zoomScale="80" zoomScaleNormal="80" workbookViewId="0">
      <selection activeCell="A31" sqref="A31:XFD31"/>
    </sheetView>
  </sheetViews>
  <sheetFormatPr defaultColWidth="8.81640625" defaultRowHeight="14.5" x14ac:dyDescent="0.35"/>
  <cols>
    <col min="2" max="2" width="3.453125" customWidth="1"/>
    <col min="3" max="12" width="12.81640625" bestFit="1" customWidth="1"/>
    <col min="13" max="15" width="8.81640625" customWidth="1"/>
    <col min="16" max="18" width="12.81640625" bestFit="1" customWidth="1"/>
    <col min="19" max="27" width="8.81640625" customWidth="1"/>
    <col min="28" max="34" width="12.81640625" bestFit="1" customWidth="1"/>
    <col min="35" max="35" width="6.54296875" bestFit="1" customWidth="1"/>
    <col min="36" max="43" width="5.54296875" bestFit="1" customWidth="1"/>
    <col min="44" max="44" width="5.1796875" bestFit="1" customWidth="1"/>
    <col min="45" max="45" width="14.453125" bestFit="1" customWidth="1"/>
  </cols>
  <sheetData>
    <row r="1" spans="1:48" x14ac:dyDescent="0.35">
      <c r="A1" s="2" t="s">
        <v>53</v>
      </c>
    </row>
    <row r="2" spans="1:48" x14ac:dyDescent="0.3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row>
    <row r="3" spans="1:48" x14ac:dyDescent="0.35">
      <c r="B3" s="4" t="str">
        <f>Populations!$C$3</f>
        <v>FSW</v>
      </c>
      <c r="C3" s="8">
        <v>1E-3</v>
      </c>
      <c r="D3" s="8"/>
      <c r="E3" s="8"/>
      <c r="F3" s="8"/>
      <c r="G3" s="8"/>
      <c r="H3" s="8"/>
      <c r="I3" s="8"/>
      <c r="J3" s="8"/>
      <c r="K3" s="8"/>
      <c r="L3" s="8"/>
      <c r="M3" s="8"/>
      <c r="N3" s="8"/>
      <c r="O3" s="8"/>
      <c r="P3" s="8"/>
      <c r="Q3" s="8"/>
      <c r="R3" s="8"/>
      <c r="S3" s="8"/>
      <c r="T3" s="8"/>
      <c r="U3" s="8"/>
      <c r="V3" s="8"/>
      <c r="W3" s="8"/>
      <c r="X3" s="8"/>
      <c r="Y3" s="8"/>
      <c r="Z3" s="8"/>
      <c r="AA3" s="8"/>
      <c r="AB3" s="8"/>
      <c r="AC3" s="8"/>
      <c r="AD3" s="8"/>
      <c r="AE3" s="8"/>
      <c r="AF3" s="8"/>
      <c r="AG3" s="8">
        <v>0.72</v>
      </c>
      <c r="AH3" s="8"/>
      <c r="AI3" s="8"/>
      <c r="AJ3" s="8"/>
      <c r="AK3" s="8"/>
      <c r="AL3" s="8"/>
      <c r="AM3" s="8"/>
      <c r="AN3" s="8"/>
      <c r="AO3" s="8"/>
      <c r="AP3" s="8"/>
      <c r="AQ3" s="8"/>
      <c r="AR3" s="6" t="s">
        <v>46</v>
      </c>
      <c r="AS3" s="8"/>
    </row>
    <row r="4" spans="1:48" x14ac:dyDescent="0.35">
      <c r="B4" s="4" t="str">
        <f>Populations!$C$4</f>
        <v>Clients</v>
      </c>
      <c r="C4" s="8">
        <v>1E-3</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v>0.48</v>
      </c>
      <c r="AH4" s="8"/>
      <c r="AI4" s="8"/>
      <c r="AJ4" s="8"/>
      <c r="AK4" s="8"/>
      <c r="AL4" s="8"/>
      <c r="AM4" s="8"/>
      <c r="AN4" s="8"/>
      <c r="AO4" s="8"/>
      <c r="AP4" s="8"/>
      <c r="AQ4" s="8"/>
      <c r="AR4" s="6" t="s">
        <v>46</v>
      </c>
      <c r="AS4" s="8"/>
    </row>
    <row r="5" spans="1:48" x14ac:dyDescent="0.35">
      <c r="B5" s="4" t="str">
        <f>Populations!$C$5</f>
        <v>MSM</v>
      </c>
      <c r="C5" s="8">
        <v>1E-3</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v>0.48</v>
      </c>
      <c r="AH5" s="8"/>
      <c r="AI5" s="8"/>
      <c r="AJ5" s="8"/>
      <c r="AK5" s="8"/>
      <c r="AL5" s="8"/>
      <c r="AM5" s="8"/>
      <c r="AN5" s="8"/>
      <c r="AO5" s="8"/>
      <c r="AP5" s="8"/>
      <c r="AQ5" s="8"/>
      <c r="AR5" s="6" t="s">
        <v>46</v>
      </c>
      <c r="AS5" s="8"/>
    </row>
    <row r="6" spans="1:48" x14ac:dyDescent="0.35">
      <c r="B6" s="4" t="str">
        <f>Populations!$C$6</f>
        <v>Prisoners</v>
      </c>
      <c r="C6" s="8">
        <v>1E-3</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v>0.48</v>
      </c>
      <c r="AH6" s="8"/>
      <c r="AI6" s="8"/>
      <c r="AJ6" s="8"/>
      <c r="AK6" s="8"/>
      <c r="AL6" s="8"/>
      <c r="AM6" s="8"/>
      <c r="AN6" s="8"/>
      <c r="AO6" s="8"/>
      <c r="AP6" s="8"/>
      <c r="AQ6" s="8"/>
      <c r="AR6" s="6" t="s">
        <v>46</v>
      </c>
      <c r="AS6" s="8"/>
    </row>
    <row r="7" spans="1:48" x14ac:dyDescent="0.35">
      <c r="B7" s="4" t="str">
        <f>Populations!$C$7</f>
        <v>F0-14</v>
      </c>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v>0</v>
      </c>
      <c r="AH7" s="8"/>
      <c r="AI7" s="8"/>
      <c r="AJ7" s="8"/>
      <c r="AK7" s="8"/>
      <c r="AL7" s="8"/>
      <c r="AM7" s="8"/>
      <c r="AN7" s="8"/>
      <c r="AO7" s="8"/>
      <c r="AP7" s="8"/>
      <c r="AQ7" s="8"/>
      <c r="AR7" s="6" t="s">
        <v>46</v>
      </c>
      <c r="AS7" s="8">
        <v>0</v>
      </c>
    </row>
    <row r="8" spans="1:48" x14ac:dyDescent="0.35">
      <c r="B8" s="4" t="str">
        <f>Populations!$C$8</f>
        <v>M0-14</v>
      </c>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v>0</v>
      </c>
      <c r="AH8" s="8"/>
      <c r="AI8" s="8"/>
      <c r="AJ8" s="8"/>
      <c r="AK8" s="8"/>
      <c r="AL8" s="8"/>
      <c r="AM8" s="8"/>
      <c r="AN8" s="8"/>
      <c r="AO8" s="8"/>
      <c r="AP8" s="8"/>
      <c r="AQ8" s="8"/>
      <c r="AR8" s="6" t="s">
        <v>46</v>
      </c>
      <c r="AS8" s="8">
        <v>0</v>
      </c>
    </row>
    <row r="9" spans="1:48" x14ac:dyDescent="0.35">
      <c r="B9" s="4" t="str">
        <f>Populations!$C$9</f>
        <v>F15-19</v>
      </c>
      <c r="C9" s="8">
        <v>1E-3</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v>0.36</v>
      </c>
      <c r="AH9" s="8"/>
      <c r="AI9" s="8"/>
      <c r="AJ9" s="8"/>
      <c r="AK9" s="8"/>
      <c r="AL9" s="8"/>
      <c r="AM9" s="8"/>
      <c r="AN9" s="8"/>
      <c r="AO9" s="8"/>
      <c r="AP9" s="8"/>
      <c r="AQ9" s="8"/>
      <c r="AR9" s="6" t="s">
        <v>46</v>
      </c>
      <c r="AS9" s="8"/>
      <c r="AV9" s="82"/>
    </row>
    <row r="10" spans="1:48" x14ac:dyDescent="0.35">
      <c r="B10" s="4" t="str">
        <f>Populations!$C$10</f>
        <v>M15-19</v>
      </c>
      <c r="C10" s="8">
        <v>1E-3</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v>0.3</v>
      </c>
      <c r="AH10" s="8"/>
      <c r="AI10" s="8"/>
      <c r="AJ10" s="8"/>
      <c r="AK10" s="8"/>
      <c r="AL10" s="8"/>
      <c r="AM10" s="8"/>
      <c r="AN10" s="8"/>
      <c r="AO10" s="8"/>
      <c r="AP10" s="8"/>
      <c r="AQ10" s="8"/>
      <c r="AR10" s="6" t="s">
        <v>46</v>
      </c>
      <c r="AS10" s="8"/>
      <c r="AV10" s="82"/>
    </row>
    <row r="11" spans="1:48" x14ac:dyDescent="0.35">
      <c r="B11" s="4" t="str">
        <f>Populations!$C$11</f>
        <v>F20-24</v>
      </c>
      <c r="C11" s="8">
        <v>1E-3</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v>0.54</v>
      </c>
      <c r="AH11" s="8"/>
      <c r="AI11" s="8"/>
      <c r="AJ11" s="8"/>
      <c r="AK11" s="8"/>
      <c r="AL11" s="8"/>
      <c r="AM11" s="8"/>
      <c r="AN11" s="8"/>
      <c r="AO11" s="8"/>
      <c r="AP11" s="8"/>
      <c r="AQ11" s="8"/>
      <c r="AR11" s="6" t="s">
        <v>46</v>
      </c>
      <c r="AS11" s="8"/>
    </row>
    <row r="12" spans="1:48" x14ac:dyDescent="0.35">
      <c r="B12" s="4" t="str">
        <f>Populations!$C$12</f>
        <v>M20-24</v>
      </c>
      <c r="C12" s="8">
        <v>1E-3</v>
      </c>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v>0.42</v>
      </c>
      <c r="AH12" s="8"/>
      <c r="AI12" s="8"/>
      <c r="AJ12" s="8"/>
      <c r="AK12" s="8"/>
      <c r="AL12" s="8"/>
      <c r="AM12" s="8"/>
      <c r="AN12" s="8"/>
      <c r="AO12" s="8"/>
      <c r="AP12" s="8"/>
      <c r="AQ12" s="8"/>
      <c r="AR12" s="6" t="s">
        <v>46</v>
      </c>
      <c r="AS12" s="8"/>
    </row>
    <row r="13" spans="1:48" x14ac:dyDescent="0.35">
      <c r="B13" s="4" t="str">
        <f>Populations!$C$13</f>
        <v>F25-34</v>
      </c>
      <c r="C13" s="8">
        <v>1E-3</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v>0.54</v>
      </c>
      <c r="AH13" s="8"/>
      <c r="AI13" s="8"/>
      <c r="AJ13" s="8"/>
      <c r="AK13" s="8"/>
      <c r="AL13" s="8"/>
      <c r="AM13" s="8"/>
      <c r="AN13" s="8"/>
      <c r="AO13" s="8"/>
      <c r="AP13" s="8"/>
      <c r="AQ13" s="8"/>
      <c r="AR13" s="6" t="s">
        <v>46</v>
      </c>
      <c r="AS13" s="8"/>
    </row>
    <row r="14" spans="1:48" x14ac:dyDescent="0.35">
      <c r="B14" s="4" t="str">
        <f>Populations!$C$14</f>
        <v>M25-34</v>
      </c>
      <c r="C14" s="8">
        <v>1E-3</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v>0.45599999999999996</v>
      </c>
      <c r="AH14" s="8"/>
      <c r="AI14" s="8"/>
      <c r="AJ14" s="8"/>
      <c r="AK14" s="8"/>
      <c r="AL14" s="8"/>
      <c r="AM14" s="8"/>
      <c r="AN14" s="8"/>
      <c r="AO14" s="8"/>
      <c r="AP14" s="8"/>
      <c r="AQ14" s="8"/>
      <c r="AR14" s="6" t="s">
        <v>46</v>
      </c>
      <c r="AS14" s="8"/>
    </row>
    <row r="15" spans="1:48" x14ac:dyDescent="0.35">
      <c r="B15" s="4" t="str">
        <f>Populations!$C$15</f>
        <v>F35-49</v>
      </c>
      <c r="C15" s="8">
        <v>1E-3</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v>0.42</v>
      </c>
      <c r="AH15" s="8"/>
      <c r="AI15" s="8"/>
      <c r="AJ15" s="8"/>
      <c r="AK15" s="8"/>
      <c r="AL15" s="8"/>
      <c r="AM15" s="8"/>
      <c r="AN15" s="8"/>
      <c r="AO15" s="8"/>
      <c r="AP15" s="8"/>
      <c r="AQ15" s="8"/>
      <c r="AR15" s="6" t="s">
        <v>46</v>
      </c>
      <c r="AS15" s="8"/>
    </row>
    <row r="16" spans="1:48" x14ac:dyDescent="0.35">
      <c r="B16" s="4" t="str">
        <f>Populations!$C$16</f>
        <v>M35-49</v>
      </c>
      <c r="C16" s="8">
        <v>1E-3</v>
      </c>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v>0.38400000000000001</v>
      </c>
      <c r="AH16" s="8"/>
      <c r="AI16" s="8"/>
      <c r="AJ16" s="8"/>
      <c r="AK16" s="8"/>
      <c r="AL16" s="8"/>
      <c r="AM16" s="8"/>
      <c r="AN16" s="8"/>
      <c r="AO16" s="8"/>
      <c r="AP16" s="8"/>
      <c r="AQ16" s="8"/>
      <c r="AR16" s="6" t="s">
        <v>46</v>
      </c>
      <c r="AS16" s="8"/>
    </row>
    <row r="17" spans="1:47" x14ac:dyDescent="0.35">
      <c r="B17" s="4" t="str">
        <f>Populations!$C$17</f>
        <v>F50+</v>
      </c>
      <c r="C17" s="8">
        <v>1E-3</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v>0.38400000000000001</v>
      </c>
      <c r="AH17" s="8"/>
      <c r="AI17" s="8"/>
      <c r="AJ17" s="8"/>
      <c r="AK17" s="8"/>
      <c r="AL17" s="8"/>
      <c r="AM17" s="8"/>
      <c r="AN17" s="8"/>
      <c r="AO17" s="8"/>
      <c r="AP17" s="8"/>
      <c r="AQ17" s="8"/>
      <c r="AR17" s="6" t="s">
        <v>46</v>
      </c>
      <c r="AS17" s="8"/>
    </row>
    <row r="18" spans="1:47" x14ac:dyDescent="0.35">
      <c r="B18" s="4" t="str">
        <f>Populations!$C$18</f>
        <v>M50+</v>
      </c>
      <c r="C18" s="8">
        <v>1E-3</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v>0.38400000000000001</v>
      </c>
      <c r="AH18" s="8"/>
      <c r="AI18" s="8"/>
      <c r="AJ18" s="8"/>
      <c r="AK18" s="8"/>
      <c r="AL18" s="8"/>
      <c r="AM18" s="8"/>
      <c r="AN18" s="8"/>
      <c r="AO18" s="8"/>
      <c r="AP18" s="8"/>
      <c r="AQ18" s="8"/>
      <c r="AR18" s="6" t="s">
        <v>46</v>
      </c>
      <c r="AS18" s="8"/>
    </row>
    <row r="19" spans="1:47" x14ac:dyDescent="0.35">
      <c r="AB19" s="82"/>
    </row>
    <row r="22" spans="1:47" x14ac:dyDescent="0.35">
      <c r="A22" s="2" t="s">
        <v>54</v>
      </c>
    </row>
    <row r="23" spans="1:47" x14ac:dyDescent="0.35">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4" t="s">
        <v>44</v>
      </c>
    </row>
    <row r="24" spans="1:47" x14ac:dyDescent="0.35">
      <c r="B24" s="4" t="s">
        <v>55</v>
      </c>
      <c r="C24" s="8">
        <v>0.1</v>
      </c>
      <c r="D24" s="8"/>
      <c r="E24" s="8"/>
      <c r="F24" s="8"/>
      <c r="G24" s="8"/>
      <c r="H24" s="8"/>
      <c r="I24" s="8"/>
      <c r="J24" s="8"/>
      <c r="K24" s="8"/>
      <c r="L24" s="8"/>
      <c r="M24" s="8"/>
      <c r="N24" s="8"/>
      <c r="O24" s="8"/>
      <c r="P24" s="8"/>
      <c r="Q24" s="8"/>
      <c r="R24" s="8">
        <v>0.35</v>
      </c>
      <c r="S24" s="8"/>
      <c r="T24" s="8"/>
      <c r="U24" s="8"/>
      <c r="V24" s="8"/>
      <c r="W24" s="8">
        <v>0.75</v>
      </c>
      <c r="X24" s="8"/>
      <c r="Y24" s="8"/>
      <c r="Z24" s="8"/>
      <c r="AA24" s="8"/>
      <c r="AB24" s="8">
        <v>0.85</v>
      </c>
      <c r="AC24" s="8"/>
      <c r="AD24" s="8"/>
      <c r="AE24" s="8"/>
      <c r="AF24" s="8"/>
      <c r="AG24" s="8"/>
      <c r="AH24" s="8"/>
      <c r="AI24" s="8"/>
      <c r="AJ24" s="8"/>
      <c r="AK24" s="8"/>
      <c r="AL24" s="8"/>
      <c r="AM24" s="8"/>
      <c r="AN24" s="8"/>
      <c r="AO24" s="8"/>
      <c r="AP24" s="8"/>
      <c r="AQ24" s="8"/>
      <c r="AR24" s="6" t="s">
        <v>46</v>
      </c>
      <c r="AS24" s="8"/>
    </row>
    <row r="28" spans="1:47" x14ac:dyDescent="0.35">
      <c r="A28" s="2" t="s">
        <v>56</v>
      </c>
    </row>
    <row r="29" spans="1:47" x14ac:dyDescent="0.35">
      <c r="C29" s="4">
        <v>1990</v>
      </c>
      <c r="D29" s="4">
        <v>1991</v>
      </c>
      <c r="E29" s="4">
        <v>1992</v>
      </c>
      <c r="F29" s="4">
        <v>1993</v>
      </c>
      <c r="G29" s="4">
        <v>1994</v>
      </c>
      <c r="H29" s="4">
        <v>1995</v>
      </c>
      <c r="I29" s="4">
        <v>1996</v>
      </c>
      <c r="J29" s="4">
        <v>1997</v>
      </c>
      <c r="K29" s="4">
        <v>1998</v>
      </c>
      <c r="L29" s="4">
        <v>1999</v>
      </c>
      <c r="M29" s="4">
        <v>2000</v>
      </c>
      <c r="N29" s="4">
        <v>2001</v>
      </c>
      <c r="O29" s="4">
        <v>2002</v>
      </c>
      <c r="P29" s="4">
        <v>2003</v>
      </c>
      <c r="Q29" s="4">
        <v>2004</v>
      </c>
      <c r="R29" s="4">
        <v>2005</v>
      </c>
      <c r="S29" s="4">
        <v>2006</v>
      </c>
      <c r="T29" s="4">
        <v>2007</v>
      </c>
      <c r="U29" s="4">
        <v>2008</v>
      </c>
      <c r="V29" s="4">
        <v>2009</v>
      </c>
      <c r="W29" s="4">
        <v>2010</v>
      </c>
      <c r="X29" s="4">
        <v>2011</v>
      </c>
      <c r="Y29" s="4">
        <v>2012</v>
      </c>
      <c r="Z29" s="4">
        <v>2013</v>
      </c>
      <c r="AA29" s="4">
        <v>2014</v>
      </c>
      <c r="AB29" s="4">
        <v>2015</v>
      </c>
      <c r="AC29" s="4">
        <v>2016</v>
      </c>
      <c r="AD29" s="4">
        <v>2017</v>
      </c>
      <c r="AE29" s="4">
        <v>2018</v>
      </c>
      <c r="AF29" s="4">
        <v>2019</v>
      </c>
      <c r="AG29" s="4">
        <v>2020</v>
      </c>
      <c r="AH29" s="4">
        <v>2021</v>
      </c>
      <c r="AI29" s="4">
        <v>2022</v>
      </c>
      <c r="AJ29" s="4">
        <v>2023</v>
      </c>
      <c r="AK29" s="4">
        <v>2024</v>
      </c>
      <c r="AL29" s="4">
        <v>2025</v>
      </c>
      <c r="AM29" s="4">
        <v>2026</v>
      </c>
      <c r="AN29" s="4">
        <v>2027</v>
      </c>
      <c r="AO29" s="4">
        <v>2028</v>
      </c>
      <c r="AP29" s="4">
        <v>2029</v>
      </c>
      <c r="AQ29" s="4">
        <v>2030</v>
      </c>
      <c r="AS29" s="4" t="s">
        <v>44</v>
      </c>
      <c r="AU29" t="s">
        <v>255</v>
      </c>
    </row>
    <row r="30" spans="1:47" x14ac:dyDescent="0.35">
      <c r="B30" s="4" t="s">
        <v>57</v>
      </c>
      <c r="C30" s="5">
        <v>0</v>
      </c>
      <c r="D30" s="5">
        <v>0</v>
      </c>
      <c r="E30" s="5">
        <v>0</v>
      </c>
      <c r="F30" s="5">
        <v>0</v>
      </c>
      <c r="G30" s="5">
        <v>0</v>
      </c>
      <c r="H30" s="5">
        <v>0</v>
      </c>
      <c r="I30" s="5">
        <v>0</v>
      </c>
      <c r="J30" s="5">
        <v>0</v>
      </c>
      <c r="K30" s="5">
        <v>0</v>
      </c>
      <c r="L30" s="5">
        <v>0</v>
      </c>
      <c r="M30" s="5">
        <v>0</v>
      </c>
      <c r="N30" s="5"/>
      <c r="O30" s="5"/>
      <c r="P30" s="11">
        <v>136</v>
      </c>
      <c r="Q30" s="11">
        <v>11599</v>
      </c>
      <c r="R30" s="11">
        <v>27278</v>
      </c>
      <c r="S30" s="11">
        <v>58840</v>
      </c>
      <c r="T30" s="11">
        <v>97748</v>
      </c>
      <c r="U30" s="11">
        <v>146025</v>
      </c>
      <c r="V30" s="11">
        <v>216508</v>
      </c>
      <c r="W30" s="11">
        <v>356027</v>
      </c>
      <c r="X30" s="11">
        <v>475858</v>
      </c>
      <c r="Y30" s="11">
        <v>565675</v>
      </c>
      <c r="Z30" s="11">
        <v>655199</v>
      </c>
      <c r="AA30" s="11">
        <v>787980</v>
      </c>
      <c r="AB30" s="11">
        <v>879271</v>
      </c>
      <c r="AC30" s="11">
        <v>975667</v>
      </c>
      <c r="AD30" s="11">
        <v>1119909</v>
      </c>
      <c r="AE30" s="11">
        <v>1150079</v>
      </c>
      <c r="AF30" s="158">
        <v>1146532</v>
      </c>
      <c r="AG30" s="158">
        <v>1184901</v>
      </c>
      <c r="AH30" s="158">
        <v>1188636</v>
      </c>
      <c r="AI30" s="5"/>
      <c r="AJ30" s="5"/>
      <c r="AK30" s="5"/>
      <c r="AL30" s="5"/>
      <c r="AM30" s="5"/>
      <c r="AN30" s="5"/>
      <c r="AO30" s="5"/>
      <c r="AP30" s="5"/>
      <c r="AQ30" s="5"/>
      <c r="AR30" s="6" t="s">
        <v>46</v>
      </c>
      <c r="AS30" s="5"/>
    </row>
    <row r="31" spans="1:47" x14ac:dyDescent="0.35">
      <c r="C31" s="172"/>
      <c r="D31" s="172"/>
      <c r="E31" s="172"/>
      <c r="F31" s="172"/>
      <c r="G31" s="172"/>
      <c r="H31" s="172"/>
      <c r="I31" s="172"/>
      <c r="J31" s="172"/>
      <c r="K31" s="172"/>
      <c r="L31" s="172"/>
      <c r="M31" s="172"/>
      <c r="N31" s="172"/>
      <c r="O31" s="172"/>
      <c r="P31" s="172"/>
      <c r="Q31" s="172"/>
      <c r="R31" s="172"/>
      <c r="S31" s="172"/>
      <c r="T31" s="172"/>
      <c r="U31" s="172"/>
      <c r="V31" s="172"/>
      <c r="W31" s="172"/>
      <c r="X31" s="172"/>
      <c r="Y31" s="172"/>
      <c r="Z31" s="172"/>
      <c r="AA31" s="172"/>
      <c r="AB31" s="172"/>
      <c r="AC31" s="172"/>
      <c r="AD31" s="172"/>
      <c r="AE31" s="172"/>
      <c r="AF31" s="172"/>
      <c r="AG31" s="172"/>
      <c r="AH31" s="172"/>
    </row>
    <row r="32" spans="1:47" x14ac:dyDescent="0.35">
      <c r="M32" s="32"/>
      <c r="N32" s="32"/>
      <c r="O32" s="32"/>
      <c r="P32" s="171"/>
      <c r="AC32" s="12"/>
      <c r="AD32" s="12"/>
      <c r="AE32" s="12"/>
    </row>
    <row r="34" spans="1:45" x14ac:dyDescent="0.35">
      <c r="A34" s="2" t="s">
        <v>409</v>
      </c>
    </row>
    <row r="35" spans="1:45" x14ac:dyDescent="0.35">
      <c r="C35" s="4">
        <v>1990</v>
      </c>
      <c r="D35" s="4">
        <v>1991</v>
      </c>
      <c r="E35" s="4">
        <v>1992</v>
      </c>
      <c r="F35" s="4">
        <v>1993</v>
      </c>
      <c r="G35" s="4">
        <v>1994</v>
      </c>
      <c r="H35" s="4">
        <v>1995</v>
      </c>
      <c r="I35" s="4">
        <v>1996</v>
      </c>
      <c r="J35" s="4">
        <v>1997</v>
      </c>
      <c r="K35" s="4">
        <v>1998</v>
      </c>
      <c r="L35" s="4">
        <v>1999</v>
      </c>
      <c r="M35" s="4">
        <v>2000</v>
      </c>
      <c r="N35" s="4">
        <v>2001</v>
      </c>
      <c r="O35" s="4">
        <v>2002</v>
      </c>
      <c r="P35" s="4">
        <v>2003</v>
      </c>
      <c r="Q35" s="4">
        <v>2004</v>
      </c>
      <c r="R35" s="4">
        <v>2005</v>
      </c>
      <c r="S35" s="4">
        <v>2006</v>
      </c>
      <c r="T35" s="4">
        <v>2007</v>
      </c>
      <c r="U35" s="4">
        <v>2008</v>
      </c>
      <c r="V35" s="4">
        <v>2009</v>
      </c>
      <c r="W35" s="4">
        <v>2010</v>
      </c>
      <c r="X35" s="4">
        <v>2011</v>
      </c>
      <c r="Y35" s="4">
        <v>2012</v>
      </c>
      <c r="Z35" s="4">
        <v>2013</v>
      </c>
      <c r="AA35" s="4">
        <v>2014</v>
      </c>
      <c r="AB35" s="4">
        <v>2015</v>
      </c>
      <c r="AC35" s="4">
        <v>2016</v>
      </c>
      <c r="AD35" s="4">
        <v>2017</v>
      </c>
      <c r="AE35" s="4">
        <v>2018</v>
      </c>
      <c r="AF35" s="4">
        <v>2019</v>
      </c>
      <c r="AG35" s="4">
        <v>2020</v>
      </c>
      <c r="AH35" s="4">
        <v>2021</v>
      </c>
      <c r="AI35" s="4">
        <v>2022</v>
      </c>
      <c r="AJ35" s="4">
        <v>2023</v>
      </c>
      <c r="AK35" s="4">
        <v>2024</v>
      </c>
      <c r="AL35" s="4">
        <v>2025</v>
      </c>
      <c r="AM35" s="4">
        <v>2026</v>
      </c>
      <c r="AN35" s="4">
        <v>2027</v>
      </c>
      <c r="AO35" s="4">
        <v>2028</v>
      </c>
      <c r="AP35" s="4">
        <v>2029</v>
      </c>
      <c r="AQ35" s="4">
        <v>2030</v>
      </c>
      <c r="AS35" s="4" t="s">
        <v>44</v>
      </c>
    </row>
    <row r="36" spans="1:45" x14ac:dyDescent="0.35">
      <c r="B36" s="4" t="str">
        <f>Populations!$C$3</f>
        <v>FSW</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6" t="s">
        <v>46</v>
      </c>
      <c r="AS36" s="8">
        <v>0</v>
      </c>
    </row>
    <row r="37" spans="1:45" x14ac:dyDescent="0.35">
      <c r="B37" s="4" t="str">
        <f>Populations!$C$4</f>
        <v>Clients</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6" t="s">
        <v>46</v>
      </c>
      <c r="AS37" s="8">
        <v>0</v>
      </c>
    </row>
    <row r="38" spans="1:45" x14ac:dyDescent="0.35">
      <c r="B38" s="4" t="str">
        <f>Populations!$C$5</f>
        <v>MSM</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6" t="s">
        <v>46</v>
      </c>
      <c r="AS38" s="8">
        <v>0</v>
      </c>
    </row>
    <row r="39" spans="1:45" x14ac:dyDescent="0.35">
      <c r="B39" s="4" t="str">
        <f>Populations!$C$6</f>
        <v>Prisoners</v>
      </c>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6" t="s">
        <v>46</v>
      </c>
      <c r="AS39" s="8">
        <v>0</v>
      </c>
    </row>
    <row r="40" spans="1:45" x14ac:dyDescent="0.35">
      <c r="B40" s="4" t="str">
        <f>Populations!$C$7</f>
        <v>F0-14</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6" t="s">
        <v>46</v>
      </c>
      <c r="AS40" s="8">
        <v>0</v>
      </c>
    </row>
    <row r="41" spans="1:45" x14ac:dyDescent="0.35">
      <c r="B41" s="4" t="str">
        <f>Populations!$C$8</f>
        <v>M0-14</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6" t="s">
        <v>46</v>
      </c>
      <c r="AS41" s="8">
        <v>0</v>
      </c>
    </row>
    <row r="42" spans="1:45" x14ac:dyDescent="0.35">
      <c r="B42" s="4" t="str">
        <f>Populations!$C$9</f>
        <v>F15-19</v>
      </c>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6" t="s">
        <v>46</v>
      </c>
      <c r="AS42" s="8">
        <v>0</v>
      </c>
    </row>
    <row r="43" spans="1:45" x14ac:dyDescent="0.35">
      <c r="B43" s="4" t="str">
        <f>Populations!$C$10</f>
        <v>M15-19</v>
      </c>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6" t="s">
        <v>46</v>
      </c>
      <c r="AS43" s="8">
        <v>0</v>
      </c>
    </row>
    <row r="44" spans="1:45" x14ac:dyDescent="0.35">
      <c r="B44" s="4" t="str">
        <f>Populations!$C$11</f>
        <v>F20-24</v>
      </c>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6" t="s">
        <v>46</v>
      </c>
      <c r="AS44" s="8">
        <v>0</v>
      </c>
    </row>
    <row r="45" spans="1:45" x14ac:dyDescent="0.35">
      <c r="B45" s="4" t="str">
        <f>Populations!$C$12</f>
        <v>M20-24</v>
      </c>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6" t="s">
        <v>46</v>
      </c>
      <c r="AS45" s="8">
        <v>0</v>
      </c>
    </row>
    <row r="46" spans="1:45" x14ac:dyDescent="0.35">
      <c r="B46" s="4" t="str">
        <f>Populations!$C$13</f>
        <v>F25-34</v>
      </c>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6" t="s">
        <v>46</v>
      </c>
      <c r="AS46" s="8">
        <v>0</v>
      </c>
    </row>
    <row r="47" spans="1:45" x14ac:dyDescent="0.35">
      <c r="B47" s="4" t="str">
        <f>Populations!$C$14</f>
        <v>M25-34</v>
      </c>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6" t="s">
        <v>46</v>
      </c>
      <c r="AS47" s="8">
        <v>0</v>
      </c>
    </row>
    <row r="48" spans="1:45" x14ac:dyDescent="0.35">
      <c r="B48" s="4" t="str">
        <f>Populations!$C$15</f>
        <v>F35-49</v>
      </c>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6" t="s">
        <v>46</v>
      </c>
      <c r="AS48" s="8">
        <v>0</v>
      </c>
    </row>
    <row r="49" spans="1:45" x14ac:dyDescent="0.35">
      <c r="B49" s="4" t="str">
        <f>Populations!$C$16</f>
        <v>M35-49</v>
      </c>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6" t="s">
        <v>46</v>
      </c>
      <c r="AS49" s="8">
        <v>0</v>
      </c>
    </row>
    <row r="50" spans="1:45" x14ac:dyDescent="0.35">
      <c r="B50" s="4" t="str">
        <f>Populations!$C$17</f>
        <v>F50+</v>
      </c>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6" t="s">
        <v>46</v>
      </c>
      <c r="AS50" s="8">
        <v>0</v>
      </c>
    </row>
    <row r="51" spans="1:45" x14ac:dyDescent="0.35">
      <c r="B51" s="4" t="str">
        <f>Populations!$C$18</f>
        <v>M50+</v>
      </c>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6" t="s">
        <v>46</v>
      </c>
      <c r="AS51" s="8">
        <v>0</v>
      </c>
    </row>
    <row r="55" spans="1:45" x14ac:dyDescent="0.35">
      <c r="A55" s="2" t="s">
        <v>410</v>
      </c>
    </row>
    <row r="56" spans="1:45" x14ac:dyDescent="0.35">
      <c r="C56" s="4">
        <v>1990</v>
      </c>
      <c r="D56" s="4">
        <v>1991</v>
      </c>
      <c r="E56" s="4">
        <v>1992</v>
      </c>
      <c r="F56" s="4">
        <v>1993</v>
      </c>
      <c r="G56" s="4">
        <v>1994</v>
      </c>
      <c r="H56" s="4">
        <v>1995</v>
      </c>
      <c r="I56" s="4">
        <v>1996</v>
      </c>
      <c r="J56" s="4">
        <v>1997</v>
      </c>
      <c r="K56" s="4">
        <v>1998</v>
      </c>
      <c r="L56" s="4">
        <v>1999</v>
      </c>
      <c r="M56" s="4">
        <v>2000</v>
      </c>
      <c r="N56" s="4">
        <v>2001</v>
      </c>
      <c r="O56" s="4">
        <v>2002</v>
      </c>
      <c r="P56" s="4">
        <v>2003</v>
      </c>
      <c r="Q56" s="4">
        <v>2004</v>
      </c>
      <c r="R56" s="4">
        <v>2005</v>
      </c>
      <c r="S56" s="4">
        <v>2006</v>
      </c>
      <c r="T56" s="4">
        <v>2007</v>
      </c>
      <c r="U56" s="4">
        <v>2008</v>
      </c>
      <c r="V56" s="4">
        <v>2009</v>
      </c>
      <c r="W56" s="4">
        <v>2010</v>
      </c>
      <c r="X56" s="4">
        <v>2011</v>
      </c>
      <c r="Y56" s="4">
        <v>2012</v>
      </c>
      <c r="Z56" s="4">
        <v>2013</v>
      </c>
      <c r="AA56" s="4">
        <v>2014</v>
      </c>
      <c r="AB56" s="4">
        <v>2015</v>
      </c>
      <c r="AC56" s="4">
        <v>2016</v>
      </c>
      <c r="AD56" s="4">
        <v>2017</v>
      </c>
      <c r="AE56" s="4">
        <v>2018</v>
      </c>
      <c r="AF56" s="4">
        <v>2019</v>
      </c>
      <c r="AG56" s="4">
        <v>2020</v>
      </c>
      <c r="AH56" s="4">
        <v>2021</v>
      </c>
      <c r="AI56" s="4">
        <v>2022</v>
      </c>
      <c r="AJ56" s="4">
        <v>2023</v>
      </c>
      <c r="AK56" s="4">
        <v>2024</v>
      </c>
      <c r="AL56" s="4">
        <v>2025</v>
      </c>
      <c r="AM56" s="4">
        <v>2026</v>
      </c>
      <c r="AN56" s="4">
        <v>2027</v>
      </c>
      <c r="AO56" s="4">
        <v>2028</v>
      </c>
      <c r="AP56" s="4">
        <v>2029</v>
      </c>
      <c r="AQ56" s="4">
        <v>2030</v>
      </c>
      <c r="AS56" s="4" t="s">
        <v>44</v>
      </c>
    </row>
    <row r="57" spans="1:45" x14ac:dyDescent="0.35">
      <c r="B57" s="4" t="str">
        <f>Populations!$C$3</f>
        <v>FSW</v>
      </c>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6" t="s">
        <v>46</v>
      </c>
      <c r="AS57" s="8">
        <v>0</v>
      </c>
    </row>
    <row r="58" spans="1:45" x14ac:dyDescent="0.35">
      <c r="B58" s="4" t="str">
        <f>Populations!$C$4</f>
        <v>Clients</v>
      </c>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6" t="s">
        <v>46</v>
      </c>
      <c r="AS58" s="8">
        <v>0</v>
      </c>
    </row>
    <row r="59" spans="1:45" x14ac:dyDescent="0.35">
      <c r="B59" s="4" t="str">
        <f>Populations!$C$5</f>
        <v>MSM</v>
      </c>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6" t="s">
        <v>46</v>
      </c>
      <c r="AS59" s="8">
        <v>0</v>
      </c>
    </row>
    <row r="60" spans="1:45" x14ac:dyDescent="0.35">
      <c r="B60" s="4" t="str">
        <f>Populations!$C$6</f>
        <v>Prisoners</v>
      </c>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6" t="s">
        <v>46</v>
      </c>
      <c r="AS60" s="8">
        <v>0</v>
      </c>
    </row>
    <row r="61" spans="1:45" x14ac:dyDescent="0.35">
      <c r="B61" s="4" t="str">
        <f>Populations!$C$7</f>
        <v>F0-14</v>
      </c>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6" t="s">
        <v>46</v>
      </c>
      <c r="AS61" s="8">
        <v>0</v>
      </c>
    </row>
    <row r="62" spans="1:45" x14ac:dyDescent="0.35">
      <c r="B62" s="4" t="str">
        <f>Populations!$C$8</f>
        <v>M0-14</v>
      </c>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6" t="s">
        <v>46</v>
      </c>
      <c r="AS62" s="8">
        <v>0</v>
      </c>
    </row>
    <row r="63" spans="1:45" x14ac:dyDescent="0.35">
      <c r="B63" s="4" t="str">
        <f>Populations!$C$9</f>
        <v>F15-19</v>
      </c>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6" t="s">
        <v>46</v>
      </c>
      <c r="AS63" s="8">
        <v>0</v>
      </c>
    </row>
    <row r="64" spans="1:45" x14ac:dyDescent="0.35">
      <c r="B64" s="4" t="str">
        <f>Populations!$C$10</f>
        <v>M15-19</v>
      </c>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6" t="s">
        <v>46</v>
      </c>
      <c r="AS64" s="8">
        <v>0</v>
      </c>
    </row>
    <row r="65" spans="1:45" x14ac:dyDescent="0.35">
      <c r="B65" s="4" t="str">
        <f>Populations!$C$11</f>
        <v>F20-24</v>
      </c>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6" t="s">
        <v>46</v>
      </c>
      <c r="AS65" s="8">
        <v>0</v>
      </c>
    </row>
    <row r="66" spans="1:45" x14ac:dyDescent="0.35">
      <c r="B66" s="4" t="str">
        <f>Populations!$C$12</f>
        <v>M20-24</v>
      </c>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6" t="s">
        <v>46</v>
      </c>
      <c r="AS66" s="8">
        <v>0</v>
      </c>
    </row>
    <row r="67" spans="1:45" x14ac:dyDescent="0.35">
      <c r="B67" s="4" t="str">
        <f>Populations!$C$13</f>
        <v>F25-34</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6" t="s">
        <v>46</v>
      </c>
      <c r="AS67" s="8">
        <v>0</v>
      </c>
    </row>
    <row r="68" spans="1:45" x14ac:dyDescent="0.35">
      <c r="B68" s="4" t="str">
        <f>Populations!$C$14</f>
        <v>M25-34</v>
      </c>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6" t="s">
        <v>46</v>
      </c>
      <c r="AS68" s="8">
        <v>0</v>
      </c>
    </row>
    <row r="69" spans="1:45" x14ac:dyDescent="0.35">
      <c r="B69" s="4" t="str">
        <f>Populations!$C$15</f>
        <v>F35-49</v>
      </c>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6" t="s">
        <v>46</v>
      </c>
      <c r="AS69" s="8">
        <v>0</v>
      </c>
    </row>
    <row r="70" spans="1:45" x14ac:dyDescent="0.35">
      <c r="B70" s="4" t="str">
        <f>Populations!$C$16</f>
        <v>M35-49</v>
      </c>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6" t="s">
        <v>46</v>
      </c>
      <c r="AS70" s="8">
        <v>0</v>
      </c>
    </row>
    <row r="71" spans="1:45" x14ac:dyDescent="0.35">
      <c r="B71" s="4" t="str">
        <f>Populations!$C$17</f>
        <v>F50+</v>
      </c>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6" t="s">
        <v>46</v>
      </c>
      <c r="AS71" s="8">
        <v>0</v>
      </c>
    </row>
    <row r="72" spans="1:45" x14ac:dyDescent="0.35">
      <c r="B72" s="4" t="str">
        <f>Populations!$C$18</f>
        <v>M50+</v>
      </c>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6" t="s">
        <v>46</v>
      </c>
      <c r="AS72" s="8">
        <v>0</v>
      </c>
    </row>
    <row r="76" spans="1:45" x14ac:dyDescent="0.35">
      <c r="A76" s="2" t="s">
        <v>58</v>
      </c>
    </row>
    <row r="77" spans="1:45" x14ac:dyDescent="0.35">
      <c r="C77" s="4">
        <v>1990</v>
      </c>
      <c r="D77" s="4">
        <v>1991</v>
      </c>
      <c r="E77" s="4">
        <v>1992</v>
      </c>
      <c r="F77" s="4">
        <v>1993</v>
      </c>
      <c r="G77" s="4">
        <v>1994</v>
      </c>
      <c r="H77" s="4">
        <v>1995</v>
      </c>
      <c r="I77" s="4">
        <v>1996</v>
      </c>
      <c r="J77" s="4">
        <v>1997</v>
      </c>
      <c r="K77" s="4">
        <v>1998</v>
      </c>
      <c r="L77" s="4">
        <v>1999</v>
      </c>
      <c r="M77" s="4">
        <v>2000</v>
      </c>
      <c r="N77" s="4">
        <v>2001</v>
      </c>
      <c r="O77" s="4">
        <v>2002</v>
      </c>
      <c r="P77" s="4">
        <v>2003</v>
      </c>
      <c r="Q77" s="4">
        <v>2004</v>
      </c>
      <c r="R77" s="4">
        <v>2005</v>
      </c>
      <c r="S77" s="4">
        <v>2006</v>
      </c>
      <c r="T77" s="4">
        <v>2007</v>
      </c>
      <c r="U77" s="4">
        <v>2008</v>
      </c>
      <c r="V77" s="4">
        <v>2009</v>
      </c>
      <c r="W77" s="4">
        <v>2010</v>
      </c>
      <c r="X77" s="4">
        <v>2011</v>
      </c>
      <c r="Y77" s="4">
        <v>2012</v>
      </c>
      <c r="Z77" s="4">
        <v>2013</v>
      </c>
      <c r="AA77" s="4">
        <v>2014</v>
      </c>
      <c r="AB77" s="4">
        <v>2015</v>
      </c>
      <c r="AC77" s="4">
        <v>2016</v>
      </c>
      <c r="AD77" s="4">
        <v>2017</v>
      </c>
      <c r="AE77" s="4">
        <v>2018</v>
      </c>
      <c r="AF77" s="4">
        <v>2019</v>
      </c>
      <c r="AG77" s="4">
        <v>2020</v>
      </c>
      <c r="AH77" s="4">
        <v>2021</v>
      </c>
      <c r="AI77" s="4">
        <v>2022</v>
      </c>
      <c r="AJ77" s="4">
        <v>2023</v>
      </c>
      <c r="AK77" s="4">
        <v>2024</v>
      </c>
      <c r="AL77" s="4">
        <v>2025</v>
      </c>
      <c r="AM77" s="4">
        <v>2026</v>
      </c>
      <c r="AN77" s="4">
        <v>2027</v>
      </c>
      <c r="AO77" s="4">
        <v>2028</v>
      </c>
      <c r="AP77" s="4">
        <v>2029</v>
      </c>
      <c r="AQ77" s="4">
        <v>2030</v>
      </c>
      <c r="AS77" s="4" t="s">
        <v>44</v>
      </c>
    </row>
    <row r="78" spans="1:45" x14ac:dyDescent="0.35">
      <c r="B78" s="4" t="s">
        <v>57</v>
      </c>
      <c r="C78" s="11">
        <v>0</v>
      </c>
      <c r="D78" s="11"/>
      <c r="E78" s="11"/>
      <c r="F78" s="11"/>
      <c r="G78" s="11"/>
      <c r="H78" s="11"/>
      <c r="I78" s="11"/>
      <c r="J78" s="11"/>
      <c r="K78" s="11"/>
      <c r="L78" s="11"/>
      <c r="M78" s="11"/>
      <c r="N78" s="11"/>
      <c r="O78" s="11"/>
      <c r="P78" s="11"/>
      <c r="Q78" s="11">
        <v>5534</v>
      </c>
      <c r="R78" s="11">
        <v>8461</v>
      </c>
      <c r="S78" s="11">
        <v>10127</v>
      </c>
      <c r="T78" s="11">
        <v>15381</v>
      </c>
      <c r="U78" s="11"/>
      <c r="V78" s="11">
        <v>28208</v>
      </c>
      <c r="W78" s="11">
        <v>21340</v>
      </c>
      <c r="X78" s="11">
        <v>38175</v>
      </c>
      <c r="Y78" s="11">
        <v>58633</v>
      </c>
      <c r="Z78" s="11">
        <v>58183</v>
      </c>
      <c r="AA78" s="11">
        <v>58667</v>
      </c>
      <c r="AB78" s="11">
        <v>57378</v>
      </c>
      <c r="AC78" s="5">
        <v>59599</v>
      </c>
      <c r="AD78" s="11">
        <v>59656</v>
      </c>
      <c r="AE78" s="5">
        <v>59621</v>
      </c>
      <c r="AF78" s="5">
        <v>57609</v>
      </c>
      <c r="AG78" s="5">
        <v>51229</v>
      </c>
      <c r="AH78" s="5">
        <v>47009</v>
      </c>
      <c r="AI78" s="5">
        <v>43856</v>
      </c>
      <c r="AJ78" s="5"/>
      <c r="AK78" s="5"/>
      <c r="AL78" s="5"/>
      <c r="AM78" s="5"/>
      <c r="AN78" s="5"/>
      <c r="AO78" s="5"/>
      <c r="AP78" s="5"/>
      <c r="AQ78" s="5"/>
      <c r="AR78" s="6" t="s">
        <v>46</v>
      </c>
      <c r="AS78" s="5"/>
    </row>
    <row r="82" spans="1:72" x14ac:dyDescent="0.35">
      <c r="A82" s="2" t="s">
        <v>59</v>
      </c>
      <c r="AU82" s="139" t="s">
        <v>351</v>
      </c>
      <c r="AV82" s="139" t="s">
        <v>352</v>
      </c>
      <c r="AW82" s="139" t="s">
        <v>353</v>
      </c>
      <c r="AX82" s="139" t="s">
        <v>354</v>
      </c>
      <c r="AZ82" s="4">
        <v>2000</v>
      </c>
      <c r="BA82" s="4">
        <v>2001</v>
      </c>
      <c r="BB82" s="4">
        <v>2002</v>
      </c>
      <c r="BC82" s="4">
        <v>2003</v>
      </c>
      <c r="BD82" s="4">
        <v>2004</v>
      </c>
      <c r="BE82" s="4">
        <v>2005</v>
      </c>
      <c r="BF82" s="4">
        <v>2006</v>
      </c>
      <c r="BG82" s="4">
        <v>2007</v>
      </c>
      <c r="BH82" s="4">
        <v>2008</v>
      </c>
      <c r="BI82" s="4">
        <v>2009</v>
      </c>
      <c r="BJ82" s="4">
        <v>2010</v>
      </c>
      <c r="BK82" s="4">
        <v>2011</v>
      </c>
      <c r="BL82" s="4">
        <v>2012</v>
      </c>
      <c r="BM82" s="4">
        <v>2013</v>
      </c>
      <c r="BN82" s="4">
        <v>2014</v>
      </c>
      <c r="BO82" s="4">
        <v>2015</v>
      </c>
      <c r="BP82" s="4">
        <v>2016</v>
      </c>
      <c r="BQ82" s="4">
        <v>2017</v>
      </c>
      <c r="BR82" s="4">
        <v>2018</v>
      </c>
      <c r="BS82" s="4">
        <v>2019</v>
      </c>
      <c r="BT82" s="4">
        <v>2020</v>
      </c>
    </row>
    <row r="83" spans="1:72" x14ac:dyDescent="0.35">
      <c r="C83" s="4">
        <v>1990</v>
      </c>
      <c r="D83" s="4">
        <v>1991</v>
      </c>
      <c r="E83" s="4">
        <v>1992</v>
      </c>
      <c r="F83" s="4">
        <v>1993</v>
      </c>
      <c r="G83" s="4">
        <v>1994</v>
      </c>
      <c r="H83" s="4">
        <v>1995</v>
      </c>
      <c r="I83" s="4">
        <v>1996</v>
      </c>
      <c r="J83" s="4">
        <v>1997</v>
      </c>
      <c r="K83" s="4">
        <v>1998</v>
      </c>
      <c r="L83" s="4">
        <v>1999</v>
      </c>
      <c r="M83" s="4">
        <v>2000</v>
      </c>
      <c r="N83" s="4">
        <v>2001</v>
      </c>
      <c r="O83" s="4">
        <v>2002</v>
      </c>
      <c r="P83" s="4">
        <v>2003</v>
      </c>
      <c r="Q83" s="4">
        <v>2004</v>
      </c>
      <c r="R83" s="4">
        <v>2005</v>
      </c>
      <c r="S83" s="4">
        <v>2006</v>
      </c>
      <c r="T83" s="4">
        <v>2007</v>
      </c>
      <c r="U83" s="4">
        <v>2008</v>
      </c>
      <c r="V83" s="4">
        <v>2009</v>
      </c>
      <c r="W83" s="4">
        <v>2010</v>
      </c>
      <c r="X83" s="4">
        <v>2011</v>
      </c>
      <c r="Y83" s="4">
        <v>2012</v>
      </c>
      <c r="Z83" s="4">
        <v>2013</v>
      </c>
      <c r="AA83" s="4">
        <v>2014</v>
      </c>
      <c r="AB83" s="4">
        <v>2015</v>
      </c>
      <c r="AC83" s="4">
        <v>2016</v>
      </c>
      <c r="AD83" s="4">
        <v>2017</v>
      </c>
      <c r="AE83" s="4">
        <v>2018</v>
      </c>
      <c r="AF83" s="4">
        <v>2019</v>
      </c>
      <c r="AG83" s="4">
        <v>2020</v>
      </c>
      <c r="AH83" s="4">
        <v>2021</v>
      </c>
      <c r="AI83" s="4">
        <v>2022</v>
      </c>
      <c r="AJ83" s="4">
        <v>2023</v>
      </c>
      <c r="AK83" s="4">
        <v>2024</v>
      </c>
      <c r="AL83" s="4">
        <v>2025</v>
      </c>
      <c r="AM83" s="4">
        <v>2026</v>
      </c>
      <c r="AN83" s="4">
        <v>2027</v>
      </c>
      <c r="AO83" s="4">
        <v>2028</v>
      </c>
      <c r="AP83" s="4">
        <v>2029</v>
      </c>
      <c r="AQ83" s="4">
        <v>2030</v>
      </c>
      <c r="AS83" s="4" t="s">
        <v>44</v>
      </c>
      <c r="AU83" s="140">
        <v>1940.337</v>
      </c>
      <c r="AV83" s="140">
        <v>2181.357</v>
      </c>
      <c r="AW83" s="140">
        <v>2415.5889999999999</v>
      </c>
      <c r="AX83" s="140">
        <v>2211.4229999999998</v>
      </c>
      <c r="AZ83">
        <f>$AU$84/('Population size'!N28+'Population size'!N36+'Population size'!N44+'Population size'!N52)</f>
        <v>0.13068058871458851</v>
      </c>
      <c r="BA83">
        <f>$AU$84/('Population size'!O28+'Population size'!O36+'Population size'!O44+'Population size'!O52)</f>
        <v>0.12926426947264746</v>
      </c>
      <c r="BB83">
        <f>$AU$84/('Population size'!P28+'Population size'!P36+'Population size'!P44+'Population size'!P52)</f>
        <v>0.12787578265336885</v>
      </c>
      <c r="BC83">
        <f>$AU$84/('Population size'!Q28+'Population size'!Q36+'Population size'!Q44+'Population size'!Q52)</f>
        <v>0.12649636140922621</v>
      </c>
      <c r="BD83">
        <f>$AU$84/('Population size'!R28+'Population size'!R36+'Population size'!R44+'Population size'!R52)</f>
        <v>0.12515650756417418</v>
      </c>
      <c r="BE83">
        <f>$AU$84/('Population size'!S28+'Population size'!S36+'Population size'!S44+'Population size'!S52)</f>
        <v>0.12386039418848178</v>
      </c>
      <c r="BF83">
        <f>$AV$84/('Population size'!T28+'Population size'!T36+'Population size'!T44+'Population size'!T52)</f>
        <v>0.13776897998019552</v>
      </c>
      <c r="BG83">
        <f>$AV$84/('Population size'!U28+'Population size'!U36+'Population size'!U44+'Population size'!U52)</f>
        <v>0.13639338560308564</v>
      </c>
      <c r="BH83">
        <f>$AV$84/('Population size'!V28+'Population size'!V36+'Population size'!V44+'Population size'!V52)</f>
        <v>0.13503896239640351</v>
      </c>
      <c r="BI83">
        <f>$AV$84/('Population size'!W28+'Population size'!W36+'Population size'!W44+'Population size'!W52)</f>
        <v>0.13361427068855933</v>
      </c>
      <c r="BJ83">
        <f>$AV$84/('Population size'!X28+'Population size'!X36+'Population size'!X44+'Population size'!X52)</f>
        <v>0.13206930955709567</v>
      </c>
      <c r="BK83">
        <f>$AW$84/('Population size'!Y28+'Population size'!Y36+'Population size'!Y44+'Population size'!Y52)</f>
        <v>0.1442722816734259</v>
      </c>
      <c r="BL83">
        <f>$AW$84/('Population size'!Z28+'Population size'!Z36+'Population size'!Z44+'Population size'!Z52)</f>
        <v>0.14223707768971183</v>
      </c>
      <c r="BM83">
        <f>$AW$84/('Population size'!AA28+'Population size'!AA36+'Population size'!AA44+'Population size'!AA52)</f>
        <v>0.14019048314344962</v>
      </c>
      <c r="BN83">
        <f>$AW$84/('Population size'!AB28+'Population size'!AB36+'Population size'!AB44+'Population size'!AB52)</f>
        <v>0.13815752968112663</v>
      </c>
      <c r="BO83">
        <f>$AW$84/('Population size'!AC28+'Population size'!AC36+'Population size'!AC44+'Population size'!AC52)</f>
        <v>0.1361402460948074</v>
      </c>
      <c r="BP83">
        <f>$AX$84/('Population size'!AD28+'Population size'!AD36+'Population size'!AD44+'Population size'!AD52)</f>
        <v>0.12321755271891796</v>
      </c>
      <c r="BQ83">
        <f>$AX$84/('Population size'!AE28+'Population size'!AE36+'Population size'!AE44+'Population size'!AE52)</f>
        <v>0.1216006432823044</v>
      </c>
      <c r="BR83">
        <f>$AX$84/('Population size'!AF28+'Population size'!AF36+'Population size'!AF44+'Population size'!AF52)</f>
        <v>0.11983047959613283</v>
      </c>
      <c r="BS83">
        <f>$AX$84/('Population size'!AG28+'Population size'!AG36+'Population size'!AG44+'Population size'!AG52)</f>
        <v>0.11799571941109067</v>
      </c>
      <c r="BT83">
        <f>$AX$84/('Population size'!AH28+'Population size'!AH36+'Population size'!AH44+'Population size'!AH52)</f>
        <v>0.11612260733177493</v>
      </c>
    </row>
    <row r="84" spans="1:72" x14ac:dyDescent="0.35">
      <c r="B84" s="4" t="str">
        <f>Populations!$C$3</f>
        <v>FSW</v>
      </c>
      <c r="C84" s="9">
        <v>0.150893</v>
      </c>
      <c r="D84" s="9">
        <v>0.147207</v>
      </c>
      <c r="E84" s="9">
        <v>0.14316799999999999</v>
      </c>
      <c r="F84" s="9">
        <v>0.13859099999999999</v>
      </c>
      <c r="G84" s="9">
        <v>0.13581399999999999</v>
      </c>
      <c r="H84" s="9">
        <v>0.133246</v>
      </c>
      <c r="I84" s="9">
        <v>0.13272500000000001</v>
      </c>
      <c r="J84" s="9">
        <v>0.132241</v>
      </c>
      <c r="K84" s="9">
        <v>0.13233900000000001</v>
      </c>
      <c r="L84" s="9">
        <v>0.13295999999999999</v>
      </c>
      <c r="M84" s="9">
        <v>0.132881</v>
      </c>
      <c r="N84" s="9">
        <v>0.13345000000000001</v>
      </c>
      <c r="O84" s="9">
        <v>0.13302700000000001</v>
      </c>
      <c r="P84" s="9">
        <v>0.13284499999999999</v>
      </c>
      <c r="Q84" s="9">
        <v>0.131607</v>
      </c>
      <c r="R84" s="9">
        <v>0.130331</v>
      </c>
      <c r="S84" s="9">
        <v>0.12942000000000001</v>
      </c>
      <c r="T84" s="9">
        <v>0.13067300000000001</v>
      </c>
      <c r="U84" s="9">
        <v>0.134159</v>
      </c>
      <c r="V84" s="9">
        <v>0.139128</v>
      </c>
      <c r="W84" s="9">
        <v>0.14085500000000001</v>
      </c>
      <c r="X84" s="9">
        <v>0.14185800000000001</v>
      </c>
      <c r="Y84" s="9">
        <v>0.140621</v>
      </c>
      <c r="Z84" s="9">
        <v>0.138129</v>
      </c>
      <c r="AA84" s="9">
        <v>0.13319400000000001</v>
      </c>
      <c r="AB84" s="9">
        <v>0.128025</v>
      </c>
      <c r="AC84" s="9">
        <v>0.124263</v>
      </c>
      <c r="AD84" s="9">
        <v>0.121084</v>
      </c>
      <c r="AE84" s="9">
        <v>0.118816</v>
      </c>
      <c r="AF84" s="9">
        <v>0.11627</v>
      </c>
      <c r="AG84" s="9">
        <v>0.11408500000000001</v>
      </c>
      <c r="AH84" s="9">
        <v>0.112021</v>
      </c>
      <c r="AI84" s="9">
        <v>0.109959</v>
      </c>
      <c r="AJ84" s="9"/>
      <c r="AK84" s="9"/>
      <c r="AL84" s="9"/>
      <c r="AM84" s="9"/>
      <c r="AN84" s="9"/>
      <c r="AO84" s="9"/>
      <c r="AP84" s="9"/>
      <c r="AQ84" s="9"/>
      <c r="AR84" s="6" t="s">
        <v>46</v>
      </c>
      <c r="AS84" s="9"/>
      <c r="AU84">
        <f>(AU83*1000)/5</f>
        <v>388067.4</v>
      </c>
      <c r="AV84">
        <f t="shared" ref="AV84:AX84" si="0">AV83*1000/5</f>
        <v>436271.4</v>
      </c>
      <c r="AW84">
        <f t="shared" si="0"/>
        <v>483117.8</v>
      </c>
      <c r="AX84">
        <f t="shared" si="0"/>
        <v>442284.6</v>
      </c>
    </row>
    <row r="85" spans="1:72" x14ac:dyDescent="0.35">
      <c r="B85" s="4" t="str">
        <f>Populations!$C$7</f>
        <v>F0-14</v>
      </c>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6" t="s">
        <v>46</v>
      </c>
      <c r="AS85" s="9">
        <v>0</v>
      </c>
    </row>
    <row r="86" spans="1:72" x14ac:dyDescent="0.35">
      <c r="B86" s="4" t="str">
        <f>Populations!$C$9</f>
        <v>F15-19</v>
      </c>
      <c r="C86" s="9">
        <v>0.10222199999999999</v>
      </c>
      <c r="D86" s="9">
        <v>0.10209799999999999</v>
      </c>
      <c r="E86" s="9">
        <v>0.100574</v>
      </c>
      <c r="F86" s="9">
        <v>9.9306000000000005E-2</v>
      </c>
      <c r="G86" s="9">
        <v>9.8267999999999994E-2</v>
      </c>
      <c r="H86" s="9">
        <v>9.7699999999999995E-2</v>
      </c>
      <c r="I86" s="9">
        <v>9.6306000000000003E-2</v>
      </c>
      <c r="J86" s="9">
        <v>9.7418000000000005E-2</v>
      </c>
      <c r="K86" s="9">
        <v>9.8381999999999997E-2</v>
      </c>
      <c r="L86" s="9">
        <v>0.100355</v>
      </c>
      <c r="M86" s="9">
        <v>0.100923</v>
      </c>
      <c r="N86" s="9">
        <v>0.102814</v>
      </c>
      <c r="O86" s="9">
        <v>0.102196</v>
      </c>
      <c r="P86" s="9">
        <v>0.103189</v>
      </c>
      <c r="Q86" s="9">
        <v>0.103515</v>
      </c>
      <c r="R86" s="9">
        <v>0.10660600000000001</v>
      </c>
      <c r="S86" s="9">
        <v>0.104768</v>
      </c>
      <c r="T86" s="9">
        <v>0.103922</v>
      </c>
      <c r="U86" s="9">
        <v>0.107428</v>
      </c>
      <c r="V86" s="9">
        <v>0.109745</v>
      </c>
      <c r="W86" s="9">
        <v>0.11051</v>
      </c>
      <c r="X86" s="9">
        <v>0.11015999999999999</v>
      </c>
      <c r="Y86" s="9">
        <v>0.109765</v>
      </c>
      <c r="Z86" s="9">
        <v>0.107546</v>
      </c>
      <c r="AA86" s="9">
        <v>0.105923</v>
      </c>
      <c r="AB86" s="9">
        <v>0.10205699999999999</v>
      </c>
      <c r="AC86" s="9">
        <v>0.100859</v>
      </c>
      <c r="AD86" s="9">
        <v>9.8241999999999996E-2</v>
      </c>
      <c r="AE86" s="9">
        <v>9.8487000000000005E-2</v>
      </c>
      <c r="AF86" s="9">
        <v>9.7336000000000006E-2</v>
      </c>
      <c r="AG86" s="9">
        <v>9.6171999999999994E-2</v>
      </c>
      <c r="AH86" s="9">
        <v>9.4303999999999999E-2</v>
      </c>
      <c r="AI86" s="9">
        <v>9.2562000000000005E-2</v>
      </c>
      <c r="AJ86" s="9"/>
      <c r="AK86" s="9"/>
      <c r="AL86" s="9"/>
      <c r="AM86" s="9"/>
      <c r="AN86" s="9"/>
      <c r="AO86" s="9"/>
      <c r="AP86" s="9"/>
      <c r="AQ86" s="9"/>
      <c r="AR86" s="6" t="s">
        <v>46</v>
      </c>
      <c r="AS86" s="9"/>
      <c r="BA86" t="s">
        <v>361</v>
      </c>
    </row>
    <row r="87" spans="1:72" x14ac:dyDescent="0.35">
      <c r="B87" s="4" t="str">
        <f>Populations!$C$11</f>
        <v>F20-24</v>
      </c>
      <c r="C87" s="9">
        <v>0.21509300000000001</v>
      </c>
      <c r="D87" s="9">
        <v>0.21244499999999999</v>
      </c>
      <c r="E87" s="9">
        <v>0.20776900000000001</v>
      </c>
      <c r="F87" s="9">
        <v>0.204182</v>
      </c>
      <c r="G87" s="9">
        <v>0.20030100000000001</v>
      </c>
      <c r="H87" s="9">
        <v>0.19583500000000001</v>
      </c>
      <c r="I87" s="9">
        <v>0.195774</v>
      </c>
      <c r="J87" s="9">
        <v>0.19409100000000001</v>
      </c>
      <c r="K87" s="9">
        <v>0.195664</v>
      </c>
      <c r="L87" s="9">
        <v>0.19631199999999999</v>
      </c>
      <c r="M87" s="9">
        <v>0.194575</v>
      </c>
      <c r="N87" s="9">
        <v>0.19395399999999999</v>
      </c>
      <c r="O87" s="9">
        <v>0.19477900000000001</v>
      </c>
      <c r="P87" s="9">
        <v>0.19367400000000001</v>
      </c>
      <c r="Q87" s="9">
        <v>0.19098399999999999</v>
      </c>
      <c r="R87" s="9">
        <v>0.18604699999999999</v>
      </c>
      <c r="S87" s="9">
        <v>0.186057</v>
      </c>
      <c r="T87" s="9">
        <v>0.18895100000000001</v>
      </c>
      <c r="U87" s="9">
        <v>0.19242300000000001</v>
      </c>
      <c r="V87" s="9">
        <v>0.200409</v>
      </c>
      <c r="W87" s="9">
        <v>0.202732</v>
      </c>
      <c r="X87" s="9">
        <v>0.20525499999999999</v>
      </c>
      <c r="Y87" s="9">
        <v>0.20508299999999999</v>
      </c>
      <c r="Z87" s="9">
        <v>0.203288</v>
      </c>
      <c r="AA87" s="9">
        <v>0.19775899999999999</v>
      </c>
      <c r="AB87" s="9">
        <v>0.19237899999999999</v>
      </c>
      <c r="AC87" s="9">
        <v>0.188778</v>
      </c>
      <c r="AD87" s="9">
        <v>0.186332</v>
      </c>
      <c r="AE87" s="9">
        <v>0.18354699999999999</v>
      </c>
      <c r="AF87" s="9">
        <v>0.181057</v>
      </c>
      <c r="AG87" s="9">
        <v>0.178707</v>
      </c>
      <c r="AH87" s="9">
        <v>0.176536</v>
      </c>
      <c r="AI87" s="9">
        <v>0.17347399999999999</v>
      </c>
      <c r="AJ87" s="9"/>
      <c r="AK87" s="9"/>
      <c r="AL87" s="9"/>
      <c r="AM87" s="9"/>
      <c r="AN87" s="9"/>
      <c r="AO87" s="9"/>
      <c r="AP87" s="9"/>
      <c r="AQ87" s="9"/>
      <c r="AR87" s="6" t="s">
        <v>46</v>
      </c>
      <c r="AS87" s="9"/>
      <c r="AU87" t="s">
        <v>362</v>
      </c>
      <c r="AV87" t="s">
        <v>363</v>
      </c>
      <c r="AW87" t="s">
        <v>364</v>
      </c>
      <c r="AX87" t="s">
        <v>365</v>
      </c>
      <c r="AY87" t="s">
        <v>366</v>
      </c>
      <c r="AZ87" t="s">
        <v>367</v>
      </c>
      <c r="BA87" t="s">
        <v>368</v>
      </c>
      <c r="BB87" t="s">
        <v>369</v>
      </c>
      <c r="BC87" t="s">
        <v>370</v>
      </c>
      <c r="BD87" t="s">
        <v>371</v>
      </c>
      <c r="BE87" t="s">
        <v>372</v>
      </c>
      <c r="BF87" t="s">
        <v>373</v>
      </c>
      <c r="BG87" t="s">
        <v>374</v>
      </c>
      <c r="BH87" t="s">
        <v>368</v>
      </c>
      <c r="BI87" t="s">
        <v>369</v>
      </c>
      <c r="BJ87" t="s">
        <v>370</v>
      </c>
      <c r="BK87" t="s">
        <v>371</v>
      </c>
      <c r="BL87" t="s">
        <v>387</v>
      </c>
      <c r="BM87" t="s">
        <v>388</v>
      </c>
    </row>
    <row r="88" spans="1:72" x14ac:dyDescent="0.35">
      <c r="B88" s="4" t="str">
        <f>Populations!$C$13</f>
        <v>F25-34</v>
      </c>
      <c r="C88" s="9">
        <v>0.199465</v>
      </c>
      <c r="D88" s="9">
        <v>0.19303300000000001</v>
      </c>
      <c r="E88" s="9">
        <v>0.18789</v>
      </c>
      <c r="F88" s="9">
        <v>0.182922</v>
      </c>
      <c r="G88" s="9">
        <v>0.180591</v>
      </c>
      <c r="H88" s="9">
        <v>0.17652899999999999</v>
      </c>
      <c r="I88" s="9">
        <v>0.17485400000000001</v>
      </c>
      <c r="J88" s="9">
        <v>0.17263000000000001</v>
      </c>
      <c r="K88" s="9">
        <v>0.17019999999999999</v>
      </c>
      <c r="L88" s="9">
        <v>0.16900899999999999</v>
      </c>
      <c r="M88" s="9">
        <v>0.16760700000000001</v>
      </c>
      <c r="N88" s="9">
        <v>0.16491500000000001</v>
      </c>
      <c r="O88" s="9">
        <v>0.161469</v>
      </c>
      <c r="P88" s="9">
        <v>0.159082</v>
      </c>
      <c r="Q88" s="9">
        <v>0.15570500000000001</v>
      </c>
      <c r="R88" s="9">
        <v>0.15292800000000001</v>
      </c>
      <c r="S88" s="9">
        <v>0.151282</v>
      </c>
      <c r="T88" s="9">
        <v>0.15357000000000001</v>
      </c>
      <c r="U88" s="9">
        <v>0.158743</v>
      </c>
      <c r="V88" s="9">
        <v>0.16613600000000001</v>
      </c>
      <c r="W88" s="9">
        <v>0.17074600000000001</v>
      </c>
      <c r="X88" s="9">
        <v>0.17418800000000001</v>
      </c>
      <c r="Y88" s="9">
        <v>0.17451900000000001</v>
      </c>
      <c r="Z88" s="9">
        <v>0.17329</v>
      </c>
      <c r="AA88" s="9">
        <v>0.16747500000000001</v>
      </c>
      <c r="AB88" s="9">
        <v>0.16250600000000001</v>
      </c>
      <c r="AC88" s="9">
        <v>0.158279</v>
      </c>
      <c r="AD88" s="9">
        <v>0.15606200000000001</v>
      </c>
      <c r="AE88" s="9">
        <v>0.15426100000000001</v>
      </c>
      <c r="AF88" s="9">
        <v>0.152305</v>
      </c>
      <c r="AG88" s="9">
        <v>0.15065400000000001</v>
      </c>
      <c r="AH88" s="9">
        <v>0.14907400000000001</v>
      </c>
      <c r="AI88" s="9">
        <v>0.14746300000000001</v>
      </c>
      <c r="AJ88" s="9"/>
      <c r="AK88" s="9"/>
      <c r="AL88" s="9"/>
      <c r="AM88" s="9"/>
      <c r="AN88" s="9"/>
      <c r="AO88" s="9"/>
      <c r="AP88" s="9"/>
      <c r="AQ88" s="9"/>
      <c r="AR88" s="6" t="s">
        <v>46</v>
      </c>
      <c r="AS88" s="9"/>
      <c r="AU88" t="s">
        <v>375</v>
      </c>
      <c r="AW88">
        <v>716</v>
      </c>
      <c r="AX88" t="s">
        <v>376</v>
      </c>
      <c r="AY88">
        <v>910</v>
      </c>
      <c r="AZ88" t="s">
        <v>377</v>
      </c>
      <c r="BA88">
        <v>159.93600000000001</v>
      </c>
      <c r="BB88">
        <v>296.072</v>
      </c>
      <c r="BC88">
        <v>289.27199999999999</v>
      </c>
      <c r="BD88">
        <v>261.52800000000002</v>
      </c>
      <c r="BE88">
        <v>188.63200000000001</v>
      </c>
      <c r="BF88">
        <v>124.16800000000001</v>
      </c>
      <c r="BG88">
        <v>40.392000000000003</v>
      </c>
    </row>
    <row r="89" spans="1:72" x14ac:dyDescent="0.35">
      <c r="B89" s="4" t="str">
        <f>Populations!$C$15</f>
        <v>F35-49</v>
      </c>
      <c r="C89" s="9">
        <v>9.6837000000000006E-2</v>
      </c>
      <c r="D89" s="9">
        <v>9.0648999999999993E-2</v>
      </c>
      <c r="E89" s="9">
        <v>8.5444000000000006E-2</v>
      </c>
      <c r="F89" s="9">
        <v>7.6845999999999998E-2</v>
      </c>
      <c r="G89" s="9">
        <v>7.1399000000000004E-2</v>
      </c>
      <c r="H89" s="9">
        <v>6.6974000000000006E-2</v>
      </c>
      <c r="I89" s="9">
        <v>6.4836000000000005E-2</v>
      </c>
      <c r="J89" s="9">
        <v>6.2536999999999995E-2</v>
      </c>
      <c r="K89" s="9">
        <v>6.0525000000000002E-2</v>
      </c>
      <c r="L89" s="9">
        <v>5.9198000000000001E-2</v>
      </c>
      <c r="M89" s="9">
        <v>5.9079E-2</v>
      </c>
      <c r="N89" s="9">
        <v>6.0191000000000001E-2</v>
      </c>
      <c r="O89" s="9">
        <v>5.8689999999999999E-2</v>
      </c>
      <c r="P89" s="9">
        <v>5.7114999999999999E-2</v>
      </c>
      <c r="Q89" s="9">
        <v>5.5490999999999999E-2</v>
      </c>
      <c r="R89" s="9">
        <v>5.3844000000000003E-2</v>
      </c>
      <c r="S89" s="9">
        <v>5.3617999999999999E-2</v>
      </c>
      <c r="T89" s="9">
        <v>5.4606000000000002E-2</v>
      </c>
      <c r="U89" s="9">
        <v>5.7986999999999997E-2</v>
      </c>
      <c r="V89" s="9">
        <v>6.2357000000000003E-2</v>
      </c>
      <c r="W89" s="9">
        <v>6.4343999999999998E-2</v>
      </c>
      <c r="X89" s="9">
        <v>6.6311999999999996E-2</v>
      </c>
      <c r="Y89" s="9">
        <v>6.5710000000000005E-2</v>
      </c>
      <c r="Z89" s="9">
        <v>6.4784999999999995E-2</v>
      </c>
      <c r="AA89" s="9">
        <v>6.2611E-2</v>
      </c>
      <c r="AB89" s="9">
        <v>6.0234999999999997E-2</v>
      </c>
      <c r="AC89" s="9">
        <v>5.9057999999999999E-2</v>
      </c>
      <c r="AD89" s="9">
        <v>5.7785999999999997E-2</v>
      </c>
      <c r="AE89" s="9">
        <v>5.6686E-2</v>
      </c>
      <c r="AF89" s="9">
        <v>5.4974000000000002E-2</v>
      </c>
      <c r="AG89" s="9">
        <v>5.3268000000000003E-2</v>
      </c>
      <c r="AH89" s="9">
        <v>5.1549999999999999E-2</v>
      </c>
      <c r="AI89" s="9">
        <v>4.9875000000000003E-2</v>
      </c>
      <c r="AJ89" s="9"/>
      <c r="AK89" s="9"/>
      <c r="AL89" s="9"/>
      <c r="AM89" s="9"/>
      <c r="AN89" s="9"/>
      <c r="AO89" s="9"/>
      <c r="AP89" s="9"/>
      <c r="AQ89" s="9"/>
      <c r="AR89" s="6" t="s">
        <v>46</v>
      </c>
      <c r="AS89" s="9"/>
      <c r="AU89" t="s">
        <v>375</v>
      </c>
      <c r="AW89">
        <v>716</v>
      </c>
      <c r="AX89" t="s">
        <v>376</v>
      </c>
      <c r="AY89">
        <v>910</v>
      </c>
      <c r="AZ89" t="s">
        <v>378</v>
      </c>
      <c r="BA89">
        <v>164.64</v>
      </c>
      <c r="BB89">
        <v>304.77999999999997</v>
      </c>
      <c r="BC89">
        <v>297.77999999999997</v>
      </c>
      <c r="BD89">
        <v>269.22000000000003</v>
      </c>
      <c r="BE89">
        <v>194.18</v>
      </c>
      <c r="BF89">
        <v>127.82</v>
      </c>
      <c r="BG89">
        <v>41.58</v>
      </c>
    </row>
    <row r="90" spans="1:72" x14ac:dyDescent="0.35">
      <c r="B90" s="4" t="str">
        <f>Populations!$C$17</f>
        <v>F50+</v>
      </c>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6" t="s">
        <v>46</v>
      </c>
      <c r="AS90" s="9">
        <v>0</v>
      </c>
      <c r="AU90" t="s">
        <v>375</v>
      </c>
      <c r="AW90">
        <v>716</v>
      </c>
      <c r="AX90" t="s">
        <v>376</v>
      </c>
      <c r="AY90">
        <v>910</v>
      </c>
      <c r="AZ90" t="s">
        <v>379</v>
      </c>
      <c r="BA90">
        <v>171.696</v>
      </c>
      <c r="BB90">
        <v>317.84199999999998</v>
      </c>
      <c r="BC90">
        <v>310.54199999999997</v>
      </c>
      <c r="BD90">
        <v>280.75799999999998</v>
      </c>
      <c r="BE90">
        <v>202.50200000000001</v>
      </c>
      <c r="BF90">
        <v>133.298</v>
      </c>
      <c r="BG90">
        <v>43.362000000000002</v>
      </c>
    </row>
    <row r="91" spans="1:72" x14ac:dyDescent="0.35">
      <c r="AU91" t="s">
        <v>375</v>
      </c>
      <c r="AW91">
        <v>716</v>
      </c>
      <c r="AX91" t="s">
        <v>376</v>
      </c>
      <c r="AY91">
        <v>910</v>
      </c>
      <c r="AZ91" t="s">
        <v>380</v>
      </c>
      <c r="BA91">
        <v>174.048</v>
      </c>
      <c r="BB91">
        <v>322.19600000000003</v>
      </c>
      <c r="BC91">
        <v>314.79599999999999</v>
      </c>
      <c r="BD91">
        <v>284.60399999999998</v>
      </c>
      <c r="BE91">
        <v>205.27600000000001</v>
      </c>
      <c r="BF91">
        <v>135.124</v>
      </c>
      <c r="BG91">
        <v>43.956000000000003</v>
      </c>
    </row>
    <row r="92" spans="1:72" x14ac:dyDescent="0.35">
      <c r="AU92" t="s">
        <v>375</v>
      </c>
      <c r="AW92">
        <v>716</v>
      </c>
      <c r="AX92" t="s">
        <v>376</v>
      </c>
      <c r="AY92">
        <v>910</v>
      </c>
      <c r="AZ92" t="s">
        <v>381</v>
      </c>
      <c r="BA92">
        <v>174.048</v>
      </c>
      <c r="BB92">
        <v>322.19600000000003</v>
      </c>
      <c r="BC92">
        <v>314.79599999999999</v>
      </c>
      <c r="BD92">
        <v>284.60399999999998</v>
      </c>
      <c r="BE92">
        <v>205.27600000000001</v>
      </c>
      <c r="BF92">
        <v>135.124</v>
      </c>
      <c r="BG92">
        <v>43.956000000000003</v>
      </c>
    </row>
    <row r="93" spans="1:72" x14ac:dyDescent="0.35">
      <c r="AU93" t="s">
        <v>375</v>
      </c>
      <c r="AW93">
        <v>716</v>
      </c>
      <c r="AX93" t="s">
        <v>376</v>
      </c>
      <c r="AY93">
        <v>910</v>
      </c>
      <c r="AZ93" t="s">
        <v>382</v>
      </c>
      <c r="BA93">
        <v>171.696</v>
      </c>
      <c r="BB93">
        <v>317.84199999999998</v>
      </c>
      <c r="BC93">
        <v>310.54199999999997</v>
      </c>
      <c r="BD93">
        <v>280.75799999999998</v>
      </c>
      <c r="BE93">
        <v>202.50200000000001</v>
      </c>
      <c r="BF93">
        <v>133.298</v>
      </c>
      <c r="BG93">
        <v>43.362000000000002</v>
      </c>
    </row>
    <row r="94" spans="1:72" x14ac:dyDescent="0.35">
      <c r="A94" s="2" t="s">
        <v>60</v>
      </c>
      <c r="AU94" t="s">
        <v>375</v>
      </c>
      <c r="AW94">
        <v>716</v>
      </c>
      <c r="AX94" t="s">
        <v>376</v>
      </c>
      <c r="AY94">
        <v>910</v>
      </c>
      <c r="AZ94" t="s">
        <v>383</v>
      </c>
      <c r="BA94">
        <v>127.928</v>
      </c>
      <c r="BB94">
        <v>280.49599999999998</v>
      </c>
      <c r="BC94">
        <v>280.74799999999999</v>
      </c>
      <c r="BD94">
        <v>249.15</v>
      </c>
      <c r="BE94">
        <v>188.65299999999999</v>
      </c>
      <c r="BF94">
        <v>98.51</v>
      </c>
      <c r="BG94">
        <v>34.875</v>
      </c>
    </row>
    <row r="95" spans="1:72" x14ac:dyDescent="0.35">
      <c r="C95" s="4">
        <v>1990</v>
      </c>
      <c r="D95" s="4">
        <v>1991</v>
      </c>
      <c r="E95" s="4">
        <v>1992</v>
      </c>
      <c r="F95" s="4">
        <v>1993</v>
      </c>
      <c r="G95" s="4">
        <v>1994</v>
      </c>
      <c r="H95" s="4">
        <v>1995</v>
      </c>
      <c r="I95" s="4">
        <v>1996</v>
      </c>
      <c r="J95" s="4">
        <v>1997</v>
      </c>
      <c r="K95" s="4">
        <v>1998</v>
      </c>
      <c r="L95" s="4">
        <v>1999</v>
      </c>
      <c r="M95" s="4">
        <v>2000</v>
      </c>
      <c r="N95" s="4">
        <v>2001</v>
      </c>
      <c r="O95" s="4">
        <v>2002</v>
      </c>
      <c r="P95" s="4">
        <v>2003</v>
      </c>
      <c r="Q95" s="4">
        <v>2004</v>
      </c>
      <c r="R95" s="4">
        <v>2005</v>
      </c>
      <c r="S95" s="4">
        <v>2006</v>
      </c>
      <c r="T95" s="4">
        <v>2007</v>
      </c>
      <c r="U95" s="4">
        <v>2008</v>
      </c>
      <c r="V95" s="4">
        <v>2009</v>
      </c>
      <c r="W95" s="4">
        <v>2010</v>
      </c>
      <c r="X95" s="4">
        <v>2011</v>
      </c>
      <c r="Y95" s="4">
        <v>2012</v>
      </c>
      <c r="Z95" s="4">
        <v>2013</v>
      </c>
      <c r="AA95" s="4">
        <v>2014</v>
      </c>
      <c r="AB95" s="4">
        <v>2015</v>
      </c>
      <c r="AC95" s="4">
        <v>2016</v>
      </c>
      <c r="AD95" s="4">
        <v>2017</v>
      </c>
      <c r="AE95" s="4">
        <v>2018</v>
      </c>
      <c r="AF95" s="4">
        <v>2019</v>
      </c>
      <c r="AG95" s="4">
        <v>2020</v>
      </c>
      <c r="AH95" s="4">
        <v>2021</v>
      </c>
      <c r="AI95" s="4">
        <v>2022</v>
      </c>
      <c r="AJ95" s="4">
        <v>2023</v>
      </c>
      <c r="AK95" s="4">
        <v>2024</v>
      </c>
      <c r="AL95" s="4">
        <v>2025</v>
      </c>
      <c r="AM95" s="4">
        <v>2026</v>
      </c>
      <c r="AN95" s="4">
        <v>2027</v>
      </c>
      <c r="AO95" s="4">
        <v>2028</v>
      </c>
      <c r="AP95" s="4">
        <v>2029</v>
      </c>
      <c r="AQ95" s="4">
        <v>2030</v>
      </c>
      <c r="AS95" s="4" t="s">
        <v>44</v>
      </c>
      <c r="AU95" t="s">
        <v>375</v>
      </c>
      <c r="AW95">
        <v>716</v>
      </c>
      <c r="AX95" t="s">
        <v>376</v>
      </c>
      <c r="AY95">
        <v>910</v>
      </c>
      <c r="AZ95" t="s">
        <v>384</v>
      </c>
      <c r="BA95">
        <v>110.613</v>
      </c>
      <c r="BB95">
        <v>241.63200000000001</v>
      </c>
      <c r="BC95">
        <v>240.03200000000001</v>
      </c>
      <c r="BD95">
        <v>214.44499999999999</v>
      </c>
      <c r="BE95">
        <v>161.64699999999999</v>
      </c>
      <c r="BF95">
        <v>81.06</v>
      </c>
      <c r="BG95">
        <v>25.210999999999999</v>
      </c>
    </row>
    <row r="96" spans="1:72" x14ac:dyDescent="0.35">
      <c r="B96" s="4" t="s">
        <v>55</v>
      </c>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6" t="s">
        <v>46</v>
      </c>
      <c r="AS96" s="8">
        <v>0.01</v>
      </c>
      <c r="AU96" t="s">
        <v>375</v>
      </c>
      <c r="AW96">
        <v>716</v>
      </c>
      <c r="AX96" t="s">
        <v>376</v>
      </c>
      <c r="AY96">
        <v>910</v>
      </c>
      <c r="AZ96" t="s">
        <v>385</v>
      </c>
      <c r="BA96">
        <v>102.746</v>
      </c>
      <c r="BB96">
        <v>207.02799999999999</v>
      </c>
      <c r="BC96">
        <v>195.01900000000001</v>
      </c>
      <c r="BD96">
        <v>171.93799999999999</v>
      </c>
      <c r="BE96">
        <v>126.72799999999999</v>
      </c>
      <c r="BF96">
        <v>60.548000000000002</v>
      </c>
      <c r="BG96">
        <v>18.992999999999999</v>
      </c>
      <c r="BH96">
        <f t="shared" ref="BH96:BH97" si="1">BA96/1000</f>
        <v>0.10274599999999999</v>
      </c>
      <c r="BI96">
        <f t="shared" ref="BI96:BI97" si="2">BB96/1000</f>
        <v>0.20702799999999999</v>
      </c>
      <c r="BJ96">
        <f t="shared" ref="BJ96:BJ97" si="3">BC96/1000</f>
        <v>0.195019</v>
      </c>
      <c r="BK96">
        <f t="shared" ref="BK96:BK97" si="4">BD96/1000</f>
        <v>0.17193799999999998</v>
      </c>
      <c r="BL96">
        <v>0.18479349092937974</v>
      </c>
      <c r="BM96">
        <v>7.5649105533118211E-2</v>
      </c>
    </row>
    <row r="97" spans="47:65" x14ac:dyDescent="0.35">
      <c r="AU97" t="s">
        <v>375</v>
      </c>
      <c r="AW97">
        <v>716</v>
      </c>
      <c r="AX97" t="s">
        <v>376</v>
      </c>
      <c r="AY97">
        <v>910</v>
      </c>
      <c r="AZ97" t="s">
        <v>386</v>
      </c>
      <c r="BA97">
        <v>100.078</v>
      </c>
      <c r="BB97">
        <v>190.691</v>
      </c>
      <c r="BC97">
        <v>178.881</v>
      </c>
      <c r="BD97">
        <v>143.88499999999999</v>
      </c>
      <c r="BE97">
        <v>103.24</v>
      </c>
      <c r="BF97">
        <v>46.146000000000001</v>
      </c>
      <c r="BG97">
        <v>14.079000000000001</v>
      </c>
      <c r="BH97">
        <f t="shared" si="1"/>
        <v>0.100078</v>
      </c>
      <c r="BI97">
        <f t="shared" si="2"/>
        <v>0.190691</v>
      </c>
      <c r="BJ97">
        <f t="shared" si="3"/>
        <v>0.17888100000000001</v>
      </c>
      <c r="BK97">
        <f t="shared" si="4"/>
        <v>0.14388499999999999</v>
      </c>
      <c r="BL97">
        <v>0.16311324388305037</v>
      </c>
      <c r="BM97">
        <v>5.7947113970292369E-2</v>
      </c>
    </row>
    <row r="98" spans="47:65" x14ac:dyDescent="0.35">
      <c r="AU98" t="s">
        <v>375</v>
      </c>
      <c r="AW98">
        <v>716</v>
      </c>
      <c r="AX98" t="s">
        <v>376</v>
      </c>
      <c r="AY98">
        <v>910</v>
      </c>
      <c r="AZ98" t="s">
        <v>351</v>
      </c>
      <c r="BA98">
        <v>100.351</v>
      </c>
      <c r="BB98">
        <v>190.18100000000001</v>
      </c>
      <c r="BC98">
        <v>171.767</v>
      </c>
      <c r="BD98">
        <v>136.81399999999999</v>
      </c>
      <c r="BE98">
        <v>92.77</v>
      </c>
      <c r="BF98">
        <v>40.808</v>
      </c>
      <c r="BG98">
        <v>11.308999999999999</v>
      </c>
      <c r="BH98">
        <f>BA98/1000</f>
        <v>0.100351</v>
      </c>
      <c r="BI98">
        <f t="shared" ref="BI98:BK98" si="5">BB98/1000</f>
        <v>0.19018100000000002</v>
      </c>
      <c r="BJ98">
        <f t="shared" si="5"/>
        <v>0.171767</v>
      </c>
      <c r="BK98">
        <f t="shared" si="5"/>
        <v>0.13681399999999999</v>
      </c>
      <c r="BL98">
        <v>0.15666890553597201</v>
      </c>
      <c r="BM98">
        <v>5.1579965380109505E-2</v>
      </c>
    </row>
    <row r="99" spans="47:65" x14ac:dyDescent="0.35">
      <c r="AU99" t="s">
        <v>375</v>
      </c>
      <c r="AW99">
        <v>716</v>
      </c>
      <c r="AX99" t="s">
        <v>376</v>
      </c>
      <c r="AY99">
        <v>910</v>
      </c>
      <c r="AZ99" t="s">
        <v>352</v>
      </c>
      <c r="BA99">
        <v>111.09099999999999</v>
      </c>
      <c r="BB99">
        <v>202.904</v>
      </c>
      <c r="BC99">
        <v>178.2</v>
      </c>
      <c r="BD99">
        <v>142.65600000000001</v>
      </c>
      <c r="BE99">
        <v>94.787999999999997</v>
      </c>
      <c r="BF99">
        <v>38.317999999999998</v>
      </c>
      <c r="BG99">
        <v>9.1229999999999993</v>
      </c>
      <c r="BH99">
        <f t="shared" ref="BH99:BH101" si="6">BA99/1000</f>
        <v>0.111091</v>
      </c>
      <c r="BI99">
        <f t="shared" ref="BI99:BI101" si="7">BB99/1000</f>
        <v>0.202904</v>
      </c>
      <c r="BJ99">
        <f t="shared" ref="BJ99:BJ101" si="8">BC99/1000</f>
        <v>0.1782</v>
      </c>
      <c r="BK99">
        <f t="shared" ref="BK99:BK101" si="9">BD99/1000</f>
        <v>0.14265600000000001</v>
      </c>
      <c r="BL99">
        <v>0.16328901019045905</v>
      </c>
      <c r="BM99">
        <v>5.2650086748629941E-2</v>
      </c>
    </row>
    <row r="100" spans="47:65" x14ac:dyDescent="0.35">
      <c r="AU100" t="s">
        <v>375</v>
      </c>
      <c r="AW100">
        <v>716</v>
      </c>
      <c r="AX100" t="s">
        <v>376</v>
      </c>
      <c r="AY100">
        <v>910</v>
      </c>
      <c r="AZ100" t="s">
        <v>353</v>
      </c>
      <c r="BA100">
        <v>108.843</v>
      </c>
      <c r="BB100">
        <v>209.33600000000001</v>
      </c>
      <c r="BC100">
        <v>197.786</v>
      </c>
      <c r="BD100">
        <v>153.339</v>
      </c>
      <c r="BE100">
        <v>104.042</v>
      </c>
      <c r="BF100">
        <v>37.478000000000002</v>
      </c>
      <c r="BG100">
        <v>7.1159999999999997</v>
      </c>
      <c r="BH100">
        <f t="shared" si="6"/>
        <v>0.10884300000000001</v>
      </c>
      <c r="BI100">
        <f t="shared" si="7"/>
        <v>0.20933600000000002</v>
      </c>
      <c r="BJ100">
        <f t="shared" si="8"/>
        <v>0.19778599999999999</v>
      </c>
      <c r="BK100">
        <f t="shared" si="9"/>
        <v>0.153339</v>
      </c>
      <c r="BL100">
        <v>0.17817051821369881</v>
      </c>
      <c r="BM100">
        <v>5.8560735747297303E-2</v>
      </c>
    </row>
    <row r="101" spans="47:65" x14ac:dyDescent="0.35">
      <c r="AU101" t="s">
        <v>375</v>
      </c>
      <c r="AW101">
        <v>716</v>
      </c>
      <c r="AX101" t="s">
        <v>376</v>
      </c>
      <c r="AY101">
        <v>910</v>
      </c>
      <c r="AZ101" t="s">
        <v>354</v>
      </c>
      <c r="BA101">
        <v>86.135000000000005</v>
      </c>
      <c r="BB101">
        <v>184.37100000000001</v>
      </c>
      <c r="BC101">
        <v>173.97300000000001</v>
      </c>
      <c r="BD101">
        <v>149.11000000000001</v>
      </c>
      <c r="BE101">
        <v>90.332999999999998</v>
      </c>
      <c r="BF101">
        <v>35.878</v>
      </c>
      <c r="BG101">
        <v>5.3</v>
      </c>
      <c r="BH101">
        <f t="shared" si="6"/>
        <v>8.6135000000000003E-2</v>
      </c>
      <c r="BI101">
        <f t="shared" si="7"/>
        <v>0.18437100000000001</v>
      </c>
      <c r="BJ101">
        <f t="shared" si="8"/>
        <v>0.17397300000000002</v>
      </c>
      <c r="BK101">
        <f t="shared" si="9"/>
        <v>0.14911000000000002</v>
      </c>
      <c r="BL101">
        <v>0.16267222126120137</v>
      </c>
      <c r="BM101">
        <v>4.9999284230886454E-2</v>
      </c>
    </row>
  </sheetData>
  <pageMargins left="0.7" right="0.7" top="0.75" bottom="0.75" header="0.3" footer="0.3"/>
  <pageSetup orientation="portrait" horizontalDpi="1200" verticalDpi="12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1336F-C9C3-4F12-A362-48B919B0CB12}">
  <dimension ref="A1:AV21"/>
  <sheetViews>
    <sheetView workbookViewId="0">
      <selection activeCell="L18" sqref="L18"/>
    </sheetView>
  </sheetViews>
  <sheetFormatPr defaultRowHeight="14.5" x14ac:dyDescent="0.35"/>
  <cols>
    <col min="4" max="4" width="9.7265625" bestFit="1" customWidth="1"/>
  </cols>
  <sheetData>
    <row r="1" spans="1:48" x14ac:dyDescent="0.35">
      <c r="A1" t="s">
        <v>436</v>
      </c>
    </row>
    <row r="2" spans="1:48" x14ac:dyDescent="0.35">
      <c r="A2" t="s">
        <v>4</v>
      </c>
    </row>
    <row r="3" spans="1:48" x14ac:dyDescent="0.35">
      <c r="D3" s="12">
        <v>10432409</v>
      </c>
      <c r="E3" s="12">
        <v>10681008</v>
      </c>
      <c r="F3" s="12">
        <v>10900511</v>
      </c>
      <c r="G3" s="12">
        <v>11092775.000000002</v>
      </c>
      <c r="H3" s="12">
        <v>11261752.000000002</v>
      </c>
      <c r="I3" s="12">
        <v>11410721</v>
      </c>
      <c r="J3" s="12">
        <v>11541215</v>
      </c>
      <c r="K3" s="12">
        <v>11653254.000000002</v>
      </c>
      <c r="L3" s="12">
        <v>11747079</v>
      </c>
      <c r="M3" s="12">
        <v>11822722</v>
      </c>
      <c r="N3" s="12">
        <v>11881482.000000002</v>
      </c>
      <c r="O3" s="12">
        <v>11923906</v>
      </c>
      <c r="P3" s="12">
        <v>11954293</v>
      </c>
      <c r="Q3" s="12">
        <v>11982219</v>
      </c>
      <c r="R3" s="12">
        <v>12019911</v>
      </c>
      <c r="S3" s="12">
        <v>12076697</v>
      </c>
      <c r="T3" s="12">
        <v>12155496</v>
      </c>
      <c r="U3" s="12">
        <v>12255919.999999998</v>
      </c>
      <c r="V3" s="12">
        <v>12379553.000000002</v>
      </c>
      <c r="W3" s="12">
        <v>12526964</v>
      </c>
      <c r="X3" s="12">
        <v>12697727.999999998</v>
      </c>
      <c r="Y3" s="12">
        <v>12894322.999999998</v>
      </c>
      <c r="Z3" s="12">
        <v>13115148.999999998</v>
      </c>
      <c r="AA3" s="12">
        <v>13350377.999999998</v>
      </c>
      <c r="AB3" s="12">
        <v>13586709.999999996</v>
      </c>
      <c r="AC3" s="12">
        <v>13814642</v>
      </c>
      <c r="AD3" s="12">
        <v>14030338.000000004</v>
      </c>
      <c r="AE3" s="12">
        <v>14236598.999999998</v>
      </c>
      <c r="AF3" s="12">
        <v>14438812</v>
      </c>
      <c r="AG3" s="12">
        <v>14645473</v>
      </c>
      <c r="AH3" s="12">
        <v>14862926.999999998</v>
      </c>
      <c r="AI3" s="12">
        <v>15085870.904999997</v>
      </c>
      <c r="AJ3" s="12">
        <v>15312158.968574997</v>
      </c>
      <c r="AV3" t="s">
        <v>404</v>
      </c>
    </row>
    <row r="4" spans="1:48" s="25" customFormat="1" x14ac:dyDescent="0.35">
      <c r="A4" s="3" t="s">
        <v>64</v>
      </c>
    </row>
    <row r="5" spans="1:48" s="25" customFormat="1" x14ac:dyDescent="0.35">
      <c r="C5" s="3">
        <v>1990</v>
      </c>
      <c r="D5" s="3">
        <v>1991</v>
      </c>
      <c r="E5" s="3">
        <v>1992</v>
      </c>
      <c r="F5" s="3">
        <v>1993</v>
      </c>
      <c r="G5" s="3">
        <v>1994</v>
      </c>
      <c r="H5" s="3">
        <v>1995</v>
      </c>
      <c r="I5" s="3">
        <v>1996</v>
      </c>
      <c r="J5" s="3">
        <v>1997</v>
      </c>
      <c r="K5" s="3">
        <v>1998</v>
      </c>
      <c r="L5" s="3">
        <v>1999</v>
      </c>
      <c r="M5" s="3">
        <v>2000</v>
      </c>
      <c r="N5" s="3">
        <v>2001</v>
      </c>
      <c r="O5" s="3">
        <v>2002</v>
      </c>
      <c r="P5" s="3">
        <v>2003</v>
      </c>
      <c r="Q5" s="3">
        <v>2004</v>
      </c>
      <c r="R5" s="3">
        <v>2005</v>
      </c>
      <c r="S5" s="3">
        <v>2006</v>
      </c>
      <c r="T5" s="3">
        <v>2007</v>
      </c>
      <c r="U5" s="3">
        <v>2008</v>
      </c>
      <c r="V5" s="3">
        <v>2009</v>
      </c>
      <c r="W5" s="3">
        <v>2010</v>
      </c>
      <c r="X5" s="3">
        <v>2011</v>
      </c>
      <c r="Y5" s="3">
        <v>2012</v>
      </c>
      <c r="Z5" s="3">
        <v>2013</v>
      </c>
      <c r="AA5" s="3">
        <v>2014</v>
      </c>
      <c r="AB5" s="3">
        <v>2015</v>
      </c>
      <c r="AC5" s="3">
        <v>2016</v>
      </c>
      <c r="AD5" s="3">
        <v>2017</v>
      </c>
      <c r="AE5" s="3">
        <v>2018</v>
      </c>
      <c r="AF5" s="3">
        <v>2019</v>
      </c>
      <c r="AG5" s="3">
        <v>2020</v>
      </c>
      <c r="AH5" s="3">
        <v>2021</v>
      </c>
      <c r="AI5" s="3">
        <v>2022</v>
      </c>
      <c r="AJ5" s="3">
        <v>2023</v>
      </c>
      <c r="AK5" s="3">
        <v>2024</v>
      </c>
      <c r="AL5" s="3">
        <v>2025</v>
      </c>
      <c r="AM5" s="3">
        <v>2026</v>
      </c>
      <c r="AN5" s="3">
        <v>2027</v>
      </c>
      <c r="AO5" s="3">
        <v>2028</v>
      </c>
      <c r="AP5" s="3">
        <v>2029</v>
      </c>
      <c r="AQ5" s="3">
        <v>2030</v>
      </c>
      <c r="AS5" s="3" t="s">
        <v>44</v>
      </c>
    </row>
    <row r="6" spans="1:48" s="25" customFormat="1" x14ac:dyDescent="0.35">
      <c r="B6" s="105" t="s">
        <v>45</v>
      </c>
      <c r="C6" s="106"/>
      <c r="D6" s="106"/>
      <c r="E6" s="106"/>
      <c r="F6" s="106"/>
      <c r="G6" s="106"/>
      <c r="H6" s="106"/>
      <c r="I6" s="106"/>
      <c r="J6" s="106"/>
      <c r="K6" s="106"/>
      <c r="L6" s="106"/>
      <c r="M6" s="107"/>
      <c r="N6" s="107"/>
      <c r="O6" s="107"/>
      <c r="P6" s="107"/>
      <c r="Q6" s="107"/>
      <c r="R6" s="107"/>
      <c r="S6" s="107"/>
      <c r="T6" s="108"/>
      <c r="U6" s="108"/>
      <c r="V6" s="108"/>
      <c r="W6" s="108"/>
      <c r="X6" s="108"/>
      <c r="Y6" s="108"/>
      <c r="Z6" s="108"/>
      <c r="AA6" s="107"/>
      <c r="AB6" s="107"/>
      <c r="AC6" s="107"/>
      <c r="AD6" s="107"/>
      <c r="AE6" s="107"/>
      <c r="AF6" s="107"/>
      <c r="AG6" s="107"/>
      <c r="AH6" s="27"/>
      <c r="AI6" s="27"/>
      <c r="AJ6" s="27"/>
      <c r="AK6" s="27"/>
      <c r="AL6" s="27"/>
      <c r="AM6" s="27"/>
      <c r="AN6" s="27"/>
      <c r="AO6" s="27"/>
      <c r="AP6" s="27"/>
      <c r="AQ6" s="27"/>
      <c r="AR6" s="3" t="s">
        <v>46</v>
      </c>
      <c r="AS6" s="27"/>
    </row>
    <row r="7" spans="1:48" s="25" customFormat="1" x14ac:dyDescent="0.35">
      <c r="B7" s="105" t="s">
        <v>47</v>
      </c>
      <c r="C7" s="106"/>
      <c r="D7" s="106"/>
      <c r="E7" s="106"/>
      <c r="F7" s="106"/>
      <c r="G7" s="106"/>
      <c r="H7" s="106"/>
      <c r="I7" s="106"/>
      <c r="J7" s="106"/>
      <c r="K7" s="106"/>
      <c r="L7" s="106"/>
      <c r="M7" s="28">
        <v>0.221</v>
      </c>
      <c r="N7" s="28">
        <v>0.21299999999999999</v>
      </c>
      <c r="O7" s="28">
        <v>0.20599999999999999</v>
      </c>
      <c r="P7" s="28">
        <v>0.19800000000000001</v>
      </c>
      <c r="Q7" s="28">
        <v>0.19</v>
      </c>
      <c r="R7" s="28">
        <v>0.182</v>
      </c>
      <c r="S7" s="28">
        <v>0.17499999999999999</v>
      </c>
      <c r="T7" s="28">
        <v>0.17</v>
      </c>
      <c r="U7" s="28">
        <v>0.16500000000000001</v>
      </c>
      <c r="V7" s="28">
        <v>0.161</v>
      </c>
      <c r="W7" s="28">
        <v>0.158</v>
      </c>
      <c r="X7" s="28">
        <v>0.154</v>
      </c>
      <c r="Y7" s="28">
        <v>0.151</v>
      </c>
      <c r="Z7" s="28">
        <v>0.14699999999999999</v>
      </c>
      <c r="AA7" s="28">
        <v>0.14299999999999999</v>
      </c>
      <c r="AB7" s="28">
        <v>0.13900000000000001</v>
      </c>
      <c r="AC7" s="28">
        <v>0.13500000000000001</v>
      </c>
      <c r="AD7" s="28"/>
      <c r="AE7" s="28"/>
      <c r="AF7" s="28"/>
      <c r="AG7" s="28"/>
      <c r="AH7" s="28"/>
      <c r="AI7" s="27"/>
      <c r="AJ7" s="27"/>
      <c r="AK7" s="27"/>
      <c r="AL7" s="27"/>
      <c r="AM7" s="27"/>
      <c r="AN7" s="27"/>
      <c r="AO7" s="27"/>
      <c r="AP7" s="27"/>
      <c r="AQ7" s="27"/>
      <c r="AR7" s="3" t="s">
        <v>46</v>
      </c>
      <c r="AS7" s="27"/>
    </row>
    <row r="8" spans="1:48" s="25" customFormat="1" x14ac:dyDescent="0.35">
      <c r="B8" s="105" t="s">
        <v>48</v>
      </c>
      <c r="C8" s="106"/>
      <c r="D8" s="106"/>
      <c r="E8" s="106"/>
      <c r="F8" s="106"/>
      <c r="G8" s="106"/>
      <c r="H8" s="106"/>
      <c r="I8" s="106"/>
      <c r="J8" s="106"/>
      <c r="K8" s="106"/>
      <c r="L8" s="106"/>
      <c r="M8" s="107"/>
      <c r="N8" s="107"/>
      <c r="O8" s="107"/>
      <c r="P8" s="107"/>
      <c r="Q8" s="107"/>
      <c r="R8" s="107"/>
      <c r="S8" s="107"/>
      <c r="T8" s="108"/>
      <c r="U8" s="108"/>
      <c r="V8" s="108"/>
      <c r="W8" s="108"/>
      <c r="X8" s="108"/>
      <c r="Y8" s="108"/>
      <c r="Z8" s="108"/>
      <c r="AA8" s="107"/>
      <c r="AB8" s="107"/>
      <c r="AC8" s="107"/>
      <c r="AD8" s="107"/>
      <c r="AE8" s="107"/>
      <c r="AF8" s="107"/>
      <c r="AG8" s="107"/>
      <c r="AH8" s="27"/>
      <c r="AI8" s="27"/>
      <c r="AJ8" s="27"/>
      <c r="AK8" s="27"/>
      <c r="AL8" s="27"/>
      <c r="AM8" s="27"/>
      <c r="AN8" s="27"/>
      <c r="AO8" s="27"/>
      <c r="AP8" s="27"/>
      <c r="AQ8" s="27"/>
      <c r="AR8" s="3" t="s">
        <v>46</v>
      </c>
      <c r="AS8" s="27"/>
    </row>
    <row r="9" spans="1:48" s="25" customFormat="1" x14ac:dyDescent="0.35">
      <c r="B9" s="105"/>
      <c r="C9" s="173"/>
      <c r="D9" s="173"/>
      <c r="E9" s="173"/>
      <c r="F9" s="173"/>
      <c r="G9" s="173"/>
      <c r="H9" s="173"/>
      <c r="I9" s="173"/>
      <c r="J9" s="173"/>
      <c r="K9" s="173"/>
      <c r="L9" s="173"/>
      <c r="M9" s="174"/>
      <c r="N9" s="174"/>
      <c r="O9" s="174"/>
      <c r="P9" s="174"/>
      <c r="Q9" s="174"/>
      <c r="R9" s="174"/>
      <c r="S9" s="174"/>
      <c r="T9" s="175"/>
      <c r="U9" s="175"/>
      <c r="V9" s="175"/>
      <c r="W9" s="175"/>
      <c r="X9" s="175"/>
      <c r="Y9" s="175"/>
      <c r="Z9" s="175"/>
      <c r="AA9" s="174"/>
      <c r="AB9" s="174"/>
      <c r="AC9" s="174"/>
      <c r="AD9" s="174"/>
      <c r="AE9" s="174"/>
      <c r="AF9" s="174"/>
      <c r="AG9" s="174"/>
      <c r="AH9" s="176"/>
      <c r="AI9" s="176"/>
      <c r="AJ9" s="176"/>
      <c r="AK9" s="176"/>
      <c r="AL9" s="176"/>
      <c r="AM9" s="176"/>
      <c r="AN9" s="176"/>
      <c r="AO9" s="176"/>
      <c r="AP9" s="176"/>
      <c r="AQ9" s="176"/>
      <c r="AR9" s="3"/>
      <c r="AS9" s="176"/>
    </row>
    <row r="10" spans="1:48" x14ac:dyDescent="0.35">
      <c r="A10" t="s">
        <v>440</v>
      </c>
      <c r="C10">
        <v>15.1</v>
      </c>
      <c r="D10">
        <v>18.100000000000001</v>
      </c>
      <c r="E10">
        <v>20.7</v>
      </c>
      <c r="F10">
        <v>22.7</v>
      </c>
      <c r="G10">
        <v>24.1</v>
      </c>
      <c r="H10">
        <v>24.9</v>
      </c>
      <c r="I10">
        <v>25.1</v>
      </c>
      <c r="J10">
        <v>25</v>
      </c>
      <c r="K10">
        <v>24.5</v>
      </c>
      <c r="L10">
        <v>23.8</v>
      </c>
      <c r="M10">
        <v>23</v>
      </c>
      <c r="N10">
        <v>22.1</v>
      </c>
      <c r="O10">
        <v>21</v>
      </c>
      <c r="P10">
        <v>20</v>
      </c>
      <c r="Q10">
        <v>19</v>
      </c>
      <c r="R10">
        <v>18.100000000000001</v>
      </c>
      <c r="S10">
        <v>17.3</v>
      </c>
      <c r="T10">
        <v>16.600000000000001</v>
      </c>
      <c r="U10">
        <v>16.100000000000001</v>
      </c>
      <c r="V10">
        <v>15.7</v>
      </c>
      <c r="W10">
        <v>15.4</v>
      </c>
      <c r="X10">
        <v>15.2</v>
      </c>
      <c r="Y10">
        <v>14.9</v>
      </c>
      <c r="Z10">
        <v>14.7</v>
      </c>
      <c r="AA10">
        <v>14.5</v>
      </c>
      <c r="AB10">
        <v>14.2</v>
      </c>
      <c r="AC10">
        <v>13.8</v>
      </c>
      <c r="AD10">
        <v>13.4</v>
      </c>
      <c r="AE10">
        <v>13</v>
      </c>
      <c r="AF10">
        <v>12.5</v>
      </c>
      <c r="AG10">
        <v>12.1</v>
      </c>
      <c r="AH10">
        <v>11.6</v>
      </c>
    </row>
    <row r="11" spans="1:48" x14ac:dyDescent="0.35">
      <c r="A11" t="s">
        <v>438</v>
      </c>
    </row>
    <row r="12" spans="1:48" x14ac:dyDescent="0.35">
      <c r="M12" s="12">
        <f>M3*(M10/100)</f>
        <v>2719226.06</v>
      </c>
      <c r="N12" s="12">
        <f t="shared" ref="N12:AH12" si="0">N3*(N10/100)</f>
        <v>2625807.5220000003</v>
      </c>
      <c r="O12" s="12">
        <f t="shared" si="0"/>
        <v>2504020.2599999998</v>
      </c>
      <c r="P12" s="12">
        <f t="shared" si="0"/>
        <v>2390858.6</v>
      </c>
      <c r="Q12" s="12">
        <f t="shared" si="0"/>
        <v>2276621.61</v>
      </c>
      <c r="R12" s="12">
        <f t="shared" si="0"/>
        <v>2175603.8910000003</v>
      </c>
      <c r="S12" s="12">
        <f t="shared" si="0"/>
        <v>2089268.5810000002</v>
      </c>
      <c r="T12" s="12">
        <f t="shared" si="0"/>
        <v>2017812.3360000001</v>
      </c>
      <c r="U12" s="12">
        <f t="shared" si="0"/>
        <v>1973203.1199999996</v>
      </c>
      <c r="V12" s="12">
        <f t="shared" si="0"/>
        <v>1943589.8210000002</v>
      </c>
      <c r="W12" s="12">
        <f t="shared" si="0"/>
        <v>1929152.456</v>
      </c>
      <c r="X12" s="12">
        <f t="shared" si="0"/>
        <v>1930054.6559999997</v>
      </c>
      <c r="Y12" s="12">
        <f t="shared" si="0"/>
        <v>1921254.1269999996</v>
      </c>
      <c r="Z12" s="12">
        <f t="shared" si="0"/>
        <v>1927926.9029999997</v>
      </c>
      <c r="AA12" s="12">
        <f t="shared" si="0"/>
        <v>1935804.8099999996</v>
      </c>
      <c r="AB12" s="12">
        <f t="shared" si="0"/>
        <v>1929312.8199999994</v>
      </c>
      <c r="AC12" s="12">
        <f t="shared" si="0"/>
        <v>1906420.5960000001</v>
      </c>
      <c r="AD12" s="12">
        <f t="shared" si="0"/>
        <v>1880065.2920000006</v>
      </c>
      <c r="AE12" s="12">
        <f t="shared" si="0"/>
        <v>1850757.8699999999</v>
      </c>
      <c r="AF12" s="12">
        <f t="shared" si="0"/>
        <v>1804851.5</v>
      </c>
      <c r="AG12" s="12">
        <f t="shared" si="0"/>
        <v>1772102.233</v>
      </c>
      <c r="AH12" s="12">
        <f t="shared" si="0"/>
        <v>1724099.5319999997</v>
      </c>
    </row>
    <row r="13" spans="1:48" x14ac:dyDescent="0.35">
      <c r="A13" t="s">
        <v>437</v>
      </c>
    </row>
    <row r="14" spans="1:48" x14ac:dyDescent="0.35">
      <c r="C14" s="4">
        <v>1990</v>
      </c>
      <c r="D14" s="4">
        <v>1991</v>
      </c>
      <c r="E14" s="4">
        <v>1992</v>
      </c>
      <c r="F14" s="4">
        <v>1993</v>
      </c>
      <c r="G14" s="4">
        <v>1994</v>
      </c>
      <c r="H14" s="4">
        <v>1995</v>
      </c>
      <c r="I14" s="4">
        <v>1996</v>
      </c>
      <c r="J14" s="4">
        <v>1997</v>
      </c>
      <c r="K14" s="4">
        <v>1998</v>
      </c>
      <c r="L14" s="4">
        <v>1999</v>
      </c>
      <c r="M14" s="4">
        <v>2000</v>
      </c>
      <c r="N14" s="4">
        <v>2001</v>
      </c>
      <c r="O14" s="4">
        <v>2002</v>
      </c>
      <c r="P14" s="4">
        <v>2003</v>
      </c>
      <c r="Q14" s="4">
        <v>2004</v>
      </c>
      <c r="R14" s="4">
        <v>2005</v>
      </c>
      <c r="S14" s="4">
        <v>2006</v>
      </c>
      <c r="T14" s="4">
        <v>2007</v>
      </c>
      <c r="U14" s="4">
        <v>2008</v>
      </c>
      <c r="V14" s="4">
        <v>2009</v>
      </c>
      <c r="W14" s="4">
        <v>2010</v>
      </c>
      <c r="X14" s="4">
        <v>2011</v>
      </c>
      <c r="Y14" s="4">
        <v>2012</v>
      </c>
      <c r="Z14" s="4">
        <v>2013</v>
      </c>
      <c r="AA14" s="4">
        <v>2014</v>
      </c>
      <c r="AB14" s="4">
        <v>2015</v>
      </c>
      <c r="AC14" s="4">
        <v>2016</v>
      </c>
      <c r="AD14" s="4">
        <v>2017</v>
      </c>
      <c r="AE14" s="4">
        <v>2018</v>
      </c>
      <c r="AF14" s="4">
        <v>2019</v>
      </c>
      <c r="AG14" s="4">
        <v>2020</v>
      </c>
      <c r="AH14" s="4">
        <v>2021</v>
      </c>
      <c r="AI14" s="4">
        <v>2022</v>
      </c>
      <c r="AJ14" s="4">
        <v>2023</v>
      </c>
      <c r="AK14" s="4">
        <v>2024</v>
      </c>
      <c r="AL14" s="4">
        <v>2025</v>
      </c>
      <c r="AM14" s="4">
        <v>2026</v>
      </c>
      <c r="AN14" s="4">
        <v>2027</v>
      </c>
      <c r="AO14" s="4">
        <v>2028</v>
      </c>
      <c r="AP14" s="4">
        <v>2029</v>
      </c>
      <c r="AQ14" s="4">
        <v>2030</v>
      </c>
      <c r="AS14" s="4" t="s">
        <v>44</v>
      </c>
      <c r="AU14" t="s">
        <v>255</v>
      </c>
    </row>
    <row r="15" spans="1:48" x14ac:dyDescent="0.35">
      <c r="B15" s="4" t="s">
        <v>57</v>
      </c>
      <c r="C15" s="5">
        <v>0</v>
      </c>
      <c r="D15" s="5">
        <v>0</v>
      </c>
      <c r="E15" s="5">
        <v>0</v>
      </c>
      <c r="F15" s="5">
        <v>0</v>
      </c>
      <c r="G15" s="5">
        <v>0</v>
      </c>
      <c r="H15" s="5">
        <v>0</v>
      </c>
      <c r="I15" s="5">
        <v>0</v>
      </c>
      <c r="J15" s="5">
        <v>0</v>
      </c>
      <c r="K15" s="5">
        <v>0</v>
      </c>
      <c r="L15" s="5">
        <v>0</v>
      </c>
      <c r="M15" s="5">
        <v>0</v>
      </c>
      <c r="N15" s="5"/>
      <c r="O15" s="5"/>
      <c r="P15" s="11">
        <v>136</v>
      </c>
      <c r="Q15" s="11">
        <v>11599</v>
      </c>
      <c r="R15" s="11">
        <v>27278</v>
      </c>
      <c r="S15" s="11">
        <v>58840</v>
      </c>
      <c r="T15" s="11">
        <v>97748</v>
      </c>
      <c r="U15" s="11">
        <v>146025</v>
      </c>
      <c r="V15" s="11">
        <v>216508</v>
      </c>
      <c r="W15" s="11">
        <v>356027</v>
      </c>
      <c r="X15" s="11">
        <v>475858</v>
      </c>
      <c r="Y15" s="11">
        <v>565675</v>
      </c>
      <c r="Z15" s="11">
        <v>655199</v>
      </c>
      <c r="AA15" s="11">
        <v>787980</v>
      </c>
      <c r="AB15" s="11">
        <v>879271</v>
      </c>
      <c r="AC15" s="11">
        <v>975667</v>
      </c>
      <c r="AD15" s="11">
        <v>1119909</v>
      </c>
      <c r="AE15" s="11">
        <v>1150079</v>
      </c>
      <c r="AF15" s="158">
        <v>1146532</v>
      </c>
      <c r="AG15" s="158">
        <v>1184901</v>
      </c>
      <c r="AH15" s="158">
        <v>1188636</v>
      </c>
      <c r="AI15" s="5"/>
      <c r="AJ15" s="5"/>
      <c r="AK15" s="5"/>
      <c r="AL15" s="5"/>
      <c r="AM15" s="5"/>
      <c r="AN15" s="5"/>
      <c r="AO15" s="5"/>
      <c r="AP15" s="5"/>
      <c r="AQ15" s="5"/>
      <c r="AR15" s="6" t="s">
        <v>46</v>
      </c>
      <c r="AS15" s="5"/>
    </row>
    <row r="16" spans="1:48" x14ac:dyDescent="0.35">
      <c r="A16" t="s">
        <v>439</v>
      </c>
    </row>
    <row r="17" spans="1:34" x14ac:dyDescent="0.35">
      <c r="M17">
        <f>M15/M12</f>
        <v>0</v>
      </c>
      <c r="N17">
        <f t="shared" ref="N17:AH17" si="1">N15/N12</f>
        <v>0</v>
      </c>
      <c r="O17">
        <f t="shared" si="1"/>
        <v>0</v>
      </c>
      <c r="P17">
        <f t="shared" si="1"/>
        <v>5.688333053238698E-5</v>
      </c>
      <c r="Q17">
        <f t="shared" si="1"/>
        <v>5.094829966056591E-3</v>
      </c>
      <c r="R17">
        <f t="shared" si="1"/>
        <v>1.2538127971200616E-2</v>
      </c>
      <c r="S17">
        <f t="shared" si="1"/>
        <v>2.8162965994461577E-2</v>
      </c>
      <c r="T17">
        <f t="shared" si="1"/>
        <v>4.8442562400907038E-2</v>
      </c>
      <c r="U17">
        <f t="shared" si="1"/>
        <v>7.4004038671903194E-2</v>
      </c>
      <c r="V17">
        <f t="shared" si="1"/>
        <v>0.11139593223872928</v>
      </c>
      <c r="W17">
        <f t="shared" si="1"/>
        <v>0.18455099227263974</v>
      </c>
      <c r="X17">
        <f t="shared" si="1"/>
        <v>0.24655156708681314</v>
      </c>
      <c r="Y17">
        <f t="shared" si="1"/>
        <v>0.29443007671415666</v>
      </c>
      <c r="Z17">
        <f t="shared" si="1"/>
        <v>0.33984639095002045</v>
      </c>
      <c r="AA17">
        <f t="shared" si="1"/>
        <v>0.40705550266713109</v>
      </c>
      <c r="AB17">
        <f t="shared" si="1"/>
        <v>0.45574309717176931</v>
      </c>
      <c r="AC17">
        <f t="shared" si="1"/>
        <v>0.51177951080003958</v>
      </c>
      <c r="AD17">
        <f t="shared" si="1"/>
        <v>0.59567558890928118</v>
      </c>
      <c r="AE17">
        <f t="shared" si="1"/>
        <v>0.62140975793878428</v>
      </c>
      <c r="AF17">
        <f t="shared" si="1"/>
        <v>0.63525004688751396</v>
      </c>
      <c r="AG17">
        <f t="shared" si="1"/>
        <v>0.66864144626355759</v>
      </c>
      <c r="AH17">
        <f t="shared" si="1"/>
        <v>0.68942423447047274</v>
      </c>
    </row>
    <row r="19" spans="1:34" x14ac:dyDescent="0.35">
      <c r="A19" t="s">
        <v>441</v>
      </c>
    </row>
    <row r="21" spans="1:34" x14ac:dyDescent="0.35">
      <c r="M21">
        <v>0</v>
      </c>
      <c r="N21">
        <v>0</v>
      </c>
      <c r="O21">
        <v>0</v>
      </c>
      <c r="P21">
        <v>0</v>
      </c>
      <c r="Q21">
        <v>1</v>
      </c>
      <c r="R21">
        <v>2</v>
      </c>
      <c r="S21">
        <v>5</v>
      </c>
      <c r="T21">
        <v>8</v>
      </c>
      <c r="U21">
        <v>12</v>
      </c>
      <c r="V21">
        <v>18</v>
      </c>
      <c r="W21">
        <v>29</v>
      </c>
      <c r="X21">
        <v>39</v>
      </c>
      <c r="Y21">
        <v>45</v>
      </c>
      <c r="Z21">
        <v>52</v>
      </c>
      <c r="AA21">
        <v>58</v>
      </c>
      <c r="AB21">
        <v>64</v>
      </c>
      <c r="AC21">
        <v>70</v>
      </c>
      <c r="AD21">
        <v>79</v>
      </c>
      <c r="AE21">
        <v>82</v>
      </c>
      <c r="AF21">
        <v>87</v>
      </c>
      <c r="AG21">
        <v>91</v>
      </c>
      <c r="AH21">
        <v>91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U96"/>
  <sheetViews>
    <sheetView topLeftCell="L10" zoomScale="80" zoomScaleNormal="80" workbookViewId="0">
      <selection activeCell="AI20" sqref="AI20"/>
    </sheetView>
  </sheetViews>
  <sheetFormatPr defaultColWidth="8.81640625" defaultRowHeight="14.5" x14ac:dyDescent="0.35"/>
  <cols>
    <col min="1" max="1" width="2.81640625" style="25" customWidth="1"/>
    <col min="2" max="2" width="4.81640625" style="25" bestFit="1" customWidth="1"/>
    <col min="3" max="3" width="11" style="25" customWidth="1"/>
    <col min="4" max="4" width="11.453125" style="25" customWidth="1"/>
    <col min="5" max="5" width="11" style="25" customWidth="1"/>
    <col min="6" max="6" width="10.1796875" style="25" customWidth="1"/>
    <col min="7" max="7" width="11.1796875" style="25" customWidth="1"/>
    <col min="8" max="8" width="10.453125" style="25" customWidth="1"/>
    <col min="9" max="9" width="10" style="25" customWidth="1"/>
    <col min="10" max="11" width="11.7265625" style="25" customWidth="1"/>
    <col min="12" max="12" width="8.26953125" style="25" customWidth="1"/>
    <col min="13" max="13" width="10" style="25" customWidth="1"/>
    <col min="14" max="14" width="11.26953125" style="25" customWidth="1"/>
    <col min="15" max="15" width="11.1796875" style="25" customWidth="1"/>
    <col min="16" max="16" width="12.1796875" style="25" customWidth="1"/>
    <col min="17" max="17" width="12" style="25" customWidth="1"/>
    <col min="18" max="18" width="12.453125" style="25" customWidth="1"/>
    <col min="19" max="19" width="9.7265625" style="25" customWidth="1"/>
    <col min="20" max="21" width="11.453125" style="25" customWidth="1"/>
    <col min="22" max="22" width="10.1796875" style="25" customWidth="1"/>
    <col min="23" max="31" width="9.1796875" style="25" bestFit="1" customWidth="1"/>
    <col min="32" max="32" width="11.26953125" style="25" customWidth="1"/>
    <col min="33" max="33" width="10.7265625" style="25" customWidth="1"/>
    <col min="34" max="34" width="9.81640625" style="25" bestFit="1" customWidth="1"/>
    <col min="35" max="35" width="7.1796875" style="25" bestFit="1" customWidth="1"/>
    <col min="36" max="43" width="5.1796875" style="25" bestFit="1" customWidth="1"/>
    <col min="44" max="44" width="3.453125" style="25" bestFit="1" customWidth="1"/>
    <col min="45" max="45" width="11.1796875" style="25" bestFit="1" customWidth="1"/>
    <col min="46" max="46" width="8.81640625" style="25"/>
    <col min="47" max="47" width="23.453125" style="25" bestFit="1" customWidth="1"/>
    <col min="48" max="16384" width="8.81640625" style="25"/>
  </cols>
  <sheetData>
    <row r="1" spans="1:45" x14ac:dyDescent="0.35">
      <c r="A1" s="3" t="s">
        <v>61</v>
      </c>
    </row>
    <row r="2" spans="1:45" x14ac:dyDescent="0.35">
      <c r="C2" s="3">
        <v>1990</v>
      </c>
      <c r="D2" s="3">
        <v>1991</v>
      </c>
      <c r="E2" s="3">
        <v>1992</v>
      </c>
      <c r="F2" s="3">
        <v>1993</v>
      </c>
      <c r="G2" s="3">
        <v>1994</v>
      </c>
      <c r="H2" s="3">
        <v>1995</v>
      </c>
      <c r="I2" s="3">
        <v>1996</v>
      </c>
      <c r="J2" s="3">
        <v>1997</v>
      </c>
      <c r="K2" s="3">
        <v>1998</v>
      </c>
      <c r="L2" s="3">
        <v>1999</v>
      </c>
      <c r="M2" s="3">
        <v>2000</v>
      </c>
      <c r="N2" s="3">
        <v>2001</v>
      </c>
      <c r="O2" s="3">
        <v>2002</v>
      </c>
      <c r="P2" s="3">
        <v>2003</v>
      </c>
      <c r="Q2" s="3">
        <v>2004</v>
      </c>
      <c r="R2" s="3">
        <v>2005</v>
      </c>
      <c r="S2" s="3">
        <v>2006</v>
      </c>
      <c r="T2" s="3">
        <v>2007</v>
      </c>
      <c r="U2" s="3">
        <v>2008</v>
      </c>
      <c r="V2" s="3">
        <v>2009</v>
      </c>
      <c r="W2" s="3">
        <v>2010</v>
      </c>
      <c r="X2" s="3">
        <v>2011</v>
      </c>
      <c r="Y2" s="3">
        <v>2012</v>
      </c>
      <c r="Z2" s="3">
        <v>2013</v>
      </c>
      <c r="AA2" s="3">
        <v>2014</v>
      </c>
      <c r="AB2" s="3">
        <v>2015</v>
      </c>
      <c r="AC2" s="3">
        <v>2016</v>
      </c>
      <c r="AD2" s="3">
        <v>2017</v>
      </c>
      <c r="AE2" s="3">
        <v>2018</v>
      </c>
      <c r="AF2" s="3">
        <v>2019</v>
      </c>
      <c r="AG2" s="3">
        <v>2020</v>
      </c>
      <c r="AH2" s="3">
        <v>2021</v>
      </c>
      <c r="AI2" s="3">
        <v>2022</v>
      </c>
      <c r="AJ2" s="3">
        <v>2023</v>
      </c>
      <c r="AK2" s="3">
        <v>2024</v>
      </c>
      <c r="AL2" s="3">
        <v>2025</v>
      </c>
      <c r="AM2" s="3">
        <v>2026</v>
      </c>
      <c r="AN2" s="3">
        <v>2027</v>
      </c>
      <c r="AO2" s="3">
        <v>2028</v>
      </c>
      <c r="AP2" s="3">
        <v>2029</v>
      </c>
      <c r="AQ2" s="3">
        <v>2030</v>
      </c>
      <c r="AS2" s="3" t="s">
        <v>44</v>
      </c>
    </row>
    <row r="3" spans="1:45" x14ac:dyDescent="0.35">
      <c r="B3" s="105" t="s">
        <v>45</v>
      </c>
      <c r="C3" s="106"/>
      <c r="D3" s="106"/>
      <c r="E3" s="106"/>
      <c r="F3" s="106"/>
      <c r="G3" s="106"/>
      <c r="H3" s="106"/>
      <c r="I3" s="106"/>
      <c r="J3" s="106"/>
      <c r="K3" s="106"/>
      <c r="L3" s="106"/>
      <c r="M3" s="106"/>
      <c r="N3" s="106"/>
      <c r="O3" s="106"/>
      <c r="P3" s="106"/>
      <c r="Q3" s="106"/>
      <c r="R3" s="106"/>
      <c r="S3" s="106"/>
      <c r="T3" s="106"/>
      <c r="U3" s="106"/>
      <c r="V3" s="106"/>
      <c r="W3" s="106"/>
      <c r="X3" s="106"/>
      <c r="Y3" s="106"/>
      <c r="Z3" s="106"/>
      <c r="AA3" s="125">
        <v>1756524</v>
      </c>
      <c r="AB3" s="106"/>
      <c r="AC3" s="106"/>
      <c r="AD3" s="106"/>
      <c r="AE3" s="106"/>
      <c r="AF3" s="106"/>
      <c r="AG3" s="106"/>
      <c r="AH3" s="106"/>
      <c r="AI3" s="106"/>
      <c r="AJ3" s="106"/>
      <c r="AK3" s="106"/>
      <c r="AL3" s="106"/>
      <c r="AM3" s="106"/>
      <c r="AN3" s="106"/>
      <c r="AO3" s="106"/>
      <c r="AP3" s="106"/>
      <c r="AQ3" s="106"/>
      <c r="AR3" s="3" t="s">
        <v>46</v>
      </c>
      <c r="AS3" s="27"/>
    </row>
    <row r="4" spans="1:45" x14ac:dyDescent="0.35">
      <c r="B4" s="105" t="s">
        <v>47</v>
      </c>
      <c r="C4" s="106"/>
      <c r="D4" s="106"/>
      <c r="E4" s="106"/>
      <c r="F4" s="106"/>
      <c r="G4" s="106"/>
      <c r="H4" s="106"/>
      <c r="I4" s="106"/>
      <c r="J4" s="106"/>
      <c r="K4" s="106"/>
      <c r="L4" s="106"/>
      <c r="M4" s="106"/>
      <c r="N4" s="106"/>
      <c r="O4" s="106"/>
      <c r="P4" s="106"/>
      <c r="Q4" s="106"/>
      <c r="R4" s="106"/>
      <c r="S4" s="106"/>
      <c r="T4" s="106">
        <v>579767</v>
      </c>
      <c r="U4" s="106"/>
      <c r="V4" s="106">
        <v>1108264</v>
      </c>
      <c r="W4" s="106"/>
      <c r="X4" s="125">
        <v>1656719</v>
      </c>
      <c r="Y4" s="106">
        <v>2240344</v>
      </c>
      <c r="Z4" s="106">
        <v>2274328</v>
      </c>
      <c r="AA4" s="106">
        <v>1755179</v>
      </c>
      <c r="AB4" s="125">
        <v>2201250</v>
      </c>
      <c r="AC4" s="125">
        <v>2664844</v>
      </c>
      <c r="AD4" s="125">
        <v>3174630</v>
      </c>
      <c r="AE4" s="125">
        <v>3011027</v>
      </c>
      <c r="AF4" s="125">
        <v>2382768</v>
      </c>
      <c r="AG4" s="125">
        <v>1521942</v>
      </c>
      <c r="AH4" s="106"/>
      <c r="AI4" s="106"/>
      <c r="AJ4" s="106"/>
      <c r="AK4" s="106"/>
      <c r="AL4" s="106"/>
      <c r="AM4" s="106"/>
      <c r="AN4" s="106"/>
      <c r="AO4" s="106"/>
      <c r="AP4" s="106"/>
      <c r="AQ4" s="106"/>
      <c r="AR4" s="3" t="s">
        <v>46</v>
      </c>
      <c r="AS4" s="27"/>
    </row>
    <row r="5" spans="1:45" x14ac:dyDescent="0.35">
      <c r="B5" s="105" t="s">
        <v>48</v>
      </c>
      <c r="C5" s="106"/>
      <c r="D5" s="106"/>
      <c r="E5" s="106"/>
      <c r="F5" s="106"/>
      <c r="G5" s="106"/>
      <c r="H5" s="106"/>
      <c r="I5" s="106"/>
      <c r="J5" s="106"/>
      <c r="K5" s="106"/>
      <c r="L5" s="106"/>
      <c r="M5" s="106"/>
      <c r="N5" s="106"/>
      <c r="O5" s="106"/>
      <c r="P5" s="106"/>
      <c r="Q5" s="106"/>
      <c r="R5" s="106"/>
      <c r="S5" s="106"/>
      <c r="T5" s="106"/>
      <c r="U5" s="106"/>
      <c r="V5" s="106"/>
      <c r="W5" s="106"/>
      <c r="X5" s="106"/>
      <c r="Y5" s="125">
        <v>1868842</v>
      </c>
      <c r="Z5" s="125">
        <v>1430246</v>
      </c>
      <c r="AA5" s="106"/>
      <c r="AB5" s="106"/>
      <c r="AC5" s="106"/>
      <c r="AD5" s="106"/>
      <c r="AE5" s="106"/>
      <c r="AF5" s="106"/>
      <c r="AG5" s="106"/>
      <c r="AH5" s="106"/>
      <c r="AI5" s="106"/>
      <c r="AJ5" s="106"/>
      <c r="AK5" s="106"/>
      <c r="AL5" s="106"/>
      <c r="AM5" s="106"/>
      <c r="AN5" s="106"/>
      <c r="AO5" s="106"/>
      <c r="AP5" s="106"/>
      <c r="AQ5" s="106"/>
      <c r="AR5" s="3" t="s">
        <v>46</v>
      </c>
      <c r="AS5" s="27"/>
    </row>
    <row r="9" spans="1:45" x14ac:dyDescent="0.35">
      <c r="A9" s="3" t="s">
        <v>62</v>
      </c>
    </row>
    <row r="10" spans="1:45" x14ac:dyDescent="0.35">
      <c r="C10" s="3">
        <v>1990</v>
      </c>
      <c r="D10" s="3">
        <v>1991</v>
      </c>
      <c r="E10" s="3">
        <v>1992</v>
      </c>
      <c r="F10" s="3">
        <v>1993</v>
      </c>
      <c r="G10" s="3">
        <v>1994</v>
      </c>
      <c r="H10" s="3">
        <v>1995</v>
      </c>
      <c r="I10" s="3">
        <v>1996</v>
      </c>
      <c r="J10" s="3">
        <v>1997</v>
      </c>
      <c r="K10" s="3">
        <v>1998</v>
      </c>
      <c r="L10" s="3">
        <v>1999</v>
      </c>
      <c r="M10" s="3">
        <v>2000</v>
      </c>
      <c r="N10" s="3">
        <v>2001</v>
      </c>
      <c r="O10" s="3">
        <v>2002</v>
      </c>
      <c r="P10" s="3">
        <v>2003</v>
      </c>
      <c r="Q10" s="3">
        <v>2004</v>
      </c>
      <c r="R10" s="3">
        <v>2005</v>
      </c>
      <c r="S10" s="3">
        <v>2006</v>
      </c>
      <c r="T10" s="3">
        <v>2007</v>
      </c>
      <c r="U10" s="3">
        <v>2008</v>
      </c>
      <c r="V10" s="3">
        <v>2009</v>
      </c>
      <c r="W10" s="3">
        <v>2010</v>
      </c>
      <c r="X10" s="3">
        <v>2011</v>
      </c>
      <c r="Y10" s="3">
        <v>2012</v>
      </c>
      <c r="Z10" s="3">
        <v>2013</v>
      </c>
      <c r="AA10" s="3">
        <v>2014</v>
      </c>
      <c r="AB10" s="3">
        <v>2015</v>
      </c>
      <c r="AC10" s="3">
        <v>2016</v>
      </c>
      <c r="AD10" s="3">
        <v>2017</v>
      </c>
      <c r="AE10" s="3">
        <v>2018</v>
      </c>
      <c r="AF10" s="3">
        <v>2019</v>
      </c>
      <c r="AG10" s="3">
        <v>2020</v>
      </c>
      <c r="AH10" s="3">
        <v>2021</v>
      </c>
      <c r="AI10" s="3">
        <v>2022</v>
      </c>
      <c r="AJ10" s="3">
        <v>2023</v>
      </c>
      <c r="AK10" s="3">
        <v>2024</v>
      </c>
      <c r="AL10" s="3">
        <v>2025</v>
      </c>
      <c r="AM10" s="3">
        <v>2026</v>
      </c>
      <c r="AN10" s="3">
        <v>2027</v>
      </c>
      <c r="AO10" s="3">
        <v>2028</v>
      </c>
      <c r="AP10" s="3">
        <v>2029</v>
      </c>
      <c r="AQ10" s="3">
        <v>2030</v>
      </c>
      <c r="AS10" s="3" t="s">
        <v>44</v>
      </c>
    </row>
    <row r="11" spans="1:45" x14ac:dyDescent="0.35">
      <c r="B11" s="105" t="s">
        <v>45</v>
      </c>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3" t="s">
        <v>46</v>
      </c>
      <c r="AS11" s="27"/>
    </row>
    <row r="12" spans="1:45" x14ac:dyDescent="0.35">
      <c r="B12" s="105" t="s">
        <v>47</v>
      </c>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v>36377</v>
      </c>
      <c r="AE12" s="106"/>
      <c r="AF12" s="106"/>
      <c r="AG12" s="106"/>
      <c r="AH12" s="106"/>
      <c r="AI12" s="106"/>
      <c r="AJ12" s="106"/>
      <c r="AK12" s="106"/>
      <c r="AL12" s="106"/>
      <c r="AM12" s="106"/>
      <c r="AN12" s="106"/>
      <c r="AO12" s="106"/>
      <c r="AP12" s="106"/>
      <c r="AQ12" s="106"/>
      <c r="AR12" s="3" t="s">
        <v>46</v>
      </c>
      <c r="AS12" s="27"/>
    </row>
    <row r="13" spans="1:45" x14ac:dyDescent="0.35">
      <c r="B13" s="105" t="s">
        <v>48</v>
      </c>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3" t="s">
        <v>46</v>
      </c>
      <c r="AS13" s="27"/>
    </row>
    <row r="17" spans="1:45" x14ac:dyDescent="0.35">
      <c r="A17" s="3" t="s">
        <v>63</v>
      </c>
    </row>
    <row r="18" spans="1:45" x14ac:dyDescent="0.35">
      <c r="C18" s="3">
        <v>1990</v>
      </c>
      <c r="D18" s="3">
        <v>1991</v>
      </c>
      <c r="E18" s="3">
        <v>1992</v>
      </c>
      <c r="F18" s="3">
        <v>1993</v>
      </c>
      <c r="G18" s="3">
        <v>1994</v>
      </c>
      <c r="H18" s="3">
        <v>1995</v>
      </c>
      <c r="I18" s="3">
        <v>1996</v>
      </c>
      <c r="J18" s="3">
        <v>1997</v>
      </c>
      <c r="K18" s="3">
        <v>1998</v>
      </c>
      <c r="L18" s="3">
        <v>1999</v>
      </c>
      <c r="M18" s="3">
        <v>2000</v>
      </c>
      <c r="N18" s="3">
        <v>2001</v>
      </c>
      <c r="O18" s="3">
        <v>2002</v>
      </c>
      <c r="P18" s="3">
        <v>2003</v>
      </c>
      <c r="Q18" s="3">
        <v>2004</v>
      </c>
      <c r="R18" s="3">
        <v>2005</v>
      </c>
      <c r="S18" s="3">
        <v>2006</v>
      </c>
      <c r="T18" s="3">
        <v>2007</v>
      </c>
      <c r="U18" s="3">
        <v>2008</v>
      </c>
      <c r="V18" s="3">
        <v>2009</v>
      </c>
      <c r="W18" s="3">
        <v>2010</v>
      </c>
      <c r="X18" s="3">
        <v>2011</v>
      </c>
      <c r="Y18" s="3">
        <v>2012</v>
      </c>
      <c r="Z18" s="3">
        <v>2013</v>
      </c>
      <c r="AA18" s="3">
        <v>2014</v>
      </c>
      <c r="AB18" s="3">
        <v>2015</v>
      </c>
      <c r="AC18" s="3">
        <v>2016</v>
      </c>
      <c r="AD18" s="3">
        <v>2017</v>
      </c>
      <c r="AE18" s="3">
        <v>2018</v>
      </c>
      <c r="AF18" s="3">
        <v>2019</v>
      </c>
      <c r="AG18" s="3">
        <v>2020</v>
      </c>
      <c r="AH18" s="3">
        <v>2021</v>
      </c>
      <c r="AI18" s="3">
        <v>2022</v>
      </c>
      <c r="AJ18" s="3">
        <v>2023</v>
      </c>
      <c r="AK18" s="3">
        <v>2024</v>
      </c>
      <c r="AL18" s="3">
        <v>2025</v>
      </c>
      <c r="AM18" s="3">
        <v>2026</v>
      </c>
      <c r="AN18" s="3">
        <v>2027</v>
      </c>
      <c r="AO18" s="3">
        <v>2028</v>
      </c>
      <c r="AP18" s="3">
        <v>2029</v>
      </c>
      <c r="AQ18" s="3">
        <v>2030</v>
      </c>
      <c r="AS18" s="3" t="s">
        <v>44</v>
      </c>
    </row>
    <row r="19" spans="1:45" x14ac:dyDescent="0.35">
      <c r="B19" s="105" t="s">
        <v>45</v>
      </c>
      <c r="C19" s="106">
        <v>290000</v>
      </c>
      <c r="D19" s="106">
        <v>310000</v>
      </c>
      <c r="E19" s="106">
        <v>310000</v>
      </c>
      <c r="F19" s="106">
        <v>290000</v>
      </c>
      <c r="G19" s="106">
        <v>270000</v>
      </c>
      <c r="H19" s="106">
        <v>250000</v>
      </c>
      <c r="I19" s="106">
        <v>230000</v>
      </c>
      <c r="J19" s="106">
        <v>210000</v>
      </c>
      <c r="K19" s="106">
        <v>200000</v>
      </c>
      <c r="L19" s="106">
        <v>180000</v>
      </c>
      <c r="M19" s="106">
        <v>160000</v>
      </c>
      <c r="N19" s="106">
        <v>150000</v>
      </c>
      <c r="O19" s="106">
        <v>130000</v>
      </c>
      <c r="P19" s="106">
        <v>130000</v>
      </c>
      <c r="Q19" s="106">
        <v>120000</v>
      </c>
      <c r="R19" s="106">
        <v>110000</v>
      </c>
      <c r="S19" s="106">
        <v>110000</v>
      </c>
      <c r="T19" s="106">
        <v>99000</v>
      </c>
      <c r="U19" s="106">
        <v>92000</v>
      </c>
      <c r="V19" s="106">
        <v>88000</v>
      </c>
      <c r="W19" s="106">
        <v>83000</v>
      </c>
      <c r="X19" s="106">
        <v>76000</v>
      </c>
      <c r="Y19" s="106">
        <v>66000</v>
      </c>
      <c r="Z19" s="106">
        <v>64000</v>
      </c>
      <c r="AA19" s="106">
        <v>61000</v>
      </c>
      <c r="AB19" s="106">
        <v>59000</v>
      </c>
      <c r="AC19" s="106">
        <v>57000</v>
      </c>
      <c r="AD19" s="106">
        <v>47000</v>
      </c>
      <c r="AE19" s="125">
        <v>37000</v>
      </c>
      <c r="AF19" s="125">
        <v>32000</v>
      </c>
      <c r="AG19" s="125">
        <v>28000</v>
      </c>
      <c r="AH19" s="106">
        <v>26000</v>
      </c>
      <c r="AI19" s="106">
        <v>24000</v>
      </c>
      <c r="AJ19" s="106"/>
      <c r="AK19" s="106"/>
      <c r="AL19" s="106"/>
      <c r="AM19" s="106"/>
      <c r="AN19" s="106"/>
      <c r="AO19" s="106"/>
      <c r="AP19" s="106"/>
      <c r="AQ19" s="106"/>
      <c r="AR19" s="3" t="s">
        <v>46</v>
      </c>
      <c r="AS19" s="27"/>
    </row>
    <row r="20" spans="1:45" x14ac:dyDescent="0.35">
      <c r="B20" s="105" t="s">
        <v>47</v>
      </c>
      <c r="C20" s="106">
        <v>210000</v>
      </c>
      <c r="D20" s="106">
        <v>220000</v>
      </c>
      <c r="E20" s="106">
        <v>220000</v>
      </c>
      <c r="F20" s="106">
        <v>210000</v>
      </c>
      <c r="G20" s="106">
        <v>200000</v>
      </c>
      <c r="H20" s="106">
        <v>180000</v>
      </c>
      <c r="I20" s="106">
        <v>160000</v>
      </c>
      <c r="J20" s="106">
        <v>150000</v>
      </c>
      <c r="K20" s="106">
        <v>140000</v>
      </c>
      <c r="L20" s="106">
        <v>130000</v>
      </c>
      <c r="M20" s="106">
        <v>120000</v>
      </c>
      <c r="N20" s="106">
        <v>110000</v>
      </c>
      <c r="O20" s="106">
        <v>100000</v>
      </c>
      <c r="P20" s="106">
        <v>94000</v>
      </c>
      <c r="Q20" s="106">
        <v>89000</v>
      </c>
      <c r="R20" s="106">
        <v>83000</v>
      </c>
      <c r="S20" s="106">
        <v>78000</v>
      </c>
      <c r="T20" s="106">
        <v>74000</v>
      </c>
      <c r="U20" s="106">
        <v>69000</v>
      </c>
      <c r="V20" s="106">
        <v>65000</v>
      </c>
      <c r="W20" s="106">
        <v>62000</v>
      </c>
      <c r="X20" s="106">
        <v>56000</v>
      </c>
      <c r="Y20" s="106">
        <v>49000</v>
      </c>
      <c r="Z20" s="106">
        <v>47000</v>
      </c>
      <c r="AA20" s="106">
        <v>45000</v>
      </c>
      <c r="AB20" s="106">
        <v>44000</v>
      </c>
      <c r="AC20" s="106">
        <v>43000</v>
      </c>
      <c r="AD20" s="106">
        <v>34000</v>
      </c>
      <c r="AE20" s="125">
        <v>27000</v>
      </c>
      <c r="AF20" s="125">
        <v>23000</v>
      </c>
      <c r="AG20" s="125">
        <v>20000</v>
      </c>
      <c r="AH20" s="106">
        <v>19000</v>
      </c>
      <c r="AI20" s="106">
        <v>17000</v>
      </c>
      <c r="AJ20" s="106"/>
      <c r="AK20" s="106"/>
      <c r="AL20" s="106"/>
      <c r="AM20" s="106"/>
      <c r="AN20" s="106"/>
      <c r="AO20" s="106"/>
      <c r="AP20" s="106"/>
      <c r="AQ20" s="106"/>
      <c r="AR20" s="3" t="s">
        <v>46</v>
      </c>
      <c r="AS20" s="27"/>
    </row>
    <row r="21" spans="1:45" x14ac:dyDescent="0.35">
      <c r="B21" s="105" t="s">
        <v>48</v>
      </c>
      <c r="C21" s="106">
        <v>150000</v>
      </c>
      <c r="D21" s="106">
        <v>160000</v>
      </c>
      <c r="E21" s="106">
        <v>160000</v>
      </c>
      <c r="F21" s="106">
        <v>150000</v>
      </c>
      <c r="G21" s="106">
        <v>140000</v>
      </c>
      <c r="H21" s="106">
        <v>130000</v>
      </c>
      <c r="I21" s="106">
        <v>120000</v>
      </c>
      <c r="J21" s="106">
        <v>110000</v>
      </c>
      <c r="K21" s="106">
        <v>10000</v>
      </c>
      <c r="L21" s="106">
        <v>92000</v>
      </c>
      <c r="M21" s="106">
        <v>84000</v>
      </c>
      <c r="N21" s="106">
        <v>79000</v>
      </c>
      <c r="O21" s="106">
        <v>73000</v>
      </c>
      <c r="P21" s="106">
        <v>68000</v>
      </c>
      <c r="Q21" s="106">
        <v>65000</v>
      </c>
      <c r="R21" s="106">
        <v>61000</v>
      </c>
      <c r="S21" s="106">
        <v>57000</v>
      </c>
      <c r="T21" s="106">
        <v>54000</v>
      </c>
      <c r="U21" s="106">
        <v>50000</v>
      </c>
      <c r="V21" s="106">
        <v>48000</v>
      </c>
      <c r="W21" s="106">
        <v>45000</v>
      </c>
      <c r="X21" s="106">
        <v>41000</v>
      </c>
      <c r="Y21" s="106">
        <v>36000</v>
      </c>
      <c r="Z21" s="106">
        <v>34000</v>
      </c>
      <c r="AA21" s="106">
        <v>33000</v>
      </c>
      <c r="AB21" s="106">
        <v>32000</v>
      </c>
      <c r="AC21" s="106">
        <v>31000</v>
      </c>
      <c r="AD21" s="106">
        <v>25000</v>
      </c>
      <c r="AE21" s="125">
        <v>20000</v>
      </c>
      <c r="AF21" s="125">
        <v>17000</v>
      </c>
      <c r="AG21" s="125">
        <v>15000</v>
      </c>
      <c r="AH21" s="106">
        <v>13000</v>
      </c>
      <c r="AI21" s="106">
        <v>13000</v>
      </c>
      <c r="AJ21" s="106"/>
      <c r="AK21" s="106"/>
      <c r="AL21" s="106"/>
      <c r="AM21" s="106"/>
      <c r="AN21" s="106"/>
      <c r="AO21" s="106"/>
      <c r="AP21" s="106"/>
      <c r="AQ21" s="106"/>
      <c r="AR21" s="3" t="s">
        <v>46</v>
      </c>
      <c r="AS21" s="27"/>
    </row>
    <row r="25" spans="1:45" x14ac:dyDescent="0.35">
      <c r="A25" s="3" t="s">
        <v>64</v>
      </c>
    </row>
    <row r="26" spans="1:45" x14ac:dyDescent="0.35">
      <c r="C26" s="3">
        <v>1990</v>
      </c>
      <c r="D26" s="3">
        <v>1991</v>
      </c>
      <c r="E26" s="3">
        <v>1992</v>
      </c>
      <c r="F26" s="3">
        <v>1993</v>
      </c>
      <c r="G26" s="3">
        <v>1994</v>
      </c>
      <c r="H26" s="3">
        <v>1995</v>
      </c>
      <c r="I26" s="3">
        <v>1996</v>
      </c>
      <c r="J26" s="3">
        <v>1997</v>
      </c>
      <c r="K26" s="3">
        <v>1998</v>
      </c>
      <c r="L26" s="3">
        <v>1999</v>
      </c>
      <c r="M26" s="3">
        <v>2000</v>
      </c>
      <c r="N26" s="3">
        <v>2001</v>
      </c>
      <c r="O26" s="3">
        <v>2002</v>
      </c>
      <c r="P26" s="3">
        <v>2003</v>
      </c>
      <c r="Q26" s="3">
        <v>2004</v>
      </c>
      <c r="R26" s="3">
        <v>2005</v>
      </c>
      <c r="S26" s="3">
        <v>2006</v>
      </c>
      <c r="T26" s="3">
        <v>2007</v>
      </c>
      <c r="U26" s="3">
        <v>2008</v>
      </c>
      <c r="V26" s="3">
        <v>2009</v>
      </c>
      <c r="W26" s="3">
        <v>2010</v>
      </c>
      <c r="X26" s="3">
        <v>2011</v>
      </c>
      <c r="Y26" s="3">
        <v>2012</v>
      </c>
      <c r="Z26" s="3">
        <v>2013</v>
      </c>
      <c r="AA26" s="3">
        <v>2014</v>
      </c>
      <c r="AB26" s="3">
        <v>2015</v>
      </c>
      <c r="AC26" s="3">
        <v>2016</v>
      </c>
      <c r="AD26" s="3">
        <v>2017</v>
      </c>
      <c r="AE26" s="3">
        <v>2018</v>
      </c>
      <c r="AF26" s="3">
        <v>2019</v>
      </c>
      <c r="AG26" s="3">
        <v>2020</v>
      </c>
      <c r="AH26" s="3">
        <v>2021</v>
      </c>
      <c r="AI26" s="3">
        <v>2022</v>
      </c>
      <c r="AJ26" s="3">
        <v>2023</v>
      </c>
      <c r="AK26" s="3">
        <v>2024</v>
      </c>
      <c r="AL26" s="3">
        <v>2025</v>
      </c>
      <c r="AM26" s="3">
        <v>2026</v>
      </c>
      <c r="AN26" s="3">
        <v>2027</v>
      </c>
      <c r="AO26" s="3">
        <v>2028</v>
      </c>
      <c r="AP26" s="3">
        <v>2029</v>
      </c>
      <c r="AQ26" s="3">
        <v>2030</v>
      </c>
      <c r="AS26" s="3" t="s">
        <v>44</v>
      </c>
    </row>
    <row r="27" spans="1:45" x14ac:dyDescent="0.35">
      <c r="B27" s="105" t="s">
        <v>45</v>
      </c>
      <c r="C27" s="106"/>
      <c r="D27" s="106"/>
      <c r="E27" s="106"/>
      <c r="F27" s="106"/>
      <c r="G27" s="106"/>
      <c r="H27" s="106"/>
      <c r="I27" s="106"/>
      <c r="J27" s="106"/>
      <c r="K27" s="106"/>
      <c r="L27" s="106"/>
      <c r="M27" s="107"/>
      <c r="N27" s="107"/>
      <c r="O27" s="107"/>
      <c r="P27" s="107"/>
      <c r="Q27" s="107"/>
      <c r="R27" s="107"/>
      <c r="S27" s="107"/>
      <c r="T27" s="108"/>
      <c r="U27" s="108"/>
      <c r="V27" s="108"/>
      <c r="W27" s="108"/>
      <c r="X27" s="108"/>
      <c r="Y27" s="108"/>
      <c r="Z27" s="108"/>
      <c r="AA27" s="107"/>
      <c r="AB27" s="107"/>
      <c r="AC27" s="107"/>
      <c r="AD27" s="107"/>
      <c r="AE27" s="107"/>
      <c r="AF27" s="107"/>
      <c r="AG27" s="107"/>
      <c r="AH27" s="27"/>
      <c r="AI27" s="27"/>
      <c r="AJ27" s="27"/>
      <c r="AK27" s="27"/>
      <c r="AL27" s="27"/>
      <c r="AM27" s="27"/>
      <c r="AN27" s="27"/>
      <c r="AO27" s="27"/>
      <c r="AP27" s="27"/>
      <c r="AQ27" s="27"/>
      <c r="AR27" s="3" t="s">
        <v>46</v>
      </c>
      <c r="AS27" s="27"/>
    </row>
    <row r="28" spans="1:45" x14ac:dyDescent="0.35">
      <c r="B28" s="105" t="s">
        <v>47</v>
      </c>
      <c r="C28" s="106"/>
      <c r="D28" s="106"/>
      <c r="E28" s="106"/>
      <c r="F28" s="106"/>
      <c r="G28" s="106"/>
      <c r="H28" s="106"/>
      <c r="I28" s="106"/>
      <c r="J28" s="106"/>
      <c r="K28" s="106"/>
      <c r="L28" s="106"/>
      <c r="M28" s="28">
        <v>0.221</v>
      </c>
      <c r="N28" s="28">
        <v>0.21299999999999999</v>
      </c>
      <c r="O28" s="28">
        <v>0.20599999999999999</v>
      </c>
      <c r="P28" s="28">
        <v>0.19800000000000001</v>
      </c>
      <c r="Q28" s="28">
        <v>0.19</v>
      </c>
      <c r="R28" s="28">
        <v>0.182</v>
      </c>
      <c r="S28" s="28">
        <v>0.17499999999999999</v>
      </c>
      <c r="T28" s="28">
        <v>0.17</v>
      </c>
      <c r="U28" s="28">
        <v>0.16500000000000001</v>
      </c>
      <c r="V28" s="28">
        <v>0.161</v>
      </c>
      <c r="W28" s="28">
        <v>0.158</v>
      </c>
      <c r="X28" s="28">
        <v>0.154</v>
      </c>
      <c r="Y28" s="28">
        <v>0.151</v>
      </c>
      <c r="Z28" s="28">
        <v>0.14699999999999999</v>
      </c>
      <c r="AA28" s="28">
        <v>0.14299999999999999</v>
      </c>
      <c r="AB28" s="28">
        <v>0.13900000000000001</v>
      </c>
      <c r="AC28" s="28">
        <v>0.13500000000000001</v>
      </c>
      <c r="AD28" s="28"/>
      <c r="AE28" s="28"/>
      <c r="AF28" s="28"/>
      <c r="AG28" s="28"/>
      <c r="AH28" s="27"/>
      <c r="AI28" s="27"/>
      <c r="AJ28" s="27"/>
      <c r="AK28" s="27"/>
      <c r="AL28" s="27"/>
      <c r="AM28" s="27"/>
      <c r="AN28" s="27"/>
      <c r="AO28" s="27"/>
      <c r="AP28" s="27"/>
      <c r="AQ28" s="27"/>
      <c r="AR28" s="3" t="s">
        <v>46</v>
      </c>
      <c r="AS28" s="27"/>
    </row>
    <row r="29" spans="1:45" x14ac:dyDescent="0.35">
      <c r="B29" s="105" t="s">
        <v>48</v>
      </c>
      <c r="C29" s="106"/>
      <c r="D29" s="106"/>
      <c r="E29" s="106"/>
      <c r="F29" s="106"/>
      <c r="G29" s="106"/>
      <c r="H29" s="106"/>
      <c r="I29" s="106"/>
      <c r="J29" s="106"/>
      <c r="K29" s="106"/>
      <c r="L29" s="106"/>
      <c r="M29" s="107"/>
      <c r="N29" s="107"/>
      <c r="O29" s="107"/>
      <c r="P29" s="107"/>
      <c r="Q29" s="107"/>
      <c r="R29" s="107"/>
      <c r="S29" s="107"/>
      <c r="T29" s="108"/>
      <c r="U29" s="108"/>
      <c r="V29" s="108"/>
      <c r="W29" s="108"/>
      <c r="X29" s="108"/>
      <c r="Y29" s="108"/>
      <c r="Z29" s="108"/>
      <c r="AA29" s="107"/>
      <c r="AB29" s="107"/>
      <c r="AC29" s="107"/>
      <c r="AD29" s="107"/>
      <c r="AE29" s="107"/>
      <c r="AF29" s="107"/>
      <c r="AG29" s="107"/>
      <c r="AH29" s="27"/>
      <c r="AI29" s="27"/>
      <c r="AJ29" s="27"/>
      <c r="AK29" s="27"/>
      <c r="AL29" s="27"/>
      <c r="AM29" s="27"/>
      <c r="AN29" s="27"/>
      <c r="AO29" s="27"/>
      <c r="AP29" s="27"/>
      <c r="AQ29" s="27"/>
      <c r="AR29" s="3" t="s">
        <v>46</v>
      </c>
      <c r="AS29" s="27"/>
    </row>
    <row r="32" spans="1:45" x14ac:dyDescent="0.35">
      <c r="W32" s="109"/>
    </row>
    <row r="33" spans="1:45" x14ac:dyDescent="0.35">
      <c r="A33" s="3" t="s">
        <v>65</v>
      </c>
      <c r="W33" s="109"/>
      <c r="X33" s="109"/>
      <c r="Y33" s="109"/>
      <c r="Z33" s="109"/>
      <c r="AA33" s="109"/>
      <c r="AB33" s="109"/>
      <c r="AC33" s="109"/>
    </row>
    <row r="34" spans="1:45" x14ac:dyDescent="0.35">
      <c r="C34" s="3">
        <v>1990</v>
      </c>
      <c r="D34" s="3">
        <v>1991</v>
      </c>
      <c r="E34" s="3">
        <v>1992</v>
      </c>
      <c r="F34" s="3">
        <v>1993</v>
      </c>
      <c r="G34" s="3">
        <v>1994</v>
      </c>
      <c r="H34" s="3">
        <v>1995</v>
      </c>
      <c r="I34" s="3">
        <v>1996</v>
      </c>
      <c r="J34" s="3">
        <v>1997</v>
      </c>
      <c r="K34" s="3">
        <v>1998</v>
      </c>
      <c r="L34" s="3">
        <v>1999</v>
      </c>
      <c r="M34" s="3">
        <v>2000</v>
      </c>
      <c r="N34" s="3">
        <v>2001</v>
      </c>
      <c r="O34" s="3">
        <v>2002</v>
      </c>
      <c r="P34" s="3">
        <v>2003</v>
      </c>
      <c r="Q34" s="3">
        <v>2004</v>
      </c>
      <c r="R34" s="3">
        <v>2005</v>
      </c>
      <c r="S34" s="3">
        <v>2006</v>
      </c>
      <c r="T34" s="3">
        <v>2007</v>
      </c>
      <c r="U34" s="3">
        <v>2008</v>
      </c>
      <c r="V34" s="3">
        <v>2009</v>
      </c>
      <c r="W34" s="3">
        <v>2010</v>
      </c>
      <c r="X34" s="3">
        <v>2011</v>
      </c>
      <c r="Y34" s="3">
        <v>2012</v>
      </c>
      <c r="Z34" s="3">
        <v>2013</v>
      </c>
      <c r="AA34" s="3">
        <v>2014</v>
      </c>
      <c r="AB34" s="3">
        <v>2015</v>
      </c>
      <c r="AC34" s="3">
        <v>2016</v>
      </c>
      <c r="AD34" s="3">
        <v>2017</v>
      </c>
      <c r="AE34" s="3">
        <v>2018</v>
      </c>
      <c r="AF34" s="3">
        <v>2019</v>
      </c>
      <c r="AG34" s="3">
        <v>2020</v>
      </c>
      <c r="AH34" s="3">
        <v>2021</v>
      </c>
      <c r="AI34" s="3">
        <v>2022</v>
      </c>
      <c r="AJ34" s="3">
        <v>2023</v>
      </c>
      <c r="AK34" s="3">
        <v>2024</v>
      </c>
      <c r="AL34" s="3">
        <v>2025</v>
      </c>
      <c r="AM34" s="3">
        <v>2026</v>
      </c>
      <c r="AN34" s="3">
        <v>2027</v>
      </c>
      <c r="AO34" s="3">
        <v>2028</v>
      </c>
      <c r="AP34" s="3">
        <v>2029</v>
      </c>
      <c r="AQ34" s="3">
        <v>2030</v>
      </c>
      <c r="AS34" s="3" t="s">
        <v>44</v>
      </c>
    </row>
    <row r="35" spans="1:45" x14ac:dyDescent="0.35">
      <c r="B35" s="105" t="s">
        <v>45</v>
      </c>
      <c r="C35" s="106">
        <v>800000</v>
      </c>
      <c r="D35" s="106">
        <v>1000000</v>
      </c>
      <c r="E35" s="106">
        <v>1200000</v>
      </c>
      <c r="F35" s="106">
        <f>E35+100000</f>
        <v>1300000</v>
      </c>
      <c r="G35" s="106">
        <f>F35+200000</f>
        <v>1500000</v>
      </c>
      <c r="H35" s="106">
        <f>G35+100000</f>
        <v>1600000</v>
      </c>
      <c r="I35" s="106">
        <f>H35</f>
        <v>1600000</v>
      </c>
      <c r="J35" s="106">
        <f>I35+100000</f>
        <v>1700000</v>
      </c>
      <c r="K35" s="106">
        <f>J35</f>
        <v>1700000</v>
      </c>
      <c r="L35" s="106">
        <f>K35</f>
        <v>1700000</v>
      </c>
      <c r="M35" s="106">
        <v>1900000</v>
      </c>
      <c r="N35" s="106">
        <v>1800000</v>
      </c>
      <c r="O35" s="106">
        <v>1800000</v>
      </c>
      <c r="P35" s="106">
        <v>1700000</v>
      </c>
      <c r="Q35" s="106">
        <v>1600000</v>
      </c>
      <c r="R35" s="106">
        <v>1600000</v>
      </c>
      <c r="S35" s="106">
        <v>1500000</v>
      </c>
      <c r="T35" s="106">
        <v>1500000</v>
      </c>
      <c r="U35" s="106">
        <v>1400000</v>
      </c>
      <c r="V35" s="106">
        <v>1400000</v>
      </c>
      <c r="W35" s="106">
        <v>1400000</v>
      </c>
      <c r="X35" s="106">
        <v>1400000</v>
      </c>
      <c r="Y35" s="106">
        <v>1400000</v>
      </c>
      <c r="Z35" s="106">
        <v>1400000</v>
      </c>
      <c r="AA35" s="106">
        <v>1400000</v>
      </c>
      <c r="AB35" s="106">
        <v>1500000</v>
      </c>
      <c r="AC35" s="106">
        <v>1500000</v>
      </c>
      <c r="AD35" s="106">
        <v>1500000</v>
      </c>
      <c r="AE35" s="106">
        <v>1500000</v>
      </c>
      <c r="AF35" s="106">
        <v>1500000</v>
      </c>
      <c r="AG35" s="160">
        <v>1400000</v>
      </c>
      <c r="AH35" s="160">
        <v>1400000</v>
      </c>
      <c r="AI35" s="160">
        <v>1400000</v>
      </c>
      <c r="AJ35" s="106"/>
      <c r="AK35" s="106"/>
      <c r="AL35" s="106"/>
      <c r="AM35" s="106"/>
      <c r="AN35" s="106"/>
      <c r="AO35" s="106"/>
      <c r="AP35" s="106"/>
      <c r="AQ35" s="106"/>
      <c r="AR35" s="3" t="s">
        <v>46</v>
      </c>
      <c r="AS35" s="27"/>
    </row>
    <row r="36" spans="1:45" x14ac:dyDescent="0.35">
      <c r="B36" s="105" t="s">
        <v>47</v>
      </c>
      <c r="C36" s="106">
        <v>730000</v>
      </c>
      <c r="D36" s="106">
        <v>910000</v>
      </c>
      <c r="E36" s="106">
        <v>1100000</v>
      </c>
      <c r="F36" s="106">
        <f>E36+100000</f>
        <v>1200000</v>
      </c>
      <c r="G36" s="106">
        <f t="shared" ref="G36:K36" si="0">F36+100000</f>
        <v>1300000</v>
      </c>
      <c r="H36" s="106">
        <f t="shared" si="0"/>
        <v>1400000</v>
      </c>
      <c r="I36" s="106">
        <f t="shared" si="0"/>
        <v>1500000</v>
      </c>
      <c r="J36" s="106">
        <f>I36</f>
        <v>1500000</v>
      </c>
      <c r="K36" s="106">
        <f t="shared" si="0"/>
        <v>1600000</v>
      </c>
      <c r="L36" s="106">
        <f>K36</f>
        <v>1600000</v>
      </c>
      <c r="M36" s="106">
        <v>1600000</v>
      </c>
      <c r="N36" s="106">
        <v>1600000</v>
      </c>
      <c r="O36" s="106">
        <v>1500000</v>
      </c>
      <c r="P36" s="106">
        <v>1500000</v>
      </c>
      <c r="Q36" s="106">
        <v>1400000</v>
      </c>
      <c r="R36" s="106">
        <v>1400000</v>
      </c>
      <c r="S36" s="106">
        <v>1300000</v>
      </c>
      <c r="T36" s="106">
        <v>1300000</v>
      </c>
      <c r="U36" s="106">
        <v>1300000</v>
      </c>
      <c r="V36" s="106">
        <v>1200000</v>
      </c>
      <c r="W36" s="106">
        <v>1200000</v>
      </c>
      <c r="X36" s="106">
        <v>1200000</v>
      </c>
      <c r="Y36" s="106">
        <v>1200000</v>
      </c>
      <c r="Z36" s="106">
        <v>1300000</v>
      </c>
      <c r="AA36" s="106">
        <v>1300000</v>
      </c>
      <c r="AB36" s="106">
        <v>1300000</v>
      </c>
      <c r="AC36" s="106">
        <v>1300000</v>
      </c>
      <c r="AD36" s="106">
        <v>1300000</v>
      </c>
      <c r="AE36" s="106">
        <v>1300000</v>
      </c>
      <c r="AF36" s="125">
        <v>1347971</v>
      </c>
      <c r="AG36" s="106">
        <v>1300000</v>
      </c>
      <c r="AH36" s="106">
        <v>1300000</v>
      </c>
      <c r="AI36" s="106">
        <v>1300000</v>
      </c>
      <c r="AJ36" s="106"/>
      <c r="AK36" s="106"/>
      <c r="AL36" s="106"/>
      <c r="AM36" s="106"/>
      <c r="AN36" s="106"/>
      <c r="AO36" s="106"/>
      <c r="AP36" s="106"/>
      <c r="AQ36" s="106"/>
      <c r="AR36" s="3" t="s">
        <v>46</v>
      </c>
      <c r="AS36" s="27"/>
    </row>
    <row r="37" spans="1:45" x14ac:dyDescent="0.35">
      <c r="B37" s="105" t="s">
        <v>48</v>
      </c>
      <c r="C37" s="106">
        <v>670000</v>
      </c>
      <c r="D37" s="106">
        <v>830000</v>
      </c>
      <c r="E37" s="106">
        <v>990000</v>
      </c>
      <c r="F37" s="106">
        <f>E37+110000</f>
        <v>1100000</v>
      </c>
      <c r="G37" s="106">
        <f>F37+100000</f>
        <v>1200000</v>
      </c>
      <c r="H37" s="106">
        <f>G37+100000</f>
        <v>1300000</v>
      </c>
      <c r="I37" s="106">
        <f>H37+100000</f>
        <v>1400000</v>
      </c>
      <c r="J37" s="106">
        <f>I37</f>
        <v>1400000</v>
      </c>
      <c r="K37" s="106">
        <f>J37</f>
        <v>1400000</v>
      </c>
      <c r="L37" s="106">
        <f>K37</f>
        <v>1400000</v>
      </c>
      <c r="M37" s="106">
        <v>1400000</v>
      </c>
      <c r="N37" s="106">
        <v>1400000</v>
      </c>
      <c r="O37" s="106">
        <v>1300000</v>
      </c>
      <c r="P37" s="106">
        <v>1300000</v>
      </c>
      <c r="Q37" s="106">
        <v>1200000</v>
      </c>
      <c r="R37" s="106">
        <v>1200000</v>
      </c>
      <c r="S37" s="106">
        <v>1100000</v>
      </c>
      <c r="T37" s="106">
        <v>1100000</v>
      </c>
      <c r="U37" s="106">
        <v>1100000</v>
      </c>
      <c r="V37" s="106">
        <v>1100000</v>
      </c>
      <c r="W37" s="106">
        <v>1100000</v>
      </c>
      <c r="X37" s="106">
        <v>1100000</v>
      </c>
      <c r="Y37" s="106">
        <v>1100000</v>
      </c>
      <c r="Z37" s="106">
        <v>1100000</v>
      </c>
      <c r="AA37" s="106">
        <v>1100000</v>
      </c>
      <c r="AB37" s="106">
        <v>1100000</v>
      </c>
      <c r="AC37" s="106">
        <v>1100000</v>
      </c>
      <c r="AD37" s="106">
        <v>1100000</v>
      </c>
      <c r="AE37" s="106">
        <v>1100000</v>
      </c>
      <c r="AF37" s="106">
        <v>1200000</v>
      </c>
      <c r="AG37" s="106">
        <v>1200000</v>
      </c>
      <c r="AH37" s="106">
        <v>1200000</v>
      </c>
      <c r="AI37" s="106">
        <v>1200000</v>
      </c>
      <c r="AJ37" s="106"/>
      <c r="AK37" s="106"/>
      <c r="AL37" s="106"/>
      <c r="AM37" s="106"/>
      <c r="AN37" s="106"/>
      <c r="AO37" s="106"/>
      <c r="AP37" s="106"/>
      <c r="AQ37" s="106"/>
      <c r="AR37" s="3" t="s">
        <v>46</v>
      </c>
      <c r="AS37" s="27"/>
    </row>
    <row r="38" spans="1:45" x14ac:dyDescent="0.35">
      <c r="W38" s="109"/>
      <c r="X38" s="109"/>
      <c r="Y38" s="109"/>
      <c r="Z38" s="109"/>
      <c r="AA38" s="109"/>
      <c r="AB38" s="109"/>
      <c r="AC38" s="109"/>
    </row>
    <row r="41" spans="1:45" x14ac:dyDescent="0.35">
      <c r="A41" s="3" t="s">
        <v>66</v>
      </c>
    </row>
    <row r="42" spans="1:45" x14ac:dyDescent="0.35">
      <c r="C42" s="3">
        <v>1990</v>
      </c>
      <c r="D42" s="3">
        <v>1991</v>
      </c>
      <c r="E42" s="3">
        <v>1992</v>
      </c>
      <c r="F42" s="3">
        <v>1993</v>
      </c>
      <c r="G42" s="3">
        <v>1994</v>
      </c>
      <c r="H42" s="3">
        <v>1995</v>
      </c>
      <c r="I42" s="3">
        <v>1996</v>
      </c>
      <c r="J42" s="3">
        <v>1997</v>
      </c>
      <c r="K42" s="3">
        <v>1998</v>
      </c>
      <c r="L42" s="3">
        <v>1999</v>
      </c>
      <c r="M42" s="3">
        <v>2000</v>
      </c>
      <c r="N42" s="3">
        <v>2001</v>
      </c>
      <c r="O42" s="3">
        <v>2002</v>
      </c>
      <c r="P42" s="3">
        <v>2003</v>
      </c>
      <c r="Q42" s="3">
        <v>2004</v>
      </c>
      <c r="R42" s="3">
        <v>2005</v>
      </c>
      <c r="S42" s="3">
        <v>2006</v>
      </c>
      <c r="T42" s="3">
        <v>2007</v>
      </c>
      <c r="U42" s="3">
        <v>2008</v>
      </c>
      <c r="V42" s="3">
        <v>2009</v>
      </c>
      <c r="W42" s="3">
        <v>2010</v>
      </c>
      <c r="X42" s="3">
        <v>2011</v>
      </c>
      <c r="Y42" s="3">
        <v>2012</v>
      </c>
      <c r="Z42" s="3">
        <v>2013</v>
      </c>
      <c r="AA42" s="3">
        <v>2014</v>
      </c>
      <c r="AB42" s="3">
        <v>2015</v>
      </c>
      <c r="AC42" s="3">
        <v>2016</v>
      </c>
      <c r="AD42" s="3">
        <v>2017</v>
      </c>
      <c r="AE42" s="3">
        <v>2018</v>
      </c>
      <c r="AF42" s="3">
        <v>2019</v>
      </c>
      <c r="AG42" s="3">
        <v>2020</v>
      </c>
      <c r="AH42" s="3">
        <v>2021</v>
      </c>
      <c r="AI42" s="3">
        <v>2022</v>
      </c>
      <c r="AJ42" s="3">
        <v>2023</v>
      </c>
      <c r="AK42" s="3">
        <v>2024</v>
      </c>
      <c r="AL42" s="3">
        <v>2025</v>
      </c>
      <c r="AM42" s="3">
        <v>2026</v>
      </c>
      <c r="AN42" s="3">
        <v>2027</v>
      </c>
      <c r="AO42" s="3">
        <v>2028</v>
      </c>
      <c r="AP42" s="3">
        <v>2029</v>
      </c>
      <c r="AQ42" s="3">
        <v>2030</v>
      </c>
      <c r="AS42" s="3" t="s">
        <v>44</v>
      </c>
    </row>
    <row r="43" spans="1:45" x14ac:dyDescent="0.35">
      <c r="B43" s="105" t="s">
        <v>45</v>
      </c>
      <c r="C43" s="106">
        <v>29000</v>
      </c>
      <c r="D43" s="106">
        <v>39000</v>
      </c>
      <c r="E43" s="106">
        <v>51000</v>
      </c>
      <c r="F43" s="106">
        <v>63000</v>
      </c>
      <c r="G43" s="106">
        <v>75000</v>
      </c>
      <c r="H43" s="106">
        <v>88000</v>
      </c>
      <c r="I43" s="106">
        <v>100000</v>
      </c>
      <c r="J43" s="106">
        <v>110000</v>
      </c>
      <c r="K43" s="106">
        <v>120000</v>
      </c>
      <c r="L43" s="106">
        <v>130000</v>
      </c>
      <c r="M43" s="106">
        <v>150000</v>
      </c>
      <c r="N43" s="106">
        <v>160000</v>
      </c>
      <c r="O43" s="106">
        <v>160000</v>
      </c>
      <c r="P43" s="106">
        <v>160000</v>
      </c>
      <c r="Q43" s="106">
        <v>160000</v>
      </c>
      <c r="R43" s="106">
        <v>150000</v>
      </c>
      <c r="S43" s="106">
        <v>130000</v>
      </c>
      <c r="T43" s="106">
        <v>120000</v>
      </c>
      <c r="U43" s="106">
        <v>100000</v>
      </c>
      <c r="V43" s="106">
        <v>85000</v>
      </c>
      <c r="W43" s="106">
        <v>68000</v>
      </c>
      <c r="X43" s="106">
        <v>52000</v>
      </c>
      <c r="Y43" s="106">
        <v>42000</v>
      </c>
      <c r="Z43" s="106">
        <v>35000</v>
      </c>
      <c r="AA43" s="106">
        <v>32000</v>
      </c>
      <c r="AB43" s="106">
        <v>30000</v>
      </c>
      <c r="AC43" s="106">
        <v>28000</v>
      </c>
      <c r="AD43" s="106">
        <v>29000</v>
      </c>
      <c r="AE43" s="106">
        <v>27000</v>
      </c>
      <c r="AF43" s="106"/>
      <c r="AG43" s="106"/>
      <c r="AH43" s="106"/>
      <c r="AI43" s="106"/>
      <c r="AJ43" s="106"/>
      <c r="AK43" s="106"/>
      <c r="AL43" s="106"/>
      <c r="AM43" s="106"/>
      <c r="AN43" s="106"/>
      <c r="AO43" s="106"/>
      <c r="AP43" s="106"/>
      <c r="AQ43" s="106"/>
      <c r="AR43" s="3" t="s">
        <v>46</v>
      </c>
      <c r="AS43" s="27"/>
    </row>
    <row r="44" spans="1:45" x14ac:dyDescent="0.35">
      <c r="B44" s="105" t="s">
        <v>47</v>
      </c>
      <c r="C44" s="106">
        <v>25000</v>
      </c>
      <c r="D44" s="106">
        <v>33000</v>
      </c>
      <c r="E44" s="106">
        <v>43000</v>
      </c>
      <c r="F44" s="106">
        <v>53000</v>
      </c>
      <c r="G44" s="106">
        <v>63000</v>
      </c>
      <c r="H44" s="106">
        <v>74000</v>
      </c>
      <c r="I44" s="106">
        <v>84000</v>
      </c>
      <c r="J44" s="106">
        <v>94000</v>
      </c>
      <c r="K44" s="106">
        <v>100000</v>
      </c>
      <c r="L44" s="106">
        <v>110000</v>
      </c>
      <c r="M44" s="106">
        <v>120000</v>
      </c>
      <c r="N44" s="106">
        <v>130000</v>
      </c>
      <c r="O44" s="106">
        <v>130000</v>
      </c>
      <c r="P44" s="106">
        <v>130000</v>
      </c>
      <c r="Q44" s="106">
        <v>120000</v>
      </c>
      <c r="R44" s="106">
        <v>120000</v>
      </c>
      <c r="S44" s="106">
        <v>110000</v>
      </c>
      <c r="T44" s="106">
        <v>93000</v>
      </c>
      <c r="U44" s="106">
        <v>80000</v>
      </c>
      <c r="V44" s="106">
        <v>68000</v>
      </c>
      <c r="W44" s="106">
        <v>54000</v>
      </c>
      <c r="X44" s="106">
        <v>42000</v>
      </c>
      <c r="Y44" s="106">
        <v>34000</v>
      </c>
      <c r="Z44" s="106">
        <v>28000</v>
      </c>
      <c r="AA44" s="106">
        <v>25000</v>
      </c>
      <c r="AB44" s="106">
        <v>24000</v>
      </c>
      <c r="AC44" s="106">
        <v>23000</v>
      </c>
      <c r="AD44" s="106">
        <v>23000</v>
      </c>
      <c r="AE44" s="106">
        <v>22000</v>
      </c>
      <c r="AF44" s="106"/>
      <c r="AG44" s="106"/>
      <c r="AH44" s="106"/>
      <c r="AI44" s="106"/>
      <c r="AJ44" s="106"/>
      <c r="AK44" s="106"/>
      <c r="AL44" s="106"/>
      <c r="AM44" s="106"/>
      <c r="AN44" s="106"/>
      <c r="AO44" s="106"/>
      <c r="AP44" s="106"/>
      <c r="AQ44" s="106"/>
      <c r="AR44" s="3" t="s">
        <v>46</v>
      </c>
      <c r="AS44" s="27"/>
    </row>
    <row r="45" spans="1:45" x14ac:dyDescent="0.35">
      <c r="B45" s="105" t="s">
        <v>48</v>
      </c>
      <c r="C45" s="106">
        <v>20000</v>
      </c>
      <c r="D45" s="106">
        <v>27000</v>
      </c>
      <c r="E45" s="106">
        <v>35000</v>
      </c>
      <c r="F45" s="106">
        <v>43000</v>
      </c>
      <c r="G45" s="106">
        <v>52000</v>
      </c>
      <c r="H45" s="106">
        <v>61000</v>
      </c>
      <c r="I45" s="106">
        <v>69000</v>
      </c>
      <c r="J45" s="106">
        <v>77000</v>
      </c>
      <c r="K45" s="106">
        <v>85000</v>
      </c>
      <c r="L45" s="106">
        <v>91000</v>
      </c>
      <c r="M45" s="106">
        <v>98000</v>
      </c>
      <c r="N45" s="106">
        <v>100000</v>
      </c>
      <c r="O45" s="106">
        <v>100000</v>
      </c>
      <c r="P45" s="106">
        <v>100000</v>
      </c>
      <c r="Q45" s="106">
        <v>99000</v>
      </c>
      <c r="R45" s="106">
        <v>92000</v>
      </c>
      <c r="S45" s="106">
        <v>85000</v>
      </c>
      <c r="T45" s="106">
        <v>74000</v>
      </c>
      <c r="U45" s="106">
        <v>64000</v>
      </c>
      <c r="V45" s="106">
        <v>54000</v>
      </c>
      <c r="W45" s="106">
        <v>43000</v>
      </c>
      <c r="X45" s="106">
        <v>33000</v>
      </c>
      <c r="Y45" s="106">
        <v>27000</v>
      </c>
      <c r="Z45" s="106">
        <v>23000</v>
      </c>
      <c r="AA45" s="106">
        <v>20000</v>
      </c>
      <c r="AB45" s="106">
        <v>19000</v>
      </c>
      <c r="AC45" s="106">
        <v>18000</v>
      </c>
      <c r="AD45" s="106">
        <v>18000</v>
      </c>
      <c r="AE45" s="106">
        <v>17000</v>
      </c>
      <c r="AF45" s="106"/>
      <c r="AG45" s="106"/>
      <c r="AH45" s="106"/>
      <c r="AI45" s="106"/>
      <c r="AJ45" s="106"/>
      <c r="AK45" s="106"/>
      <c r="AL45" s="106"/>
      <c r="AM45" s="106"/>
      <c r="AN45" s="106"/>
      <c r="AO45" s="106"/>
      <c r="AP45" s="106"/>
      <c r="AQ45" s="106"/>
      <c r="AR45" s="3" t="s">
        <v>46</v>
      </c>
      <c r="AS45" s="27"/>
    </row>
    <row r="47" spans="1:45" x14ac:dyDescent="0.35">
      <c r="M47" s="110"/>
      <c r="N47" s="110"/>
      <c r="O47" s="110"/>
      <c r="P47" s="110"/>
      <c r="Q47" s="110"/>
      <c r="R47" s="110"/>
      <c r="S47" s="110"/>
      <c r="T47" s="110"/>
      <c r="U47" s="110"/>
      <c r="V47" s="110"/>
      <c r="W47" s="110"/>
      <c r="X47" s="110"/>
      <c r="Y47" s="110"/>
      <c r="Z47" s="111"/>
      <c r="AA47" s="111"/>
      <c r="AB47" s="111"/>
      <c r="AC47" s="111"/>
    </row>
    <row r="48" spans="1:45" x14ac:dyDescent="0.35">
      <c r="M48" s="26"/>
      <c r="N48" s="26"/>
      <c r="O48" s="26"/>
      <c r="P48" s="26"/>
      <c r="Q48" s="26"/>
      <c r="R48" s="26"/>
      <c r="S48" s="26"/>
      <c r="T48" s="26"/>
      <c r="U48" s="26"/>
      <c r="V48" s="26"/>
      <c r="W48" s="26"/>
      <c r="X48" s="26"/>
      <c r="Y48" s="26"/>
      <c r="Z48" s="26"/>
      <c r="AA48" s="26"/>
      <c r="AB48" s="26"/>
      <c r="AC48" s="26"/>
    </row>
    <row r="49" spans="1:45" x14ac:dyDescent="0.35">
      <c r="A49" s="3" t="s">
        <v>67</v>
      </c>
      <c r="M49" s="26"/>
      <c r="N49" s="26"/>
      <c r="O49" s="26"/>
      <c r="P49" s="26"/>
      <c r="Q49" s="26"/>
      <c r="R49" s="26"/>
      <c r="S49" s="26"/>
      <c r="T49" s="26"/>
      <c r="U49" s="26"/>
      <c r="V49" s="26"/>
      <c r="W49" s="26"/>
      <c r="X49" s="26"/>
      <c r="Y49" s="26"/>
      <c r="Z49" s="26"/>
      <c r="AA49" s="26"/>
      <c r="AB49" s="26"/>
      <c r="AC49" s="26"/>
    </row>
    <row r="50" spans="1:45" x14ac:dyDescent="0.35">
      <c r="C50" s="3">
        <v>1990</v>
      </c>
      <c r="D50" s="3">
        <v>1991</v>
      </c>
      <c r="E50" s="3">
        <v>1992</v>
      </c>
      <c r="F50" s="3">
        <v>1993</v>
      </c>
      <c r="G50" s="3">
        <v>1994</v>
      </c>
      <c r="H50" s="3">
        <v>1995</v>
      </c>
      <c r="I50" s="3">
        <v>1996</v>
      </c>
      <c r="J50" s="3">
        <v>1997</v>
      </c>
      <c r="K50" s="3">
        <v>1998</v>
      </c>
      <c r="L50" s="3">
        <v>1999</v>
      </c>
      <c r="M50" s="3">
        <v>2000</v>
      </c>
      <c r="N50" s="3">
        <v>2001</v>
      </c>
      <c r="O50" s="3">
        <v>2002</v>
      </c>
      <c r="P50" s="3">
        <v>2003</v>
      </c>
      <c r="Q50" s="3">
        <v>2004</v>
      </c>
      <c r="R50" s="3">
        <v>2005</v>
      </c>
      <c r="S50" s="3">
        <v>2006</v>
      </c>
      <c r="T50" s="3">
        <v>2007</v>
      </c>
      <c r="U50" s="3">
        <v>2008</v>
      </c>
      <c r="V50" s="3">
        <v>2009</v>
      </c>
      <c r="W50" s="3">
        <v>2010</v>
      </c>
      <c r="X50" s="3">
        <v>2011</v>
      </c>
      <c r="Y50" s="3">
        <v>2012</v>
      </c>
      <c r="Z50" s="3">
        <v>2013</v>
      </c>
      <c r="AA50" s="3">
        <v>2014</v>
      </c>
      <c r="AB50" s="3">
        <v>2015</v>
      </c>
      <c r="AC50" s="3">
        <v>2016</v>
      </c>
      <c r="AD50" s="3">
        <v>2017</v>
      </c>
      <c r="AE50" s="3">
        <v>2018</v>
      </c>
      <c r="AF50" s="3">
        <v>2019</v>
      </c>
      <c r="AG50" s="3">
        <v>2020</v>
      </c>
      <c r="AH50" s="3">
        <v>2021</v>
      </c>
      <c r="AI50" s="3">
        <v>2022</v>
      </c>
      <c r="AJ50" s="3">
        <v>2023</v>
      </c>
      <c r="AK50" s="3">
        <v>2024</v>
      </c>
      <c r="AL50" s="3">
        <v>2025</v>
      </c>
      <c r="AM50" s="3">
        <v>2026</v>
      </c>
      <c r="AN50" s="3">
        <v>2027</v>
      </c>
      <c r="AO50" s="3">
        <v>2028</v>
      </c>
      <c r="AP50" s="3">
        <v>2029</v>
      </c>
      <c r="AQ50" s="3">
        <v>2030</v>
      </c>
      <c r="AS50" s="3" t="s">
        <v>44</v>
      </c>
    </row>
    <row r="51" spans="1:45" x14ac:dyDescent="0.35">
      <c r="B51" s="105" t="s">
        <v>45</v>
      </c>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3" t="s">
        <v>46</v>
      </c>
      <c r="AS51" s="27"/>
    </row>
    <row r="52" spans="1:45" x14ac:dyDescent="0.35">
      <c r="B52" s="105" t="s">
        <v>47</v>
      </c>
      <c r="C52" s="106"/>
      <c r="D52" s="106"/>
      <c r="E52" s="106"/>
      <c r="F52" s="106"/>
      <c r="G52" s="106"/>
      <c r="H52" s="106"/>
      <c r="I52" s="106"/>
      <c r="J52" s="106"/>
      <c r="K52" s="106"/>
      <c r="L52" s="106"/>
      <c r="M52" s="106"/>
      <c r="N52" s="106"/>
      <c r="O52" s="106"/>
      <c r="P52" s="106"/>
      <c r="Q52" s="106"/>
      <c r="R52" s="106"/>
      <c r="S52" s="106"/>
      <c r="T52" s="106"/>
      <c r="U52" s="106"/>
      <c r="V52" s="106">
        <v>48770</v>
      </c>
      <c r="W52" s="106">
        <v>86075</v>
      </c>
      <c r="X52" s="106">
        <v>116189</v>
      </c>
      <c r="Y52" s="106">
        <v>89354</v>
      </c>
      <c r="Z52" s="106">
        <v>99624</v>
      </c>
      <c r="AA52" s="106"/>
      <c r="AB52" s="106"/>
      <c r="AC52" s="106"/>
      <c r="AD52" s="106"/>
      <c r="AE52" s="106"/>
      <c r="AF52" s="106"/>
      <c r="AG52" s="106"/>
      <c r="AH52" s="106"/>
      <c r="AI52" s="106"/>
      <c r="AJ52" s="106"/>
      <c r="AK52" s="106"/>
      <c r="AL52" s="106"/>
      <c r="AM52" s="106"/>
      <c r="AN52" s="106"/>
      <c r="AO52" s="106"/>
      <c r="AP52" s="106"/>
      <c r="AQ52" s="106"/>
      <c r="AR52" s="3" t="s">
        <v>46</v>
      </c>
      <c r="AS52" s="27"/>
    </row>
    <row r="53" spans="1:45" x14ac:dyDescent="0.35">
      <c r="B53" s="105" t="s">
        <v>48</v>
      </c>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3" t="s">
        <v>46</v>
      </c>
      <c r="AS53" s="27"/>
    </row>
    <row r="57" spans="1:45" x14ac:dyDescent="0.35">
      <c r="A57" s="3" t="s">
        <v>412</v>
      </c>
    </row>
    <row r="58" spans="1:45" x14ac:dyDescent="0.35">
      <c r="C58" s="3">
        <v>1990</v>
      </c>
      <c r="D58" s="3">
        <v>1991</v>
      </c>
      <c r="E58" s="3">
        <v>1992</v>
      </c>
      <c r="F58" s="3">
        <v>1993</v>
      </c>
      <c r="G58" s="3">
        <v>1994</v>
      </c>
      <c r="H58" s="3">
        <v>1995</v>
      </c>
      <c r="I58" s="3">
        <v>1996</v>
      </c>
      <c r="J58" s="3">
        <v>1997</v>
      </c>
      <c r="K58" s="3">
        <v>1998</v>
      </c>
      <c r="L58" s="3">
        <v>1999</v>
      </c>
      <c r="M58" s="3">
        <v>2000</v>
      </c>
      <c r="N58" s="3">
        <v>2001</v>
      </c>
      <c r="O58" s="3">
        <v>2002</v>
      </c>
      <c r="P58" s="3">
        <v>2003</v>
      </c>
      <c r="Q58" s="3">
        <v>2004</v>
      </c>
      <c r="R58" s="3">
        <v>2005</v>
      </c>
      <c r="S58" s="3">
        <v>2006</v>
      </c>
      <c r="T58" s="3">
        <v>2007</v>
      </c>
      <c r="U58" s="3">
        <v>2008</v>
      </c>
      <c r="V58" s="3">
        <v>2009</v>
      </c>
      <c r="W58" s="3">
        <v>2010</v>
      </c>
      <c r="X58" s="3">
        <v>2011</v>
      </c>
      <c r="Y58" s="3">
        <v>2012</v>
      </c>
      <c r="Z58" s="3">
        <v>2013</v>
      </c>
      <c r="AA58" s="3">
        <v>2014</v>
      </c>
      <c r="AB58" s="3">
        <v>2015</v>
      </c>
      <c r="AC58" s="3">
        <v>2016</v>
      </c>
      <c r="AD58" s="3">
        <v>2017</v>
      </c>
      <c r="AE58" s="3">
        <v>2018</v>
      </c>
      <c r="AF58" s="3">
        <v>2019</v>
      </c>
      <c r="AG58" s="3">
        <v>2020</v>
      </c>
      <c r="AH58" s="3">
        <v>2021</v>
      </c>
      <c r="AI58" s="3">
        <v>2022</v>
      </c>
      <c r="AJ58" s="3">
        <v>2023</v>
      </c>
      <c r="AK58" s="3">
        <v>2024</v>
      </c>
      <c r="AL58" s="3">
        <v>2025</v>
      </c>
      <c r="AM58" s="3">
        <v>2026</v>
      </c>
      <c r="AN58" s="3">
        <v>2027</v>
      </c>
      <c r="AO58" s="3">
        <v>2028</v>
      </c>
      <c r="AP58" s="3">
        <v>2029</v>
      </c>
      <c r="AQ58" s="3">
        <v>2030</v>
      </c>
      <c r="AS58" s="3" t="s">
        <v>44</v>
      </c>
    </row>
    <row r="59" spans="1:45" x14ac:dyDescent="0.35">
      <c r="B59" s="105" t="s">
        <v>45</v>
      </c>
      <c r="C59" s="106"/>
      <c r="D59" s="106"/>
      <c r="E59" s="106"/>
      <c r="F59" s="106"/>
      <c r="G59" s="106"/>
      <c r="H59" s="106"/>
      <c r="I59" s="106"/>
      <c r="J59" s="106"/>
      <c r="K59" s="106"/>
      <c r="L59" s="106"/>
      <c r="M59" s="107"/>
      <c r="N59" s="107"/>
      <c r="O59" s="107"/>
      <c r="P59" s="107"/>
      <c r="Q59" s="107"/>
      <c r="R59" s="107"/>
      <c r="S59" s="107"/>
      <c r="T59" s="108"/>
      <c r="U59" s="108"/>
      <c r="V59" s="108"/>
      <c r="W59" s="108"/>
      <c r="X59" s="108"/>
      <c r="Y59" s="108"/>
      <c r="Z59" s="108"/>
      <c r="AA59" s="107"/>
      <c r="AB59" s="107"/>
      <c r="AC59" s="107"/>
      <c r="AD59" s="107"/>
      <c r="AE59" s="107"/>
      <c r="AF59" s="107"/>
      <c r="AG59" s="107">
        <v>0.98</v>
      </c>
      <c r="AH59" s="28">
        <v>0.98</v>
      </c>
      <c r="AI59" s="28">
        <v>0.98</v>
      </c>
      <c r="AJ59" s="27"/>
      <c r="AK59" s="27"/>
      <c r="AL59" s="27"/>
      <c r="AM59" s="27"/>
      <c r="AN59" s="27"/>
      <c r="AO59" s="27"/>
      <c r="AP59" s="27"/>
      <c r="AQ59" s="27"/>
      <c r="AR59" s="3" t="s">
        <v>46</v>
      </c>
      <c r="AS59" s="27"/>
    </row>
    <row r="60" spans="1:45" x14ac:dyDescent="0.35">
      <c r="B60" s="105" t="s">
        <v>47</v>
      </c>
      <c r="C60" s="106"/>
      <c r="D60" s="106"/>
      <c r="E60" s="106"/>
      <c r="F60" s="106"/>
      <c r="G60" s="106"/>
      <c r="H60" s="106"/>
      <c r="I60" s="106"/>
      <c r="J60" s="106"/>
      <c r="K60" s="106"/>
      <c r="L60" s="106"/>
      <c r="M60" s="28"/>
      <c r="N60" s="28"/>
      <c r="O60" s="28"/>
      <c r="P60" s="28"/>
      <c r="Q60" s="28"/>
      <c r="R60" s="28"/>
      <c r="S60" s="28"/>
      <c r="T60" s="28"/>
      <c r="U60" s="28"/>
      <c r="V60" s="28"/>
      <c r="W60" s="28"/>
      <c r="X60" s="28"/>
      <c r="Y60" s="28"/>
      <c r="Z60" s="28"/>
      <c r="AA60" s="28"/>
      <c r="AB60" s="28"/>
      <c r="AC60" s="28">
        <v>0.74199999999999999</v>
      </c>
      <c r="AD60" s="121">
        <v>0.87</v>
      </c>
      <c r="AE60" s="121">
        <v>0.87</v>
      </c>
      <c r="AF60" s="121">
        <v>0.9</v>
      </c>
      <c r="AG60" s="121">
        <v>0.93200000000000005</v>
      </c>
      <c r="AH60" s="28">
        <v>0.94</v>
      </c>
      <c r="AI60" s="28">
        <v>0.95</v>
      </c>
      <c r="AJ60" s="27"/>
      <c r="AK60" s="27"/>
      <c r="AL60" s="27"/>
      <c r="AM60" s="27"/>
      <c r="AN60" s="27"/>
      <c r="AO60" s="27"/>
      <c r="AP60" s="27"/>
      <c r="AQ60" s="27"/>
      <c r="AR60" s="3" t="s">
        <v>46</v>
      </c>
      <c r="AS60" s="27"/>
    </row>
    <row r="61" spans="1:45" x14ac:dyDescent="0.35">
      <c r="B61" s="105" t="s">
        <v>48</v>
      </c>
      <c r="C61" s="106"/>
      <c r="D61" s="106"/>
      <c r="E61" s="106"/>
      <c r="F61" s="106"/>
      <c r="G61" s="106"/>
      <c r="H61" s="106"/>
      <c r="I61" s="106"/>
      <c r="J61" s="106"/>
      <c r="K61" s="106"/>
      <c r="L61" s="106"/>
      <c r="M61" s="107"/>
      <c r="N61" s="107"/>
      <c r="O61" s="107"/>
      <c r="P61" s="107"/>
      <c r="Q61" s="107"/>
      <c r="R61" s="107"/>
      <c r="S61" s="107"/>
      <c r="T61" s="108"/>
      <c r="U61" s="108"/>
      <c r="V61" s="108"/>
      <c r="W61" s="108"/>
      <c r="X61" s="108"/>
      <c r="Y61" s="108"/>
      <c r="Z61" s="108"/>
      <c r="AA61" s="107"/>
      <c r="AB61" s="107"/>
      <c r="AC61" s="107"/>
      <c r="AD61" s="123">
        <v>0.82440000000000002</v>
      </c>
      <c r="AE61" s="123">
        <v>0.82669999999999999</v>
      </c>
      <c r="AF61" s="107"/>
      <c r="AG61" s="107">
        <v>0.85</v>
      </c>
      <c r="AH61" s="28">
        <v>0.86</v>
      </c>
      <c r="AI61" s="28">
        <v>0.87</v>
      </c>
      <c r="AJ61" s="27"/>
      <c r="AK61" s="27"/>
      <c r="AL61" s="27"/>
      <c r="AM61" s="27"/>
      <c r="AN61" s="27"/>
      <c r="AO61" s="27"/>
      <c r="AP61" s="27"/>
      <c r="AQ61" s="27"/>
      <c r="AR61" s="3" t="s">
        <v>46</v>
      </c>
      <c r="AS61" s="27"/>
    </row>
    <row r="65" spans="1:45" x14ac:dyDescent="0.35">
      <c r="A65" s="3" t="s">
        <v>413</v>
      </c>
    </row>
    <row r="66" spans="1:45" x14ac:dyDescent="0.35">
      <c r="C66" s="3">
        <v>1990</v>
      </c>
      <c r="D66" s="3">
        <v>1991</v>
      </c>
      <c r="E66" s="3">
        <v>1992</v>
      </c>
      <c r="F66" s="3">
        <v>1993</v>
      </c>
      <c r="G66" s="3">
        <v>1994</v>
      </c>
      <c r="H66" s="3">
        <v>1995</v>
      </c>
      <c r="I66" s="3">
        <v>1996</v>
      </c>
      <c r="J66" s="3">
        <v>1997</v>
      </c>
      <c r="K66" s="3">
        <v>1998</v>
      </c>
      <c r="L66" s="3">
        <v>1999</v>
      </c>
      <c r="M66" s="3">
        <v>2000</v>
      </c>
      <c r="N66" s="3">
        <v>2001</v>
      </c>
      <c r="O66" s="3">
        <v>2002</v>
      </c>
      <c r="P66" s="3">
        <v>2003</v>
      </c>
      <c r="Q66" s="3">
        <v>2004</v>
      </c>
      <c r="R66" s="3">
        <v>2005</v>
      </c>
      <c r="S66" s="3">
        <v>2006</v>
      </c>
      <c r="T66" s="3">
        <v>2007</v>
      </c>
      <c r="U66" s="3">
        <v>2008</v>
      </c>
      <c r="V66" s="3">
        <v>2009</v>
      </c>
      <c r="W66" s="3">
        <v>2010</v>
      </c>
      <c r="X66" s="3">
        <v>2011</v>
      </c>
      <c r="Y66" s="3">
        <v>2012</v>
      </c>
      <c r="Z66" s="3">
        <v>2013</v>
      </c>
      <c r="AA66" s="3">
        <v>2014</v>
      </c>
      <c r="AB66" s="3">
        <v>2015</v>
      </c>
      <c r="AC66" s="3">
        <v>2016</v>
      </c>
      <c r="AD66" s="3">
        <v>2017</v>
      </c>
      <c r="AE66" s="3">
        <v>2018</v>
      </c>
      <c r="AF66" s="3">
        <v>2019</v>
      </c>
      <c r="AG66" s="3">
        <v>2020</v>
      </c>
      <c r="AH66" s="3">
        <v>2021</v>
      </c>
      <c r="AI66" s="3">
        <v>2022</v>
      </c>
      <c r="AJ66" s="3">
        <v>2023</v>
      </c>
      <c r="AK66" s="3">
        <v>2024</v>
      </c>
      <c r="AL66" s="3">
        <v>2025</v>
      </c>
      <c r="AM66" s="3">
        <v>2026</v>
      </c>
      <c r="AN66" s="3">
        <v>2027</v>
      </c>
      <c r="AO66" s="3">
        <v>2028</v>
      </c>
      <c r="AP66" s="3">
        <v>2029</v>
      </c>
      <c r="AQ66" s="3">
        <v>2030</v>
      </c>
      <c r="AS66" s="3" t="s">
        <v>44</v>
      </c>
    </row>
    <row r="67" spans="1:45" x14ac:dyDescent="0.35">
      <c r="B67" s="105" t="s">
        <v>45</v>
      </c>
      <c r="C67" s="106"/>
      <c r="D67" s="106"/>
      <c r="E67" s="106"/>
      <c r="F67" s="106"/>
      <c r="G67" s="106"/>
      <c r="H67" s="106"/>
      <c r="I67" s="106"/>
      <c r="J67" s="106"/>
      <c r="K67" s="106"/>
      <c r="L67" s="106"/>
      <c r="M67" s="107"/>
      <c r="N67" s="107"/>
      <c r="O67" s="107"/>
      <c r="P67" s="107"/>
      <c r="Q67" s="107"/>
      <c r="R67" s="107"/>
      <c r="S67" s="107"/>
      <c r="T67" s="108"/>
      <c r="U67" s="108"/>
      <c r="V67" s="108"/>
      <c r="W67" s="108"/>
      <c r="X67" s="108"/>
      <c r="Y67" s="108"/>
      <c r="Z67" s="108"/>
      <c r="AA67" s="107"/>
      <c r="AB67" s="107"/>
      <c r="AC67" s="107"/>
      <c r="AD67" s="107"/>
      <c r="AE67" s="107"/>
      <c r="AF67" s="107"/>
      <c r="AG67" s="107"/>
      <c r="AH67" s="27"/>
      <c r="AI67" s="27"/>
      <c r="AJ67" s="27"/>
      <c r="AK67" s="27"/>
      <c r="AL67" s="27"/>
      <c r="AM67" s="27"/>
      <c r="AN67" s="27"/>
      <c r="AO67" s="27"/>
      <c r="AP67" s="27"/>
      <c r="AQ67" s="27"/>
      <c r="AR67" s="3" t="s">
        <v>46</v>
      </c>
      <c r="AS67" s="27"/>
    </row>
    <row r="68" spans="1:45" x14ac:dyDescent="0.35">
      <c r="B68" s="105" t="s">
        <v>47</v>
      </c>
      <c r="C68" s="106"/>
      <c r="D68" s="106"/>
      <c r="E68" s="106"/>
      <c r="F68" s="106"/>
      <c r="G68" s="106"/>
      <c r="H68" s="106"/>
      <c r="I68" s="106"/>
      <c r="J68" s="106"/>
      <c r="K68" s="106"/>
      <c r="L68" s="106"/>
      <c r="M68" s="28"/>
      <c r="N68" s="28"/>
      <c r="O68" s="28"/>
      <c r="P68" s="28"/>
      <c r="Q68" s="28"/>
      <c r="R68" s="28"/>
      <c r="S68" s="28"/>
      <c r="T68" s="28"/>
      <c r="U68" s="28"/>
      <c r="V68" s="28"/>
      <c r="W68" s="28"/>
      <c r="X68" s="28"/>
      <c r="Y68" s="28"/>
      <c r="Z68" s="28"/>
      <c r="AA68" s="28"/>
      <c r="AB68" s="28"/>
      <c r="AC68" s="28"/>
      <c r="AD68" s="28"/>
      <c r="AE68" s="28"/>
      <c r="AF68" s="28"/>
      <c r="AG68" s="28"/>
      <c r="AH68" s="27"/>
      <c r="AI68" s="27"/>
      <c r="AJ68" s="27"/>
      <c r="AK68" s="27"/>
      <c r="AL68" s="27"/>
      <c r="AM68" s="27"/>
      <c r="AN68" s="27"/>
      <c r="AO68" s="27"/>
      <c r="AP68" s="27"/>
      <c r="AQ68" s="27"/>
      <c r="AR68" s="3" t="s">
        <v>46</v>
      </c>
      <c r="AS68" s="27"/>
    </row>
    <row r="69" spans="1:45" x14ac:dyDescent="0.35">
      <c r="B69" s="105" t="s">
        <v>48</v>
      </c>
      <c r="C69" s="106"/>
      <c r="D69" s="106"/>
      <c r="E69" s="106"/>
      <c r="F69" s="106"/>
      <c r="G69" s="106"/>
      <c r="H69" s="106"/>
      <c r="I69" s="106"/>
      <c r="J69" s="106"/>
      <c r="K69" s="106"/>
      <c r="L69" s="106"/>
      <c r="M69" s="107"/>
      <c r="N69" s="107"/>
      <c r="O69" s="107"/>
      <c r="P69" s="107"/>
      <c r="Q69" s="107"/>
      <c r="R69" s="107"/>
      <c r="S69" s="107"/>
      <c r="T69" s="108"/>
      <c r="U69" s="108"/>
      <c r="V69" s="108"/>
      <c r="W69" s="108"/>
      <c r="X69" s="108"/>
      <c r="Y69" s="108"/>
      <c r="Z69" s="108"/>
      <c r="AA69" s="107"/>
      <c r="AB69" s="107"/>
      <c r="AC69" s="107"/>
      <c r="AD69" s="107"/>
      <c r="AE69" s="107"/>
      <c r="AF69" s="107"/>
      <c r="AG69" s="107"/>
      <c r="AH69" s="27"/>
      <c r="AI69" s="27"/>
      <c r="AJ69" s="27"/>
      <c r="AK69" s="27"/>
      <c r="AL69" s="27"/>
      <c r="AM69" s="27"/>
      <c r="AN69" s="27"/>
      <c r="AO69" s="27"/>
      <c r="AP69" s="27"/>
      <c r="AQ69" s="27"/>
      <c r="AR69" s="3" t="s">
        <v>46</v>
      </c>
      <c r="AS69" s="27"/>
    </row>
    <row r="73" spans="1:45" x14ac:dyDescent="0.35">
      <c r="A73" s="3" t="s">
        <v>414</v>
      </c>
    </row>
    <row r="74" spans="1:45" x14ac:dyDescent="0.35">
      <c r="C74" s="3">
        <v>1990</v>
      </c>
      <c r="D74" s="3">
        <v>1991</v>
      </c>
      <c r="E74" s="3">
        <v>1992</v>
      </c>
      <c r="F74" s="3">
        <v>1993</v>
      </c>
      <c r="G74" s="3">
        <v>1994</v>
      </c>
      <c r="H74" s="3">
        <v>1995</v>
      </c>
      <c r="I74" s="3">
        <v>1996</v>
      </c>
      <c r="J74" s="3">
        <v>1997</v>
      </c>
      <c r="K74" s="3">
        <v>1998</v>
      </c>
      <c r="L74" s="3">
        <v>1999</v>
      </c>
      <c r="M74" s="3">
        <v>2000</v>
      </c>
      <c r="N74" s="3">
        <v>2001</v>
      </c>
      <c r="O74" s="3">
        <v>2002</v>
      </c>
      <c r="P74" s="3">
        <v>2003</v>
      </c>
      <c r="Q74" s="3">
        <v>2004</v>
      </c>
      <c r="R74" s="3">
        <v>2005</v>
      </c>
      <c r="S74" s="3">
        <v>2006</v>
      </c>
      <c r="T74" s="3">
        <v>2007</v>
      </c>
      <c r="U74" s="3">
        <v>2008</v>
      </c>
      <c r="V74" s="3">
        <v>2009</v>
      </c>
      <c r="W74" s="3">
        <v>2010</v>
      </c>
      <c r="X74" s="3">
        <v>2011</v>
      </c>
      <c r="Y74" s="3">
        <v>2012</v>
      </c>
      <c r="Z74" s="3">
        <v>2013</v>
      </c>
      <c r="AA74" s="3">
        <v>2014</v>
      </c>
      <c r="AB74" s="3">
        <v>2015</v>
      </c>
      <c r="AC74" s="3">
        <v>2016</v>
      </c>
      <c r="AD74" s="3">
        <v>2017</v>
      </c>
      <c r="AE74" s="3">
        <v>2018</v>
      </c>
      <c r="AF74" s="3">
        <v>2019</v>
      </c>
      <c r="AG74" s="3">
        <v>2020</v>
      </c>
      <c r="AH74" s="3">
        <v>2021</v>
      </c>
      <c r="AI74" s="3">
        <v>2022</v>
      </c>
      <c r="AJ74" s="3">
        <v>2023</v>
      </c>
      <c r="AK74" s="3">
        <v>2024</v>
      </c>
      <c r="AL74" s="3">
        <v>2025</v>
      </c>
      <c r="AM74" s="3">
        <v>2026</v>
      </c>
      <c r="AN74" s="3">
        <v>2027</v>
      </c>
      <c r="AO74" s="3">
        <v>2028</v>
      </c>
      <c r="AP74" s="3">
        <v>2029</v>
      </c>
      <c r="AQ74" s="3">
        <v>2030</v>
      </c>
      <c r="AS74" s="3" t="s">
        <v>44</v>
      </c>
    </row>
    <row r="75" spans="1:45" x14ac:dyDescent="0.35">
      <c r="B75" s="105" t="s">
        <v>45</v>
      </c>
      <c r="C75" s="106"/>
      <c r="D75" s="106"/>
      <c r="E75" s="106"/>
      <c r="F75" s="106"/>
      <c r="G75" s="106"/>
      <c r="H75" s="106"/>
      <c r="I75" s="106"/>
      <c r="J75" s="106"/>
      <c r="K75" s="106"/>
      <c r="L75" s="106"/>
      <c r="M75" s="107"/>
      <c r="N75" s="107"/>
      <c r="O75" s="107"/>
      <c r="P75" s="107"/>
      <c r="Q75" s="107"/>
      <c r="R75" s="107"/>
      <c r="S75" s="107"/>
      <c r="T75" s="108"/>
      <c r="U75" s="108"/>
      <c r="V75" s="108"/>
      <c r="W75" s="28">
        <v>0.22195665000000001</v>
      </c>
      <c r="X75" s="28">
        <v>0.29686961000000001</v>
      </c>
      <c r="Y75" s="28">
        <v>0.34642874000000001</v>
      </c>
      <c r="Z75" s="28">
        <v>0.40508739999999999</v>
      </c>
      <c r="AA75" s="28">
        <v>0.47980005999999997</v>
      </c>
      <c r="AB75" s="28">
        <v>0.53434532999999995</v>
      </c>
      <c r="AC75" s="28">
        <v>0.59516935000000004</v>
      </c>
      <c r="AD75" s="123">
        <v>0.81559999999999999</v>
      </c>
      <c r="AE75" s="123">
        <v>0.76190000000000002</v>
      </c>
      <c r="AF75" s="123">
        <v>0.89539999999999997</v>
      </c>
      <c r="AG75" s="123">
        <v>0.98</v>
      </c>
      <c r="AH75" s="28">
        <v>0.98</v>
      </c>
      <c r="AI75" s="28">
        <v>0.98</v>
      </c>
      <c r="AJ75" s="27"/>
      <c r="AK75" s="27"/>
      <c r="AL75" s="27"/>
      <c r="AM75" s="27"/>
      <c r="AN75" s="27"/>
      <c r="AO75" s="27"/>
      <c r="AP75" s="27"/>
      <c r="AQ75" s="27"/>
      <c r="AR75" s="3" t="s">
        <v>46</v>
      </c>
      <c r="AS75" s="27"/>
    </row>
    <row r="76" spans="1:45" x14ac:dyDescent="0.35">
      <c r="B76" s="105" t="s">
        <v>47</v>
      </c>
      <c r="C76" s="106"/>
      <c r="D76" s="106"/>
      <c r="E76" s="106"/>
      <c r="F76" s="106"/>
      <c r="G76" s="106"/>
      <c r="H76" s="106"/>
      <c r="I76" s="106"/>
      <c r="J76" s="106"/>
      <c r="K76" s="106"/>
      <c r="L76" s="106"/>
      <c r="M76" s="28"/>
      <c r="N76" s="28"/>
      <c r="O76" s="28"/>
      <c r="P76" s="28"/>
      <c r="Q76" s="28"/>
      <c r="R76" s="28"/>
      <c r="S76" s="28"/>
      <c r="T76" s="28"/>
      <c r="U76" s="28"/>
      <c r="V76" s="28"/>
      <c r="W76" s="28">
        <f t="shared" ref="W76:AB76" si="1">AVERAGE(W75,W77)</f>
        <v>0.28328066499999999</v>
      </c>
      <c r="X76" s="28">
        <f t="shared" si="1"/>
        <v>0.37503982000000002</v>
      </c>
      <c r="Y76" s="28">
        <f t="shared" si="1"/>
        <v>0.43377098000000003</v>
      </c>
      <c r="Z76" s="28">
        <f t="shared" si="1"/>
        <v>0.50496546499999995</v>
      </c>
      <c r="AA76" s="28">
        <f t="shared" si="1"/>
        <v>0.59445664499999995</v>
      </c>
      <c r="AB76" s="28">
        <f t="shared" si="1"/>
        <v>0.65984606999999995</v>
      </c>
      <c r="AC76" s="28">
        <v>0.86799999999999999</v>
      </c>
      <c r="AD76" s="121">
        <v>0.78</v>
      </c>
      <c r="AE76" s="121">
        <v>0.73</v>
      </c>
      <c r="AF76" s="121">
        <v>0.85</v>
      </c>
      <c r="AG76" s="121">
        <v>0.96</v>
      </c>
      <c r="AH76" s="28">
        <v>0.96</v>
      </c>
      <c r="AI76" s="28">
        <v>0.98</v>
      </c>
      <c r="AJ76" s="27"/>
      <c r="AK76" s="27"/>
      <c r="AL76" s="27"/>
      <c r="AM76" s="27"/>
      <c r="AN76" s="27"/>
      <c r="AO76" s="27"/>
      <c r="AP76" s="27"/>
      <c r="AQ76" s="27"/>
      <c r="AR76" s="3" t="s">
        <v>46</v>
      </c>
      <c r="AS76" s="27"/>
    </row>
    <row r="77" spans="1:45" x14ac:dyDescent="0.35">
      <c r="B77" s="105" t="s">
        <v>48</v>
      </c>
      <c r="C77" s="106"/>
      <c r="D77" s="106"/>
      <c r="E77" s="106"/>
      <c r="F77" s="106"/>
      <c r="G77" s="106"/>
      <c r="H77" s="106"/>
      <c r="I77" s="106"/>
      <c r="J77" s="106"/>
      <c r="K77" s="106"/>
      <c r="L77" s="106"/>
      <c r="M77" s="107"/>
      <c r="N77" s="107"/>
      <c r="O77" s="107"/>
      <c r="P77" s="107"/>
      <c r="Q77" s="107"/>
      <c r="R77" s="107"/>
      <c r="S77" s="107"/>
      <c r="T77" s="108"/>
      <c r="U77" s="108"/>
      <c r="V77" s="108"/>
      <c r="W77" s="28">
        <v>0.34460468</v>
      </c>
      <c r="X77" s="28">
        <v>0.45321002999999999</v>
      </c>
      <c r="Y77" s="28">
        <v>0.52111322000000004</v>
      </c>
      <c r="Z77" s="28">
        <v>0.60484353000000002</v>
      </c>
      <c r="AA77" s="28">
        <v>0.70911323000000004</v>
      </c>
      <c r="AB77" s="28">
        <v>0.78534680999999995</v>
      </c>
      <c r="AC77" s="28">
        <v>0.86910763000000002</v>
      </c>
      <c r="AD77" s="122"/>
      <c r="AE77" s="122"/>
      <c r="AF77" s="122"/>
      <c r="AG77" s="122">
        <v>0.88</v>
      </c>
      <c r="AH77" s="28">
        <v>0.88</v>
      </c>
      <c r="AI77" s="28">
        <v>0.91</v>
      </c>
      <c r="AJ77" s="27"/>
      <c r="AK77" s="27"/>
      <c r="AL77" s="27"/>
      <c r="AM77" s="27"/>
      <c r="AN77" s="27"/>
      <c r="AO77" s="27"/>
      <c r="AP77" s="27"/>
      <c r="AQ77" s="27"/>
      <c r="AR77" s="3" t="s">
        <v>46</v>
      </c>
      <c r="AS77" s="27"/>
    </row>
    <row r="81" spans="1:47" x14ac:dyDescent="0.35">
      <c r="A81" s="3" t="s">
        <v>415</v>
      </c>
    </row>
    <row r="82" spans="1:47" x14ac:dyDescent="0.35">
      <c r="C82" s="3">
        <v>1990</v>
      </c>
      <c r="D82" s="3">
        <v>1991</v>
      </c>
      <c r="E82" s="3">
        <v>1992</v>
      </c>
      <c r="F82" s="3">
        <v>1993</v>
      </c>
      <c r="G82" s="3">
        <v>1994</v>
      </c>
      <c r="H82" s="3">
        <v>1995</v>
      </c>
      <c r="I82" s="3">
        <v>1996</v>
      </c>
      <c r="J82" s="3">
        <v>1997</v>
      </c>
      <c r="K82" s="3">
        <v>1998</v>
      </c>
      <c r="L82" s="3">
        <v>1999</v>
      </c>
      <c r="M82" s="3">
        <v>2000</v>
      </c>
      <c r="N82" s="3">
        <v>2001</v>
      </c>
      <c r="O82" s="3">
        <v>2002</v>
      </c>
      <c r="P82" s="3">
        <v>2003</v>
      </c>
      <c r="Q82" s="3">
        <v>2004</v>
      </c>
      <c r="R82" s="3">
        <v>2005</v>
      </c>
      <c r="S82" s="3">
        <v>2006</v>
      </c>
      <c r="T82" s="3">
        <v>2007</v>
      </c>
      <c r="U82" s="3">
        <v>2008</v>
      </c>
      <c r="V82" s="3">
        <v>2009</v>
      </c>
      <c r="W82" s="3">
        <v>2010</v>
      </c>
      <c r="X82" s="3">
        <v>2011</v>
      </c>
      <c r="Y82" s="3">
        <v>2012</v>
      </c>
      <c r="Z82" s="3">
        <v>2013</v>
      </c>
      <c r="AA82" s="3">
        <v>2014</v>
      </c>
      <c r="AB82" s="3">
        <v>2015</v>
      </c>
      <c r="AC82" s="3">
        <v>2016</v>
      </c>
      <c r="AD82" s="3">
        <v>2017</v>
      </c>
      <c r="AE82" s="3">
        <v>2018</v>
      </c>
      <c r="AF82" s="3">
        <v>2019</v>
      </c>
      <c r="AG82" s="3">
        <v>2020</v>
      </c>
      <c r="AH82" s="3">
        <v>2021</v>
      </c>
      <c r="AI82" s="3">
        <v>2022</v>
      </c>
      <c r="AJ82" s="3">
        <v>2023</v>
      </c>
      <c r="AK82" s="3">
        <v>2024</v>
      </c>
      <c r="AL82" s="3">
        <v>2025</v>
      </c>
      <c r="AM82" s="3">
        <v>2026</v>
      </c>
      <c r="AN82" s="3">
        <v>2027</v>
      </c>
      <c r="AO82" s="3">
        <v>2028</v>
      </c>
      <c r="AP82" s="3">
        <v>2029</v>
      </c>
      <c r="AQ82" s="3">
        <v>2030</v>
      </c>
      <c r="AS82" s="3" t="s">
        <v>44</v>
      </c>
    </row>
    <row r="83" spans="1:47" x14ac:dyDescent="0.35">
      <c r="B83" s="105" t="s">
        <v>45</v>
      </c>
      <c r="C83" s="106"/>
      <c r="D83" s="106"/>
      <c r="E83" s="106"/>
      <c r="F83" s="106"/>
      <c r="G83" s="106"/>
      <c r="H83" s="106"/>
      <c r="I83" s="106"/>
      <c r="J83" s="106"/>
      <c r="K83" s="106"/>
      <c r="L83" s="106"/>
      <c r="M83" s="107"/>
      <c r="N83" s="107"/>
      <c r="O83" s="107"/>
      <c r="P83" s="107"/>
      <c r="Q83" s="107"/>
      <c r="R83" s="107"/>
      <c r="S83" s="107"/>
      <c r="T83" s="108"/>
      <c r="U83" s="108"/>
      <c r="V83" s="108"/>
      <c r="W83" s="108"/>
      <c r="X83" s="108"/>
      <c r="Y83" s="108"/>
      <c r="Z83" s="108"/>
      <c r="AA83" s="107"/>
      <c r="AB83" s="107"/>
      <c r="AC83" s="107"/>
      <c r="AD83" s="107"/>
      <c r="AE83" s="107"/>
      <c r="AF83" s="107"/>
      <c r="AG83" s="107"/>
      <c r="AH83" s="27"/>
      <c r="AI83" s="27"/>
      <c r="AJ83" s="27"/>
      <c r="AK83" s="27"/>
      <c r="AL83" s="27"/>
      <c r="AM83" s="27"/>
      <c r="AN83" s="27"/>
      <c r="AO83" s="27"/>
      <c r="AP83" s="27"/>
      <c r="AQ83" s="27"/>
      <c r="AR83" s="3" t="s">
        <v>46</v>
      </c>
      <c r="AS83" s="27"/>
    </row>
    <row r="84" spans="1:47" x14ac:dyDescent="0.35">
      <c r="B84" s="105" t="s">
        <v>47</v>
      </c>
      <c r="C84" s="106"/>
      <c r="D84" s="106"/>
      <c r="E84" s="106"/>
      <c r="F84" s="106"/>
      <c r="G84" s="106"/>
      <c r="H84" s="106"/>
      <c r="I84" s="106"/>
      <c r="J84" s="106"/>
      <c r="K84" s="106"/>
      <c r="L84" s="106"/>
      <c r="M84" s="28"/>
      <c r="N84" s="28"/>
      <c r="O84" s="28"/>
      <c r="P84" s="28"/>
      <c r="Q84" s="28"/>
      <c r="R84" s="28"/>
      <c r="S84" s="28"/>
      <c r="T84" s="28">
        <v>0.22</v>
      </c>
      <c r="U84" s="28"/>
      <c r="V84" s="28">
        <v>0.59</v>
      </c>
      <c r="W84" s="28"/>
      <c r="X84" s="28">
        <v>0.86</v>
      </c>
      <c r="Y84" s="28">
        <v>0.85</v>
      </c>
      <c r="Z84" s="28">
        <v>0.82</v>
      </c>
      <c r="AA84" s="28">
        <v>0.79</v>
      </c>
      <c r="AB84" s="28">
        <v>0.85</v>
      </c>
      <c r="AC84" s="28">
        <v>0.92100000000000004</v>
      </c>
      <c r="AD84" s="121">
        <v>0.95499999999999996</v>
      </c>
      <c r="AE84" s="121">
        <v>0.89980000000000004</v>
      </c>
      <c r="AF84" s="121">
        <v>0.90800000000000003</v>
      </c>
      <c r="AG84" s="28"/>
      <c r="AH84" s="27"/>
      <c r="AI84" s="27"/>
      <c r="AJ84" s="27"/>
      <c r="AK84" s="27"/>
      <c r="AL84" s="27"/>
      <c r="AM84" s="27"/>
      <c r="AN84" s="27"/>
      <c r="AO84" s="27"/>
      <c r="AP84" s="27"/>
      <c r="AQ84" s="27"/>
      <c r="AR84" s="3" t="s">
        <v>46</v>
      </c>
      <c r="AS84" s="27"/>
    </row>
    <row r="85" spans="1:47" x14ac:dyDescent="0.35">
      <c r="B85" s="105" t="s">
        <v>48</v>
      </c>
      <c r="C85" s="106"/>
      <c r="D85" s="106"/>
      <c r="E85" s="106"/>
      <c r="F85" s="106"/>
      <c r="G85" s="106"/>
      <c r="H85" s="106"/>
      <c r="I85" s="106"/>
      <c r="J85" s="106"/>
      <c r="K85" s="106"/>
      <c r="L85" s="106"/>
      <c r="M85" s="107"/>
      <c r="N85" s="107"/>
      <c r="O85" s="107"/>
      <c r="P85" s="107"/>
      <c r="Q85" s="107"/>
      <c r="R85" s="107"/>
      <c r="S85" s="107"/>
      <c r="T85" s="108"/>
      <c r="U85" s="108"/>
      <c r="V85" s="108"/>
      <c r="W85" s="108"/>
      <c r="X85" s="108"/>
      <c r="Y85" s="108"/>
      <c r="Z85" s="108"/>
      <c r="AA85" s="107"/>
      <c r="AB85" s="107"/>
      <c r="AC85" s="107"/>
      <c r="AD85" s="107"/>
      <c r="AE85" s="107"/>
      <c r="AF85" s="107"/>
      <c r="AG85" s="107"/>
      <c r="AH85" s="27"/>
      <c r="AI85" s="27"/>
      <c r="AJ85" s="27"/>
      <c r="AK85" s="27"/>
      <c r="AL85" s="27"/>
      <c r="AM85" s="27"/>
      <c r="AN85" s="27"/>
      <c r="AO85" s="27"/>
      <c r="AP85" s="27"/>
      <c r="AQ85" s="27"/>
      <c r="AR85" s="3" t="s">
        <v>46</v>
      </c>
      <c r="AS85" s="27"/>
    </row>
    <row r="89" spans="1:47" x14ac:dyDescent="0.35">
      <c r="A89" s="3" t="s">
        <v>416</v>
      </c>
    </row>
    <row r="90" spans="1:47" x14ac:dyDescent="0.35">
      <c r="C90" s="3">
        <v>1990</v>
      </c>
      <c r="D90" s="3">
        <v>1991</v>
      </c>
      <c r="E90" s="3">
        <v>1992</v>
      </c>
      <c r="F90" s="3">
        <v>1993</v>
      </c>
      <c r="G90" s="3">
        <v>1994</v>
      </c>
      <c r="H90" s="3">
        <v>1995</v>
      </c>
      <c r="I90" s="3">
        <v>1996</v>
      </c>
      <c r="J90" s="3">
        <v>1997</v>
      </c>
      <c r="K90" s="3">
        <v>1998</v>
      </c>
      <c r="L90" s="3">
        <v>1999</v>
      </c>
      <c r="M90" s="3">
        <v>2000</v>
      </c>
      <c r="N90" s="3">
        <v>2001</v>
      </c>
      <c r="O90" s="3">
        <v>2002</v>
      </c>
      <c r="P90" s="3">
        <v>2003</v>
      </c>
      <c r="Q90" s="3">
        <v>2004</v>
      </c>
      <c r="R90" s="3">
        <v>2005</v>
      </c>
      <c r="S90" s="3">
        <v>2006</v>
      </c>
      <c r="T90" s="3">
        <v>2007</v>
      </c>
      <c r="U90" s="3">
        <v>2008</v>
      </c>
      <c r="V90" s="3">
        <v>2009</v>
      </c>
      <c r="W90" s="3">
        <v>2010</v>
      </c>
      <c r="X90" s="3">
        <v>2011</v>
      </c>
      <c r="Y90" s="3">
        <v>2012</v>
      </c>
      <c r="Z90" s="3">
        <v>2013</v>
      </c>
      <c r="AA90" s="3">
        <v>2014</v>
      </c>
      <c r="AB90" s="3">
        <v>2015</v>
      </c>
      <c r="AC90" s="3">
        <v>2016</v>
      </c>
      <c r="AD90" s="3">
        <v>2017</v>
      </c>
      <c r="AE90" s="3">
        <v>2018</v>
      </c>
      <c r="AF90" s="3">
        <v>2019</v>
      </c>
      <c r="AG90" s="3">
        <v>2020</v>
      </c>
      <c r="AH90" s="3">
        <v>2021</v>
      </c>
      <c r="AI90" s="3">
        <v>2022</v>
      </c>
      <c r="AJ90" s="3">
        <v>2023</v>
      </c>
      <c r="AK90" s="3">
        <v>2024</v>
      </c>
      <c r="AL90" s="3">
        <v>2025</v>
      </c>
      <c r="AM90" s="3">
        <v>2026</v>
      </c>
      <c r="AN90" s="3">
        <v>2027</v>
      </c>
      <c r="AO90" s="3">
        <v>2028</v>
      </c>
      <c r="AP90" s="3">
        <v>2029</v>
      </c>
      <c r="AQ90" s="3">
        <v>2030</v>
      </c>
      <c r="AS90" s="3" t="s">
        <v>44</v>
      </c>
    </row>
    <row r="91" spans="1:47" x14ac:dyDescent="0.35">
      <c r="B91" s="105" t="s">
        <v>45</v>
      </c>
      <c r="C91" s="107"/>
      <c r="D91" s="107"/>
      <c r="E91" s="107"/>
      <c r="F91" s="107"/>
      <c r="G91" s="107"/>
      <c r="H91" s="107"/>
      <c r="I91" s="107"/>
      <c r="J91" s="107"/>
      <c r="K91" s="107"/>
      <c r="L91" s="107"/>
      <c r="M91" s="107"/>
      <c r="N91" s="107"/>
      <c r="O91" s="107"/>
      <c r="P91" s="107"/>
      <c r="Q91" s="107"/>
      <c r="R91" s="107"/>
      <c r="S91" s="107"/>
      <c r="T91" s="108"/>
      <c r="U91" s="108"/>
      <c r="V91" s="108"/>
      <c r="W91" s="108"/>
      <c r="X91" s="108"/>
      <c r="Y91" s="108"/>
      <c r="Z91" s="108"/>
      <c r="AA91" s="107"/>
      <c r="AB91" s="107"/>
      <c r="AC91" s="112">
        <v>0.877</v>
      </c>
      <c r="AD91" s="107"/>
      <c r="AE91" s="107"/>
      <c r="AF91" s="107"/>
      <c r="AG91" s="28">
        <v>0.98</v>
      </c>
      <c r="AH91" s="28">
        <v>0.98</v>
      </c>
      <c r="AI91" s="28">
        <v>0.98</v>
      </c>
      <c r="AJ91" s="27"/>
      <c r="AK91" s="27"/>
      <c r="AL91" s="27"/>
      <c r="AM91" s="27"/>
      <c r="AN91" s="27"/>
      <c r="AO91" s="27"/>
      <c r="AP91" s="27"/>
      <c r="AQ91" s="27"/>
      <c r="AR91" s="3" t="s">
        <v>46</v>
      </c>
      <c r="AS91" s="27"/>
    </row>
    <row r="92" spans="1:47" x14ac:dyDescent="0.35">
      <c r="B92" s="105" t="s">
        <v>47</v>
      </c>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107"/>
      <c r="AC92" s="112">
        <v>0.86499999999999999</v>
      </c>
      <c r="AD92" s="121">
        <v>0.62</v>
      </c>
      <c r="AE92" s="121">
        <v>0.73</v>
      </c>
      <c r="AF92" s="121">
        <v>0.88</v>
      </c>
      <c r="AG92" s="28">
        <v>0.9</v>
      </c>
      <c r="AH92" s="28">
        <v>0.92</v>
      </c>
      <c r="AI92" s="28">
        <v>0.93</v>
      </c>
      <c r="AJ92" s="27"/>
      <c r="AK92" s="27"/>
      <c r="AL92" s="27"/>
      <c r="AM92" s="27"/>
      <c r="AN92" s="27"/>
      <c r="AO92" s="27"/>
      <c r="AP92" s="27"/>
      <c r="AQ92" s="27"/>
      <c r="AR92" s="3" t="s">
        <v>46</v>
      </c>
      <c r="AS92" s="27"/>
    </row>
    <row r="93" spans="1:47" x14ac:dyDescent="0.35">
      <c r="B93" s="105" t="s">
        <v>48</v>
      </c>
      <c r="C93" s="107"/>
      <c r="D93" s="107"/>
      <c r="E93" s="107"/>
      <c r="F93" s="107"/>
      <c r="G93" s="107"/>
      <c r="H93" s="107"/>
      <c r="I93" s="107"/>
      <c r="J93" s="107"/>
      <c r="K93" s="107"/>
      <c r="L93" s="107"/>
      <c r="M93" s="107"/>
      <c r="N93" s="107"/>
      <c r="O93" s="107"/>
      <c r="P93" s="107"/>
      <c r="Q93" s="107"/>
      <c r="R93" s="107"/>
      <c r="S93" s="107"/>
      <c r="T93" s="108"/>
      <c r="U93" s="108"/>
      <c r="V93" s="108"/>
      <c r="W93" s="108"/>
      <c r="X93" s="108"/>
      <c r="Y93" s="108"/>
      <c r="Z93" s="108"/>
      <c r="AA93" s="107"/>
      <c r="AB93" s="107"/>
      <c r="AC93" s="112">
        <v>0.84399999999999997</v>
      </c>
      <c r="AD93" s="107"/>
      <c r="AE93" s="107"/>
      <c r="AF93" s="107"/>
      <c r="AG93" s="28">
        <v>0.77</v>
      </c>
      <c r="AH93" s="28">
        <v>0.78</v>
      </c>
      <c r="AI93" s="28">
        <v>0.79</v>
      </c>
      <c r="AJ93" s="27"/>
      <c r="AK93" s="27"/>
      <c r="AL93" s="27"/>
      <c r="AM93" s="27"/>
      <c r="AN93" s="27"/>
      <c r="AO93" s="27"/>
      <c r="AP93" s="27"/>
      <c r="AQ93" s="27"/>
      <c r="AR93" s="3" t="s">
        <v>46</v>
      </c>
      <c r="AS93" s="27"/>
    </row>
    <row r="96" spans="1:47" ht="15.5" x14ac:dyDescent="0.35">
      <c r="AT96" s="113"/>
      <c r="AU96" s="113"/>
    </row>
  </sheetData>
  <pageMargins left="0.7" right="0.7" top="0.75" bottom="0.75" header="0.3" footer="0.3"/>
  <pageSetup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P90"/>
  <sheetViews>
    <sheetView topLeftCell="A67" zoomScale="70" zoomScaleNormal="70" workbookViewId="0">
      <selection activeCell="C78" sqref="C78:Q78"/>
    </sheetView>
  </sheetViews>
  <sheetFormatPr defaultColWidth="8.81640625" defaultRowHeight="14.5" x14ac:dyDescent="0.35"/>
  <cols>
    <col min="1" max="1" width="5.1796875" customWidth="1"/>
    <col min="2" max="2" width="8.81640625" bestFit="1" customWidth="1"/>
    <col min="3" max="12" width="8.81640625" customWidth="1"/>
    <col min="13" max="13" width="6.1796875" bestFit="1" customWidth="1"/>
    <col min="14" max="18" width="5.1796875" bestFit="1" customWidth="1"/>
    <col min="19" max="19" width="5.26953125" bestFit="1" customWidth="1"/>
    <col min="20" max="20" width="6.26953125" bestFit="1" customWidth="1"/>
    <col min="21" max="21" width="5.1796875" bestFit="1" customWidth="1"/>
    <col min="22" max="22" width="6.1796875" bestFit="1" customWidth="1"/>
    <col min="23" max="27" width="5.1796875" bestFit="1" customWidth="1"/>
    <col min="28" max="28" width="8.26953125" customWidth="1"/>
    <col min="29" max="29" width="6.26953125" bestFit="1" customWidth="1"/>
    <col min="30" max="30" width="9.26953125" customWidth="1"/>
    <col min="31" max="33" width="7.453125" bestFit="1" customWidth="1"/>
    <col min="34" max="34" width="15.81640625" bestFit="1" customWidth="1"/>
    <col min="35" max="43" width="5.1796875" bestFit="1" customWidth="1"/>
    <col min="44" max="44" width="3.453125" bestFit="1" customWidth="1"/>
    <col min="45" max="45" width="11.1796875" style="25" bestFit="1" customWidth="1"/>
    <col min="46" max="46" width="10.1796875" style="25" hidden="1" customWidth="1"/>
    <col min="47" max="47" width="12.1796875" style="25" hidden="1" customWidth="1"/>
    <col min="48" max="48" width="12.1796875" hidden="1" customWidth="1"/>
  </cols>
  <sheetData>
    <row r="1" spans="1:94" x14ac:dyDescent="0.35">
      <c r="A1" s="2" t="s">
        <v>68</v>
      </c>
      <c r="AX1" s="2" t="s">
        <v>68</v>
      </c>
      <c r="CP1" s="25"/>
    </row>
    <row r="2" spans="1:94" x14ac:dyDescent="0.35">
      <c r="C2" s="3">
        <v>1990</v>
      </c>
      <c r="D2" s="3">
        <v>1991</v>
      </c>
      <c r="E2" s="3">
        <v>1992</v>
      </c>
      <c r="F2" s="3">
        <v>1993</v>
      </c>
      <c r="G2" s="3">
        <v>1994</v>
      </c>
      <c r="H2" s="3">
        <v>1995</v>
      </c>
      <c r="I2" s="3">
        <v>1996</v>
      </c>
      <c r="J2" s="3">
        <v>1997</v>
      </c>
      <c r="K2" s="3">
        <v>1998</v>
      </c>
      <c r="L2" s="3">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3" t="s">
        <v>44</v>
      </c>
      <c r="AZ2" s="3">
        <v>1990</v>
      </c>
      <c r="BA2" s="3">
        <v>1991</v>
      </c>
      <c r="BB2" s="3">
        <v>1992</v>
      </c>
      <c r="BC2" s="3">
        <v>1993</v>
      </c>
      <c r="BD2" s="3">
        <v>1994</v>
      </c>
      <c r="BE2" s="3">
        <v>1995</v>
      </c>
      <c r="BF2" s="3">
        <v>1996</v>
      </c>
      <c r="BG2" s="3">
        <v>1997</v>
      </c>
      <c r="BH2" s="3">
        <v>1998</v>
      </c>
      <c r="BI2" s="3">
        <v>1999</v>
      </c>
      <c r="BJ2" s="4">
        <v>2000</v>
      </c>
      <c r="BK2" s="4">
        <v>2001</v>
      </c>
      <c r="BL2" s="4">
        <v>2002</v>
      </c>
      <c r="BM2" s="4">
        <v>2003</v>
      </c>
      <c r="BN2" s="4">
        <v>2004</v>
      </c>
      <c r="BO2" s="4">
        <v>2005</v>
      </c>
      <c r="BP2" s="4">
        <v>2006</v>
      </c>
      <c r="BQ2" s="4">
        <v>2007</v>
      </c>
      <c r="BR2" s="4">
        <v>2008</v>
      </c>
      <c r="BS2" s="4">
        <v>2009</v>
      </c>
      <c r="BT2" s="4">
        <v>2010</v>
      </c>
      <c r="BU2" s="4">
        <v>2011</v>
      </c>
      <c r="BV2" s="4">
        <v>2012</v>
      </c>
      <c r="BW2" s="4">
        <v>2013</v>
      </c>
      <c r="BX2" s="4">
        <v>2014</v>
      </c>
      <c r="BY2" s="4">
        <v>2015</v>
      </c>
      <c r="BZ2" s="4">
        <v>2016</v>
      </c>
      <c r="CA2" s="4">
        <v>2017</v>
      </c>
      <c r="CB2" s="4">
        <v>2018</v>
      </c>
      <c r="CC2" s="4">
        <v>2019</v>
      </c>
      <c r="CD2" s="4">
        <v>2020</v>
      </c>
      <c r="CE2" s="4">
        <v>2021</v>
      </c>
      <c r="CF2" s="4">
        <v>2022</v>
      </c>
      <c r="CG2" s="4">
        <v>2023</v>
      </c>
      <c r="CH2" s="4">
        <v>2024</v>
      </c>
      <c r="CI2" s="4">
        <v>2025</v>
      </c>
      <c r="CJ2" s="4">
        <v>2026</v>
      </c>
      <c r="CK2" s="4">
        <v>2027</v>
      </c>
      <c r="CL2" s="4">
        <v>2028</v>
      </c>
      <c r="CM2" s="4">
        <v>2029</v>
      </c>
      <c r="CN2" s="4">
        <v>2030</v>
      </c>
      <c r="CP2" s="3" t="s">
        <v>44</v>
      </c>
    </row>
    <row r="3" spans="1:94" x14ac:dyDescent="0.35">
      <c r="B3" s="4" t="str">
        <f>Populations!$C$3</f>
        <v>FSW</v>
      </c>
      <c r="C3" s="31">
        <v>6</v>
      </c>
      <c r="D3" s="31"/>
      <c r="E3" s="31"/>
      <c r="F3" s="31"/>
      <c r="G3" s="31"/>
      <c r="H3" s="31"/>
      <c r="I3" s="31"/>
      <c r="J3" s="31"/>
      <c r="K3" s="31"/>
      <c r="L3" s="31"/>
      <c r="M3" s="31"/>
      <c r="N3" s="31"/>
      <c r="O3" s="31"/>
      <c r="P3" s="31"/>
      <c r="Q3" s="31"/>
      <c r="R3" s="31"/>
      <c r="S3" s="31"/>
      <c r="T3" s="31"/>
      <c r="U3" s="31"/>
      <c r="V3" s="31"/>
      <c r="W3" s="31"/>
      <c r="X3" s="31"/>
      <c r="Y3" s="31"/>
      <c r="Z3" s="31"/>
      <c r="AA3" s="31"/>
      <c r="AB3" s="31"/>
      <c r="AC3" s="120">
        <v>0.1</v>
      </c>
      <c r="AD3" s="31"/>
      <c r="AE3" s="5"/>
      <c r="AF3" s="5"/>
      <c r="AG3" s="5">
        <v>0.01</v>
      </c>
      <c r="AH3" s="5"/>
      <c r="AI3" s="5"/>
      <c r="AJ3" s="5"/>
      <c r="AK3" s="5"/>
      <c r="AL3" s="5"/>
      <c r="AM3" s="5"/>
      <c r="AN3" s="5"/>
      <c r="AO3" s="5"/>
      <c r="AP3" s="5"/>
      <c r="AQ3" s="5"/>
      <c r="AR3" s="6" t="s">
        <v>46</v>
      </c>
      <c r="AS3" s="27"/>
      <c r="AY3" s="4" t="str">
        <f>Populations!$C$3</f>
        <v>FSW</v>
      </c>
      <c r="AZ3" s="31">
        <v>6</v>
      </c>
      <c r="BA3" s="31"/>
      <c r="BB3" s="31"/>
      <c r="BC3" s="31"/>
      <c r="BD3" s="31"/>
      <c r="BE3" s="31"/>
      <c r="BF3" s="31"/>
      <c r="BG3" s="31"/>
      <c r="BH3" s="31"/>
      <c r="BI3" s="31"/>
      <c r="BJ3" s="31">
        <v>3</v>
      </c>
      <c r="BK3" s="31"/>
      <c r="BL3" s="31"/>
      <c r="BM3" s="31"/>
      <c r="BN3" s="31"/>
      <c r="BO3" s="31">
        <v>1.5</v>
      </c>
      <c r="BP3" s="31"/>
      <c r="BQ3" s="31"/>
      <c r="BR3" s="31"/>
      <c r="BS3" s="31"/>
      <c r="BT3" s="31">
        <v>0.5</v>
      </c>
      <c r="BU3" s="31"/>
      <c r="BV3" s="31">
        <v>0.3</v>
      </c>
      <c r="BW3" s="31"/>
      <c r="BX3" s="31">
        <v>0.2</v>
      </c>
      <c r="BY3" s="31"/>
      <c r="BZ3" s="120">
        <v>0.1</v>
      </c>
      <c r="CA3" s="31"/>
      <c r="CB3" s="5"/>
      <c r="CC3" s="5"/>
      <c r="CD3" s="5"/>
      <c r="CE3" s="5"/>
      <c r="CF3" s="5"/>
      <c r="CG3" s="5"/>
      <c r="CH3" s="5"/>
      <c r="CI3" s="5"/>
      <c r="CJ3" s="5"/>
      <c r="CK3" s="5"/>
      <c r="CL3" s="5"/>
      <c r="CM3" s="5"/>
      <c r="CN3" s="5"/>
      <c r="CO3" s="6" t="s">
        <v>46</v>
      </c>
      <c r="CP3" s="27"/>
    </row>
    <row r="4" spans="1:94" x14ac:dyDescent="0.35">
      <c r="B4" s="4" t="str">
        <f>Populations!$C$4</f>
        <v>Clients</v>
      </c>
      <c r="C4" s="31">
        <v>6</v>
      </c>
      <c r="D4" s="31"/>
      <c r="E4" s="31"/>
      <c r="F4" s="31"/>
      <c r="G4" s="31"/>
      <c r="H4" s="31"/>
      <c r="I4" s="31"/>
      <c r="J4" s="31"/>
      <c r="K4" s="31"/>
      <c r="L4" s="31"/>
      <c r="M4" s="31"/>
      <c r="N4" s="31"/>
      <c r="O4" s="31"/>
      <c r="P4" s="31"/>
      <c r="Q4" s="31"/>
      <c r="R4" s="31"/>
      <c r="S4" s="31"/>
      <c r="T4" s="31"/>
      <c r="U4" s="31"/>
      <c r="V4" s="31"/>
      <c r="W4" s="31"/>
      <c r="X4" s="31"/>
      <c r="Y4" s="31"/>
      <c r="Z4" s="31"/>
      <c r="AA4" s="31"/>
      <c r="AB4" s="31"/>
      <c r="AC4" s="120">
        <v>0.1</v>
      </c>
      <c r="AD4" s="31"/>
      <c r="AE4" s="5"/>
      <c r="AF4" s="5"/>
      <c r="AG4" s="5">
        <v>0.01</v>
      </c>
      <c r="AH4" s="5"/>
      <c r="AI4" s="5"/>
      <c r="AJ4" s="5"/>
      <c r="AK4" s="5"/>
      <c r="AL4" s="5"/>
      <c r="AM4" s="5"/>
      <c r="AN4" s="5"/>
      <c r="AO4" s="5"/>
      <c r="AP4" s="5"/>
      <c r="AQ4" s="5"/>
      <c r="AR4" s="6" t="s">
        <v>46</v>
      </c>
      <c r="AS4" s="27"/>
      <c r="AY4" s="4" t="str">
        <f>Populations!$C$4</f>
        <v>Clients</v>
      </c>
      <c r="AZ4" s="31">
        <v>6</v>
      </c>
      <c r="BA4" s="31"/>
      <c r="BB4" s="31"/>
      <c r="BC4" s="31"/>
      <c r="BD4" s="31"/>
      <c r="BE4" s="31"/>
      <c r="BF4" s="31"/>
      <c r="BG4" s="31"/>
      <c r="BH4" s="31"/>
      <c r="BI4" s="31"/>
      <c r="BJ4" s="31">
        <v>3</v>
      </c>
      <c r="BK4" s="31"/>
      <c r="BL4" s="31"/>
      <c r="BM4" s="31"/>
      <c r="BN4" s="31"/>
      <c r="BO4" s="31">
        <v>1.5</v>
      </c>
      <c r="BP4" s="31"/>
      <c r="BQ4" s="31"/>
      <c r="BR4" s="31"/>
      <c r="BS4" s="31"/>
      <c r="BT4" s="31">
        <v>0.5</v>
      </c>
      <c r="BU4" s="31"/>
      <c r="BV4" s="31">
        <v>0.3</v>
      </c>
      <c r="BW4" s="31"/>
      <c r="BX4" s="31">
        <v>0.2</v>
      </c>
      <c r="BY4" s="31"/>
      <c r="BZ4" s="120">
        <v>0.1</v>
      </c>
      <c r="CA4" s="31"/>
      <c r="CB4" s="5"/>
      <c r="CC4" s="5"/>
      <c r="CD4" s="5"/>
      <c r="CE4" s="5"/>
      <c r="CF4" s="5"/>
      <c r="CG4" s="5"/>
      <c r="CH4" s="5"/>
      <c r="CI4" s="5"/>
      <c r="CJ4" s="5"/>
      <c r="CK4" s="5"/>
      <c r="CL4" s="5"/>
      <c r="CM4" s="5"/>
      <c r="CN4" s="5"/>
      <c r="CO4" s="6" t="s">
        <v>46</v>
      </c>
      <c r="CP4" s="27"/>
    </row>
    <row r="5" spans="1:94" x14ac:dyDescent="0.35">
      <c r="B5" s="4" t="str">
        <f>Populations!$C$5</f>
        <v>MSM</v>
      </c>
      <c r="C5" s="31">
        <v>6</v>
      </c>
      <c r="D5" s="31"/>
      <c r="E5" s="31"/>
      <c r="F5" s="31"/>
      <c r="G5" s="31"/>
      <c r="H5" s="31"/>
      <c r="I5" s="31"/>
      <c r="J5" s="31"/>
      <c r="K5" s="31"/>
      <c r="L5" s="31"/>
      <c r="M5" s="31"/>
      <c r="N5" s="31"/>
      <c r="O5" s="31"/>
      <c r="P5" s="31"/>
      <c r="Q5" s="31"/>
      <c r="R5" s="31"/>
      <c r="S5" s="31"/>
      <c r="T5" s="31"/>
      <c r="U5" s="31"/>
      <c r="V5" s="31"/>
      <c r="W5" s="31"/>
      <c r="X5" s="31"/>
      <c r="Y5" s="31"/>
      <c r="Z5" s="31"/>
      <c r="AA5" s="31"/>
      <c r="AB5" s="31"/>
      <c r="AC5" s="120">
        <v>0.1</v>
      </c>
      <c r="AD5" s="31"/>
      <c r="AE5" s="5"/>
      <c r="AF5" s="5"/>
      <c r="AG5" s="5">
        <v>0.01</v>
      </c>
      <c r="AH5" s="5"/>
      <c r="AI5" s="5"/>
      <c r="AJ5" s="5"/>
      <c r="AK5" s="5"/>
      <c r="AL5" s="5"/>
      <c r="AM5" s="5"/>
      <c r="AN5" s="5"/>
      <c r="AO5" s="5"/>
      <c r="AP5" s="5"/>
      <c r="AQ5" s="5"/>
      <c r="AR5" s="6" t="s">
        <v>46</v>
      </c>
      <c r="AS5" s="27"/>
      <c r="AY5" s="4" t="str">
        <f>Populations!$C$5</f>
        <v>MSM</v>
      </c>
      <c r="AZ5" s="31">
        <v>6</v>
      </c>
      <c r="BA5" s="31"/>
      <c r="BB5" s="31"/>
      <c r="BC5" s="31"/>
      <c r="BD5" s="31"/>
      <c r="BE5" s="31"/>
      <c r="BF5" s="31"/>
      <c r="BG5" s="31"/>
      <c r="BH5" s="31"/>
      <c r="BI5" s="31"/>
      <c r="BJ5" s="31">
        <v>3</v>
      </c>
      <c r="BK5" s="31"/>
      <c r="BL5" s="31"/>
      <c r="BM5" s="31"/>
      <c r="BN5" s="31"/>
      <c r="BO5" s="31">
        <v>1.5</v>
      </c>
      <c r="BP5" s="31"/>
      <c r="BQ5" s="31"/>
      <c r="BR5" s="31"/>
      <c r="BS5" s="31"/>
      <c r="BT5" s="31">
        <v>0.5</v>
      </c>
      <c r="BU5" s="31"/>
      <c r="BV5" s="31">
        <v>0.3</v>
      </c>
      <c r="BW5" s="31"/>
      <c r="BX5" s="31">
        <v>0.2</v>
      </c>
      <c r="BY5" s="31"/>
      <c r="BZ5" s="120">
        <v>0.1</v>
      </c>
      <c r="CA5" s="31"/>
      <c r="CB5" s="5"/>
      <c r="CC5" s="5"/>
      <c r="CD5" s="5"/>
      <c r="CE5" s="5"/>
      <c r="CF5" s="5"/>
      <c r="CG5" s="5"/>
      <c r="CH5" s="5"/>
      <c r="CI5" s="5"/>
      <c r="CJ5" s="5"/>
      <c r="CK5" s="5"/>
      <c r="CL5" s="5"/>
      <c r="CM5" s="5"/>
      <c r="CN5" s="5"/>
      <c r="CO5" s="6" t="s">
        <v>46</v>
      </c>
      <c r="CP5" s="27"/>
    </row>
    <row r="6" spans="1:94" x14ac:dyDescent="0.35">
      <c r="B6" s="4" t="str">
        <f>Populations!$C$6</f>
        <v>Prisoners</v>
      </c>
      <c r="C6" s="31">
        <v>6</v>
      </c>
      <c r="D6" s="31"/>
      <c r="E6" s="31"/>
      <c r="F6" s="31"/>
      <c r="G6" s="31"/>
      <c r="H6" s="31"/>
      <c r="I6" s="31"/>
      <c r="J6" s="31"/>
      <c r="K6" s="31"/>
      <c r="L6" s="31"/>
      <c r="M6" s="31"/>
      <c r="N6" s="31"/>
      <c r="O6" s="31"/>
      <c r="P6" s="31"/>
      <c r="Q6" s="31"/>
      <c r="R6" s="31"/>
      <c r="S6" s="31"/>
      <c r="T6" s="31"/>
      <c r="U6" s="31"/>
      <c r="V6" s="31"/>
      <c r="W6" s="31"/>
      <c r="X6" s="31"/>
      <c r="Y6" s="31"/>
      <c r="Z6" s="31"/>
      <c r="AA6" s="31"/>
      <c r="AB6" s="31"/>
      <c r="AC6" s="120">
        <v>0.1</v>
      </c>
      <c r="AD6" s="31"/>
      <c r="AE6" s="5"/>
      <c r="AF6" s="5"/>
      <c r="AG6" s="5">
        <v>0.01</v>
      </c>
      <c r="AH6" s="5"/>
      <c r="AI6" s="5"/>
      <c r="AJ6" s="5"/>
      <c r="AK6" s="5"/>
      <c r="AL6" s="5"/>
      <c r="AM6" s="5"/>
      <c r="AN6" s="5"/>
      <c r="AO6" s="5"/>
      <c r="AP6" s="5"/>
      <c r="AQ6" s="5"/>
      <c r="AR6" s="6" t="s">
        <v>46</v>
      </c>
      <c r="AS6" s="27"/>
      <c r="AY6" s="4" t="str">
        <f>Populations!$C$6</f>
        <v>Prisoners</v>
      </c>
      <c r="AZ6" s="31">
        <v>6</v>
      </c>
      <c r="BA6" s="31"/>
      <c r="BB6" s="31"/>
      <c r="BC6" s="31"/>
      <c r="BD6" s="31"/>
      <c r="BE6" s="31"/>
      <c r="BF6" s="31"/>
      <c r="BG6" s="31"/>
      <c r="BH6" s="31"/>
      <c r="BI6" s="31"/>
      <c r="BJ6" s="31">
        <v>3</v>
      </c>
      <c r="BK6" s="31"/>
      <c r="BL6" s="31"/>
      <c r="BM6" s="31"/>
      <c r="BN6" s="31"/>
      <c r="BO6" s="31">
        <v>1.5</v>
      </c>
      <c r="BP6" s="31"/>
      <c r="BQ6" s="31"/>
      <c r="BR6" s="31"/>
      <c r="BS6" s="31"/>
      <c r="BT6" s="31">
        <v>0.5</v>
      </c>
      <c r="BU6" s="31"/>
      <c r="BV6" s="31">
        <v>0.3</v>
      </c>
      <c r="BW6" s="31"/>
      <c r="BX6" s="31">
        <v>0.2</v>
      </c>
      <c r="BY6" s="31"/>
      <c r="BZ6" s="120">
        <v>0.1</v>
      </c>
      <c r="CA6" s="31"/>
      <c r="CB6" s="5"/>
      <c r="CC6" s="5"/>
      <c r="CD6" s="5"/>
      <c r="CE6" s="5"/>
      <c r="CF6" s="5"/>
      <c r="CG6" s="5"/>
      <c r="CH6" s="5"/>
      <c r="CI6" s="5"/>
      <c r="CJ6" s="5"/>
      <c r="CK6" s="5"/>
      <c r="CL6" s="5"/>
      <c r="CM6" s="5"/>
      <c r="CN6" s="5"/>
      <c r="CO6" s="6" t="s">
        <v>46</v>
      </c>
      <c r="CP6" s="27"/>
    </row>
    <row r="7" spans="1:94" x14ac:dyDescent="0.35">
      <c r="B7" s="4" t="str">
        <f>Populations!$C$7</f>
        <v>F0-14</v>
      </c>
      <c r="C7" s="31">
        <v>6</v>
      </c>
      <c r="D7" s="31"/>
      <c r="E7" s="31"/>
      <c r="F7" s="31"/>
      <c r="G7" s="31"/>
      <c r="H7" s="31"/>
      <c r="I7" s="31"/>
      <c r="J7" s="31"/>
      <c r="K7" s="31"/>
      <c r="L7" s="31"/>
      <c r="M7" s="31"/>
      <c r="N7" s="31"/>
      <c r="O7" s="31"/>
      <c r="P7" s="31"/>
      <c r="Q7" s="31"/>
      <c r="R7" s="31"/>
      <c r="S7" s="31"/>
      <c r="T7" s="31"/>
      <c r="U7" s="31"/>
      <c r="V7" s="31"/>
      <c r="W7" s="31"/>
      <c r="X7" s="31"/>
      <c r="Y7" s="31"/>
      <c r="Z7" s="31"/>
      <c r="AA7" s="31"/>
      <c r="AB7" s="31"/>
      <c r="AC7" s="120">
        <v>0.1</v>
      </c>
      <c r="AD7" s="31"/>
      <c r="AE7" s="5"/>
      <c r="AF7" s="5"/>
      <c r="AG7" s="5">
        <v>0.01</v>
      </c>
      <c r="AH7" s="5"/>
      <c r="AI7" s="5"/>
      <c r="AJ7" s="5"/>
      <c r="AK7" s="5"/>
      <c r="AL7" s="5"/>
      <c r="AM7" s="5"/>
      <c r="AN7" s="5"/>
      <c r="AO7" s="5"/>
      <c r="AP7" s="5"/>
      <c r="AQ7" s="5"/>
      <c r="AR7" s="6" t="s">
        <v>46</v>
      </c>
      <c r="AS7" s="27"/>
      <c r="AY7" s="4" t="str">
        <f>Populations!$C$7</f>
        <v>F0-14</v>
      </c>
      <c r="AZ7" s="31">
        <v>6</v>
      </c>
      <c r="BA7" s="31"/>
      <c r="BB7" s="31"/>
      <c r="BC7" s="31"/>
      <c r="BD7" s="31"/>
      <c r="BE7" s="31"/>
      <c r="BF7" s="31"/>
      <c r="BG7" s="31"/>
      <c r="BH7" s="31"/>
      <c r="BI7" s="31"/>
      <c r="BJ7" s="31">
        <v>3</v>
      </c>
      <c r="BK7" s="31"/>
      <c r="BL7" s="31"/>
      <c r="BM7" s="31"/>
      <c r="BN7" s="31"/>
      <c r="BO7" s="31">
        <v>1.5</v>
      </c>
      <c r="BP7" s="31"/>
      <c r="BQ7" s="31"/>
      <c r="BR7" s="31"/>
      <c r="BS7" s="31"/>
      <c r="BT7" s="31">
        <v>0.5</v>
      </c>
      <c r="BU7" s="31"/>
      <c r="BV7" s="31">
        <v>0.3</v>
      </c>
      <c r="BW7" s="31"/>
      <c r="BX7" s="31">
        <v>0.2</v>
      </c>
      <c r="BY7" s="31"/>
      <c r="BZ7" s="120">
        <v>0.1</v>
      </c>
      <c r="CA7" s="31"/>
      <c r="CB7" s="5"/>
      <c r="CC7" s="5"/>
      <c r="CD7" s="5"/>
      <c r="CE7" s="5"/>
      <c r="CF7" s="5"/>
      <c r="CG7" s="5"/>
      <c r="CH7" s="5"/>
      <c r="CI7" s="5"/>
      <c r="CJ7" s="5"/>
      <c r="CK7" s="5"/>
      <c r="CL7" s="5"/>
      <c r="CM7" s="5"/>
      <c r="CN7" s="5"/>
      <c r="CO7" s="6" t="s">
        <v>46</v>
      </c>
      <c r="CP7" s="27"/>
    </row>
    <row r="8" spans="1:94" x14ac:dyDescent="0.35">
      <c r="B8" s="4" t="str">
        <f>Populations!$C$8</f>
        <v>M0-14</v>
      </c>
      <c r="C8" s="31">
        <v>6</v>
      </c>
      <c r="D8" s="31"/>
      <c r="E8" s="31"/>
      <c r="F8" s="31"/>
      <c r="G8" s="31"/>
      <c r="H8" s="31"/>
      <c r="I8" s="31"/>
      <c r="J8" s="31"/>
      <c r="K8" s="31"/>
      <c r="L8" s="31"/>
      <c r="M8" s="31"/>
      <c r="N8" s="31"/>
      <c r="O8" s="31"/>
      <c r="P8" s="31"/>
      <c r="Q8" s="31"/>
      <c r="R8" s="31"/>
      <c r="S8" s="31"/>
      <c r="T8" s="31"/>
      <c r="U8" s="31"/>
      <c r="V8" s="31"/>
      <c r="W8" s="31"/>
      <c r="X8" s="31"/>
      <c r="Y8" s="31"/>
      <c r="Z8" s="31"/>
      <c r="AA8" s="31"/>
      <c r="AB8" s="31"/>
      <c r="AC8" s="120">
        <v>0.1</v>
      </c>
      <c r="AD8" s="31"/>
      <c r="AE8" s="5"/>
      <c r="AF8" s="5"/>
      <c r="AG8" s="5">
        <v>0.01</v>
      </c>
      <c r="AH8" s="5"/>
      <c r="AI8" s="5"/>
      <c r="AJ8" s="5"/>
      <c r="AK8" s="5"/>
      <c r="AL8" s="5"/>
      <c r="AM8" s="5"/>
      <c r="AN8" s="5"/>
      <c r="AO8" s="5"/>
      <c r="AP8" s="5"/>
      <c r="AQ8" s="5"/>
      <c r="AR8" s="6" t="s">
        <v>46</v>
      </c>
      <c r="AS8" s="27"/>
      <c r="AY8" s="4" t="str">
        <f>Populations!$C$8</f>
        <v>M0-14</v>
      </c>
      <c r="AZ8" s="31">
        <v>6</v>
      </c>
      <c r="BA8" s="31"/>
      <c r="BB8" s="31"/>
      <c r="BC8" s="31"/>
      <c r="BD8" s="31"/>
      <c r="BE8" s="31"/>
      <c r="BF8" s="31"/>
      <c r="BG8" s="31"/>
      <c r="BH8" s="31"/>
      <c r="BI8" s="31"/>
      <c r="BJ8" s="31">
        <v>3</v>
      </c>
      <c r="BK8" s="31"/>
      <c r="BL8" s="31"/>
      <c r="BM8" s="31"/>
      <c r="BN8" s="31"/>
      <c r="BO8" s="31">
        <v>1.5</v>
      </c>
      <c r="BP8" s="31"/>
      <c r="BQ8" s="31"/>
      <c r="BR8" s="31"/>
      <c r="BS8" s="31"/>
      <c r="BT8" s="31">
        <v>0.5</v>
      </c>
      <c r="BU8" s="31"/>
      <c r="BV8" s="31">
        <v>0.3</v>
      </c>
      <c r="BW8" s="31"/>
      <c r="BX8" s="31">
        <v>0.2</v>
      </c>
      <c r="BY8" s="31"/>
      <c r="BZ8" s="120">
        <v>0.1</v>
      </c>
      <c r="CA8" s="31"/>
      <c r="CB8" s="5"/>
      <c r="CC8" s="5"/>
      <c r="CD8" s="5"/>
      <c r="CE8" s="5"/>
      <c r="CF8" s="5"/>
      <c r="CG8" s="5"/>
      <c r="CH8" s="5"/>
      <c r="CI8" s="5"/>
      <c r="CJ8" s="5"/>
      <c r="CK8" s="5"/>
      <c r="CL8" s="5"/>
      <c r="CM8" s="5"/>
      <c r="CN8" s="5"/>
      <c r="CO8" s="6" t="s">
        <v>46</v>
      </c>
      <c r="CP8" s="27"/>
    </row>
    <row r="9" spans="1:94" x14ac:dyDescent="0.35">
      <c r="B9" s="4" t="str">
        <f>Populations!$C$9</f>
        <v>F15-19</v>
      </c>
      <c r="C9" s="31">
        <v>6</v>
      </c>
      <c r="D9" s="31"/>
      <c r="E9" s="31"/>
      <c r="F9" s="31"/>
      <c r="G9" s="31"/>
      <c r="H9" s="31"/>
      <c r="I9" s="31"/>
      <c r="J9" s="31"/>
      <c r="K9" s="31"/>
      <c r="L9" s="31"/>
      <c r="M9" s="31"/>
      <c r="N9" s="31"/>
      <c r="O9" s="31"/>
      <c r="P9" s="31"/>
      <c r="Q9" s="31"/>
      <c r="R9" s="31"/>
      <c r="S9" s="31"/>
      <c r="T9" s="31"/>
      <c r="U9" s="31"/>
      <c r="V9" s="31"/>
      <c r="W9" s="31"/>
      <c r="X9" s="31"/>
      <c r="Y9" s="31"/>
      <c r="Z9" s="31"/>
      <c r="AA9" s="31"/>
      <c r="AB9" s="31"/>
      <c r="AC9" s="120">
        <v>0.1</v>
      </c>
      <c r="AD9" s="31"/>
      <c r="AE9" s="5"/>
      <c r="AF9" s="5"/>
      <c r="AG9" s="5">
        <v>0.01</v>
      </c>
      <c r="AH9" s="5"/>
      <c r="AI9" s="5"/>
      <c r="AJ9" s="5"/>
      <c r="AK9" s="5"/>
      <c r="AL9" s="5"/>
      <c r="AM9" s="5"/>
      <c r="AN9" s="5"/>
      <c r="AO9" s="5"/>
      <c r="AP9" s="5"/>
      <c r="AQ9" s="5"/>
      <c r="AR9" s="6" t="s">
        <v>46</v>
      </c>
      <c r="AS9" s="27"/>
      <c r="AY9" s="4" t="str">
        <f>Populations!$C$9</f>
        <v>F15-19</v>
      </c>
      <c r="AZ9" s="31">
        <v>6</v>
      </c>
      <c r="BA9" s="31"/>
      <c r="BB9" s="31"/>
      <c r="BC9" s="31"/>
      <c r="BD9" s="31"/>
      <c r="BE9" s="31"/>
      <c r="BF9" s="31"/>
      <c r="BG9" s="31"/>
      <c r="BH9" s="31"/>
      <c r="BI9" s="31"/>
      <c r="BJ9" s="31">
        <v>3</v>
      </c>
      <c r="BK9" s="31"/>
      <c r="BL9" s="31"/>
      <c r="BM9" s="31"/>
      <c r="BN9" s="31"/>
      <c r="BO9" s="31">
        <v>1.5</v>
      </c>
      <c r="BP9" s="31"/>
      <c r="BQ9" s="31"/>
      <c r="BR9" s="31"/>
      <c r="BS9" s="31"/>
      <c r="BT9" s="31">
        <v>0.5</v>
      </c>
      <c r="BU9" s="31"/>
      <c r="BV9" s="31">
        <v>0.3</v>
      </c>
      <c r="BW9" s="31"/>
      <c r="BX9" s="31">
        <v>0.2</v>
      </c>
      <c r="BY9" s="31"/>
      <c r="BZ9" s="120">
        <v>0.1</v>
      </c>
      <c r="CA9" s="31"/>
      <c r="CB9" s="5"/>
      <c r="CC9" s="5"/>
      <c r="CD9" s="5"/>
      <c r="CE9" s="5"/>
      <c r="CF9" s="5"/>
      <c r="CG9" s="5"/>
      <c r="CH9" s="5"/>
      <c r="CI9" s="5"/>
      <c r="CJ9" s="5"/>
      <c r="CK9" s="5"/>
      <c r="CL9" s="5"/>
      <c r="CM9" s="5"/>
      <c r="CN9" s="5"/>
      <c r="CO9" s="6" t="s">
        <v>46</v>
      </c>
      <c r="CP9" s="27"/>
    </row>
    <row r="10" spans="1:94" x14ac:dyDescent="0.35">
      <c r="B10" s="4" t="str">
        <f>Populations!$C$10</f>
        <v>M15-19</v>
      </c>
      <c r="C10" s="31">
        <v>6</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120">
        <v>0.1</v>
      </c>
      <c r="AD10" s="31"/>
      <c r="AE10" s="5"/>
      <c r="AF10" s="5"/>
      <c r="AG10" s="5">
        <v>0.01</v>
      </c>
      <c r="AH10" s="5"/>
      <c r="AI10" s="5"/>
      <c r="AJ10" s="5"/>
      <c r="AK10" s="5"/>
      <c r="AL10" s="5"/>
      <c r="AM10" s="5"/>
      <c r="AN10" s="5"/>
      <c r="AO10" s="5"/>
      <c r="AP10" s="5"/>
      <c r="AQ10" s="5"/>
      <c r="AR10" s="6" t="s">
        <v>46</v>
      </c>
      <c r="AS10" s="27"/>
      <c r="AY10" s="4" t="str">
        <f>Populations!$C$10</f>
        <v>M15-19</v>
      </c>
      <c r="AZ10" s="31">
        <v>6</v>
      </c>
      <c r="BA10" s="31"/>
      <c r="BB10" s="31"/>
      <c r="BC10" s="31"/>
      <c r="BD10" s="31"/>
      <c r="BE10" s="31"/>
      <c r="BF10" s="31"/>
      <c r="BG10" s="31"/>
      <c r="BH10" s="31"/>
      <c r="BI10" s="31"/>
      <c r="BJ10" s="31">
        <v>3</v>
      </c>
      <c r="BK10" s="31"/>
      <c r="BL10" s="31"/>
      <c r="BM10" s="31"/>
      <c r="BN10" s="31"/>
      <c r="BO10" s="31">
        <v>1.5</v>
      </c>
      <c r="BP10" s="31"/>
      <c r="BQ10" s="31"/>
      <c r="BR10" s="31"/>
      <c r="BS10" s="31"/>
      <c r="BT10" s="31">
        <v>0.5</v>
      </c>
      <c r="BU10" s="31"/>
      <c r="BV10" s="31">
        <v>0.3</v>
      </c>
      <c r="BW10" s="31"/>
      <c r="BX10" s="31">
        <v>0.2</v>
      </c>
      <c r="BY10" s="31"/>
      <c r="BZ10" s="120">
        <v>0.1</v>
      </c>
      <c r="CA10" s="31"/>
      <c r="CB10" s="5"/>
      <c r="CC10" s="5"/>
      <c r="CD10" s="5"/>
      <c r="CE10" s="5"/>
      <c r="CF10" s="5"/>
      <c r="CG10" s="5"/>
      <c r="CH10" s="5"/>
      <c r="CI10" s="5"/>
      <c r="CJ10" s="5"/>
      <c r="CK10" s="5"/>
      <c r="CL10" s="5"/>
      <c r="CM10" s="5"/>
      <c r="CN10" s="5"/>
      <c r="CO10" s="6" t="s">
        <v>46</v>
      </c>
      <c r="CP10" s="27"/>
    </row>
    <row r="11" spans="1:94" x14ac:dyDescent="0.35">
      <c r="B11" s="4" t="str">
        <f>Populations!$C$11</f>
        <v>F20-24</v>
      </c>
      <c r="C11" s="31">
        <v>6</v>
      </c>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120">
        <v>0.1</v>
      </c>
      <c r="AD11" s="31"/>
      <c r="AE11" s="5"/>
      <c r="AF11" s="5"/>
      <c r="AG11" s="5">
        <v>0.01</v>
      </c>
      <c r="AH11" s="5"/>
      <c r="AI11" s="5"/>
      <c r="AJ11" s="5"/>
      <c r="AK11" s="5"/>
      <c r="AL11" s="5"/>
      <c r="AM11" s="5"/>
      <c r="AN11" s="5"/>
      <c r="AO11" s="5"/>
      <c r="AP11" s="5"/>
      <c r="AQ11" s="5"/>
      <c r="AR11" s="6" t="s">
        <v>46</v>
      </c>
      <c r="AS11" s="27"/>
      <c r="AY11" s="4" t="str">
        <f>Populations!$C$11</f>
        <v>F20-24</v>
      </c>
      <c r="AZ11" s="31">
        <v>6</v>
      </c>
      <c r="BA11" s="31"/>
      <c r="BB11" s="31"/>
      <c r="BC11" s="31"/>
      <c r="BD11" s="31"/>
      <c r="BE11" s="31"/>
      <c r="BF11" s="31"/>
      <c r="BG11" s="31"/>
      <c r="BH11" s="31"/>
      <c r="BI11" s="31"/>
      <c r="BJ11" s="31">
        <v>3</v>
      </c>
      <c r="BK11" s="31"/>
      <c r="BL11" s="31"/>
      <c r="BM11" s="31"/>
      <c r="BN11" s="31"/>
      <c r="BO11" s="31">
        <v>1.5</v>
      </c>
      <c r="BP11" s="31"/>
      <c r="BQ11" s="31"/>
      <c r="BR11" s="31"/>
      <c r="BS11" s="31"/>
      <c r="BT11" s="31">
        <v>0.5</v>
      </c>
      <c r="BU11" s="31"/>
      <c r="BV11" s="31">
        <v>0.3</v>
      </c>
      <c r="BW11" s="31"/>
      <c r="BX11" s="31">
        <v>0.2</v>
      </c>
      <c r="BY11" s="31"/>
      <c r="BZ11" s="120">
        <v>0.1</v>
      </c>
      <c r="CA11" s="31"/>
      <c r="CB11" s="5"/>
      <c r="CC11" s="5"/>
      <c r="CD11" s="5"/>
      <c r="CE11" s="5"/>
      <c r="CF11" s="5"/>
      <c r="CG11" s="5"/>
      <c r="CH11" s="5"/>
      <c r="CI11" s="5"/>
      <c r="CJ11" s="5"/>
      <c r="CK11" s="5"/>
      <c r="CL11" s="5"/>
      <c r="CM11" s="5"/>
      <c r="CN11" s="5"/>
      <c r="CO11" s="6" t="s">
        <v>46</v>
      </c>
      <c r="CP11" s="27"/>
    </row>
    <row r="12" spans="1:94" x14ac:dyDescent="0.35">
      <c r="B12" s="4" t="str">
        <f>Populations!$C$12</f>
        <v>M20-24</v>
      </c>
      <c r="C12" s="31">
        <v>6</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120">
        <v>0.1</v>
      </c>
      <c r="AD12" s="31"/>
      <c r="AE12" s="5"/>
      <c r="AF12" s="5"/>
      <c r="AG12" s="5">
        <v>0.01</v>
      </c>
      <c r="AH12" s="5"/>
      <c r="AI12" s="5"/>
      <c r="AJ12" s="5"/>
      <c r="AK12" s="5"/>
      <c r="AL12" s="5"/>
      <c r="AM12" s="5"/>
      <c r="AN12" s="5"/>
      <c r="AO12" s="5"/>
      <c r="AP12" s="5"/>
      <c r="AQ12" s="5"/>
      <c r="AR12" s="6" t="s">
        <v>46</v>
      </c>
      <c r="AS12" s="27"/>
      <c r="AY12" s="4" t="str">
        <f>Populations!$C$12</f>
        <v>M20-24</v>
      </c>
      <c r="AZ12" s="31">
        <v>6</v>
      </c>
      <c r="BA12" s="31"/>
      <c r="BB12" s="31"/>
      <c r="BC12" s="31"/>
      <c r="BD12" s="31"/>
      <c r="BE12" s="31"/>
      <c r="BF12" s="31"/>
      <c r="BG12" s="31"/>
      <c r="BH12" s="31"/>
      <c r="BI12" s="31"/>
      <c r="BJ12" s="31">
        <v>3</v>
      </c>
      <c r="BK12" s="31"/>
      <c r="BL12" s="31"/>
      <c r="BM12" s="31"/>
      <c r="BN12" s="31"/>
      <c r="BO12" s="31">
        <v>1.5</v>
      </c>
      <c r="BP12" s="31"/>
      <c r="BQ12" s="31"/>
      <c r="BR12" s="31"/>
      <c r="BS12" s="31"/>
      <c r="BT12" s="31">
        <v>0.5</v>
      </c>
      <c r="BU12" s="31"/>
      <c r="BV12" s="31">
        <v>0.3</v>
      </c>
      <c r="BW12" s="31"/>
      <c r="BX12" s="31">
        <v>0.2</v>
      </c>
      <c r="BY12" s="31"/>
      <c r="BZ12" s="120">
        <v>0.1</v>
      </c>
      <c r="CA12" s="31"/>
      <c r="CB12" s="5"/>
      <c r="CC12" s="5"/>
      <c r="CD12" s="5"/>
      <c r="CE12" s="5"/>
      <c r="CF12" s="5"/>
      <c r="CG12" s="5"/>
      <c r="CH12" s="5"/>
      <c r="CI12" s="5"/>
      <c r="CJ12" s="5"/>
      <c r="CK12" s="5"/>
      <c r="CL12" s="5"/>
      <c r="CM12" s="5"/>
      <c r="CN12" s="5"/>
      <c r="CO12" s="6" t="s">
        <v>46</v>
      </c>
      <c r="CP12" s="27"/>
    </row>
    <row r="13" spans="1:94" x14ac:dyDescent="0.35">
      <c r="B13" s="4" t="str">
        <f>Populations!$C$13</f>
        <v>F25-34</v>
      </c>
      <c r="C13" s="31">
        <v>6</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120">
        <v>0.1</v>
      </c>
      <c r="AD13" s="31"/>
      <c r="AE13" s="5"/>
      <c r="AF13" s="5"/>
      <c r="AG13" s="5">
        <v>0.01</v>
      </c>
      <c r="AH13" s="5"/>
      <c r="AI13" s="5"/>
      <c r="AJ13" s="5"/>
      <c r="AK13" s="5"/>
      <c r="AL13" s="5"/>
      <c r="AM13" s="5"/>
      <c r="AN13" s="5"/>
      <c r="AO13" s="5"/>
      <c r="AP13" s="5"/>
      <c r="AQ13" s="5"/>
      <c r="AR13" s="6" t="s">
        <v>46</v>
      </c>
      <c r="AS13" s="27"/>
      <c r="AY13" s="4" t="str">
        <f>Populations!$C$13</f>
        <v>F25-34</v>
      </c>
      <c r="AZ13" s="31">
        <v>6</v>
      </c>
      <c r="BA13" s="31"/>
      <c r="BB13" s="31"/>
      <c r="BC13" s="31"/>
      <c r="BD13" s="31"/>
      <c r="BE13" s="31"/>
      <c r="BF13" s="31"/>
      <c r="BG13" s="31"/>
      <c r="BH13" s="31"/>
      <c r="BI13" s="31"/>
      <c r="BJ13" s="31">
        <v>3</v>
      </c>
      <c r="BK13" s="31"/>
      <c r="BL13" s="31"/>
      <c r="BM13" s="31"/>
      <c r="BN13" s="31"/>
      <c r="BO13" s="31">
        <v>1.5</v>
      </c>
      <c r="BP13" s="31"/>
      <c r="BQ13" s="31"/>
      <c r="BR13" s="31"/>
      <c r="BS13" s="31"/>
      <c r="BT13" s="31">
        <v>0.5</v>
      </c>
      <c r="BU13" s="31"/>
      <c r="BV13" s="31">
        <v>0.3</v>
      </c>
      <c r="BW13" s="31"/>
      <c r="BX13" s="31">
        <v>0.2</v>
      </c>
      <c r="BY13" s="31"/>
      <c r="BZ13" s="120">
        <v>0.1</v>
      </c>
      <c r="CA13" s="31"/>
      <c r="CB13" s="5"/>
      <c r="CC13" s="5"/>
      <c r="CD13" s="5"/>
      <c r="CE13" s="5"/>
      <c r="CF13" s="5"/>
      <c r="CG13" s="5"/>
      <c r="CH13" s="5"/>
      <c r="CI13" s="5"/>
      <c r="CJ13" s="5"/>
      <c r="CK13" s="5"/>
      <c r="CL13" s="5"/>
      <c r="CM13" s="5"/>
      <c r="CN13" s="5"/>
      <c r="CO13" s="6" t="s">
        <v>46</v>
      </c>
      <c r="CP13" s="27"/>
    </row>
    <row r="14" spans="1:94" x14ac:dyDescent="0.35">
      <c r="B14" s="4" t="str">
        <f>Populations!$C$14</f>
        <v>M25-34</v>
      </c>
      <c r="C14" s="31">
        <v>6</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120">
        <v>0.1</v>
      </c>
      <c r="AD14" s="31"/>
      <c r="AE14" s="5"/>
      <c r="AF14" s="5"/>
      <c r="AG14" s="5">
        <v>0.01</v>
      </c>
      <c r="AH14" s="5"/>
      <c r="AI14" s="5"/>
      <c r="AJ14" s="5"/>
      <c r="AK14" s="5"/>
      <c r="AL14" s="5"/>
      <c r="AM14" s="5"/>
      <c r="AN14" s="5"/>
      <c r="AO14" s="5"/>
      <c r="AP14" s="5"/>
      <c r="AQ14" s="5"/>
      <c r="AR14" s="6" t="s">
        <v>46</v>
      </c>
      <c r="AS14" s="27"/>
      <c r="AY14" s="4" t="str">
        <f>Populations!$C$14</f>
        <v>M25-34</v>
      </c>
      <c r="AZ14" s="31">
        <v>6</v>
      </c>
      <c r="BA14" s="31"/>
      <c r="BB14" s="31"/>
      <c r="BC14" s="31"/>
      <c r="BD14" s="31"/>
      <c r="BE14" s="31"/>
      <c r="BF14" s="31"/>
      <c r="BG14" s="31"/>
      <c r="BH14" s="31"/>
      <c r="BI14" s="31"/>
      <c r="BJ14" s="31">
        <v>3</v>
      </c>
      <c r="BK14" s="31"/>
      <c r="BL14" s="31"/>
      <c r="BM14" s="31"/>
      <c r="BN14" s="31"/>
      <c r="BO14" s="31">
        <v>1.5</v>
      </c>
      <c r="BP14" s="31"/>
      <c r="BQ14" s="31"/>
      <c r="BR14" s="31"/>
      <c r="BS14" s="31"/>
      <c r="BT14" s="31">
        <v>0.5</v>
      </c>
      <c r="BU14" s="31"/>
      <c r="BV14" s="31">
        <v>0.3</v>
      </c>
      <c r="BW14" s="31"/>
      <c r="BX14" s="31">
        <v>0.2</v>
      </c>
      <c r="BY14" s="31"/>
      <c r="BZ14" s="120">
        <v>0.1</v>
      </c>
      <c r="CA14" s="31"/>
      <c r="CB14" s="5"/>
      <c r="CC14" s="5"/>
      <c r="CD14" s="5"/>
      <c r="CE14" s="5"/>
      <c r="CF14" s="5"/>
      <c r="CG14" s="5"/>
      <c r="CH14" s="5"/>
      <c r="CI14" s="5"/>
      <c r="CJ14" s="5"/>
      <c r="CK14" s="5"/>
      <c r="CL14" s="5"/>
      <c r="CM14" s="5"/>
      <c r="CN14" s="5"/>
      <c r="CO14" s="6" t="s">
        <v>46</v>
      </c>
      <c r="CP14" s="27"/>
    </row>
    <row r="15" spans="1:94" x14ac:dyDescent="0.35">
      <c r="B15" s="4" t="str">
        <f>Populations!$C$15</f>
        <v>F35-49</v>
      </c>
      <c r="C15" s="31">
        <v>6</v>
      </c>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120">
        <v>0.1</v>
      </c>
      <c r="AD15" s="31"/>
      <c r="AE15" s="5"/>
      <c r="AF15" s="5"/>
      <c r="AG15" s="5">
        <v>0.01</v>
      </c>
      <c r="AH15" s="5"/>
      <c r="AI15" s="5"/>
      <c r="AJ15" s="5"/>
      <c r="AK15" s="5"/>
      <c r="AL15" s="5"/>
      <c r="AM15" s="5"/>
      <c r="AN15" s="5"/>
      <c r="AO15" s="5"/>
      <c r="AP15" s="5"/>
      <c r="AQ15" s="5"/>
      <c r="AR15" s="6" t="s">
        <v>46</v>
      </c>
      <c r="AS15" s="27"/>
      <c r="AY15" s="4" t="str">
        <f>Populations!$C$15</f>
        <v>F35-49</v>
      </c>
      <c r="AZ15" s="31">
        <v>6</v>
      </c>
      <c r="BA15" s="31"/>
      <c r="BB15" s="31"/>
      <c r="BC15" s="31"/>
      <c r="BD15" s="31"/>
      <c r="BE15" s="31"/>
      <c r="BF15" s="31"/>
      <c r="BG15" s="31"/>
      <c r="BH15" s="31"/>
      <c r="BI15" s="31"/>
      <c r="BJ15" s="31">
        <v>3</v>
      </c>
      <c r="BK15" s="31"/>
      <c r="BL15" s="31"/>
      <c r="BM15" s="31"/>
      <c r="BN15" s="31"/>
      <c r="BO15" s="31">
        <v>1.5</v>
      </c>
      <c r="BP15" s="31"/>
      <c r="BQ15" s="31"/>
      <c r="BR15" s="31"/>
      <c r="BS15" s="31"/>
      <c r="BT15" s="31">
        <v>0.5</v>
      </c>
      <c r="BU15" s="31"/>
      <c r="BV15" s="31">
        <v>0.3</v>
      </c>
      <c r="BW15" s="31"/>
      <c r="BX15" s="31">
        <v>0.2</v>
      </c>
      <c r="BY15" s="31"/>
      <c r="BZ15" s="120">
        <v>0.1</v>
      </c>
      <c r="CA15" s="31"/>
      <c r="CB15" s="5"/>
      <c r="CC15" s="5"/>
      <c r="CD15" s="5"/>
      <c r="CE15" s="5"/>
      <c r="CF15" s="5"/>
      <c r="CG15" s="5"/>
      <c r="CH15" s="5"/>
      <c r="CI15" s="5"/>
      <c r="CJ15" s="5"/>
      <c r="CK15" s="5"/>
      <c r="CL15" s="5"/>
      <c r="CM15" s="5"/>
      <c r="CN15" s="5"/>
      <c r="CO15" s="6" t="s">
        <v>46</v>
      </c>
      <c r="CP15" s="27"/>
    </row>
    <row r="16" spans="1:94" x14ac:dyDescent="0.35">
      <c r="B16" s="4" t="str">
        <f>Populations!$C$16</f>
        <v>M35-49</v>
      </c>
      <c r="C16" s="31">
        <v>6</v>
      </c>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120">
        <v>0.1</v>
      </c>
      <c r="AD16" s="31"/>
      <c r="AE16" s="5"/>
      <c r="AF16" s="5"/>
      <c r="AG16" s="5">
        <v>0.01</v>
      </c>
      <c r="AH16" s="5"/>
      <c r="AI16" s="5"/>
      <c r="AJ16" s="5"/>
      <c r="AK16" s="5"/>
      <c r="AL16" s="5"/>
      <c r="AM16" s="5"/>
      <c r="AN16" s="5"/>
      <c r="AO16" s="5"/>
      <c r="AP16" s="5"/>
      <c r="AQ16" s="5"/>
      <c r="AR16" s="6" t="s">
        <v>46</v>
      </c>
      <c r="AS16" s="27"/>
      <c r="AY16" s="4" t="str">
        <f>Populations!$C$16</f>
        <v>M35-49</v>
      </c>
      <c r="AZ16" s="31">
        <v>6</v>
      </c>
      <c r="BA16" s="31"/>
      <c r="BB16" s="31"/>
      <c r="BC16" s="31"/>
      <c r="BD16" s="31"/>
      <c r="BE16" s="31"/>
      <c r="BF16" s="31"/>
      <c r="BG16" s="31"/>
      <c r="BH16" s="31"/>
      <c r="BI16" s="31"/>
      <c r="BJ16" s="31">
        <v>3</v>
      </c>
      <c r="BK16" s="31"/>
      <c r="BL16" s="31"/>
      <c r="BM16" s="31"/>
      <c r="BN16" s="31"/>
      <c r="BO16" s="31">
        <v>1.5</v>
      </c>
      <c r="BP16" s="31"/>
      <c r="BQ16" s="31"/>
      <c r="BR16" s="31"/>
      <c r="BS16" s="31"/>
      <c r="BT16" s="31">
        <v>0.5</v>
      </c>
      <c r="BU16" s="31"/>
      <c r="BV16" s="31">
        <v>0.3</v>
      </c>
      <c r="BW16" s="31"/>
      <c r="BX16" s="31">
        <v>0.2</v>
      </c>
      <c r="BY16" s="31"/>
      <c r="BZ16" s="120">
        <v>0.1</v>
      </c>
      <c r="CA16" s="31"/>
      <c r="CB16" s="5"/>
      <c r="CC16" s="5"/>
      <c r="CD16" s="5"/>
      <c r="CE16" s="5"/>
      <c r="CF16" s="5"/>
      <c r="CG16" s="5"/>
      <c r="CH16" s="5"/>
      <c r="CI16" s="5"/>
      <c r="CJ16" s="5"/>
      <c r="CK16" s="5"/>
      <c r="CL16" s="5"/>
      <c r="CM16" s="5"/>
      <c r="CN16" s="5"/>
      <c r="CO16" s="6" t="s">
        <v>46</v>
      </c>
      <c r="CP16" s="27"/>
    </row>
    <row r="17" spans="1:94" x14ac:dyDescent="0.35">
      <c r="B17" s="4" t="str">
        <f>Populations!$C$17</f>
        <v>F50+</v>
      </c>
      <c r="C17" s="31">
        <v>6</v>
      </c>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120">
        <v>0.1</v>
      </c>
      <c r="AD17" s="31"/>
      <c r="AE17" s="5"/>
      <c r="AF17" s="5"/>
      <c r="AG17" s="5">
        <v>0.01</v>
      </c>
      <c r="AH17" s="5"/>
      <c r="AI17" s="5"/>
      <c r="AJ17" s="5"/>
      <c r="AK17" s="5"/>
      <c r="AL17" s="5"/>
      <c r="AM17" s="5"/>
      <c r="AN17" s="5"/>
      <c r="AO17" s="5"/>
      <c r="AP17" s="5"/>
      <c r="AQ17" s="5"/>
      <c r="AR17" s="6" t="s">
        <v>46</v>
      </c>
      <c r="AS17" s="27"/>
      <c r="AY17" s="4" t="str">
        <f>Populations!$C$17</f>
        <v>F50+</v>
      </c>
      <c r="AZ17" s="31">
        <v>6</v>
      </c>
      <c r="BA17" s="31"/>
      <c r="BB17" s="31"/>
      <c r="BC17" s="31"/>
      <c r="BD17" s="31"/>
      <c r="BE17" s="31"/>
      <c r="BF17" s="31"/>
      <c r="BG17" s="31"/>
      <c r="BH17" s="31"/>
      <c r="BI17" s="31"/>
      <c r="BJ17" s="31">
        <v>3</v>
      </c>
      <c r="BK17" s="31"/>
      <c r="BL17" s="31"/>
      <c r="BM17" s="31"/>
      <c r="BN17" s="31"/>
      <c r="BO17" s="31">
        <v>1.5</v>
      </c>
      <c r="BP17" s="31"/>
      <c r="BQ17" s="31"/>
      <c r="BR17" s="31"/>
      <c r="BS17" s="31"/>
      <c r="BT17" s="31">
        <v>0.5</v>
      </c>
      <c r="BU17" s="31"/>
      <c r="BV17" s="31">
        <v>0.3</v>
      </c>
      <c r="BW17" s="31"/>
      <c r="BX17" s="31">
        <v>0.2</v>
      </c>
      <c r="BY17" s="31"/>
      <c r="BZ17" s="120">
        <v>0.1</v>
      </c>
      <c r="CA17" s="31"/>
      <c r="CB17" s="5"/>
      <c r="CC17" s="5"/>
      <c r="CD17" s="5"/>
      <c r="CE17" s="5"/>
      <c r="CF17" s="5"/>
      <c r="CG17" s="5"/>
      <c r="CH17" s="5"/>
      <c r="CI17" s="5"/>
      <c r="CJ17" s="5"/>
      <c r="CK17" s="5"/>
      <c r="CL17" s="5"/>
      <c r="CM17" s="5"/>
      <c r="CN17" s="5"/>
      <c r="CO17" s="6" t="s">
        <v>46</v>
      </c>
      <c r="CP17" s="27"/>
    </row>
    <row r="18" spans="1:94" x14ac:dyDescent="0.35">
      <c r="B18" s="4" t="str">
        <f>Populations!$C$18</f>
        <v>M50+</v>
      </c>
      <c r="C18" s="31">
        <v>6</v>
      </c>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120">
        <v>0.1</v>
      </c>
      <c r="AD18" s="31"/>
      <c r="AE18" s="5"/>
      <c r="AF18" s="5"/>
      <c r="AG18" s="5">
        <v>0.01</v>
      </c>
      <c r="AH18" s="5"/>
      <c r="AI18" s="5"/>
      <c r="AJ18" s="5"/>
      <c r="AK18" s="5"/>
      <c r="AL18" s="5"/>
      <c r="AM18" s="5"/>
      <c r="AN18" s="5"/>
      <c r="AO18" s="5"/>
      <c r="AP18" s="5"/>
      <c r="AQ18" s="5"/>
      <c r="AR18" s="6" t="s">
        <v>46</v>
      </c>
      <c r="AS18" s="27"/>
      <c r="AY18" s="4" t="str">
        <f>Populations!$C$18</f>
        <v>M50+</v>
      </c>
      <c r="AZ18" s="31">
        <v>6</v>
      </c>
      <c r="BA18" s="31"/>
      <c r="BB18" s="31"/>
      <c r="BC18" s="31"/>
      <c r="BD18" s="31"/>
      <c r="BE18" s="31"/>
      <c r="BF18" s="31"/>
      <c r="BG18" s="31"/>
      <c r="BH18" s="31"/>
      <c r="BI18" s="31"/>
      <c r="BJ18" s="31">
        <v>3</v>
      </c>
      <c r="BK18" s="31"/>
      <c r="BL18" s="31"/>
      <c r="BM18" s="31"/>
      <c r="BN18" s="31"/>
      <c r="BO18" s="31">
        <v>1.5</v>
      </c>
      <c r="BP18" s="31"/>
      <c r="BQ18" s="31"/>
      <c r="BR18" s="31"/>
      <c r="BS18" s="31"/>
      <c r="BT18" s="31">
        <v>0.5</v>
      </c>
      <c r="BU18" s="31"/>
      <c r="BV18" s="31">
        <v>0.3</v>
      </c>
      <c r="BW18" s="31"/>
      <c r="BX18" s="31">
        <v>0.2</v>
      </c>
      <c r="BY18" s="31"/>
      <c r="BZ18" s="120">
        <v>0.1</v>
      </c>
      <c r="CA18" s="31"/>
      <c r="CB18" s="5"/>
      <c r="CC18" s="5"/>
      <c r="CD18" s="5"/>
      <c r="CE18" s="5"/>
      <c r="CF18" s="5"/>
      <c r="CG18" s="5"/>
      <c r="CH18" s="5"/>
      <c r="CI18" s="5"/>
      <c r="CJ18" s="5"/>
      <c r="CK18" s="5"/>
      <c r="CL18" s="5"/>
      <c r="CM18" s="5"/>
      <c r="CN18" s="5"/>
      <c r="CO18" s="6" t="s">
        <v>46</v>
      </c>
      <c r="CP18" s="27"/>
    </row>
    <row r="22" spans="1:94" x14ac:dyDescent="0.35">
      <c r="A22" s="2" t="s">
        <v>69</v>
      </c>
    </row>
    <row r="23" spans="1:94" x14ac:dyDescent="0.35">
      <c r="C23" s="3">
        <v>1990</v>
      </c>
      <c r="D23" s="3">
        <v>1991</v>
      </c>
      <c r="E23" s="3">
        <v>1992</v>
      </c>
      <c r="F23" s="3">
        <v>1993</v>
      </c>
      <c r="G23" s="3">
        <v>1994</v>
      </c>
      <c r="H23" s="3">
        <v>1995</v>
      </c>
      <c r="I23" s="3">
        <v>1996</v>
      </c>
      <c r="J23" s="3">
        <v>1997</v>
      </c>
      <c r="K23" s="3">
        <v>1998</v>
      </c>
      <c r="L23" s="3">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3" t="s">
        <v>44</v>
      </c>
    </row>
    <row r="24" spans="1:94" x14ac:dyDescent="0.35">
      <c r="B24" s="4" t="s">
        <v>55</v>
      </c>
      <c r="C24" s="31">
        <v>7</v>
      </c>
      <c r="D24" s="31"/>
      <c r="E24" s="31"/>
      <c r="F24" s="31"/>
      <c r="G24" s="31"/>
      <c r="H24" s="31"/>
      <c r="I24" s="31"/>
      <c r="J24" s="31"/>
      <c r="K24" s="31"/>
      <c r="L24" s="31"/>
      <c r="M24" s="31"/>
      <c r="N24" s="31"/>
      <c r="O24" s="31"/>
      <c r="P24" s="31"/>
      <c r="Q24" s="31"/>
      <c r="R24" s="31"/>
      <c r="S24" s="5"/>
      <c r="T24" s="5"/>
      <c r="U24" s="5"/>
      <c r="V24" s="5"/>
      <c r="W24" s="5">
        <v>0.2</v>
      </c>
      <c r="X24" s="5"/>
      <c r="Y24" s="5"/>
      <c r="Z24" s="5"/>
      <c r="AA24" s="5"/>
      <c r="AB24" s="5"/>
      <c r="AC24" s="116">
        <v>0.05</v>
      </c>
      <c r="AD24" s="5"/>
      <c r="AE24" s="5"/>
      <c r="AF24" s="5"/>
      <c r="AG24" s="5"/>
      <c r="AH24" s="5"/>
      <c r="AI24" s="5"/>
      <c r="AJ24" s="5"/>
      <c r="AK24" s="5"/>
      <c r="AL24" s="5"/>
      <c r="AM24" s="5"/>
      <c r="AN24" s="5"/>
      <c r="AO24" s="5"/>
      <c r="AP24" s="5"/>
      <c r="AQ24" s="5"/>
      <c r="AR24" s="6" t="s">
        <v>46</v>
      </c>
      <c r="AS24" s="27"/>
    </row>
    <row r="28" spans="1:94" x14ac:dyDescent="0.35">
      <c r="A28" s="2" t="s">
        <v>70</v>
      </c>
      <c r="AX28" s="2" t="s">
        <v>70</v>
      </c>
      <c r="CP28" s="25"/>
    </row>
    <row r="29" spans="1:94" x14ac:dyDescent="0.35">
      <c r="C29" s="3">
        <v>1990</v>
      </c>
      <c r="D29" s="3">
        <v>1991</v>
      </c>
      <c r="E29" s="3">
        <v>1992</v>
      </c>
      <c r="F29" s="3">
        <v>1993</v>
      </c>
      <c r="G29" s="3">
        <v>1994</v>
      </c>
      <c r="H29" s="3">
        <v>1995</v>
      </c>
      <c r="I29" s="3">
        <v>1996</v>
      </c>
      <c r="J29" s="3">
        <v>1997</v>
      </c>
      <c r="K29" s="3">
        <v>1998</v>
      </c>
      <c r="L29" s="3">
        <v>1999</v>
      </c>
      <c r="M29" s="4">
        <v>2000</v>
      </c>
      <c r="N29" s="4">
        <v>2001</v>
      </c>
      <c r="O29" s="4">
        <v>2002</v>
      </c>
      <c r="P29" s="4">
        <v>2003</v>
      </c>
      <c r="Q29" s="4">
        <v>2004</v>
      </c>
      <c r="R29" s="4">
        <v>2005</v>
      </c>
      <c r="S29" s="4">
        <v>2006</v>
      </c>
      <c r="T29" s="4">
        <v>2007</v>
      </c>
      <c r="U29" s="4">
        <v>2008</v>
      </c>
      <c r="V29" s="4">
        <v>2009</v>
      </c>
      <c r="W29" s="4">
        <v>2010</v>
      </c>
      <c r="X29" s="4">
        <v>2011</v>
      </c>
      <c r="Y29" s="4">
        <v>2012</v>
      </c>
      <c r="Z29" s="4">
        <v>2013</v>
      </c>
      <c r="AA29" s="4">
        <v>2014</v>
      </c>
      <c r="AB29" s="4">
        <v>2015</v>
      </c>
      <c r="AC29" s="4">
        <v>2016</v>
      </c>
      <c r="AD29" s="4">
        <v>2017</v>
      </c>
      <c r="AE29" s="4">
        <v>2018</v>
      </c>
      <c r="AF29" s="4">
        <v>2019</v>
      </c>
      <c r="AG29" s="4">
        <v>2020</v>
      </c>
      <c r="AH29" s="4">
        <v>2021</v>
      </c>
      <c r="AI29" s="4">
        <v>2022</v>
      </c>
      <c r="AJ29" s="4">
        <v>2023</v>
      </c>
      <c r="AK29" s="4">
        <v>2024</v>
      </c>
      <c r="AL29" s="4">
        <v>2025</v>
      </c>
      <c r="AM29" s="4">
        <v>2026</v>
      </c>
      <c r="AN29" s="4">
        <v>2027</v>
      </c>
      <c r="AO29" s="4">
        <v>2028</v>
      </c>
      <c r="AP29" s="4">
        <v>2029</v>
      </c>
      <c r="AQ29" s="4">
        <v>2030</v>
      </c>
      <c r="AS29" s="3" t="s">
        <v>44</v>
      </c>
      <c r="AT29" s="25" t="s">
        <v>147</v>
      </c>
      <c r="AU29" s="25" t="s">
        <v>148</v>
      </c>
      <c r="AV29" t="s">
        <v>149</v>
      </c>
      <c r="AZ29" s="3">
        <v>1990</v>
      </c>
      <c r="BA29" s="3">
        <v>1991</v>
      </c>
      <c r="BB29" s="3">
        <v>1992</v>
      </c>
      <c r="BC29" s="3">
        <v>1993</v>
      </c>
      <c r="BD29" s="3">
        <v>1994</v>
      </c>
      <c r="BE29" s="3">
        <v>1995</v>
      </c>
      <c r="BF29" s="3">
        <v>1996</v>
      </c>
      <c r="BG29" s="3">
        <v>1997</v>
      </c>
      <c r="BH29" s="3">
        <v>1998</v>
      </c>
      <c r="BI29" s="3">
        <v>1999</v>
      </c>
      <c r="BJ29" s="4">
        <v>2000</v>
      </c>
      <c r="BK29" s="4">
        <v>2001</v>
      </c>
      <c r="BL29" s="4">
        <v>2002</v>
      </c>
      <c r="BM29" s="4">
        <v>2003</v>
      </c>
      <c r="BN29" s="4">
        <v>2004</v>
      </c>
      <c r="BO29" s="4">
        <v>2005</v>
      </c>
      <c r="BP29" s="4">
        <v>2006</v>
      </c>
      <c r="BQ29" s="4">
        <v>2007</v>
      </c>
      <c r="BR29" s="4">
        <v>2008</v>
      </c>
      <c r="BS29" s="4">
        <v>2009</v>
      </c>
      <c r="BT29" s="4">
        <v>2010</v>
      </c>
      <c r="BU29" s="4">
        <v>2011</v>
      </c>
      <c r="BV29" s="4">
        <v>2012</v>
      </c>
      <c r="BW29" s="4">
        <v>2013</v>
      </c>
      <c r="BX29" s="4">
        <v>2014</v>
      </c>
      <c r="BY29" s="4">
        <v>2015</v>
      </c>
      <c r="BZ29" s="4">
        <v>2016</v>
      </c>
      <c r="CA29" s="4">
        <v>2017</v>
      </c>
      <c r="CB29" s="4">
        <v>2018</v>
      </c>
      <c r="CC29" s="4">
        <v>2019</v>
      </c>
      <c r="CD29" s="4">
        <v>2020</v>
      </c>
      <c r="CE29" s="4">
        <v>2021</v>
      </c>
      <c r="CF29" s="4">
        <v>2022</v>
      </c>
      <c r="CG29" s="4">
        <v>2023</v>
      </c>
      <c r="CH29" s="4">
        <v>2024</v>
      </c>
      <c r="CI29" s="4">
        <v>2025</v>
      </c>
      <c r="CJ29" s="4">
        <v>2026</v>
      </c>
      <c r="CK29" s="4">
        <v>2027</v>
      </c>
      <c r="CL29" s="4">
        <v>2028</v>
      </c>
      <c r="CM29" s="4">
        <v>2029</v>
      </c>
      <c r="CN29" s="4">
        <v>2030</v>
      </c>
      <c r="CP29" s="3" t="s">
        <v>44</v>
      </c>
    </row>
    <row r="30" spans="1:94" x14ac:dyDescent="0.35">
      <c r="B30" s="4" t="str">
        <f>Populations!$C$3</f>
        <v>FSW</v>
      </c>
      <c r="C30" s="14">
        <v>0.52278974635812692</v>
      </c>
      <c r="D30" s="14"/>
      <c r="E30" s="14"/>
      <c r="F30" s="14"/>
      <c r="G30" s="14"/>
      <c r="H30" s="14"/>
      <c r="I30" s="14"/>
      <c r="J30" s="14"/>
      <c r="K30" s="14"/>
      <c r="L30" s="14"/>
      <c r="M30" s="8"/>
      <c r="N30" s="14"/>
      <c r="O30" s="14"/>
      <c r="P30" s="14"/>
      <c r="Q30" s="14"/>
      <c r="R30" s="14"/>
      <c r="S30" s="14"/>
      <c r="T30" s="14"/>
      <c r="U30" s="14"/>
      <c r="V30" s="14"/>
      <c r="W30" s="14"/>
      <c r="X30" s="14"/>
      <c r="Y30" s="14"/>
      <c r="Z30" s="14"/>
      <c r="AA30" s="14"/>
      <c r="AB30" s="14"/>
      <c r="AC30" s="14"/>
      <c r="AD30" s="14"/>
      <c r="AE30" s="8"/>
      <c r="AF30" s="8"/>
      <c r="AG30" s="8">
        <v>0.05</v>
      </c>
      <c r="AH30" s="8"/>
      <c r="AI30" s="8"/>
      <c r="AJ30" s="8"/>
      <c r="AK30" s="8"/>
      <c r="AL30" s="8"/>
      <c r="AM30" s="8"/>
      <c r="AN30" s="8"/>
      <c r="AO30" s="8"/>
      <c r="AP30" s="8"/>
      <c r="AQ30" s="8"/>
      <c r="AR30" s="6" t="s">
        <v>46</v>
      </c>
      <c r="AS30" s="8"/>
      <c r="AT30" s="26">
        <v>381.72678948570916</v>
      </c>
      <c r="AU30" s="26">
        <v>4600.0878756955426</v>
      </c>
      <c r="AV30" s="19">
        <f>AT30/AU30</f>
        <v>8.2982499421924913E-2</v>
      </c>
      <c r="AY30" s="4" t="str">
        <f>Populations!$C$3</f>
        <v>FSW</v>
      </c>
      <c r="AZ30" s="14"/>
      <c r="BA30" s="14"/>
      <c r="BB30" s="14"/>
      <c r="BC30" s="14"/>
      <c r="BD30" s="14"/>
      <c r="BE30" s="14"/>
      <c r="BF30" s="14"/>
      <c r="BG30" s="14"/>
      <c r="BH30" s="14"/>
      <c r="BI30" s="14"/>
      <c r="BJ30" s="14">
        <v>0.2</v>
      </c>
      <c r="BK30" s="14"/>
      <c r="BL30" s="14"/>
      <c r="BM30" s="14"/>
      <c r="BN30" s="14"/>
      <c r="BO30" s="14"/>
      <c r="BP30" s="14"/>
      <c r="BQ30" s="14">
        <v>0.27600000000000002</v>
      </c>
      <c r="BR30" s="14"/>
      <c r="BS30" s="14">
        <v>0.25</v>
      </c>
      <c r="BT30" s="14"/>
      <c r="BU30" s="14"/>
      <c r="BV30" s="14"/>
      <c r="BW30" s="14"/>
      <c r="BX30" s="14"/>
      <c r="BY30" s="14"/>
      <c r="BZ30" s="14"/>
      <c r="CA30" s="14">
        <v>0.37342124739866212</v>
      </c>
      <c r="CB30" s="8"/>
      <c r="CC30" s="8"/>
      <c r="CD30" s="8">
        <f>CA30*0.7</f>
        <v>0.26139487317906346</v>
      </c>
      <c r="CE30" s="8"/>
      <c r="CF30" s="8"/>
      <c r="CG30" s="8"/>
      <c r="CH30" s="8"/>
      <c r="CI30" s="8"/>
      <c r="CJ30" s="8"/>
      <c r="CK30" s="8"/>
      <c r="CL30" s="8"/>
      <c r="CM30" s="8"/>
      <c r="CN30" s="8"/>
      <c r="CO30" s="6" t="s">
        <v>46</v>
      </c>
      <c r="CP30" s="28"/>
    </row>
    <row r="31" spans="1:94" x14ac:dyDescent="0.35">
      <c r="B31" s="4" t="str">
        <f>Populations!$C$4</f>
        <v>Clients</v>
      </c>
      <c r="C31" s="14">
        <v>0.48716288667744795</v>
      </c>
      <c r="D31" s="14"/>
      <c r="E31" s="14"/>
      <c r="F31" s="14"/>
      <c r="G31" s="14"/>
      <c r="H31" s="14"/>
      <c r="I31" s="14"/>
      <c r="J31" s="14"/>
      <c r="K31" s="14"/>
      <c r="L31" s="14"/>
      <c r="M31" s="8"/>
      <c r="N31" s="14"/>
      <c r="O31" s="14"/>
      <c r="P31" s="14"/>
      <c r="Q31" s="14"/>
      <c r="R31" s="14"/>
      <c r="S31" s="14"/>
      <c r="T31" s="14"/>
      <c r="U31" s="14"/>
      <c r="V31" s="14"/>
      <c r="W31" s="14"/>
      <c r="X31" s="14"/>
      <c r="Y31" s="14"/>
      <c r="Z31" s="14"/>
      <c r="AA31" s="14"/>
      <c r="AB31" s="14"/>
      <c r="AC31" s="14"/>
      <c r="AD31" s="14"/>
      <c r="AE31" s="8"/>
      <c r="AF31" s="8"/>
      <c r="AG31" s="8">
        <v>0.05</v>
      </c>
      <c r="AH31" s="8"/>
      <c r="AI31" s="8"/>
      <c r="AJ31" s="8"/>
      <c r="AK31" s="8"/>
      <c r="AL31" s="8"/>
      <c r="AM31" s="8"/>
      <c r="AN31" s="8"/>
      <c r="AO31" s="8"/>
      <c r="AP31" s="8"/>
      <c r="AQ31" s="8"/>
      <c r="AR31" s="6" t="s">
        <v>46</v>
      </c>
      <c r="AS31" s="8"/>
      <c r="AT31" s="26">
        <v>1480.8188699054451</v>
      </c>
      <c r="AU31" s="26">
        <v>19149.978652994494</v>
      </c>
      <c r="AV31" s="19">
        <f t="shared" ref="AV31:AV45" si="0">AT31/AU31</f>
        <v>7.7327442329753651E-2</v>
      </c>
      <c r="AY31" s="4" t="str">
        <f>Populations!$C$4</f>
        <v>Clients</v>
      </c>
      <c r="AZ31" s="14"/>
      <c r="BA31" s="14"/>
      <c r="BB31" s="14"/>
      <c r="BC31" s="14"/>
      <c r="BD31" s="14"/>
      <c r="BE31" s="14"/>
      <c r="BF31" s="14"/>
      <c r="BG31" s="14"/>
      <c r="BH31" s="14"/>
      <c r="BI31" s="14"/>
      <c r="BJ31" s="14">
        <v>0.2</v>
      </c>
      <c r="BK31" s="14"/>
      <c r="BL31" s="14"/>
      <c r="BM31" s="14"/>
      <c r="BN31" s="14"/>
      <c r="BO31" s="14"/>
      <c r="BP31" s="14"/>
      <c r="BQ31" s="14">
        <v>0.27600000000000002</v>
      </c>
      <c r="BR31" s="14"/>
      <c r="BS31" s="14">
        <v>0.25</v>
      </c>
      <c r="BT31" s="14"/>
      <c r="BU31" s="14"/>
      <c r="BV31" s="14"/>
      <c r="BW31" s="14"/>
      <c r="BX31" s="14"/>
      <c r="BY31" s="14"/>
      <c r="BZ31" s="14"/>
      <c r="CA31" s="14">
        <v>0.34797349048389142</v>
      </c>
      <c r="CB31" s="8"/>
      <c r="CC31" s="8"/>
      <c r="CD31" s="8">
        <f t="shared" ref="CD31:CD45" si="1">CA31*0.7</f>
        <v>0.24358144333872397</v>
      </c>
      <c r="CE31" s="8"/>
      <c r="CF31" s="8"/>
      <c r="CG31" s="8"/>
      <c r="CH31" s="8"/>
      <c r="CI31" s="8"/>
      <c r="CJ31" s="8"/>
      <c r="CK31" s="8"/>
      <c r="CL31" s="8"/>
      <c r="CM31" s="8"/>
      <c r="CN31" s="8"/>
      <c r="CO31" s="6" t="s">
        <v>46</v>
      </c>
      <c r="CP31" s="28"/>
    </row>
    <row r="32" spans="1:94" x14ac:dyDescent="0.35">
      <c r="B32" s="4" t="str">
        <f>Populations!$C$5</f>
        <v>MSM</v>
      </c>
      <c r="C32" s="14">
        <v>0.48716288667744795</v>
      </c>
      <c r="D32" s="14"/>
      <c r="E32" s="14"/>
      <c r="F32" s="14"/>
      <c r="G32" s="14"/>
      <c r="H32" s="14"/>
      <c r="I32" s="14"/>
      <c r="J32" s="14"/>
      <c r="K32" s="14"/>
      <c r="L32" s="14"/>
      <c r="M32" s="8"/>
      <c r="N32" s="14"/>
      <c r="O32" s="14"/>
      <c r="P32" s="14"/>
      <c r="Q32" s="14"/>
      <c r="R32" s="14"/>
      <c r="S32" s="14"/>
      <c r="T32" s="14"/>
      <c r="U32" s="14"/>
      <c r="V32" s="14"/>
      <c r="W32" s="14"/>
      <c r="X32" s="14"/>
      <c r="Y32" s="14"/>
      <c r="Z32" s="14"/>
      <c r="AA32" s="14"/>
      <c r="AB32" s="14"/>
      <c r="AC32" s="14"/>
      <c r="AD32" s="14"/>
      <c r="AE32" s="8"/>
      <c r="AF32" s="8"/>
      <c r="AG32" s="8">
        <v>0.05</v>
      </c>
      <c r="AH32" s="8"/>
      <c r="AI32" s="8"/>
      <c r="AJ32" s="8"/>
      <c r="AK32" s="8"/>
      <c r="AL32" s="8"/>
      <c r="AM32" s="8"/>
      <c r="AN32" s="8"/>
      <c r="AO32" s="8"/>
      <c r="AP32" s="8"/>
      <c r="AQ32" s="8"/>
      <c r="AR32" s="6" t="s">
        <v>46</v>
      </c>
      <c r="AS32" s="8"/>
      <c r="AT32" s="26">
        <v>244.78016838600951</v>
      </c>
      <c r="AU32" s="26">
        <v>3165.5019358092009</v>
      </c>
      <c r="AV32" s="19">
        <f t="shared" si="0"/>
        <v>7.7327442329753651E-2</v>
      </c>
      <c r="AY32" s="4" t="str">
        <f>Populations!$C$5</f>
        <v>MSM</v>
      </c>
      <c r="AZ32" s="14"/>
      <c r="BA32" s="14"/>
      <c r="BB32" s="14"/>
      <c r="BC32" s="14"/>
      <c r="BD32" s="14"/>
      <c r="BE32" s="14"/>
      <c r="BF32" s="14"/>
      <c r="BG32" s="14"/>
      <c r="BH32" s="14"/>
      <c r="BI32" s="14"/>
      <c r="BJ32" s="14">
        <v>0.2</v>
      </c>
      <c r="BK32" s="14"/>
      <c r="BL32" s="14"/>
      <c r="BM32" s="14"/>
      <c r="BN32" s="14"/>
      <c r="BO32" s="14"/>
      <c r="BP32" s="14"/>
      <c r="BQ32" s="14">
        <v>0.27600000000000002</v>
      </c>
      <c r="BR32" s="14"/>
      <c r="BS32" s="14">
        <v>0.25</v>
      </c>
      <c r="BT32" s="14"/>
      <c r="BU32" s="14"/>
      <c r="BV32" s="14"/>
      <c r="BW32" s="14"/>
      <c r="BX32" s="14"/>
      <c r="BY32" s="14"/>
      <c r="BZ32" s="14"/>
      <c r="CA32" s="14">
        <v>0.34797349048389142</v>
      </c>
      <c r="CB32" s="8"/>
      <c r="CC32" s="8"/>
      <c r="CD32" s="8">
        <f t="shared" si="1"/>
        <v>0.24358144333872397</v>
      </c>
      <c r="CE32" s="8"/>
      <c r="CF32" s="8"/>
      <c r="CG32" s="8"/>
      <c r="CH32" s="8"/>
      <c r="CI32" s="8"/>
      <c r="CJ32" s="8"/>
      <c r="CK32" s="8"/>
      <c r="CL32" s="8"/>
      <c r="CM32" s="8"/>
      <c r="CN32" s="8"/>
      <c r="CO32" s="6" t="s">
        <v>46</v>
      </c>
      <c r="CP32" s="28"/>
    </row>
    <row r="33" spans="2:94" x14ac:dyDescent="0.35">
      <c r="B33" s="4" t="str">
        <f>Populations!$C$6</f>
        <v>Prisoners</v>
      </c>
      <c r="C33" s="14">
        <v>0.48716288667744789</v>
      </c>
      <c r="D33" s="14"/>
      <c r="E33" s="14"/>
      <c r="F33" s="14"/>
      <c r="G33" s="14"/>
      <c r="H33" s="14"/>
      <c r="I33" s="14"/>
      <c r="J33" s="14"/>
      <c r="K33" s="14"/>
      <c r="L33" s="14"/>
      <c r="M33" s="8"/>
      <c r="N33" s="14"/>
      <c r="O33" s="14"/>
      <c r="P33" s="14"/>
      <c r="Q33" s="14"/>
      <c r="R33" s="14"/>
      <c r="S33" s="14"/>
      <c r="T33" s="14"/>
      <c r="U33" s="14"/>
      <c r="V33" s="14"/>
      <c r="W33" s="14"/>
      <c r="X33" s="14"/>
      <c r="Y33" s="14"/>
      <c r="Z33" s="14"/>
      <c r="AA33" s="14"/>
      <c r="AB33" s="14"/>
      <c r="AC33" s="14"/>
      <c r="AD33" s="14"/>
      <c r="AE33" s="8"/>
      <c r="AF33" s="8"/>
      <c r="AG33" s="8">
        <v>0.05</v>
      </c>
      <c r="AH33" s="8"/>
      <c r="AI33" s="8"/>
      <c r="AJ33" s="8"/>
      <c r="AK33" s="8"/>
      <c r="AL33" s="8"/>
      <c r="AM33" s="8"/>
      <c r="AN33" s="8"/>
      <c r="AO33" s="8"/>
      <c r="AP33" s="8"/>
      <c r="AQ33" s="8"/>
      <c r="AR33" s="6" t="s">
        <v>46</v>
      </c>
      <c r="AS33" s="8"/>
      <c r="AT33" s="26">
        <v>92.513747560401526</v>
      </c>
      <c r="AU33" s="26">
        <v>1196.3895969284449</v>
      </c>
      <c r="AV33" s="19">
        <f t="shared" si="0"/>
        <v>7.7327442329753637E-2</v>
      </c>
      <c r="AY33" s="4" t="str">
        <f>Populations!$C$6</f>
        <v>Prisoners</v>
      </c>
      <c r="AZ33" s="14"/>
      <c r="BA33" s="14"/>
      <c r="BB33" s="14"/>
      <c r="BC33" s="14"/>
      <c r="BD33" s="14"/>
      <c r="BE33" s="14"/>
      <c r="BF33" s="14"/>
      <c r="BG33" s="14"/>
      <c r="BH33" s="14"/>
      <c r="BI33" s="14"/>
      <c r="BJ33" s="14">
        <v>0.2</v>
      </c>
      <c r="BK33" s="14"/>
      <c r="BL33" s="14"/>
      <c r="BM33" s="14"/>
      <c r="BN33" s="14"/>
      <c r="BO33" s="14"/>
      <c r="BP33" s="14"/>
      <c r="BQ33" s="14">
        <v>0.27600000000000002</v>
      </c>
      <c r="BR33" s="14"/>
      <c r="BS33" s="14">
        <v>0.25</v>
      </c>
      <c r="BT33" s="14"/>
      <c r="BU33" s="14"/>
      <c r="BV33" s="14"/>
      <c r="BW33" s="14"/>
      <c r="BX33" s="14"/>
      <c r="BY33" s="14"/>
      <c r="BZ33" s="14"/>
      <c r="CA33" s="14">
        <v>0.34797349048389137</v>
      </c>
      <c r="CB33" s="8"/>
      <c r="CC33" s="8"/>
      <c r="CD33" s="8">
        <f t="shared" si="1"/>
        <v>0.24358144333872395</v>
      </c>
      <c r="CE33" s="8"/>
      <c r="CF33" s="8"/>
      <c r="CG33" s="8"/>
      <c r="CH33" s="8"/>
      <c r="CI33" s="8"/>
      <c r="CJ33" s="8"/>
      <c r="CK33" s="8"/>
      <c r="CL33" s="8"/>
      <c r="CM33" s="8"/>
      <c r="CN33" s="8"/>
      <c r="CO33" s="6" t="s">
        <v>46</v>
      </c>
      <c r="CP33" s="28"/>
    </row>
    <row r="34" spans="2:94" x14ac:dyDescent="0.35">
      <c r="B34" s="4" t="str">
        <f>Populations!$C$7</f>
        <v>F0-14</v>
      </c>
      <c r="C34" s="14">
        <v>0.37707133917396751</v>
      </c>
      <c r="D34" s="14"/>
      <c r="E34" s="14"/>
      <c r="F34" s="14"/>
      <c r="G34" s="14"/>
      <c r="H34" s="14"/>
      <c r="I34" s="14"/>
      <c r="J34" s="14"/>
      <c r="K34" s="14"/>
      <c r="L34" s="14"/>
      <c r="M34" s="8"/>
      <c r="N34" s="14"/>
      <c r="O34" s="14"/>
      <c r="P34" s="14"/>
      <c r="Q34" s="14"/>
      <c r="R34" s="14"/>
      <c r="S34" s="14"/>
      <c r="T34" s="14"/>
      <c r="U34" s="14"/>
      <c r="V34" s="14"/>
      <c r="W34" s="14"/>
      <c r="X34" s="14"/>
      <c r="Y34" s="14"/>
      <c r="Z34" s="14"/>
      <c r="AA34" s="14"/>
      <c r="AB34" s="14"/>
      <c r="AC34" s="14"/>
      <c r="AD34" s="14"/>
      <c r="AE34" s="8"/>
      <c r="AF34" s="8"/>
      <c r="AG34" s="8">
        <v>0.05</v>
      </c>
      <c r="AH34" s="8"/>
      <c r="AI34" s="8"/>
      <c r="AJ34" s="8"/>
      <c r="AK34" s="8"/>
      <c r="AL34" s="8"/>
      <c r="AM34" s="8"/>
      <c r="AN34" s="8"/>
      <c r="AO34" s="8"/>
      <c r="AP34" s="8"/>
      <c r="AQ34" s="8"/>
      <c r="AR34" s="6" t="s">
        <v>46</v>
      </c>
      <c r="AS34" s="8"/>
      <c r="AT34" s="26">
        <v>2152</v>
      </c>
      <c r="AU34" s="26">
        <v>35955</v>
      </c>
      <c r="AV34" s="19">
        <f t="shared" si="0"/>
        <v>5.9852593519677373E-2</v>
      </c>
      <c r="AY34" s="4" t="str">
        <f>Populations!$C$7</f>
        <v>F0-14</v>
      </c>
      <c r="AZ34" s="14"/>
      <c r="BA34" s="14"/>
      <c r="BB34" s="14"/>
      <c r="BC34" s="14"/>
      <c r="BD34" s="14"/>
      <c r="BE34" s="14"/>
      <c r="BF34" s="14"/>
      <c r="BG34" s="14"/>
      <c r="BH34" s="14"/>
      <c r="BI34" s="14"/>
      <c r="BJ34" s="14">
        <v>0.2</v>
      </c>
      <c r="BK34" s="14"/>
      <c r="BL34" s="14"/>
      <c r="BM34" s="14"/>
      <c r="BN34" s="14"/>
      <c r="BO34" s="14"/>
      <c r="BP34" s="14"/>
      <c r="BQ34" s="14">
        <v>0.27600000000000002</v>
      </c>
      <c r="BR34" s="14"/>
      <c r="BS34" s="14">
        <v>0.25</v>
      </c>
      <c r="BT34" s="14"/>
      <c r="BU34" s="14"/>
      <c r="BV34" s="14"/>
      <c r="BW34" s="14"/>
      <c r="BX34" s="14"/>
      <c r="BY34" s="14"/>
      <c r="BZ34" s="14"/>
      <c r="CA34" s="14">
        <v>0.26933667083854823</v>
      </c>
      <c r="CB34" s="8"/>
      <c r="CC34" s="8"/>
      <c r="CD34" s="8">
        <f t="shared" si="1"/>
        <v>0.18853566958698376</v>
      </c>
      <c r="CE34" s="8"/>
      <c r="CF34" s="8"/>
      <c r="CG34" s="8"/>
      <c r="CH34" s="8"/>
      <c r="CI34" s="8"/>
      <c r="CJ34" s="8"/>
      <c r="CK34" s="8"/>
      <c r="CL34" s="8"/>
      <c r="CM34" s="8"/>
      <c r="CN34" s="8"/>
      <c r="CO34" s="6" t="s">
        <v>46</v>
      </c>
      <c r="CP34" s="28"/>
    </row>
    <row r="35" spans="2:94" x14ac:dyDescent="0.35">
      <c r="B35" s="4" t="str">
        <f>Populations!$C$8</f>
        <v>M0-14</v>
      </c>
      <c r="C35" s="14">
        <v>0.41407163288148247</v>
      </c>
      <c r="D35" s="14"/>
      <c r="E35" s="14"/>
      <c r="F35" s="14"/>
      <c r="G35" s="14"/>
      <c r="H35" s="14"/>
      <c r="I35" s="14"/>
      <c r="J35" s="14"/>
      <c r="K35" s="14"/>
      <c r="L35" s="14"/>
      <c r="M35" s="8"/>
      <c r="N35" s="14"/>
      <c r="O35" s="14"/>
      <c r="P35" s="14"/>
      <c r="Q35" s="14"/>
      <c r="R35" s="14"/>
      <c r="S35" s="14"/>
      <c r="T35" s="14"/>
      <c r="U35" s="14"/>
      <c r="V35" s="14"/>
      <c r="W35" s="14"/>
      <c r="X35" s="14"/>
      <c r="Y35" s="14"/>
      <c r="Z35" s="14"/>
      <c r="AA35" s="14"/>
      <c r="AB35" s="14"/>
      <c r="AC35" s="14"/>
      <c r="AD35" s="14"/>
      <c r="AE35" s="8"/>
      <c r="AF35" s="8"/>
      <c r="AG35" s="8">
        <v>0.05</v>
      </c>
      <c r="AH35" s="8"/>
      <c r="AI35" s="8"/>
      <c r="AJ35" s="8"/>
      <c r="AK35" s="8"/>
      <c r="AL35" s="8"/>
      <c r="AM35" s="8"/>
      <c r="AN35" s="8"/>
      <c r="AO35" s="8"/>
      <c r="AP35" s="8"/>
      <c r="AQ35" s="8"/>
      <c r="AR35" s="6" t="s">
        <v>46</v>
      </c>
      <c r="AS35" s="8"/>
      <c r="AT35" s="26">
        <v>2114</v>
      </c>
      <c r="AU35" s="26">
        <v>32164</v>
      </c>
      <c r="AV35" s="19">
        <f t="shared" si="0"/>
        <v>6.5725656012933717E-2</v>
      </c>
      <c r="AY35" s="4" t="str">
        <f>Populations!$C$8</f>
        <v>M0-14</v>
      </c>
      <c r="AZ35" s="14"/>
      <c r="BA35" s="14"/>
      <c r="BB35" s="14"/>
      <c r="BC35" s="14"/>
      <c r="BD35" s="14"/>
      <c r="BE35" s="14"/>
      <c r="BF35" s="14"/>
      <c r="BG35" s="14"/>
      <c r="BH35" s="14"/>
      <c r="BI35" s="14"/>
      <c r="BJ35" s="14">
        <v>0.2</v>
      </c>
      <c r="BK35" s="14"/>
      <c r="BL35" s="14"/>
      <c r="BM35" s="14"/>
      <c r="BN35" s="14"/>
      <c r="BO35" s="14"/>
      <c r="BP35" s="14"/>
      <c r="BQ35" s="14">
        <v>0.27600000000000002</v>
      </c>
      <c r="BR35" s="14"/>
      <c r="BS35" s="14">
        <v>0.25</v>
      </c>
      <c r="BT35" s="14"/>
      <c r="BU35" s="14"/>
      <c r="BV35" s="14"/>
      <c r="BW35" s="14"/>
      <c r="BX35" s="14"/>
      <c r="BY35" s="14"/>
      <c r="BZ35" s="14"/>
      <c r="CA35" s="14">
        <v>0.29576545205820176</v>
      </c>
      <c r="CB35" s="8"/>
      <c r="CC35" s="8"/>
      <c r="CD35" s="8">
        <f t="shared" si="1"/>
        <v>0.20703581644074123</v>
      </c>
      <c r="CE35" s="8"/>
      <c r="CF35" s="8"/>
      <c r="CG35" s="8"/>
      <c r="CH35" s="8"/>
      <c r="CI35" s="8"/>
      <c r="CJ35" s="8"/>
      <c r="CK35" s="8"/>
      <c r="CL35" s="8"/>
      <c r="CM35" s="8"/>
      <c r="CN35" s="8"/>
      <c r="CO35" s="6" t="s">
        <v>46</v>
      </c>
      <c r="CP35" s="28"/>
    </row>
    <row r="36" spans="2:94" x14ac:dyDescent="0.35">
      <c r="B36" s="4" t="str">
        <f>Populations!$C$9</f>
        <v>F15-19</v>
      </c>
      <c r="C36" s="14">
        <v>0.5038550119249221</v>
      </c>
      <c r="D36" s="14"/>
      <c r="E36" s="14"/>
      <c r="F36" s="14"/>
      <c r="G36" s="14"/>
      <c r="H36" s="14"/>
      <c r="I36" s="14"/>
      <c r="J36" s="14"/>
      <c r="K36" s="14"/>
      <c r="L36" s="14"/>
      <c r="M36" s="8"/>
      <c r="N36" s="14"/>
      <c r="O36" s="14"/>
      <c r="P36" s="14"/>
      <c r="Q36" s="14"/>
      <c r="R36" s="14"/>
      <c r="S36" s="14"/>
      <c r="T36" s="14"/>
      <c r="U36" s="14"/>
      <c r="V36" s="14"/>
      <c r="W36" s="14"/>
      <c r="X36" s="14"/>
      <c r="Y36" s="14"/>
      <c r="Z36" s="14"/>
      <c r="AA36" s="14"/>
      <c r="AB36" s="14"/>
      <c r="AC36" s="14"/>
      <c r="AD36" s="14"/>
      <c r="AE36" s="8"/>
      <c r="AF36" s="8"/>
      <c r="AG36" s="8">
        <v>0.05</v>
      </c>
      <c r="AH36" s="8"/>
      <c r="AI36" s="8"/>
      <c r="AJ36" s="8"/>
      <c r="AK36" s="8"/>
      <c r="AL36" s="8"/>
      <c r="AM36" s="8"/>
      <c r="AN36" s="8"/>
      <c r="AO36" s="8"/>
      <c r="AP36" s="8"/>
      <c r="AQ36" s="8"/>
      <c r="AR36" s="6" t="s">
        <v>46</v>
      </c>
      <c r="AS36" s="8"/>
      <c r="AT36" s="26">
        <v>2328.3469892638191</v>
      </c>
      <c r="AU36" s="26">
        <v>29112.712358109442</v>
      </c>
      <c r="AV36" s="19">
        <f t="shared" si="0"/>
        <v>7.9976986019828902E-2</v>
      </c>
      <c r="AY36" s="4" t="str">
        <f>Populations!$C$9</f>
        <v>F15-19</v>
      </c>
      <c r="AZ36" s="14"/>
      <c r="BA36" s="14"/>
      <c r="BB36" s="14"/>
      <c r="BC36" s="14"/>
      <c r="BD36" s="14"/>
      <c r="BE36" s="14"/>
      <c r="BF36" s="14"/>
      <c r="BG36" s="14"/>
      <c r="BH36" s="14"/>
      <c r="BI36" s="14"/>
      <c r="BJ36" s="14">
        <v>0.2</v>
      </c>
      <c r="BK36" s="14"/>
      <c r="BL36" s="14"/>
      <c r="BM36" s="14"/>
      <c r="BN36" s="14"/>
      <c r="BO36" s="14"/>
      <c r="BP36" s="14"/>
      <c r="BQ36" s="14">
        <v>0.27600000000000002</v>
      </c>
      <c r="BR36" s="14"/>
      <c r="BS36" s="14">
        <v>0.25</v>
      </c>
      <c r="BT36" s="14"/>
      <c r="BU36" s="14"/>
      <c r="BV36" s="14"/>
      <c r="BW36" s="14"/>
      <c r="BX36" s="14"/>
      <c r="BY36" s="14"/>
      <c r="BZ36" s="14"/>
      <c r="CA36" s="14">
        <v>0.35989643708923008</v>
      </c>
      <c r="CB36" s="8"/>
      <c r="CC36" s="8"/>
      <c r="CD36" s="8">
        <f t="shared" si="1"/>
        <v>0.25192750596246105</v>
      </c>
      <c r="CE36" s="8"/>
      <c r="CF36" s="8"/>
      <c r="CG36" s="8"/>
      <c r="CH36" s="8"/>
      <c r="CI36" s="8"/>
      <c r="CJ36" s="8"/>
      <c r="CK36" s="8"/>
      <c r="CL36" s="8"/>
      <c r="CM36" s="8"/>
      <c r="CN36" s="8"/>
      <c r="CO36" s="6" t="s">
        <v>46</v>
      </c>
      <c r="CP36" s="28"/>
    </row>
    <row r="37" spans="2:94" x14ac:dyDescent="0.35">
      <c r="B37" s="4" t="str">
        <f>Populations!$C$10</f>
        <v>M15-19</v>
      </c>
      <c r="C37" s="14">
        <v>0.5054882395787158</v>
      </c>
      <c r="D37" s="14"/>
      <c r="E37" s="14"/>
      <c r="F37" s="14"/>
      <c r="G37" s="14"/>
      <c r="H37" s="14"/>
      <c r="I37" s="14"/>
      <c r="J37" s="14"/>
      <c r="K37" s="14"/>
      <c r="L37" s="14"/>
      <c r="M37" s="8"/>
      <c r="N37" s="14"/>
      <c r="O37" s="14"/>
      <c r="P37" s="14"/>
      <c r="Q37" s="14"/>
      <c r="R37" s="14"/>
      <c r="S37" s="14"/>
      <c r="T37" s="14"/>
      <c r="U37" s="14"/>
      <c r="V37" s="14"/>
      <c r="W37" s="14"/>
      <c r="X37" s="14"/>
      <c r="Y37" s="14"/>
      <c r="Z37" s="14"/>
      <c r="AA37" s="14"/>
      <c r="AB37" s="14"/>
      <c r="AC37" s="14"/>
      <c r="AD37" s="14"/>
      <c r="AE37" s="8"/>
      <c r="AF37" s="8"/>
      <c r="AG37" s="8">
        <v>0.05</v>
      </c>
      <c r="AH37" s="8"/>
      <c r="AI37" s="8"/>
      <c r="AJ37" s="8"/>
      <c r="AK37" s="8"/>
      <c r="AL37" s="8"/>
      <c r="AM37" s="8"/>
      <c r="AN37" s="8"/>
      <c r="AO37" s="8"/>
      <c r="AP37" s="8"/>
      <c r="AQ37" s="8"/>
      <c r="AR37" s="6" t="s">
        <v>46</v>
      </c>
      <c r="AS37" s="8"/>
      <c r="AT37" s="26">
        <v>1136.022548434966</v>
      </c>
      <c r="AU37" s="26">
        <v>14158.473916435774</v>
      </c>
      <c r="AV37" s="19">
        <f t="shared" si="0"/>
        <v>8.0236228504558069E-2</v>
      </c>
      <c r="AY37" s="4" t="str">
        <f>Populations!$C$10</f>
        <v>M15-19</v>
      </c>
      <c r="AZ37" s="14"/>
      <c r="BA37" s="14"/>
      <c r="BB37" s="14"/>
      <c r="BC37" s="14"/>
      <c r="BD37" s="14"/>
      <c r="BE37" s="14"/>
      <c r="BF37" s="14"/>
      <c r="BG37" s="14"/>
      <c r="BH37" s="14"/>
      <c r="BI37" s="14"/>
      <c r="BJ37" s="14">
        <v>0.2</v>
      </c>
      <c r="BK37" s="14"/>
      <c r="BL37" s="14"/>
      <c r="BM37" s="14"/>
      <c r="BN37" s="14"/>
      <c r="BO37" s="14"/>
      <c r="BP37" s="14"/>
      <c r="BQ37" s="14">
        <v>0.27600000000000002</v>
      </c>
      <c r="BR37" s="14"/>
      <c r="BS37" s="14">
        <v>0.25</v>
      </c>
      <c r="BT37" s="14"/>
      <c r="BU37" s="14"/>
      <c r="BV37" s="14"/>
      <c r="BW37" s="14"/>
      <c r="BX37" s="14"/>
      <c r="BY37" s="14"/>
      <c r="BZ37" s="14"/>
      <c r="CA37" s="14">
        <v>0.36106302827051134</v>
      </c>
      <c r="CB37" s="8"/>
      <c r="CC37" s="8"/>
      <c r="CD37" s="8">
        <f t="shared" si="1"/>
        <v>0.2527441197893579</v>
      </c>
      <c r="CE37" s="8"/>
      <c r="CF37" s="8"/>
      <c r="CG37" s="8"/>
      <c r="CH37" s="8"/>
      <c r="CI37" s="8"/>
      <c r="CJ37" s="8"/>
      <c r="CK37" s="8"/>
      <c r="CL37" s="8"/>
      <c r="CM37" s="8"/>
      <c r="CN37" s="8"/>
      <c r="CO37" s="6" t="s">
        <v>46</v>
      </c>
      <c r="CP37" s="28"/>
    </row>
    <row r="38" spans="2:94" x14ac:dyDescent="0.35">
      <c r="B38" s="4" t="str">
        <f>Populations!$C$11</f>
        <v>F20-24</v>
      </c>
      <c r="C38" s="14">
        <v>0.53207307292037564</v>
      </c>
      <c r="D38" s="14"/>
      <c r="E38" s="14"/>
      <c r="F38" s="14"/>
      <c r="G38" s="14"/>
      <c r="H38" s="14"/>
      <c r="I38" s="14"/>
      <c r="J38" s="14"/>
      <c r="K38" s="14"/>
      <c r="L38" s="14"/>
      <c r="M38" s="8"/>
      <c r="N38" s="14"/>
      <c r="O38" s="14"/>
      <c r="P38" s="14"/>
      <c r="Q38" s="14"/>
      <c r="R38" s="14"/>
      <c r="S38" s="14"/>
      <c r="T38" s="14"/>
      <c r="U38" s="14"/>
      <c r="V38" s="14"/>
      <c r="W38" s="14"/>
      <c r="X38" s="14"/>
      <c r="Y38" s="14"/>
      <c r="Z38" s="14"/>
      <c r="AA38" s="14"/>
      <c r="AB38" s="14"/>
      <c r="AC38" s="14"/>
      <c r="AD38" s="14"/>
      <c r="AE38" s="8"/>
      <c r="AF38" s="8"/>
      <c r="AG38" s="8">
        <v>0.05</v>
      </c>
      <c r="AH38" s="8"/>
      <c r="AI38" s="8"/>
      <c r="AJ38" s="8"/>
      <c r="AK38" s="8"/>
      <c r="AL38" s="8"/>
      <c r="AM38" s="8"/>
      <c r="AN38" s="8"/>
      <c r="AO38" s="8"/>
      <c r="AP38" s="8"/>
      <c r="AQ38" s="8"/>
      <c r="AR38" s="6" t="s">
        <v>46</v>
      </c>
      <c r="AS38" s="8"/>
      <c r="AT38" s="26">
        <v>5703.9072704347645</v>
      </c>
      <c r="AU38" s="26">
        <v>67536.993756338066</v>
      </c>
      <c r="AV38" s="19">
        <f t="shared" si="0"/>
        <v>8.4456043320694549E-2</v>
      </c>
      <c r="AY38" s="4" t="str">
        <f>Populations!$C$11</f>
        <v>F20-24</v>
      </c>
      <c r="AZ38" s="14"/>
      <c r="BA38" s="14"/>
      <c r="BB38" s="14"/>
      <c r="BC38" s="14"/>
      <c r="BD38" s="14"/>
      <c r="BE38" s="14"/>
      <c r="BF38" s="14"/>
      <c r="BG38" s="14"/>
      <c r="BH38" s="14"/>
      <c r="BI38" s="14"/>
      <c r="BJ38" s="14">
        <v>0.2</v>
      </c>
      <c r="BK38" s="14"/>
      <c r="BL38" s="14"/>
      <c r="BM38" s="14"/>
      <c r="BN38" s="14"/>
      <c r="BO38" s="14"/>
      <c r="BP38" s="14"/>
      <c r="BQ38" s="14">
        <v>0.27600000000000002</v>
      </c>
      <c r="BR38" s="14"/>
      <c r="BS38" s="14">
        <v>0.25</v>
      </c>
      <c r="BT38" s="14"/>
      <c r="BU38" s="14"/>
      <c r="BV38" s="14"/>
      <c r="BW38" s="14"/>
      <c r="BX38" s="14"/>
      <c r="BY38" s="14"/>
      <c r="BZ38" s="14"/>
      <c r="CA38" s="14">
        <v>0.38005219494312548</v>
      </c>
      <c r="CB38" s="8"/>
      <c r="CC38" s="8"/>
      <c r="CD38" s="8">
        <f t="shared" si="1"/>
        <v>0.26603653646018782</v>
      </c>
      <c r="CE38" s="8"/>
      <c r="CF38" s="8"/>
      <c r="CG38" s="8"/>
      <c r="CH38" s="8"/>
      <c r="CI38" s="8"/>
      <c r="CJ38" s="8"/>
      <c r="CK38" s="8"/>
      <c r="CL38" s="8"/>
      <c r="CM38" s="8"/>
      <c r="CN38" s="8"/>
      <c r="CO38" s="6" t="s">
        <v>46</v>
      </c>
      <c r="CP38" s="28"/>
    </row>
    <row r="39" spans="2:94" x14ac:dyDescent="0.35">
      <c r="B39" s="4" t="str">
        <f>Populations!$C$12</f>
        <v>M20-24</v>
      </c>
      <c r="C39" s="14">
        <v>0.45993181106965375</v>
      </c>
      <c r="D39" s="14"/>
      <c r="E39" s="14"/>
      <c r="F39" s="14"/>
      <c r="G39" s="14"/>
      <c r="H39" s="14"/>
      <c r="I39" s="14"/>
      <c r="J39" s="14"/>
      <c r="K39" s="14"/>
      <c r="L39" s="14"/>
      <c r="M39" s="8"/>
      <c r="N39" s="14"/>
      <c r="O39" s="14"/>
      <c r="P39" s="14"/>
      <c r="Q39" s="14"/>
      <c r="R39" s="14"/>
      <c r="S39" s="14"/>
      <c r="T39" s="14"/>
      <c r="U39" s="14"/>
      <c r="V39" s="14"/>
      <c r="W39" s="14"/>
      <c r="X39" s="14"/>
      <c r="Y39" s="14"/>
      <c r="Z39" s="14"/>
      <c r="AA39" s="14"/>
      <c r="AB39" s="14"/>
      <c r="AC39" s="14"/>
      <c r="AD39" s="14"/>
      <c r="AE39" s="8"/>
      <c r="AF39" s="8"/>
      <c r="AG39" s="8">
        <v>0.05</v>
      </c>
      <c r="AH39" s="8"/>
      <c r="AI39" s="8"/>
      <c r="AJ39" s="8"/>
      <c r="AK39" s="8"/>
      <c r="AL39" s="8"/>
      <c r="AM39" s="8"/>
      <c r="AN39" s="8"/>
      <c r="AO39" s="8"/>
      <c r="AP39" s="8"/>
      <c r="AQ39" s="8"/>
      <c r="AR39" s="6" t="s">
        <v>46</v>
      </c>
      <c r="AS39" s="8"/>
      <c r="AT39" s="26">
        <v>1517.620856210418</v>
      </c>
      <c r="AU39" s="26">
        <v>20787.888908770601</v>
      </c>
      <c r="AV39" s="19">
        <f t="shared" si="0"/>
        <v>7.3005049376135528E-2</v>
      </c>
      <c r="AY39" s="4" t="str">
        <f>Populations!$C$12</f>
        <v>M20-24</v>
      </c>
      <c r="AZ39" s="14"/>
      <c r="BA39" s="14"/>
      <c r="BB39" s="14"/>
      <c r="BC39" s="14"/>
      <c r="BD39" s="14"/>
      <c r="BE39" s="14"/>
      <c r="BF39" s="14"/>
      <c r="BG39" s="14"/>
      <c r="BH39" s="14"/>
      <c r="BI39" s="14"/>
      <c r="BJ39" s="14">
        <v>0.2</v>
      </c>
      <c r="BK39" s="14"/>
      <c r="BL39" s="14"/>
      <c r="BM39" s="14"/>
      <c r="BN39" s="14"/>
      <c r="BO39" s="14"/>
      <c r="BP39" s="14"/>
      <c r="BQ39" s="14">
        <v>0.27600000000000002</v>
      </c>
      <c r="BR39" s="14"/>
      <c r="BS39" s="14">
        <v>0.25</v>
      </c>
      <c r="BT39" s="14"/>
      <c r="BU39" s="14"/>
      <c r="BV39" s="14"/>
      <c r="BW39" s="14"/>
      <c r="BX39" s="14"/>
      <c r="BY39" s="14"/>
      <c r="BZ39" s="14"/>
      <c r="CA39" s="14">
        <v>0.32852272219260986</v>
      </c>
      <c r="CB39" s="8"/>
      <c r="CC39" s="8"/>
      <c r="CD39" s="8">
        <f t="shared" si="1"/>
        <v>0.22996590553482688</v>
      </c>
      <c r="CE39" s="8"/>
      <c r="CF39" s="8"/>
      <c r="CG39" s="8"/>
      <c r="CH39" s="8"/>
      <c r="CI39" s="8"/>
      <c r="CJ39" s="8"/>
      <c r="CK39" s="8"/>
      <c r="CL39" s="8"/>
      <c r="CM39" s="8"/>
      <c r="CN39" s="8"/>
      <c r="CO39" s="6" t="s">
        <v>46</v>
      </c>
      <c r="CP39" s="28"/>
    </row>
    <row r="40" spans="2:94" x14ac:dyDescent="0.35">
      <c r="B40" s="4" t="str">
        <f>Populations!$C$13</f>
        <v>F25-34</v>
      </c>
      <c r="C40" s="14">
        <v>0.25916216769834816</v>
      </c>
      <c r="D40" s="14"/>
      <c r="E40" s="14"/>
      <c r="F40" s="14"/>
      <c r="G40" s="14"/>
      <c r="H40" s="14"/>
      <c r="I40" s="14"/>
      <c r="J40" s="14"/>
      <c r="K40" s="14"/>
      <c r="L40" s="14"/>
      <c r="M40" s="8"/>
      <c r="N40" s="14"/>
      <c r="O40" s="14"/>
      <c r="P40" s="14"/>
      <c r="Q40" s="14"/>
      <c r="R40" s="14"/>
      <c r="S40" s="14"/>
      <c r="T40" s="14"/>
      <c r="U40" s="14"/>
      <c r="V40" s="14"/>
      <c r="W40" s="14"/>
      <c r="X40" s="14"/>
      <c r="Y40" s="14"/>
      <c r="Z40" s="14"/>
      <c r="AA40" s="14"/>
      <c r="AB40" s="14"/>
      <c r="AC40" s="14"/>
      <c r="AD40" s="14"/>
      <c r="AE40" s="8"/>
      <c r="AF40" s="8"/>
      <c r="AG40" s="8">
        <v>0.05</v>
      </c>
      <c r="AH40" s="8"/>
      <c r="AI40" s="8"/>
      <c r="AJ40" s="8"/>
      <c r="AK40" s="8"/>
      <c r="AL40" s="8"/>
      <c r="AM40" s="8"/>
      <c r="AN40" s="8"/>
      <c r="AO40" s="8"/>
      <c r="AP40" s="8"/>
      <c r="AQ40" s="8"/>
      <c r="AR40" s="6" t="s">
        <v>46</v>
      </c>
      <c r="AS40" s="8"/>
      <c r="AT40" s="26">
        <v>7692.4774682386133</v>
      </c>
      <c r="AU40" s="26">
        <v>186997.23219753019</v>
      </c>
      <c r="AV40" s="19">
        <f t="shared" si="0"/>
        <v>4.1136852015610813E-2</v>
      </c>
      <c r="AY40" s="4" t="str">
        <f>Populations!$C$13</f>
        <v>F25-34</v>
      </c>
      <c r="AZ40" s="14"/>
      <c r="BA40" s="14"/>
      <c r="BB40" s="14"/>
      <c r="BC40" s="14"/>
      <c r="BD40" s="14"/>
      <c r="BE40" s="14"/>
      <c r="BF40" s="14"/>
      <c r="BG40" s="14"/>
      <c r="BH40" s="14"/>
      <c r="BI40" s="14"/>
      <c r="BJ40" s="14">
        <v>0.2</v>
      </c>
      <c r="BK40" s="14"/>
      <c r="BL40" s="14"/>
      <c r="BM40" s="14"/>
      <c r="BN40" s="14"/>
      <c r="BO40" s="14"/>
      <c r="BP40" s="14"/>
      <c r="BQ40" s="14">
        <v>0.27600000000000002</v>
      </c>
      <c r="BR40" s="14"/>
      <c r="BS40" s="14">
        <v>0.25</v>
      </c>
      <c r="BT40" s="14"/>
      <c r="BU40" s="14"/>
      <c r="BV40" s="14"/>
      <c r="BW40" s="14"/>
      <c r="BX40" s="14"/>
      <c r="BY40" s="14"/>
      <c r="BZ40" s="14"/>
      <c r="CA40" s="14">
        <v>0.18511583407024867</v>
      </c>
      <c r="CB40" s="8"/>
      <c r="CC40" s="8"/>
      <c r="CD40" s="8">
        <f t="shared" si="1"/>
        <v>0.12958108384917408</v>
      </c>
      <c r="CE40" s="8"/>
      <c r="CF40" s="8"/>
      <c r="CG40" s="8"/>
      <c r="CH40" s="8"/>
      <c r="CI40" s="8"/>
      <c r="CJ40" s="8"/>
      <c r="CK40" s="8"/>
      <c r="CL40" s="8"/>
      <c r="CM40" s="8"/>
      <c r="CN40" s="8"/>
      <c r="CO40" s="6" t="s">
        <v>46</v>
      </c>
      <c r="CP40" s="28"/>
    </row>
    <row r="41" spans="2:94" x14ac:dyDescent="0.35">
      <c r="B41" s="4" t="str">
        <f>Populations!$C$14</f>
        <v>M25-34</v>
      </c>
      <c r="C41" s="14">
        <v>0.23904782517029005</v>
      </c>
      <c r="D41" s="14"/>
      <c r="E41" s="14"/>
      <c r="F41" s="14"/>
      <c r="G41" s="14"/>
      <c r="H41" s="14"/>
      <c r="I41" s="14"/>
      <c r="J41" s="14"/>
      <c r="K41" s="14"/>
      <c r="L41" s="14"/>
      <c r="M41" s="8"/>
      <c r="N41" s="14"/>
      <c r="O41" s="14"/>
      <c r="P41" s="14"/>
      <c r="Q41" s="14"/>
      <c r="R41" s="14"/>
      <c r="S41" s="14"/>
      <c r="T41" s="14"/>
      <c r="U41" s="14"/>
      <c r="V41" s="14"/>
      <c r="W41" s="14"/>
      <c r="X41" s="14"/>
      <c r="Y41" s="14"/>
      <c r="Z41" s="14"/>
      <c r="AA41" s="14"/>
      <c r="AB41" s="14"/>
      <c r="AC41" s="14"/>
      <c r="AD41" s="14"/>
      <c r="AE41" s="8"/>
      <c r="AF41" s="8"/>
      <c r="AG41" s="8">
        <v>0.05</v>
      </c>
      <c r="AH41" s="8"/>
      <c r="AI41" s="8"/>
      <c r="AJ41" s="8"/>
      <c r="AK41" s="8"/>
      <c r="AL41" s="8"/>
      <c r="AM41" s="8"/>
      <c r="AN41" s="8"/>
      <c r="AO41" s="8"/>
      <c r="AP41" s="8"/>
      <c r="AQ41" s="8"/>
      <c r="AR41" s="6" t="s">
        <v>46</v>
      </c>
      <c r="AS41" s="8"/>
      <c r="AT41" s="26">
        <v>3462.2370602592291</v>
      </c>
      <c r="AU41" s="26">
        <v>91245.73069884615</v>
      </c>
      <c r="AV41" s="19">
        <f t="shared" si="0"/>
        <v>3.7944099233379373E-2</v>
      </c>
      <c r="AY41" s="4" t="str">
        <f>Populations!$C$14</f>
        <v>M25-34</v>
      </c>
      <c r="AZ41" s="14"/>
      <c r="BA41" s="14"/>
      <c r="BB41" s="14"/>
      <c r="BC41" s="14"/>
      <c r="BD41" s="14"/>
      <c r="BE41" s="14"/>
      <c r="BF41" s="14"/>
      <c r="BG41" s="14"/>
      <c r="BH41" s="14"/>
      <c r="BI41" s="14"/>
      <c r="BJ41" s="14">
        <v>0.2</v>
      </c>
      <c r="BK41" s="14"/>
      <c r="BL41" s="14"/>
      <c r="BM41" s="14"/>
      <c r="BN41" s="14"/>
      <c r="BO41" s="14"/>
      <c r="BP41" s="14"/>
      <c r="BQ41" s="14">
        <v>0.27600000000000002</v>
      </c>
      <c r="BR41" s="14"/>
      <c r="BS41" s="14">
        <v>0.25</v>
      </c>
      <c r="BT41" s="14"/>
      <c r="BU41" s="14"/>
      <c r="BV41" s="14"/>
      <c r="BW41" s="14"/>
      <c r="BX41" s="14"/>
      <c r="BY41" s="14"/>
      <c r="BZ41" s="14"/>
      <c r="CA41" s="14">
        <v>0.17074844655020718</v>
      </c>
      <c r="CB41" s="8"/>
      <c r="CC41" s="8"/>
      <c r="CD41" s="8">
        <f t="shared" si="1"/>
        <v>0.11952391258514503</v>
      </c>
      <c r="CE41" s="8"/>
      <c r="CF41" s="8"/>
      <c r="CG41" s="8"/>
      <c r="CH41" s="8"/>
      <c r="CI41" s="8"/>
      <c r="CJ41" s="8"/>
      <c r="CK41" s="8"/>
      <c r="CL41" s="8"/>
      <c r="CM41" s="8"/>
      <c r="CN41" s="8"/>
      <c r="CO41" s="6" t="s">
        <v>46</v>
      </c>
      <c r="CP41" s="28"/>
    </row>
    <row r="42" spans="2:94" x14ac:dyDescent="0.35">
      <c r="B42" s="4" t="str">
        <f>Populations!$C$15</f>
        <v>F35-49</v>
      </c>
      <c r="C42" s="14">
        <v>0.2985125495462238</v>
      </c>
      <c r="D42" s="14"/>
      <c r="E42" s="14"/>
      <c r="F42" s="14"/>
      <c r="G42" s="14"/>
      <c r="H42" s="14"/>
      <c r="I42" s="14"/>
      <c r="J42" s="14"/>
      <c r="K42" s="14"/>
      <c r="L42" s="14"/>
      <c r="M42" s="8"/>
      <c r="N42" s="14"/>
      <c r="O42" s="14"/>
      <c r="P42" s="14"/>
      <c r="Q42" s="14"/>
      <c r="R42" s="14"/>
      <c r="S42" s="14"/>
      <c r="T42" s="14"/>
      <c r="U42" s="14"/>
      <c r="V42" s="14"/>
      <c r="W42" s="14"/>
      <c r="X42" s="14"/>
      <c r="Y42" s="14"/>
      <c r="Z42" s="14"/>
      <c r="AA42" s="14"/>
      <c r="AB42" s="14"/>
      <c r="AC42" s="14"/>
      <c r="AD42" s="14"/>
      <c r="AE42" s="8"/>
      <c r="AF42" s="8"/>
      <c r="AG42" s="8">
        <v>0.05</v>
      </c>
      <c r="AH42" s="8"/>
      <c r="AI42" s="8"/>
      <c r="AJ42" s="8"/>
      <c r="AK42" s="8"/>
      <c r="AL42" s="8"/>
      <c r="AM42" s="8"/>
      <c r="AN42" s="8"/>
      <c r="AO42" s="8"/>
      <c r="AP42" s="8"/>
      <c r="AQ42" s="8"/>
      <c r="AR42" s="6" t="s">
        <v>46</v>
      </c>
      <c r="AS42" s="8"/>
      <c r="AT42" s="26">
        <v>13270.541482577093</v>
      </c>
      <c r="AU42" s="26">
        <v>280070.00532247231</v>
      </c>
      <c r="AV42" s="19">
        <f t="shared" si="0"/>
        <v>4.7382944372416483E-2</v>
      </c>
      <c r="AY42" s="4" t="str">
        <f>Populations!$C$15</f>
        <v>F35-49</v>
      </c>
      <c r="AZ42" s="14"/>
      <c r="BA42" s="14"/>
      <c r="BB42" s="14"/>
      <c r="BC42" s="14"/>
      <c r="BD42" s="14"/>
      <c r="BE42" s="14"/>
      <c r="BF42" s="14"/>
      <c r="BG42" s="14"/>
      <c r="BH42" s="14"/>
      <c r="BI42" s="14"/>
      <c r="BJ42" s="14">
        <v>0.2</v>
      </c>
      <c r="BK42" s="14"/>
      <c r="BL42" s="14"/>
      <c r="BM42" s="14"/>
      <c r="BN42" s="14"/>
      <c r="BO42" s="14"/>
      <c r="BP42" s="14"/>
      <c r="BQ42" s="14">
        <v>0.27600000000000002</v>
      </c>
      <c r="BR42" s="14"/>
      <c r="BS42" s="14">
        <v>0.25</v>
      </c>
      <c r="BT42" s="14"/>
      <c r="BU42" s="14"/>
      <c r="BV42" s="14"/>
      <c r="BW42" s="14"/>
      <c r="BX42" s="14"/>
      <c r="BY42" s="14"/>
      <c r="BZ42" s="14"/>
      <c r="CA42" s="14">
        <v>0.21322324967587417</v>
      </c>
      <c r="CB42" s="8"/>
      <c r="CC42" s="8"/>
      <c r="CD42" s="8">
        <f t="shared" si="1"/>
        <v>0.1492562747731119</v>
      </c>
      <c r="CE42" s="8"/>
      <c r="CF42" s="8"/>
      <c r="CG42" s="8"/>
      <c r="CH42" s="8"/>
      <c r="CI42" s="8"/>
      <c r="CJ42" s="8"/>
      <c r="CK42" s="8"/>
      <c r="CL42" s="8"/>
      <c r="CM42" s="8"/>
      <c r="CN42" s="8"/>
      <c r="CO42" s="6" t="s">
        <v>46</v>
      </c>
      <c r="CP42" s="28"/>
    </row>
    <row r="43" spans="2:94" x14ac:dyDescent="0.35">
      <c r="B43" s="4" t="str">
        <f>Populations!$C$16</f>
        <v>M35-49</v>
      </c>
      <c r="C43" s="14">
        <v>0.26668986115850812</v>
      </c>
      <c r="D43" s="14"/>
      <c r="E43" s="14"/>
      <c r="F43" s="14"/>
      <c r="G43" s="14"/>
      <c r="H43" s="14"/>
      <c r="I43" s="14"/>
      <c r="J43" s="14"/>
      <c r="K43" s="14"/>
      <c r="L43" s="14"/>
      <c r="M43" s="8"/>
      <c r="N43" s="14"/>
      <c r="O43" s="14"/>
      <c r="P43" s="14"/>
      <c r="Q43" s="14"/>
      <c r="R43" s="14"/>
      <c r="S43" s="14"/>
      <c r="T43" s="14"/>
      <c r="U43" s="14"/>
      <c r="V43" s="14"/>
      <c r="W43" s="14"/>
      <c r="X43" s="14"/>
      <c r="Y43" s="14"/>
      <c r="Z43" s="14"/>
      <c r="AA43" s="14"/>
      <c r="AB43" s="14"/>
      <c r="AC43" s="14"/>
      <c r="AD43" s="14"/>
      <c r="AE43" s="8"/>
      <c r="AF43" s="8"/>
      <c r="AG43" s="8">
        <v>0.05</v>
      </c>
      <c r="AH43" s="8"/>
      <c r="AI43" s="8"/>
      <c r="AJ43" s="8"/>
      <c r="AK43" s="8"/>
      <c r="AL43" s="8"/>
      <c r="AM43" s="8"/>
      <c r="AN43" s="8"/>
      <c r="AO43" s="8"/>
      <c r="AP43" s="8"/>
      <c r="AQ43" s="8"/>
      <c r="AR43" s="6" t="s">
        <v>46</v>
      </c>
      <c r="AS43" s="8"/>
      <c r="AT43" s="26">
        <v>6876.0067492435301</v>
      </c>
      <c r="AU43" s="26">
        <v>162431.53126277839</v>
      </c>
      <c r="AV43" s="19">
        <f t="shared" si="0"/>
        <v>4.2331723993413985E-2</v>
      </c>
      <c r="AY43" s="4" t="str">
        <f>Populations!$C$16</f>
        <v>M35-49</v>
      </c>
      <c r="AZ43" s="14"/>
      <c r="BA43" s="14"/>
      <c r="BB43" s="14"/>
      <c r="BC43" s="14"/>
      <c r="BD43" s="14"/>
      <c r="BE43" s="14"/>
      <c r="BF43" s="14"/>
      <c r="BG43" s="14"/>
      <c r="BH43" s="14"/>
      <c r="BI43" s="14"/>
      <c r="BJ43" s="14">
        <v>0.2</v>
      </c>
      <c r="BK43" s="14"/>
      <c r="BL43" s="14"/>
      <c r="BM43" s="14"/>
      <c r="BN43" s="14"/>
      <c r="BO43" s="14"/>
      <c r="BP43" s="14"/>
      <c r="BQ43" s="14">
        <v>0.27600000000000002</v>
      </c>
      <c r="BR43" s="14"/>
      <c r="BS43" s="14">
        <v>0.25</v>
      </c>
      <c r="BT43" s="14"/>
      <c r="BU43" s="14"/>
      <c r="BV43" s="14"/>
      <c r="BW43" s="14"/>
      <c r="BX43" s="14"/>
      <c r="BY43" s="14"/>
      <c r="BZ43" s="14"/>
      <c r="CA43" s="14">
        <v>0.19049275797036294</v>
      </c>
      <c r="CB43" s="8"/>
      <c r="CC43" s="8"/>
      <c r="CD43" s="8">
        <f t="shared" si="1"/>
        <v>0.13334493057925406</v>
      </c>
      <c r="CE43" s="8"/>
      <c r="CF43" s="8"/>
      <c r="CG43" s="8"/>
      <c r="CH43" s="8"/>
      <c r="CI43" s="8"/>
      <c r="CJ43" s="8"/>
      <c r="CK43" s="8"/>
      <c r="CL43" s="8"/>
      <c r="CM43" s="8"/>
      <c r="CN43" s="8"/>
      <c r="CO43" s="6" t="s">
        <v>46</v>
      </c>
      <c r="CP43" s="28"/>
    </row>
    <row r="44" spans="2:94" x14ac:dyDescent="0.35">
      <c r="B44" s="4" t="str">
        <f>Populations!$C$17</f>
        <v>F50+</v>
      </c>
      <c r="C44" s="14">
        <v>0.2497727792853173</v>
      </c>
      <c r="D44" s="14"/>
      <c r="E44" s="14"/>
      <c r="F44" s="14"/>
      <c r="G44" s="14"/>
      <c r="H44" s="14"/>
      <c r="I44" s="14"/>
      <c r="J44" s="14"/>
      <c r="K44" s="14"/>
      <c r="L44" s="14"/>
      <c r="M44" s="8"/>
      <c r="N44" s="14"/>
      <c r="O44" s="14"/>
      <c r="P44" s="14"/>
      <c r="Q44" s="14"/>
      <c r="R44" s="14"/>
      <c r="S44" s="14"/>
      <c r="T44" s="14"/>
      <c r="U44" s="14"/>
      <c r="V44" s="14"/>
      <c r="W44" s="14"/>
      <c r="X44" s="14"/>
      <c r="Y44" s="14"/>
      <c r="Z44" s="14"/>
      <c r="AA44" s="14"/>
      <c r="AB44" s="14"/>
      <c r="AC44" s="14"/>
      <c r="AD44" s="14"/>
      <c r="AE44" s="8"/>
      <c r="AF44" s="8"/>
      <c r="AG44" s="8">
        <v>0.05</v>
      </c>
      <c r="AH44" s="8"/>
      <c r="AI44" s="8"/>
      <c r="AJ44" s="8"/>
      <c r="AK44" s="8"/>
      <c r="AL44" s="8"/>
      <c r="AM44" s="8"/>
      <c r="AN44" s="8"/>
      <c r="AO44" s="8"/>
      <c r="AP44" s="8"/>
      <c r="AQ44" s="8"/>
      <c r="AR44" s="6" t="s">
        <v>46</v>
      </c>
      <c r="AS44" s="8"/>
      <c r="AT44" s="26">
        <v>3638</v>
      </c>
      <c r="AU44" s="26">
        <v>91761</v>
      </c>
      <c r="AV44" s="19">
        <f t="shared" si="0"/>
        <v>3.9646472902431319E-2</v>
      </c>
      <c r="AY44" s="4" t="str">
        <f>Populations!$C$17</f>
        <v>F50+</v>
      </c>
      <c r="AZ44" s="14"/>
      <c r="BA44" s="14"/>
      <c r="BB44" s="14"/>
      <c r="BC44" s="14"/>
      <c r="BD44" s="14"/>
      <c r="BE44" s="14"/>
      <c r="BF44" s="14"/>
      <c r="BG44" s="14"/>
      <c r="BH44" s="14"/>
      <c r="BI44" s="14"/>
      <c r="BJ44" s="14">
        <v>0.2</v>
      </c>
      <c r="BK44" s="14"/>
      <c r="BL44" s="14"/>
      <c r="BM44" s="14"/>
      <c r="BN44" s="14"/>
      <c r="BO44" s="14"/>
      <c r="BP44" s="14"/>
      <c r="BQ44" s="14">
        <v>0.27600000000000002</v>
      </c>
      <c r="BR44" s="14"/>
      <c r="BS44" s="14">
        <v>0.25</v>
      </c>
      <c r="BT44" s="14"/>
      <c r="BU44" s="14"/>
      <c r="BV44" s="14"/>
      <c r="BW44" s="14"/>
      <c r="BX44" s="14"/>
      <c r="BY44" s="14"/>
      <c r="BZ44" s="14"/>
      <c r="CA44" s="14">
        <v>0.17840912806094095</v>
      </c>
      <c r="CB44" s="8"/>
      <c r="CC44" s="8"/>
      <c r="CD44" s="8">
        <f t="shared" si="1"/>
        <v>0.12488638964265865</v>
      </c>
      <c r="CE44" s="8"/>
      <c r="CF44" s="8"/>
      <c r="CG44" s="8"/>
      <c r="CH44" s="8"/>
      <c r="CI44" s="8"/>
      <c r="CJ44" s="8"/>
      <c r="CK44" s="8"/>
      <c r="CL44" s="8"/>
      <c r="CM44" s="8"/>
      <c r="CN44" s="8"/>
      <c r="CO44" s="6" t="s">
        <v>46</v>
      </c>
      <c r="CP44" s="28"/>
    </row>
    <row r="45" spans="2:94" x14ac:dyDescent="0.35">
      <c r="B45" s="4" t="str">
        <f>Populations!$C$18</f>
        <v>M50+</v>
      </c>
      <c r="C45" s="14">
        <v>0.27419541385899632</v>
      </c>
      <c r="D45" s="14"/>
      <c r="E45" s="14"/>
      <c r="F45" s="14"/>
      <c r="G45" s="14"/>
      <c r="H45" s="14"/>
      <c r="I45" s="14"/>
      <c r="J45" s="14"/>
      <c r="K45" s="14"/>
      <c r="L45" s="14"/>
      <c r="M45" s="8"/>
      <c r="N45" s="14"/>
      <c r="O45" s="14"/>
      <c r="P45" s="14"/>
      <c r="Q45" s="14"/>
      <c r="R45" s="14"/>
      <c r="S45" s="14"/>
      <c r="T45" s="14"/>
      <c r="U45" s="14"/>
      <c r="V45" s="14"/>
      <c r="W45" s="14"/>
      <c r="X45" s="14"/>
      <c r="Y45" s="14"/>
      <c r="Z45" s="14"/>
      <c r="AA45" s="14"/>
      <c r="AB45" s="14"/>
      <c r="AC45" s="14"/>
      <c r="AD45" s="14"/>
      <c r="AE45" s="8"/>
      <c r="AF45" s="8"/>
      <c r="AG45" s="8">
        <v>0.05</v>
      </c>
      <c r="AH45" s="8"/>
      <c r="AI45" s="8"/>
      <c r="AJ45" s="8"/>
      <c r="AK45" s="8"/>
      <c r="AL45" s="8"/>
      <c r="AM45" s="8"/>
      <c r="AN45" s="8"/>
      <c r="AO45" s="8"/>
      <c r="AP45" s="8"/>
      <c r="AQ45" s="8"/>
      <c r="AR45" s="6" t="s">
        <v>46</v>
      </c>
      <c r="AS45" s="8"/>
      <c r="AT45" s="26">
        <v>3462</v>
      </c>
      <c r="AU45" s="26">
        <v>79544</v>
      </c>
      <c r="AV45" s="19">
        <f t="shared" si="0"/>
        <v>4.3523081564920046E-2</v>
      </c>
      <c r="AY45" s="4" t="str">
        <f>Populations!$C$18</f>
        <v>M50+</v>
      </c>
      <c r="AZ45" s="14"/>
      <c r="BA45" s="14"/>
      <c r="BB45" s="14"/>
      <c r="BC45" s="14"/>
      <c r="BD45" s="14"/>
      <c r="BE45" s="14"/>
      <c r="BF45" s="14"/>
      <c r="BG45" s="14"/>
      <c r="BH45" s="14"/>
      <c r="BI45" s="14"/>
      <c r="BJ45" s="14">
        <v>0.2</v>
      </c>
      <c r="BK45" s="14"/>
      <c r="BL45" s="14"/>
      <c r="BM45" s="14"/>
      <c r="BN45" s="14"/>
      <c r="BO45" s="14"/>
      <c r="BP45" s="14"/>
      <c r="BQ45" s="14">
        <v>0.27600000000000002</v>
      </c>
      <c r="BR45" s="14"/>
      <c r="BS45" s="14">
        <v>0.25</v>
      </c>
      <c r="BT45" s="14"/>
      <c r="BU45" s="14"/>
      <c r="BV45" s="14"/>
      <c r="BW45" s="14"/>
      <c r="BX45" s="14"/>
      <c r="BY45" s="14"/>
      <c r="BZ45" s="14"/>
      <c r="CA45" s="14">
        <v>0.19585386704214022</v>
      </c>
      <c r="CB45" s="8"/>
      <c r="CC45" s="8"/>
      <c r="CD45" s="8">
        <f t="shared" si="1"/>
        <v>0.13709770692949816</v>
      </c>
      <c r="CE45" s="8"/>
      <c r="CF45" s="8"/>
      <c r="CG45" s="8"/>
      <c r="CH45" s="8"/>
      <c r="CI45" s="8"/>
      <c r="CJ45" s="8"/>
      <c r="CK45" s="8"/>
      <c r="CL45" s="8"/>
      <c r="CM45" s="8"/>
      <c r="CN45" s="8"/>
      <c r="CO45" s="6" t="s">
        <v>46</v>
      </c>
      <c r="CP45" s="28"/>
    </row>
    <row r="46" spans="2:94" ht="14.5" customHeight="1" x14ac:dyDescent="0.35">
      <c r="Y46" s="20"/>
      <c r="Z46" s="20"/>
      <c r="AA46" s="20"/>
      <c r="AB46" s="20"/>
      <c r="AC46" s="24"/>
      <c r="AD46" s="20"/>
      <c r="AT46" s="26">
        <f>SUM(AT30:AT45)</f>
        <v>55553</v>
      </c>
      <c r="AU46" s="26">
        <f>SUM(AU30:AU45)</f>
        <v>1119876.5264827088</v>
      </c>
    </row>
    <row r="47" spans="2:94" x14ac:dyDescent="0.35">
      <c r="Y47" s="21"/>
      <c r="Z47" s="22"/>
      <c r="AA47" s="22"/>
      <c r="AB47" s="22"/>
      <c r="AC47" s="22"/>
      <c r="AD47" s="115"/>
    </row>
    <row r="48" spans="2:94" x14ac:dyDescent="0.35">
      <c r="Y48" s="22"/>
      <c r="Z48" s="22"/>
      <c r="AA48" s="22"/>
      <c r="AB48" s="22"/>
      <c r="AC48" s="22"/>
      <c r="AD48" s="29"/>
    </row>
    <row r="49" spans="1:94" x14ac:dyDescent="0.35">
      <c r="A49" s="2" t="s">
        <v>71</v>
      </c>
      <c r="AX49" s="2" t="s">
        <v>71</v>
      </c>
      <c r="CP49" s="25"/>
    </row>
    <row r="50" spans="1:94" x14ac:dyDescent="0.35">
      <c r="C50" s="3">
        <v>1990</v>
      </c>
      <c r="D50" s="3">
        <v>1991</v>
      </c>
      <c r="E50" s="3">
        <v>1992</v>
      </c>
      <c r="F50" s="3">
        <v>1993</v>
      </c>
      <c r="G50" s="3">
        <v>1994</v>
      </c>
      <c r="H50" s="3">
        <v>1995</v>
      </c>
      <c r="I50" s="3">
        <v>1996</v>
      </c>
      <c r="J50" s="3">
        <v>1997</v>
      </c>
      <c r="K50" s="3">
        <v>1998</v>
      </c>
      <c r="L50" s="3">
        <v>1999</v>
      </c>
      <c r="M50" s="4">
        <v>2000</v>
      </c>
      <c r="N50" s="4">
        <v>2001</v>
      </c>
      <c r="O50" s="4">
        <v>2002</v>
      </c>
      <c r="P50" s="4">
        <v>2003</v>
      </c>
      <c r="Q50" s="4">
        <v>2004</v>
      </c>
      <c r="R50" s="4">
        <v>2005</v>
      </c>
      <c r="S50" s="4">
        <v>2006</v>
      </c>
      <c r="T50" s="4">
        <v>2007</v>
      </c>
      <c r="U50" s="4">
        <v>2008</v>
      </c>
      <c r="V50" s="4">
        <v>2009</v>
      </c>
      <c r="W50" s="4">
        <v>2010</v>
      </c>
      <c r="X50" s="4">
        <v>2011</v>
      </c>
      <c r="Y50" s="4">
        <v>2012</v>
      </c>
      <c r="Z50" s="4">
        <v>2013</v>
      </c>
      <c r="AA50" s="4">
        <v>2014</v>
      </c>
      <c r="AB50" s="4">
        <v>2015</v>
      </c>
      <c r="AC50" s="4">
        <v>2016</v>
      </c>
      <c r="AD50" s="4">
        <v>2017</v>
      </c>
      <c r="AE50" s="4">
        <v>2018</v>
      </c>
      <c r="AF50" s="4">
        <v>2019</v>
      </c>
      <c r="AG50" s="4">
        <v>2020</v>
      </c>
      <c r="AH50" s="4">
        <v>2021</v>
      </c>
      <c r="AI50" s="4">
        <v>2022</v>
      </c>
      <c r="AJ50" s="4">
        <v>2023</v>
      </c>
      <c r="AK50" s="4">
        <v>2024</v>
      </c>
      <c r="AL50" s="4">
        <v>2025</v>
      </c>
      <c r="AM50" s="4">
        <v>2026</v>
      </c>
      <c r="AN50" s="4">
        <v>2027</v>
      </c>
      <c r="AO50" s="4">
        <v>2028</v>
      </c>
      <c r="AP50" s="4">
        <v>2029</v>
      </c>
      <c r="AQ50" s="4">
        <v>2030</v>
      </c>
      <c r="AS50" s="3" t="s">
        <v>44</v>
      </c>
      <c r="AZ50" s="3">
        <v>1990</v>
      </c>
      <c r="BA50" s="3">
        <v>1991</v>
      </c>
      <c r="BB50" s="3">
        <v>1992</v>
      </c>
      <c r="BC50" s="3">
        <v>1993</v>
      </c>
      <c r="BD50" s="3">
        <v>1994</v>
      </c>
      <c r="BE50" s="3">
        <v>1995</v>
      </c>
      <c r="BF50" s="3">
        <v>1996</v>
      </c>
      <c r="BG50" s="3">
        <v>1997</v>
      </c>
      <c r="BH50" s="3">
        <v>1998</v>
      </c>
      <c r="BI50" s="3">
        <v>1999</v>
      </c>
      <c r="BJ50" s="4">
        <v>2000</v>
      </c>
      <c r="BK50" s="4">
        <v>2001</v>
      </c>
      <c r="BL50" s="4">
        <v>2002</v>
      </c>
      <c r="BM50" s="4">
        <v>2003</v>
      </c>
      <c r="BN50" s="4">
        <v>2004</v>
      </c>
      <c r="BO50" s="4">
        <v>2005</v>
      </c>
      <c r="BP50" s="4">
        <v>2006</v>
      </c>
      <c r="BQ50" s="4">
        <v>2007</v>
      </c>
      <c r="BR50" s="4">
        <v>2008</v>
      </c>
      <c r="BS50" s="4">
        <v>2009</v>
      </c>
      <c r="BT50" s="4">
        <v>2010</v>
      </c>
      <c r="BU50" s="4">
        <v>2011</v>
      </c>
      <c r="BV50" s="4">
        <v>2012</v>
      </c>
      <c r="BW50" s="4">
        <v>2013</v>
      </c>
      <c r="BX50" s="4">
        <v>2014</v>
      </c>
      <c r="BY50" s="4">
        <v>2015</v>
      </c>
      <c r="BZ50" s="4">
        <v>2016</v>
      </c>
      <c r="CA50" s="4">
        <v>2017</v>
      </c>
      <c r="CB50" s="4">
        <v>2018</v>
      </c>
      <c r="CC50" s="4">
        <v>2019</v>
      </c>
      <c r="CD50" s="4">
        <v>2020</v>
      </c>
      <c r="CE50" s="4">
        <v>2021</v>
      </c>
      <c r="CF50" s="4">
        <v>2022</v>
      </c>
      <c r="CG50" s="4">
        <v>2023</v>
      </c>
      <c r="CH50" s="4">
        <v>2024</v>
      </c>
      <c r="CI50" s="4">
        <v>2025</v>
      </c>
      <c r="CJ50" s="4">
        <v>2026</v>
      </c>
      <c r="CK50" s="4">
        <v>2027</v>
      </c>
      <c r="CL50" s="4">
        <v>2028</v>
      </c>
      <c r="CM50" s="4">
        <v>2029</v>
      </c>
      <c r="CN50" s="4">
        <v>2030</v>
      </c>
      <c r="CP50" s="3" t="s">
        <v>44</v>
      </c>
    </row>
    <row r="51" spans="1:94" x14ac:dyDescent="0.35">
      <c r="B51" s="4" t="s">
        <v>55</v>
      </c>
      <c r="C51" s="8"/>
      <c r="D51" s="8"/>
      <c r="E51" s="8"/>
      <c r="F51" s="8"/>
      <c r="G51" s="8"/>
      <c r="H51" s="8"/>
      <c r="I51" s="8"/>
      <c r="J51" s="8"/>
      <c r="K51" s="8"/>
      <c r="L51" s="8"/>
      <c r="M51" s="8"/>
      <c r="N51" s="8"/>
      <c r="O51" s="8"/>
      <c r="P51" s="8"/>
      <c r="Q51" s="8"/>
      <c r="R51" s="8"/>
      <c r="S51" s="8"/>
      <c r="T51" s="8"/>
      <c r="U51" s="8"/>
      <c r="V51" s="8"/>
      <c r="W51" s="8"/>
      <c r="X51" s="8"/>
      <c r="Y51" s="8"/>
      <c r="Z51" s="8"/>
      <c r="AA51" s="8"/>
      <c r="AB51" s="8"/>
      <c r="AC51" s="33"/>
      <c r="AD51" s="8"/>
      <c r="AE51" s="8"/>
      <c r="AF51" s="8"/>
      <c r="AG51" s="8"/>
      <c r="AH51" s="8"/>
      <c r="AI51" s="8"/>
      <c r="AJ51" s="8"/>
      <c r="AK51" s="8"/>
      <c r="AL51" s="8"/>
      <c r="AM51" s="8"/>
      <c r="AN51" s="8"/>
      <c r="AO51" s="8"/>
      <c r="AP51" s="8"/>
      <c r="AQ51" s="8"/>
      <c r="AR51" s="6" t="s">
        <v>46</v>
      </c>
      <c r="AS51" s="8">
        <v>0.02</v>
      </c>
      <c r="AY51" s="4" t="s">
        <v>55</v>
      </c>
      <c r="AZ51" s="8">
        <v>0</v>
      </c>
      <c r="BA51" s="8"/>
      <c r="BB51" s="8"/>
      <c r="BC51" s="8"/>
      <c r="BD51" s="8"/>
      <c r="BE51" s="8"/>
      <c r="BF51" s="8"/>
      <c r="BG51" s="8"/>
      <c r="BH51" s="8"/>
      <c r="BI51" s="8"/>
      <c r="BJ51" s="8">
        <v>0.2</v>
      </c>
      <c r="BK51" s="8"/>
      <c r="BL51" s="8"/>
      <c r="BM51" s="8"/>
      <c r="BN51" s="8"/>
      <c r="BO51" s="8"/>
      <c r="BP51" s="8"/>
      <c r="BQ51" s="8">
        <v>6.9000000000000006E-2</v>
      </c>
      <c r="BR51" s="8"/>
      <c r="BS51" s="8">
        <v>0.25</v>
      </c>
      <c r="BT51" s="8"/>
      <c r="BU51" s="8"/>
      <c r="BV51" s="8">
        <v>0.15</v>
      </c>
      <c r="BW51" s="8">
        <v>0.14299999999999999</v>
      </c>
      <c r="BX51" s="8">
        <v>0.105</v>
      </c>
      <c r="BY51" s="8">
        <v>0.14000000000000001</v>
      </c>
      <c r="BZ51" s="33">
        <v>0.13</v>
      </c>
      <c r="CA51" s="8"/>
      <c r="CB51" s="8"/>
      <c r="CC51" s="8">
        <v>0.1</v>
      </c>
      <c r="CD51" s="8"/>
      <c r="CE51" s="8"/>
      <c r="CF51" s="8"/>
      <c r="CG51" s="8"/>
      <c r="CH51" s="8"/>
      <c r="CI51" s="8"/>
      <c r="CJ51" s="8"/>
      <c r="CK51" s="8"/>
      <c r="CL51" s="8"/>
      <c r="CM51" s="8"/>
      <c r="CN51" s="8"/>
      <c r="CO51" s="6" t="s">
        <v>46</v>
      </c>
      <c r="CP51" s="28"/>
    </row>
    <row r="55" spans="1:94" x14ac:dyDescent="0.35">
      <c r="A55" s="2" t="s">
        <v>411</v>
      </c>
      <c r="AX55" s="2" t="s">
        <v>68</v>
      </c>
    </row>
    <row r="56" spans="1:94" x14ac:dyDescent="0.35">
      <c r="C56" s="3">
        <v>1990</v>
      </c>
      <c r="D56" s="3">
        <v>1991</v>
      </c>
      <c r="E56" s="3">
        <v>1992</v>
      </c>
      <c r="F56" s="3">
        <v>1993</v>
      </c>
      <c r="G56" s="3">
        <v>1994</v>
      </c>
      <c r="H56" s="3">
        <v>1995</v>
      </c>
      <c r="I56" s="3">
        <v>1996</v>
      </c>
      <c r="J56" s="3">
        <v>1997</v>
      </c>
      <c r="K56" s="3">
        <v>1998</v>
      </c>
      <c r="L56" s="3">
        <v>1999</v>
      </c>
      <c r="M56" s="4">
        <v>2000</v>
      </c>
      <c r="N56" s="4">
        <v>2001</v>
      </c>
      <c r="O56" s="4">
        <v>2002</v>
      </c>
      <c r="P56" s="4">
        <v>2003</v>
      </c>
      <c r="Q56" s="4">
        <v>2004</v>
      </c>
      <c r="R56" s="4">
        <v>2005</v>
      </c>
      <c r="S56" s="4">
        <v>2006</v>
      </c>
      <c r="T56" s="4">
        <v>2007</v>
      </c>
      <c r="U56" s="4">
        <v>2008</v>
      </c>
      <c r="V56" s="4">
        <v>2009</v>
      </c>
      <c r="W56" s="4">
        <v>2010</v>
      </c>
      <c r="X56" s="4">
        <v>2011</v>
      </c>
      <c r="Y56" s="4">
        <v>2012</v>
      </c>
      <c r="Z56" s="4">
        <v>2013</v>
      </c>
      <c r="AA56" s="4">
        <v>2014</v>
      </c>
      <c r="AB56" s="4">
        <v>2015</v>
      </c>
      <c r="AC56" s="4">
        <v>2016</v>
      </c>
      <c r="AD56" s="4">
        <v>2017</v>
      </c>
      <c r="AE56" s="4">
        <v>2018</v>
      </c>
      <c r="AF56" s="4">
        <v>2019</v>
      </c>
      <c r="AG56" s="4">
        <v>2020</v>
      </c>
      <c r="AH56" s="4">
        <v>2021</v>
      </c>
      <c r="AI56" s="4">
        <v>2022</v>
      </c>
      <c r="AJ56" s="4">
        <v>2023</v>
      </c>
      <c r="AK56" s="4">
        <v>2024</v>
      </c>
      <c r="AL56" s="4">
        <v>2025</v>
      </c>
      <c r="AM56" s="4">
        <v>2026</v>
      </c>
      <c r="AN56" s="4">
        <v>2027</v>
      </c>
      <c r="AO56" s="4">
        <v>2028</v>
      </c>
      <c r="AP56" s="4">
        <v>2029</v>
      </c>
      <c r="AQ56" s="4">
        <v>2030</v>
      </c>
      <c r="AS56" s="3" t="s">
        <v>44</v>
      </c>
      <c r="AZ56" s="3">
        <v>1990</v>
      </c>
    </row>
    <row r="57" spans="1:94" x14ac:dyDescent="0.35">
      <c r="B57" s="4" t="str">
        <f>Populations!$C$3</f>
        <v>FSW</v>
      </c>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120"/>
      <c r="AD57" s="31"/>
      <c r="AE57" s="5"/>
      <c r="AF57" s="5"/>
      <c r="AG57" s="5"/>
      <c r="AH57" s="5"/>
      <c r="AI57" s="5"/>
      <c r="AJ57" s="5"/>
      <c r="AK57" s="5"/>
      <c r="AL57" s="5"/>
      <c r="AM57" s="5"/>
      <c r="AN57" s="5"/>
      <c r="AO57" s="5"/>
      <c r="AP57" s="5"/>
      <c r="AQ57" s="5"/>
      <c r="AR57" s="6" t="s">
        <v>46</v>
      </c>
      <c r="AS57" s="28">
        <v>0.7</v>
      </c>
      <c r="AY57" s="4" t="str">
        <f>Populations!$C$3</f>
        <v>FSW</v>
      </c>
      <c r="AZ57" s="31">
        <v>6</v>
      </c>
    </row>
    <row r="58" spans="1:94" x14ac:dyDescent="0.35">
      <c r="B58" s="4" t="str">
        <f>Populations!$C$4</f>
        <v>Clients</v>
      </c>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120"/>
      <c r="AD58" s="31"/>
      <c r="AE58" s="5"/>
      <c r="AF58" s="5"/>
      <c r="AG58" s="5"/>
      <c r="AH58" s="5"/>
      <c r="AI58" s="5"/>
      <c r="AJ58" s="5"/>
      <c r="AK58" s="5"/>
      <c r="AL58" s="5"/>
      <c r="AM58" s="5"/>
      <c r="AN58" s="5"/>
      <c r="AO58" s="5"/>
      <c r="AP58" s="5"/>
      <c r="AQ58" s="5"/>
      <c r="AR58" s="6" t="s">
        <v>46</v>
      </c>
      <c r="AS58" s="28">
        <v>0.7</v>
      </c>
      <c r="AY58" s="4" t="str">
        <f>Populations!$C$4</f>
        <v>Clients</v>
      </c>
      <c r="AZ58" s="31">
        <v>6</v>
      </c>
    </row>
    <row r="59" spans="1:94" x14ac:dyDescent="0.35">
      <c r="B59" s="4" t="str">
        <f>Populations!$C$5</f>
        <v>MSM</v>
      </c>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120"/>
      <c r="AD59" s="31"/>
      <c r="AE59" s="5"/>
      <c r="AF59" s="5"/>
      <c r="AG59" s="5"/>
      <c r="AH59" s="5"/>
      <c r="AI59" s="5"/>
      <c r="AJ59" s="5"/>
      <c r="AK59" s="5"/>
      <c r="AL59" s="5"/>
      <c r="AM59" s="5"/>
      <c r="AN59" s="5"/>
      <c r="AO59" s="5"/>
      <c r="AP59" s="5"/>
      <c r="AQ59" s="5"/>
      <c r="AR59" s="6" t="s">
        <v>46</v>
      </c>
      <c r="AS59" s="28">
        <v>0.7</v>
      </c>
      <c r="AY59" s="4" t="str">
        <f>Populations!$C$5</f>
        <v>MSM</v>
      </c>
      <c r="AZ59" s="31">
        <v>6</v>
      </c>
    </row>
    <row r="60" spans="1:94" x14ac:dyDescent="0.35">
      <c r="B60" s="4" t="str">
        <f>Populations!$C$6</f>
        <v>Prisoners</v>
      </c>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120"/>
      <c r="AD60" s="31"/>
      <c r="AE60" s="5"/>
      <c r="AF60" s="5"/>
      <c r="AG60" s="5"/>
      <c r="AH60" s="5"/>
      <c r="AI60" s="5"/>
      <c r="AJ60" s="5"/>
      <c r="AK60" s="5"/>
      <c r="AL60" s="5"/>
      <c r="AM60" s="5"/>
      <c r="AN60" s="5"/>
      <c r="AO60" s="5"/>
      <c r="AP60" s="5"/>
      <c r="AQ60" s="5"/>
      <c r="AR60" s="6" t="s">
        <v>46</v>
      </c>
      <c r="AS60" s="28">
        <v>0.7</v>
      </c>
      <c r="AY60" s="4" t="str">
        <f>Populations!$C$6</f>
        <v>Prisoners</v>
      </c>
      <c r="AZ60" s="31">
        <v>6</v>
      </c>
    </row>
    <row r="61" spans="1:94" x14ac:dyDescent="0.35">
      <c r="B61" s="4" t="str">
        <f>Populations!$C$7</f>
        <v>F0-14</v>
      </c>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120"/>
      <c r="AD61" s="31"/>
      <c r="AE61" s="5"/>
      <c r="AF61" s="5"/>
      <c r="AG61" s="5"/>
      <c r="AH61" s="5"/>
      <c r="AI61" s="5"/>
      <c r="AJ61" s="5"/>
      <c r="AK61" s="5"/>
      <c r="AL61" s="5"/>
      <c r="AM61" s="5"/>
      <c r="AN61" s="5"/>
      <c r="AO61" s="5"/>
      <c r="AP61" s="5"/>
      <c r="AQ61" s="5"/>
      <c r="AR61" s="6" t="s">
        <v>46</v>
      </c>
      <c r="AS61" s="28">
        <v>0.7</v>
      </c>
      <c r="AY61" s="4" t="str">
        <f>Populations!$C$7</f>
        <v>F0-14</v>
      </c>
      <c r="AZ61" s="31">
        <v>6</v>
      </c>
    </row>
    <row r="62" spans="1:94" x14ac:dyDescent="0.35">
      <c r="B62" s="4" t="str">
        <f>Populations!$C$8</f>
        <v>M0-14</v>
      </c>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120"/>
      <c r="AD62" s="31"/>
      <c r="AE62" s="5"/>
      <c r="AF62" s="5"/>
      <c r="AG62" s="5"/>
      <c r="AH62" s="5"/>
      <c r="AI62" s="5"/>
      <c r="AJ62" s="5"/>
      <c r="AK62" s="5"/>
      <c r="AL62" s="5"/>
      <c r="AM62" s="5"/>
      <c r="AN62" s="5"/>
      <c r="AO62" s="5"/>
      <c r="AP62" s="5"/>
      <c r="AQ62" s="5"/>
      <c r="AR62" s="6" t="s">
        <v>46</v>
      </c>
      <c r="AS62" s="28">
        <v>0.7</v>
      </c>
      <c r="AY62" s="4" t="str">
        <f>Populations!$C$8</f>
        <v>M0-14</v>
      </c>
      <c r="AZ62" s="31">
        <v>6</v>
      </c>
    </row>
    <row r="63" spans="1:94" x14ac:dyDescent="0.35">
      <c r="B63" s="4" t="str">
        <f>Populations!$C$9</f>
        <v>F15-19</v>
      </c>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120"/>
      <c r="AD63" s="31"/>
      <c r="AE63" s="5"/>
      <c r="AF63" s="5"/>
      <c r="AG63" s="5"/>
      <c r="AH63" s="5"/>
      <c r="AI63" s="5"/>
      <c r="AJ63" s="5"/>
      <c r="AK63" s="5"/>
      <c r="AL63" s="5"/>
      <c r="AM63" s="5"/>
      <c r="AN63" s="5"/>
      <c r="AO63" s="5"/>
      <c r="AP63" s="5"/>
      <c r="AQ63" s="5"/>
      <c r="AR63" s="6" t="s">
        <v>46</v>
      </c>
      <c r="AS63" s="28">
        <v>0.7</v>
      </c>
      <c r="AY63" s="4" t="str">
        <f>Populations!$C$9</f>
        <v>F15-19</v>
      </c>
      <c r="AZ63" s="31">
        <v>6</v>
      </c>
    </row>
    <row r="64" spans="1:94" x14ac:dyDescent="0.35">
      <c r="B64" s="4" t="str">
        <f>Populations!$C$10</f>
        <v>M15-19</v>
      </c>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120"/>
      <c r="AD64" s="31"/>
      <c r="AE64" s="5"/>
      <c r="AF64" s="5"/>
      <c r="AG64" s="5"/>
      <c r="AH64" s="5"/>
      <c r="AI64" s="5"/>
      <c r="AJ64" s="5"/>
      <c r="AK64" s="5"/>
      <c r="AL64" s="5"/>
      <c r="AM64" s="5"/>
      <c r="AN64" s="5"/>
      <c r="AO64" s="5"/>
      <c r="AP64" s="5"/>
      <c r="AQ64" s="5"/>
      <c r="AR64" s="6" t="s">
        <v>46</v>
      </c>
      <c r="AS64" s="28">
        <v>0.7</v>
      </c>
      <c r="AY64" s="4" t="str">
        <f>Populations!$C$10</f>
        <v>M15-19</v>
      </c>
      <c r="AZ64" s="31">
        <v>6</v>
      </c>
    </row>
    <row r="65" spans="1:52" x14ac:dyDescent="0.35">
      <c r="B65" s="4" t="str">
        <f>Populations!$C$11</f>
        <v>F20-24</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120"/>
      <c r="AD65" s="31"/>
      <c r="AE65" s="5"/>
      <c r="AF65" s="5"/>
      <c r="AG65" s="5"/>
      <c r="AH65" s="5"/>
      <c r="AI65" s="5"/>
      <c r="AJ65" s="5"/>
      <c r="AK65" s="5"/>
      <c r="AL65" s="5"/>
      <c r="AM65" s="5"/>
      <c r="AN65" s="5"/>
      <c r="AO65" s="5"/>
      <c r="AP65" s="5"/>
      <c r="AQ65" s="5"/>
      <c r="AR65" s="6" t="s">
        <v>46</v>
      </c>
      <c r="AS65" s="28">
        <v>0.7</v>
      </c>
      <c r="AY65" s="4" t="str">
        <f>Populations!$C$11</f>
        <v>F20-24</v>
      </c>
      <c r="AZ65" s="31">
        <v>6</v>
      </c>
    </row>
    <row r="66" spans="1:52" x14ac:dyDescent="0.35">
      <c r="B66" s="4" t="str">
        <f>Populations!$C$12</f>
        <v>M20-24</v>
      </c>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120"/>
      <c r="AD66" s="31"/>
      <c r="AE66" s="5"/>
      <c r="AF66" s="5"/>
      <c r="AG66" s="5"/>
      <c r="AH66" s="5"/>
      <c r="AI66" s="5"/>
      <c r="AJ66" s="5"/>
      <c r="AK66" s="5"/>
      <c r="AL66" s="5"/>
      <c r="AM66" s="5"/>
      <c r="AN66" s="5"/>
      <c r="AO66" s="5"/>
      <c r="AP66" s="5"/>
      <c r="AQ66" s="5"/>
      <c r="AR66" s="6" t="s">
        <v>46</v>
      </c>
      <c r="AS66" s="28">
        <v>0.7</v>
      </c>
      <c r="AY66" s="4" t="str">
        <f>Populations!$C$12</f>
        <v>M20-24</v>
      </c>
      <c r="AZ66" s="31">
        <v>6</v>
      </c>
    </row>
    <row r="67" spans="1:52" x14ac:dyDescent="0.35">
      <c r="B67" s="4" t="str">
        <f>Populations!$C$13</f>
        <v>F25-34</v>
      </c>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120"/>
      <c r="AD67" s="31"/>
      <c r="AE67" s="5"/>
      <c r="AF67" s="5"/>
      <c r="AG67" s="5"/>
      <c r="AH67" s="5"/>
      <c r="AI67" s="5"/>
      <c r="AJ67" s="5"/>
      <c r="AK67" s="5"/>
      <c r="AL67" s="5"/>
      <c r="AM67" s="5"/>
      <c r="AN67" s="5"/>
      <c r="AO67" s="5"/>
      <c r="AP67" s="5"/>
      <c r="AQ67" s="5"/>
      <c r="AR67" s="6" t="s">
        <v>46</v>
      </c>
      <c r="AS67" s="28">
        <v>0.7</v>
      </c>
      <c r="AY67" s="4" t="str">
        <f>Populations!$C$13</f>
        <v>F25-34</v>
      </c>
      <c r="AZ67" s="31">
        <v>6</v>
      </c>
    </row>
    <row r="68" spans="1:52" x14ac:dyDescent="0.35">
      <c r="B68" s="4" t="str">
        <f>Populations!$C$14</f>
        <v>M25-34</v>
      </c>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120"/>
      <c r="AD68" s="31"/>
      <c r="AE68" s="5"/>
      <c r="AF68" s="5"/>
      <c r="AG68" s="5"/>
      <c r="AH68" s="5"/>
      <c r="AI68" s="5"/>
      <c r="AJ68" s="5"/>
      <c r="AK68" s="5"/>
      <c r="AL68" s="5"/>
      <c r="AM68" s="5"/>
      <c r="AN68" s="5"/>
      <c r="AO68" s="5"/>
      <c r="AP68" s="5"/>
      <c r="AQ68" s="5"/>
      <c r="AR68" s="6" t="s">
        <v>46</v>
      </c>
      <c r="AS68" s="28">
        <v>0.7</v>
      </c>
      <c r="AY68" s="4" t="str">
        <f>Populations!$C$14</f>
        <v>M25-34</v>
      </c>
      <c r="AZ68" s="31">
        <v>6</v>
      </c>
    </row>
    <row r="69" spans="1:52" x14ac:dyDescent="0.35">
      <c r="B69" s="4" t="str">
        <f>Populations!$C$15</f>
        <v>F35-49</v>
      </c>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120"/>
      <c r="AD69" s="31"/>
      <c r="AE69" s="5"/>
      <c r="AF69" s="5"/>
      <c r="AG69" s="5"/>
      <c r="AH69" s="5"/>
      <c r="AI69" s="5"/>
      <c r="AJ69" s="5"/>
      <c r="AK69" s="5"/>
      <c r="AL69" s="5"/>
      <c r="AM69" s="5"/>
      <c r="AN69" s="5"/>
      <c r="AO69" s="5"/>
      <c r="AP69" s="5"/>
      <c r="AQ69" s="5"/>
      <c r="AR69" s="6" t="s">
        <v>46</v>
      </c>
      <c r="AS69" s="28">
        <v>0.7</v>
      </c>
      <c r="AY69" s="4" t="str">
        <f>Populations!$C$15</f>
        <v>F35-49</v>
      </c>
      <c r="AZ69" s="31">
        <v>6</v>
      </c>
    </row>
    <row r="70" spans="1:52" x14ac:dyDescent="0.35">
      <c r="B70" s="4" t="str">
        <f>Populations!$C$16</f>
        <v>M35-49</v>
      </c>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120"/>
      <c r="AD70" s="31"/>
      <c r="AE70" s="5"/>
      <c r="AF70" s="5"/>
      <c r="AG70" s="5"/>
      <c r="AH70" s="5"/>
      <c r="AI70" s="5"/>
      <c r="AJ70" s="5"/>
      <c r="AK70" s="5"/>
      <c r="AL70" s="5"/>
      <c r="AM70" s="5"/>
      <c r="AN70" s="5"/>
      <c r="AO70" s="5"/>
      <c r="AP70" s="5"/>
      <c r="AQ70" s="5"/>
      <c r="AR70" s="6" t="s">
        <v>46</v>
      </c>
      <c r="AS70" s="28">
        <v>0.7</v>
      </c>
      <c r="AY70" s="4" t="str">
        <f>Populations!$C$16</f>
        <v>M35-49</v>
      </c>
      <c r="AZ70" s="31">
        <v>6</v>
      </c>
    </row>
    <row r="71" spans="1:52" x14ac:dyDescent="0.35">
      <c r="B71" s="4" t="str">
        <f>Populations!$C$17</f>
        <v>F50+</v>
      </c>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120"/>
      <c r="AD71" s="31"/>
      <c r="AE71" s="5"/>
      <c r="AF71" s="5"/>
      <c r="AG71" s="5"/>
      <c r="AH71" s="5"/>
      <c r="AI71" s="5"/>
      <c r="AJ71" s="5"/>
      <c r="AK71" s="5"/>
      <c r="AL71" s="5"/>
      <c r="AM71" s="5"/>
      <c r="AN71" s="5"/>
      <c r="AO71" s="5"/>
      <c r="AP71" s="5"/>
      <c r="AQ71" s="5"/>
      <c r="AR71" s="6" t="s">
        <v>46</v>
      </c>
      <c r="AS71" s="28">
        <v>0.7</v>
      </c>
      <c r="AY71" s="4" t="str">
        <f>Populations!$C$17</f>
        <v>F50+</v>
      </c>
      <c r="AZ71" s="31">
        <v>6</v>
      </c>
    </row>
    <row r="72" spans="1:52" x14ac:dyDescent="0.35">
      <c r="B72" s="4" t="str">
        <f>Populations!$C$18</f>
        <v>M50+</v>
      </c>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120"/>
      <c r="AD72" s="31"/>
      <c r="AE72" s="5"/>
      <c r="AF72" s="5"/>
      <c r="AG72" s="5"/>
      <c r="AH72" s="5"/>
      <c r="AI72" s="5"/>
      <c r="AJ72" s="5"/>
      <c r="AK72" s="5"/>
      <c r="AL72" s="5"/>
      <c r="AM72" s="5"/>
      <c r="AN72" s="5"/>
      <c r="AO72" s="5"/>
      <c r="AP72" s="5"/>
      <c r="AQ72" s="5"/>
      <c r="AR72" s="6" t="s">
        <v>46</v>
      </c>
      <c r="AS72" s="28">
        <v>0.7</v>
      </c>
      <c r="AY72" s="4" t="str">
        <f>Populations!$C$18</f>
        <v>M50+</v>
      </c>
      <c r="AZ72" s="31">
        <v>6</v>
      </c>
    </row>
    <row r="76" spans="1:52" x14ac:dyDescent="0.35">
      <c r="A76" s="2" t="s">
        <v>72</v>
      </c>
    </row>
    <row r="77" spans="1:52" x14ac:dyDescent="0.35">
      <c r="C77" s="3">
        <v>1990</v>
      </c>
      <c r="D77" s="3">
        <v>1991</v>
      </c>
      <c r="E77" s="3">
        <v>1992</v>
      </c>
      <c r="F77" s="3">
        <v>1993</v>
      </c>
      <c r="G77" s="3">
        <v>1994</v>
      </c>
      <c r="H77" s="3">
        <v>1995</v>
      </c>
      <c r="I77" s="3">
        <v>1996</v>
      </c>
      <c r="J77" s="3">
        <v>1997</v>
      </c>
      <c r="K77" s="3">
        <v>1998</v>
      </c>
      <c r="L77" s="3">
        <v>1999</v>
      </c>
      <c r="M77" s="4">
        <v>2000</v>
      </c>
      <c r="N77" s="4">
        <v>2001</v>
      </c>
      <c r="O77" s="4">
        <v>2002</v>
      </c>
      <c r="P77" s="4">
        <v>2003</v>
      </c>
      <c r="Q77" s="4">
        <v>2004</v>
      </c>
      <c r="R77" s="4">
        <v>2005</v>
      </c>
      <c r="S77" s="4">
        <v>2006</v>
      </c>
      <c r="T77" s="4">
        <v>2007</v>
      </c>
      <c r="U77" s="4">
        <v>2008</v>
      </c>
      <c r="V77" s="4">
        <v>2009</v>
      </c>
      <c r="W77" s="4">
        <v>2010</v>
      </c>
      <c r="X77" s="4">
        <v>2011</v>
      </c>
      <c r="Y77" s="4">
        <v>2012</v>
      </c>
      <c r="Z77" s="4">
        <v>2013</v>
      </c>
      <c r="AA77" s="4">
        <v>2014</v>
      </c>
      <c r="AB77" s="4">
        <v>2015</v>
      </c>
      <c r="AC77" s="4">
        <v>2016</v>
      </c>
      <c r="AD77" s="4">
        <v>2017</v>
      </c>
      <c r="AE77" s="4">
        <v>2018</v>
      </c>
      <c r="AF77" s="4">
        <v>2019</v>
      </c>
      <c r="AG77" s="4">
        <v>2020</v>
      </c>
      <c r="AH77" s="4">
        <v>2021</v>
      </c>
      <c r="AI77" s="4">
        <v>2022</v>
      </c>
      <c r="AJ77" s="4">
        <v>2023</v>
      </c>
      <c r="AK77" s="4">
        <v>2024</v>
      </c>
      <c r="AL77" s="4">
        <v>2025</v>
      </c>
      <c r="AM77" s="4">
        <v>2026</v>
      </c>
      <c r="AN77" s="4">
        <v>2027</v>
      </c>
      <c r="AO77" s="4">
        <v>2028</v>
      </c>
      <c r="AP77" s="4">
        <v>2029</v>
      </c>
      <c r="AQ77" s="4">
        <v>2030</v>
      </c>
      <c r="AS77" s="3" t="s">
        <v>44</v>
      </c>
    </row>
    <row r="78" spans="1:52" x14ac:dyDescent="0.35">
      <c r="B78" s="4" t="s">
        <v>57</v>
      </c>
      <c r="C78" s="5">
        <v>0</v>
      </c>
      <c r="D78" s="5">
        <v>0</v>
      </c>
      <c r="E78" s="5">
        <v>0</v>
      </c>
      <c r="F78" s="5">
        <v>0</v>
      </c>
      <c r="G78" s="5">
        <v>0</v>
      </c>
      <c r="H78" s="5">
        <v>0</v>
      </c>
      <c r="I78" s="5">
        <v>0</v>
      </c>
      <c r="J78" s="5">
        <v>0</v>
      </c>
      <c r="K78" s="5">
        <v>0</v>
      </c>
      <c r="L78" s="5">
        <v>0</v>
      </c>
      <c r="M78" s="5">
        <v>0</v>
      </c>
      <c r="N78" s="5">
        <v>0</v>
      </c>
      <c r="O78" s="5">
        <v>0</v>
      </c>
      <c r="P78" s="5">
        <v>0</v>
      </c>
      <c r="Q78" s="5">
        <v>0</v>
      </c>
      <c r="R78" s="5">
        <v>1</v>
      </c>
      <c r="S78" s="5">
        <v>1</v>
      </c>
      <c r="T78" s="5">
        <v>1</v>
      </c>
      <c r="U78" s="5">
        <v>1</v>
      </c>
      <c r="V78" s="5">
        <v>1</v>
      </c>
      <c r="W78" s="5"/>
      <c r="X78" s="5"/>
      <c r="Y78" s="5"/>
      <c r="Z78" s="5"/>
      <c r="AA78" s="5"/>
      <c r="AB78" s="11"/>
      <c r="AC78" s="11"/>
      <c r="AD78" s="11"/>
      <c r="AE78" s="5"/>
      <c r="AF78" s="5"/>
      <c r="AG78" s="5"/>
      <c r="AH78" s="158">
        <f>0.9*'Testing &amp; treatment'!AH30</f>
        <v>1069772.4000000001</v>
      </c>
      <c r="AI78" s="5"/>
      <c r="AJ78" s="5"/>
      <c r="AK78" s="5"/>
      <c r="AL78" s="5"/>
      <c r="AM78" s="5"/>
      <c r="AN78" s="5"/>
      <c r="AO78" s="5"/>
      <c r="AP78" s="5"/>
      <c r="AQ78" s="5"/>
      <c r="AR78" s="6" t="s">
        <v>46</v>
      </c>
      <c r="AS78" s="27"/>
    </row>
    <row r="80" spans="1:52" x14ac:dyDescent="0.35">
      <c r="AD80" s="18"/>
    </row>
    <row r="82" spans="1:47" x14ac:dyDescent="0.35">
      <c r="A82" s="41" t="s">
        <v>210</v>
      </c>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S82"/>
      <c r="AT82"/>
      <c r="AU82"/>
    </row>
    <row r="83" spans="1:47" x14ac:dyDescent="0.35">
      <c r="A83" s="42"/>
      <c r="B83" s="42"/>
      <c r="C83" s="3">
        <v>1990</v>
      </c>
      <c r="D83" s="3">
        <v>1991</v>
      </c>
      <c r="E83" s="3">
        <v>1992</v>
      </c>
      <c r="F83" s="3">
        <v>1993</v>
      </c>
      <c r="G83" s="3">
        <v>1994</v>
      </c>
      <c r="H83" s="3">
        <v>1995</v>
      </c>
      <c r="I83" s="3">
        <v>1996</v>
      </c>
      <c r="J83" s="3">
        <v>1997</v>
      </c>
      <c r="K83" s="3">
        <v>1998</v>
      </c>
      <c r="L83" s="3">
        <v>1999</v>
      </c>
      <c r="M83" s="43">
        <v>2000</v>
      </c>
      <c r="N83" s="43">
        <v>2001</v>
      </c>
      <c r="O83" s="43">
        <v>2002</v>
      </c>
      <c r="P83" s="43">
        <v>2003</v>
      </c>
      <c r="Q83" s="43">
        <v>2004</v>
      </c>
      <c r="R83" s="43">
        <v>2005</v>
      </c>
      <c r="S83" s="43">
        <v>2006</v>
      </c>
      <c r="T83" s="43">
        <v>2007</v>
      </c>
      <c r="U83" s="43">
        <v>2008</v>
      </c>
      <c r="V83" s="43">
        <v>2009</v>
      </c>
      <c r="W83" s="43">
        <v>2010</v>
      </c>
      <c r="X83" s="43">
        <v>2011</v>
      </c>
      <c r="Y83" s="43">
        <v>2012</v>
      </c>
      <c r="Z83" s="43">
        <v>2013</v>
      </c>
      <c r="AA83" s="43">
        <v>2014</v>
      </c>
      <c r="AB83" s="43">
        <v>2015</v>
      </c>
      <c r="AC83" s="43">
        <v>2016</v>
      </c>
      <c r="AD83" s="43">
        <v>2017</v>
      </c>
      <c r="AE83" s="43">
        <v>2018</v>
      </c>
      <c r="AF83" s="43">
        <v>2019</v>
      </c>
      <c r="AG83" s="4">
        <v>2020</v>
      </c>
      <c r="AH83" s="4">
        <v>2021</v>
      </c>
      <c r="AI83" s="4">
        <v>2022</v>
      </c>
      <c r="AJ83" s="4">
        <v>2023</v>
      </c>
      <c r="AK83" s="4">
        <v>2024</v>
      </c>
      <c r="AL83" s="4">
        <v>2025</v>
      </c>
      <c r="AM83" s="4">
        <v>2026</v>
      </c>
      <c r="AN83" s="4">
        <v>2027</v>
      </c>
      <c r="AO83" s="4">
        <v>2028</v>
      </c>
      <c r="AP83" s="4">
        <v>2029</v>
      </c>
      <c r="AQ83" s="4">
        <v>2030</v>
      </c>
      <c r="AR83" s="42"/>
      <c r="AS83" s="43" t="s">
        <v>44</v>
      </c>
      <c r="AT83"/>
      <c r="AU83"/>
    </row>
    <row r="84" spans="1:47" x14ac:dyDescent="0.35">
      <c r="A84" s="42"/>
      <c r="B84" s="43" t="s">
        <v>55</v>
      </c>
      <c r="C84" s="11">
        <v>0</v>
      </c>
      <c r="D84" s="11">
        <v>0</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c r="X84" s="11"/>
      <c r="Y84" s="11"/>
      <c r="Z84" s="11"/>
      <c r="AA84" s="11"/>
      <c r="AB84" s="11"/>
      <c r="AC84" s="11"/>
      <c r="AD84" s="11"/>
      <c r="AE84" s="11"/>
      <c r="AF84" s="11"/>
      <c r="AG84" s="11"/>
      <c r="AH84" s="80">
        <v>0.85</v>
      </c>
      <c r="AI84" s="11"/>
      <c r="AJ84" s="11"/>
      <c r="AK84" s="11"/>
      <c r="AL84" s="11"/>
      <c r="AM84" s="11"/>
      <c r="AN84" s="11"/>
      <c r="AO84" s="11"/>
      <c r="AP84" s="11"/>
      <c r="AQ84" s="11"/>
      <c r="AR84" s="44" t="s">
        <v>46</v>
      </c>
      <c r="AS84" s="31"/>
      <c r="AT84"/>
      <c r="AU84"/>
    </row>
    <row r="85" spans="1:47" x14ac:dyDescent="0.3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R85" s="45"/>
      <c r="AS85" s="45"/>
      <c r="AT85"/>
      <c r="AU85"/>
    </row>
    <row r="86" spans="1:47" x14ac:dyDescent="0.35">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R86" s="45"/>
      <c r="AS86" s="45"/>
      <c r="AT86"/>
      <c r="AU86"/>
    </row>
    <row r="87" spans="1:47" x14ac:dyDescent="0.35">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R87" s="45"/>
      <c r="AS87" s="45"/>
      <c r="AT87"/>
      <c r="AU87"/>
    </row>
    <row r="88" spans="1:47" x14ac:dyDescent="0.35">
      <c r="A88" s="41" t="s">
        <v>211</v>
      </c>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R88" s="42"/>
      <c r="AS88" s="42"/>
      <c r="AT88"/>
      <c r="AU88"/>
    </row>
    <row r="89" spans="1:47" x14ac:dyDescent="0.35">
      <c r="A89" s="42"/>
      <c r="B89" s="42"/>
      <c r="C89" s="3">
        <v>1990</v>
      </c>
      <c r="D89" s="3">
        <v>1991</v>
      </c>
      <c r="E89" s="3">
        <v>1992</v>
      </c>
      <c r="F89" s="3">
        <v>1993</v>
      </c>
      <c r="G89" s="3">
        <v>1994</v>
      </c>
      <c r="H89" s="3">
        <v>1995</v>
      </c>
      <c r="I89" s="3">
        <v>1996</v>
      </c>
      <c r="J89" s="3">
        <v>1997</v>
      </c>
      <c r="K89" s="3">
        <v>1998</v>
      </c>
      <c r="L89" s="3">
        <v>1999</v>
      </c>
      <c r="M89" s="43">
        <v>2000</v>
      </c>
      <c r="N89" s="43">
        <v>2001</v>
      </c>
      <c r="O89" s="43">
        <v>2002</v>
      </c>
      <c r="P89" s="43">
        <v>2003</v>
      </c>
      <c r="Q89" s="43">
        <v>2004</v>
      </c>
      <c r="R89" s="43">
        <v>2005</v>
      </c>
      <c r="S89" s="43">
        <v>2006</v>
      </c>
      <c r="T89" s="43">
        <v>2007</v>
      </c>
      <c r="U89" s="43">
        <v>2008</v>
      </c>
      <c r="V89" s="43">
        <v>2009</v>
      </c>
      <c r="W89" s="43">
        <v>2010</v>
      </c>
      <c r="X89" s="43">
        <v>2011</v>
      </c>
      <c r="Y89" s="43">
        <v>2012</v>
      </c>
      <c r="Z89" s="43">
        <v>2013</v>
      </c>
      <c r="AA89" s="43">
        <v>2014</v>
      </c>
      <c r="AB89" s="43">
        <v>2015</v>
      </c>
      <c r="AC89" s="43">
        <v>2016</v>
      </c>
      <c r="AD89" s="43">
        <v>2017</v>
      </c>
      <c r="AE89" s="43">
        <v>2018</v>
      </c>
      <c r="AF89" s="43">
        <v>2019</v>
      </c>
      <c r="AG89" s="4">
        <v>2020</v>
      </c>
      <c r="AH89" s="4">
        <v>2021</v>
      </c>
      <c r="AI89" s="4">
        <v>2022</v>
      </c>
      <c r="AJ89" s="4">
        <v>2023</v>
      </c>
      <c r="AK89" s="4">
        <v>2024</v>
      </c>
      <c r="AL89" s="4">
        <v>2025</v>
      </c>
      <c r="AM89" s="4">
        <v>2026</v>
      </c>
      <c r="AN89" s="4">
        <v>2027</v>
      </c>
      <c r="AO89" s="4">
        <v>2028</v>
      </c>
      <c r="AP89" s="4">
        <v>2029</v>
      </c>
      <c r="AQ89" s="4">
        <v>2030</v>
      </c>
      <c r="AR89" s="42"/>
      <c r="AS89" s="43" t="s">
        <v>44</v>
      </c>
      <c r="AT89"/>
      <c r="AU89"/>
    </row>
    <row r="90" spans="1:47" x14ac:dyDescent="0.35">
      <c r="A90" s="42"/>
      <c r="B90" s="43" t="s">
        <v>55</v>
      </c>
      <c r="C90" s="80">
        <v>1</v>
      </c>
      <c r="D90" s="31"/>
      <c r="E90" s="31"/>
      <c r="F90" s="31"/>
      <c r="G90" s="31"/>
      <c r="H90" s="31"/>
      <c r="I90" s="31"/>
      <c r="J90" s="31"/>
      <c r="K90" s="31"/>
      <c r="L90" s="31"/>
      <c r="M90" s="31"/>
      <c r="N90" s="31"/>
      <c r="O90" s="31"/>
      <c r="P90" s="31"/>
      <c r="Q90" s="31"/>
      <c r="R90" s="31"/>
      <c r="S90" s="31"/>
      <c r="T90" s="31"/>
      <c r="U90" s="31"/>
      <c r="V90" s="31"/>
      <c r="W90" s="31"/>
      <c r="X90" s="31"/>
      <c r="Y90" s="31"/>
      <c r="Z90" s="31"/>
      <c r="AA90" s="31"/>
      <c r="AB90" s="80">
        <v>0.5</v>
      </c>
      <c r="AC90" s="31"/>
      <c r="AD90" s="31"/>
      <c r="AE90" s="80"/>
      <c r="AF90" s="31"/>
      <c r="AG90" s="5"/>
      <c r="AH90" s="8">
        <v>0.03</v>
      </c>
      <c r="AI90" s="5"/>
      <c r="AJ90" s="5"/>
      <c r="AK90" s="5"/>
      <c r="AL90" s="5"/>
      <c r="AM90" s="5"/>
      <c r="AN90" s="5"/>
      <c r="AO90" s="5"/>
      <c r="AP90" s="5"/>
      <c r="AQ90" s="5"/>
      <c r="AR90" s="44" t="s">
        <v>46</v>
      </c>
      <c r="AS90" s="8">
        <v>0.03</v>
      </c>
      <c r="AT90"/>
      <c r="AU90"/>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vt:lpstr>
      <vt:lpstr>Populations</vt:lpstr>
      <vt:lpstr>Population size</vt:lpstr>
      <vt:lpstr>HIV prevalence</vt:lpstr>
      <vt:lpstr>Other epidemiology</vt:lpstr>
      <vt:lpstr>Testing &amp; treatment</vt:lpstr>
      <vt:lpstr>ART_coverages</vt:lpstr>
      <vt:lpstr>Optional indicators</vt:lpstr>
      <vt:lpstr>Cascade</vt:lpstr>
      <vt:lpstr>Sexual behavior</vt:lpstr>
      <vt:lpstr>Migration</vt:lpstr>
      <vt:lpstr>Injecting behavior</vt:lpstr>
      <vt:lpstr>Partnerships &amp; transitions</vt:lpstr>
      <vt:lpstr>Constants</vt:lpstr>
      <vt:lpstr>Comparison</vt:lpstr>
      <vt:lpstr>AIDSinfo comparison</vt:lpstr>
      <vt:lpstr>AIDSinfo infections comparison</vt:lpstr>
      <vt:lpstr>VMMC cost coverage</vt:lpstr>
      <vt:lpstr>Cost &amp; coverage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Sherrie Kelly</dc:creator>
  <cp:lastModifiedBy>Alina Muellenmeister</cp:lastModifiedBy>
  <dcterms:created xsi:type="dcterms:W3CDTF">2017-12-14T14:14:34Z</dcterms:created>
  <dcterms:modified xsi:type="dcterms:W3CDTF">2024-05-10T00:36:56Z</dcterms:modified>
</cp:coreProperties>
</file>